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comments8.xml" ContentType="application/vnd.openxmlformats-officedocument.spreadsheetml.comments+xml"/>
  <Override PartName="/xl/threadedComments/threadedComment4.xml" ContentType="application/vnd.ms-excel.threaded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autoCompressPictures="0"/>
  <mc:AlternateContent xmlns:mc="http://schemas.openxmlformats.org/markup-compatibility/2006">
    <mc:Choice Requires="x15">
      <x15ac:absPath xmlns:x15ac="http://schemas.microsoft.com/office/spreadsheetml/2010/11/ac" url="https://csmci.sharepoint.com/sites/csmc-nevada/Shared Documents/General/CSMC/Potential Clients/Pahrump Valley Academy/Revision/"/>
    </mc:Choice>
  </mc:AlternateContent>
  <xr:revisionPtr revIDLastSave="182" documentId="8_{03A2A166-FB3E-4217-BEA1-7F8739359C0C}" xr6:coauthVersionLast="47" xr6:coauthVersionMax="47" xr10:uidLastSave="{DFD88F4E-05FB-4ABC-8400-E8CD4232A453}"/>
  <bookViews>
    <workbookView xWindow="-28920" yWindow="1560" windowWidth="29040" windowHeight="15720" tabRatio="786" firstSheet="2" activeTab="7" xr2:uid="{D04EB9C8-21BC-4E98-9BE5-4CF3F64AFE3D}"/>
  </bookViews>
  <sheets>
    <sheet name="Instructions" sheetId="77" r:id="rId1"/>
    <sheet name="Resources" sheetId="76" state="hidden" r:id="rId2"/>
    <sheet name="Cover &amp; Loc" sheetId="52" r:id="rId3"/>
    <sheet name="Checklist &amp; TOC" sheetId="66" state="hidden" r:id="rId4"/>
    <sheet name="Mkt Res" sheetId="41" state="hidden" r:id="rId5"/>
    <sheet name=" Enrol &amp; Rev" sheetId="13" r:id="rId6"/>
    <sheet name="Pre Y1 (Incubation)" sheetId="39" state="hidden" r:id="rId7"/>
    <sheet name="CF Y1 Mo" sheetId="38" r:id="rId8"/>
    <sheet name="Staff" sheetId="62" r:id="rId9"/>
    <sheet name="Facilities" sheetId="46" r:id="rId10"/>
    <sheet name="Gen Optg" sheetId="61" r:id="rId11"/>
    <sheet name="Ins" sheetId="47" r:id="rId12"/>
    <sheet name="FFE&amp;T" sheetId="34" r:id="rId13"/>
    <sheet name="Marketing" sheetId="48" r:id="rId14"/>
    <sheet name="EMO-CMO-BOSP" sheetId="45" r:id="rId15"/>
    <sheet name="Summary" sheetId="18" r:id="rId16"/>
    <sheet name="Statistics" sheetId="67" r:id="rId17"/>
    <sheet name="Info--&gt;" sheetId="75" state="hidden" r:id="rId18"/>
    <sheet name="PCFP Rates" sheetId="35" state="hidden" r:id="rId19"/>
    <sheet name="Demographics" sheetId="71" state="hidden" r:id="rId20"/>
    <sheet name="Facilities wkst" sheetId="53" state="hidden" r:id="rId21"/>
    <sheet name="Dev Notes" sheetId="57" state="hidden" r:id="rId22"/>
    <sheet name="Note FFE" sheetId="54" state="hidden" r:id="rId23"/>
    <sheet name="Eq wip" sheetId="55" state="hidden" r:id="rId24"/>
    <sheet name="Scratchpad (2)" sheetId="69" state="hidden" r:id="rId25"/>
    <sheet name="Levers" sheetId="63" state="hidden" r:id="rId26"/>
    <sheet name="Scratchpad" sheetId="68" state="hidden" r:id="rId27"/>
    <sheet name="Transp" sheetId="72" state="hidden" r:id="rId28"/>
    <sheet name="Star Ratings" sheetId="74" state="hidden" r:id="rId29"/>
  </sheets>
  <definedNames>
    <definedName name="Counties">'PCFP Rates'!$O$49:$O$79</definedName>
    <definedName name="County">'PCFP Rates'!$O$49:$O$79</definedName>
    <definedName name="DSA">'PCFP Rates'!#REF!</definedName>
    <definedName name="FICA_Rate">Staff!$C$60</definedName>
    <definedName name="HypLink1">#REF!</definedName>
    <definedName name="HypLink10">'CF Y1 Mo'!$A$1</definedName>
    <definedName name="HypLink11">Staff!$A$1</definedName>
    <definedName name="HypLink12">Facilities!$A$1</definedName>
    <definedName name="HypLink13">'Gen Optg'!$A$1</definedName>
    <definedName name="HypLink14">'FFE&amp;T'!$A$1</definedName>
    <definedName name="HypLink15">Ins!$A$1</definedName>
    <definedName name="HypLink16">Marketing!$A$1</definedName>
    <definedName name="HypLink17">'EMO-CMO-BOSP'!$A$1</definedName>
    <definedName name="HypLink18">'PCFP Rates'!$A$1</definedName>
    <definedName name="HypLink19">'Facilities wkst'!$A$1</definedName>
    <definedName name="HypLink2">#REF!</definedName>
    <definedName name="HypLink20">'Dev Notes'!$A$1</definedName>
    <definedName name="HypLink21">'Note FFE'!$A$1</definedName>
    <definedName name="HypLink22">'Eq wip'!$A$1</definedName>
    <definedName name="HypLink23">'Scratchpad (2)'!$A$1</definedName>
    <definedName name="HypLink24">Levers!$A$1</definedName>
    <definedName name="HypLink25">Scratchpad!$A$1</definedName>
    <definedName name="HypLink26">Demographics!$A$1</definedName>
    <definedName name="HypLink3">'Cover &amp; Loc'!$A$1</definedName>
    <definedName name="HypLink4">'Checklist &amp; TOC'!$A$1</definedName>
    <definedName name="HypLink5">Summary!$A$1</definedName>
    <definedName name="HypLink6" localSheetId="10">'Gen Optg'!$A$1</definedName>
    <definedName name="HypLink6" localSheetId="8">Staff!$A$1</definedName>
    <definedName name="HypLink6">Statistics!$A$1</definedName>
    <definedName name="HypLink7">'Mkt Res'!$A$1</definedName>
    <definedName name="HypLink8">' Enrol &amp; Rev'!$A$1</definedName>
    <definedName name="HypLink9">'Pre Y1 (Incubation)'!$A$1</definedName>
    <definedName name="_xlnm.Print_Area" localSheetId="5">' Enrol &amp; Rev'!$A$1:$M$146</definedName>
    <definedName name="_xlnm.Print_Area" localSheetId="7">'CF Y1 Mo'!$A$1:$R$134</definedName>
    <definedName name="_xlnm.Print_Area" localSheetId="3">'Checklist &amp; TOC'!$A$1:$K$35</definedName>
    <definedName name="_xlnm.Print_Area" localSheetId="2">'Cover &amp; Loc'!$A$1:$E$26</definedName>
    <definedName name="_xlnm.Print_Area" localSheetId="19">Demographics!$A$1:$M$6</definedName>
    <definedName name="_xlnm.Print_Area" localSheetId="21">'Dev Notes'!$A$1:$T$90</definedName>
    <definedName name="_xlnm.Print_Area" localSheetId="14">'EMO-CMO-BOSP'!$A$1:$L$89</definedName>
    <definedName name="_xlnm.Print_Area" localSheetId="23">'Eq wip'!$A$1:$N$50</definedName>
    <definedName name="_xlnm.Print_Area" localSheetId="9">Facilities!$A$1:$L$77</definedName>
    <definedName name="_xlnm.Print_Area" localSheetId="12">'FFE&amp;T'!$A$1:$L$55</definedName>
    <definedName name="_xlnm.Print_Area" localSheetId="10">'Gen Optg'!$A$1:$L$185</definedName>
    <definedName name="_xlnm.Print_Area" localSheetId="11">Ins!$A$1:$L$51</definedName>
    <definedName name="_xlnm.Print_Area" localSheetId="25">Levers!$A$1:$I$39</definedName>
    <definedName name="_xlnm.Print_Area" localSheetId="13">Marketing!$A$1:$N$46</definedName>
    <definedName name="_xlnm.Print_Area" localSheetId="4">'Mkt Res'!$A$1:$K$102</definedName>
    <definedName name="_xlnm.Print_Area" localSheetId="22">'Note FFE'!$A$1:$I$43</definedName>
    <definedName name="_xlnm.Print_Area" localSheetId="18">'PCFP Rates'!$A$1:$M$472</definedName>
    <definedName name="_xlnm.Print_Area" localSheetId="6">'Pre Y1 (Incubation)'!$A$1:$F$8</definedName>
    <definedName name="_xlnm.Print_Area" localSheetId="26">Scratchpad!$A$1:$L$44</definedName>
    <definedName name="_xlnm.Print_Area" localSheetId="24">'Scratchpad (2)'!$A$1:$Q$44</definedName>
    <definedName name="_xlnm.Print_Area" localSheetId="8">Staff!$A$1:$M$490</definedName>
    <definedName name="_xlnm.Print_Area" localSheetId="28">'Star Ratings'!$A$1:$K$43</definedName>
    <definedName name="_xlnm.Print_Area" localSheetId="16">Statistics!$A$1:$L$131</definedName>
    <definedName name="_xlnm.Print_Area" localSheetId="15">Summary!$A$1:$L$113</definedName>
    <definedName name="_xlnm.Print_Area" localSheetId="27">Transp!$A$1:$K$42</definedName>
    <definedName name="_xlnm.Print_Titles" localSheetId="5">' Enrol &amp; Rev'!$9:$11</definedName>
    <definedName name="_xlnm.Print_Titles" localSheetId="7">'CF Y1 Mo'!$7:$12</definedName>
    <definedName name="_xlnm.Print_Titles" localSheetId="14">'EMO-CMO-BOSP'!$9:$11</definedName>
    <definedName name="_xlnm.Print_Titles" localSheetId="9">Facilities!$6:$8</definedName>
    <definedName name="_xlnm.Print_Titles" localSheetId="20">'Facilities wkst'!$A:$A</definedName>
    <definedName name="_xlnm.Print_Titles" localSheetId="12">'FFE&amp;T'!$6:$8</definedName>
    <definedName name="_xlnm.Print_Titles" localSheetId="10">'Gen Optg'!$9:$11</definedName>
    <definedName name="_xlnm.Print_Titles" localSheetId="25">Levers!$7:$8</definedName>
    <definedName name="_xlnm.Print_Titles" localSheetId="13">Marketing!$11:$13</definedName>
    <definedName name="_xlnm.Print_Titles" localSheetId="4">'Mkt Res'!$7:$9</definedName>
    <definedName name="_xlnm.Print_Titles" localSheetId="8">Staff!$8:$10</definedName>
    <definedName name="_xlnm.Print_Titles" localSheetId="15">Summary!$6:$8</definedName>
    <definedName name="SchoolName">'Cover &amp; Loc'!$A$9</definedName>
  </definedNames>
  <calcPr calcId="191028" calcMode="autoNoTable"/>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7" i="38" l="1"/>
  <c r="F66" i="38"/>
  <c r="H111" i="61"/>
  <c r="I111" i="61"/>
  <c r="J111" i="61"/>
  <c r="K111" i="61"/>
  <c r="L111" i="61"/>
  <c r="G111" i="61"/>
  <c r="F48" i="38"/>
  <c r="G48" i="38"/>
  <c r="H48" i="38"/>
  <c r="I48" i="38"/>
  <c r="J48" i="38"/>
  <c r="M27" i="38"/>
  <c r="N27" i="38"/>
  <c r="O27" i="38"/>
  <c r="P27" i="38"/>
  <c r="Q27" i="38"/>
  <c r="L27" i="38"/>
  <c r="I106" i="18" l="1"/>
  <c r="J106" i="18" s="1"/>
  <c r="H106" i="18"/>
  <c r="I101" i="18"/>
  <c r="J101" i="18"/>
  <c r="K101" i="18" s="1"/>
  <c r="L101" i="18" s="1"/>
  <c r="H101" i="18"/>
  <c r="G101" i="18"/>
  <c r="H31" i="38"/>
  <c r="I31" i="38"/>
  <c r="J31" i="38"/>
  <c r="K31" i="38"/>
  <c r="L31" i="38"/>
  <c r="M31" i="38"/>
  <c r="N31" i="38"/>
  <c r="O31" i="38"/>
  <c r="P31" i="38"/>
  <c r="G31" i="38"/>
  <c r="G145" i="13"/>
  <c r="J20" i="38"/>
  <c r="F20" i="38"/>
  <c r="G100" i="61" l="1"/>
  <c r="G73" i="61"/>
  <c r="L21" i="34"/>
  <c r="L20" i="34"/>
  <c r="G19" i="34"/>
  <c r="H138" i="13"/>
  <c r="I138" i="13"/>
  <c r="J138" i="13"/>
  <c r="K138" i="13"/>
  <c r="L138" i="13"/>
  <c r="G131" i="13"/>
  <c r="G138" i="13" s="1"/>
  <c r="H73" i="61"/>
  <c r="I73" i="61"/>
  <c r="J73" i="61"/>
  <c r="K73" i="61"/>
  <c r="L73" i="61"/>
  <c r="L71" i="61"/>
  <c r="G70" i="61"/>
  <c r="H11" i="46" l="1"/>
  <c r="I11" i="46"/>
  <c r="J11" i="46"/>
  <c r="K11" i="46"/>
  <c r="L11" i="46"/>
  <c r="G11" i="46"/>
  <c r="C118" i="13"/>
  <c r="C73" i="61"/>
  <c r="D131" i="62"/>
  <c r="D132" i="62"/>
  <c r="D130" i="62"/>
  <c r="D92" i="62"/>
  <c r="G103" i="61" l="1"/>
  <c r="H68" i="61"/>
  <c r="I68" i="61"/>
  <c r="J68" i="61"/>
  <c r="K68" i="61"/>
  <c r="L68" i="61"/>
  <c r="G68" i="61"/>
  <c r="G82" i="61"/>
  <c r="D100" i="62" l="1"/>
  <c r="D94" i="62"/>
  <c r="D95" i="62"/>
  <c r="H37" i="13"/>
  <c r="I37" i="13"/>
  <c r="J37" i="13"/>
  <c r="K37" i="13"/>
  <c r="L37" i="13"/>
  <c r="G37" i="13"/>
  <c r="H20" i="13"/>
  <c r="I20" i="13"/>
  <c r="J20" i="13"/>
  <c r="K20" i="13"/>
  <c r="L20" i="13"/>
  <c r="G20" i="13"/>
  <c r="G120" i="13"/>
  <c r="G97" i="18"/>
  <c r="H21" i="38"/>
  <c r="I21" i="38"/>
  <c r="J21" i="38"/>
  <c r="K21" i="38"/>
  <c r="L21" i="38"/>
  <c r="M21" i="38"/>
  <c r="N21" i="38"/>
  <c r="O21" i="38"/>
  <c r="P21" i="38"/>
  <c r="Q21" i="38"/>
  <c r="H22" i="38"/>
  <c r="I22" i="38"/>
  <c r="J22" i="38"/>
  <c r="K22" i="38"/>
  <c r="L22" i="38"/>
  <c r="M22" i="38"/>
  <c r="N22" i="38"/>
  <c r="O22" i="38"/>
  <c r="P22" i="38"/>
  <c r="Q22" i="38"/>
  <c r="H23" i="38"/>
  <c r="I23" i="38"/>
  <c r="J23" i="38"/>
  <c r="K23" i="38"/>
  <c r="L23" i="38"/>
  <c r="M23" i="38"/>
  <c r="N23" i="38"/>
  <c r="O23" i="38"/>
  <c r="P23" i="38"/>
  <c r="Q23" i="38"/>
  <c r="H24" i="38"/>
  <c r="I24" i="38"/>
  <c r="J24" i="38"/>
  <c r="K24" i="38"/>
  <c r="L24" i="38"/>
  <c r="M24" i="38"/>
  <c r="N24" i="38"/>
  <c r="O24" i="38"/>
  <c r="P24" i="38"/>
  <c r="Q24" i="38"/>
  <c r="G24" i="38"/>
  <c r="G21" i="38"/>
  <c r="G23" i="38"/>
  <c r="G22" i="38"/>
  <c r="G31" i="46"/>
  <c r="G28" i="46"/>
  <c r="H28" i="46" s="1"/>
  <c r="I28" i="46" s="1"/>
  <c r="J28" i="46" s="1"/>
  <c r="K28" i="46" s="1"/>
  <c r="L28" i="46" s="1"/>
  <c r="G29" i="46"/>
  <c r="H29" i="46"/>
  <c r="I29" i="46"/>
  <c r="J29" i="46"/>
  <c r="K29" i="46"/>
  <c r="L29" i="46"/>
  <c r="G30" i="46"/>
  <c r="H30" i="46"/>
  <c r="I30" i="46"/>
  <c r="J30" i="46"/>
  <c r="K30" i="46"/>
  <c r="L30" i="46"/>
  <c r="H31" i="46"/>
  <c r="I31" i="46"/>
  <c r="J31" i="46"/>
  <c r="K31" i="46"/>
  <c r="L31" i="46"/>
  <c r="G26" i="46"/>
  <c r="G25" i="46"/>
  <c r="H79" i="61"/>
  <c r="I79" i="61"/>
  <c r="J79" i="61"/>
  <c r="K79" i="61"/>
  <c r="L79" i="61"/>
  <c r="G79" i="61"/>
  <c r="D93" i="62"/>
  <c r="H34" i="34"/>
  <c r="I34" i="34"/>
  <c r="J34" i="34"/>
  <c r="K34" i="34"/>
  <c r="L34" i="34"/>
  <c r="G34" i="34"/>
  <c r="I26" i="34"/>
  <c r="J26" i="34"/>
  <c r="K26" i="34"/>
  <c r="L26" i="34"/>
  <c r="H26" i="34"/>
  <c r="G26" i="34"/>
  <c r="I21" i="34"/>
  <c r="J21" i="34"/>
  <c r="K21" i="34"/>
  <c r="H21" i="34"/>
  <c r="G21" i="34"/>
  <c r="H15" i="34"/>
  <c r="I15" i="34"/>
  <c r="J15" i="34"/>
  <c r="K15" i="34"/>
  <c r="L15" i="34"/>
  <c r="G15" i="34"/>
  <c r="C69" i="13" l="1"/>
  <c r="C68" i="13"/>
  <c r="G3" i="46" l="1"/>
  <c r="F3" i="41" s="1"/>
  <c r="G2" i="46"/>
  <c r="A80" i="62" l="1"/>
  <c r="G81" i="62"/>
  <c r="A2" i="52"/>
  <c r="A64" i="38"/>
  <c r="A63" i="38"/>
  <c r="C29" i="38" l="1"/>
  <c r="M23" i="62" l="1"/>
  <c r="L23" i="62"/>
  <c r="K23" i="62"/>
  <c r="J23" i="62"/>
  <c r="I23" i="62"/>
  <c r="H23" i="62"/>
  <c r="G23" i="62"/>
  <c r="A78" i="62" l="1"/>
  <c r="A77" i="62"/>
  <c r="A438" i="62"/>
  <c r="A437" i="62"/>
  <c r="A436" i="62"/>
  <c r="A435" i="62"/>
  <c r="M436" i="62"/>
  <c r="M437" i="62" s="1"/>
  <c r="M439" i="62" s="1"/>
  <c r="L436" i="62"/>
  <c r="L437" i="62" s="1"/>
  <c r="L439" i="62" s="1"/>
  <c r="K436" i="62"/>
  <c r="K437" i="62" s="1"/>
  <c r="K439" i="62" s="1"/>
  <c r="J436" i="62"/>
  <c r="J437" i="62" s="1"/>
  <c r="J439" i="62" s="1"/>
  <c r="I436" i="62"/>
  <c r="H436" i="62"/>
  <c r="G436" i="62"/>
  <c r="A440" i="62"/>
  <c r="A439" i="62"/>
  <c r="A434" i="62"/>
  <c r="A433" i="62"/>
  <c r="A432" i="62"/>
  <c r="A431" i="62"/>
  <c r="G437" i="62" l="1"/>
  <c r="G439" i="62" s="1"/>
  <c r="I437" i="62"/>
  <c r="I439" i="62" s="1"/>
  <c r="H437" i="62"/>
  <c r="H439" i="62" s="1"/>
  <c r="A100" i="18" l="1"/>
  <c r="H14" i="35" l="1"/>
  <c r="G14" i="35"/>
  <c r="F14" i="35"/>
  <c r="G64" i="18"/>
  <c r="A58" i="18"/>
  <c r="A57" i="18"/>
  <c r="A56" i="18"/>
  <c r="A53" i="18"/>
  <c r="L1" i="18"/>
  <c r="A78" i="45"/>
  <c r="A77" i="45"/>
  <c r="A73" i="45"/>
  <c r="A50" i="45"/>
  <c r="A43" i="41" l="1"/>
  <c r="A42" i="41"/>
  <c r="A41" i="41"/>
  <c r="A40" i="41"/>
  <c r="A39" i="41"/>
  <c r="A38" i="41"/>
  <c r="A37" i="41"/>
  <c r="A36" i="41"/>
  <c r="A35" i="41"/>
  <c r="A34" i="41"/>
  <c r="A33" i="41"/>
  <c r="A32" i="41"/>
  <c r="A46" i="41"/>
  <c r="A45" i="41"/>
  <c r="A44" i="41"/>
  <c r="A97" i="18"/>
  <c r="A111" i="61" l="1"/>
  <c r="A64" i="61"/>
  <c r="A96" i="18"/>
  <c r="A95" i="18"/>
  <c r="A94" i="18"/>
  <c r="A93" i="18"/>
  <c r="A92" i="18"/>
  <c r="A91" i="18"/>
  <c r="D51" i="18" l="1"/>
  <c r="C51" i="18"/>
  <c r="A51" i="18"/>
  <c r="A117" i="18"/>
  <c r="A119" i="18"/>
  <c r="A120" i="18"/>
  <c r="G445" i="62" l="1"/>
  <c r="C89" i="13" l="1"/>
  <c r="C88" i="13"/>
  <c r="D84" i="13" l="1"/>
  <c r="A13" i="35" l="1"/>
  <c r="A14" i="35" s="1"/>
  <c r="A15" i="35" s="1"/>
  <c r="A16" i="35" s="1"/>
  <c r="A17" i="35" s="1"/>
  <c r="A18" i="35" s="1"/>
  <c r="A19" i="35" s="1"/>
  <c r="A20" i="35" s="1"/>
  <c r="A112" i="13" l="1"/>
  <c r="A134" i="38"/>
  <c r="A133" i="38"/>
  <c r="A132" i="38"/>
  <c r="A131" i="38"/>
  <c r="A130" i="38"/>
  <c r="A129" i="38"/>
  <c r="A128" i="38"/>
  <c r="A127" i="38"/>
  <c r="A126" i="38"/>
  <c r="A125" i="38"/>
  <c r="A124" i="38"/>
  <c r="A123" i="38"/>
  <c r="A122" i="38"/>
  <c r="A121" i="38"/>
  <c r="A120" i="38"/>
  <c r="A119" i="38"/>
  <c r="A118" i="38"/>
  <c r="A117" i="38"/>
  <c r="A116" i="38"/>
  <c r="A115" i="38"/>
  <c r="A114" i="38"/>
  <c r="A113" i="38"/>
  <c r="A112" i="38"/>
  <c r="A111" i="38"/>
  <c r="A110" i="38"/>
  <c r="A109" i="38"/>
  <c r="A108" i="38"/>
  <c r="A107" i="38"/>
  <c r="A106" i="38"/>
  <c r="A105" i="38"/>
  <c r="A104" i="38"/>
  <c r="A103" i="38"/>
  <c r="A102" i="38"/>
  <c r="A101" i="38"/>
  <c r="A100" i="38"/>
  <c r="A99" i="38"/>
  <c r="A98" i="38"/>
  <c r="A97" i="38"/>
  <c r="A96" i="38"/>
  <c r="A95" i="38"/>
  <c r="A94" i="38"/>
  <c r="A93" i="38"/>
  <c r="A92" i="38"/>
  <c r="A91" i="38"/>
  <c r="A90" i="38"/>
  <c r="A89" i="38"/>
  <c r="A88" i="38"/>
  <c r="A87" i="38"/>
  <c r="A86" i="38"/>
  <c r="A85" i="38"/>
  <c r="A84" i="38"/>
  <c r="A83" i="38"/>
  <c r="A82" i="38"/>
  <c r="A81" i="38"/>
  <c r="A80" i="38"/>
  <c r="A79" i="38"/>
  <c r="A78" i="38"/>
  <c r="A77" i="38"/>
  <c r="A76" i="38"/>
  <c r="A75" i="38"/>
  <c r="A74" i="38"/>
  <c r="A73" i="38"/>
  <c r="A72" i="38"/>
  <c r="A71" i="38"/>
  <c r="A70" i="38"/>
  <c r="A69" i="38"/>
  <c r="A68" i="38"/>
  <c r="A67" i="38"/>
  <c r="A66" i="38"/>
  <c r="A65" i="38"/>
  <c r="A62" i="38"/>
  <c r="A61" i="38"/>
  <c r="A60" i="38"/>
  <c r="A59" i="38"/>
  <c r="A58" i="38"/>
  <c r="A57" i="38"/>
  <c r="A56" i="38"/>
  <c r="A55" i="38"/>
  <c r="A54" i="38"/>
  <c r="A53" i="38"/>
  <c r="A52" i="38"/>
  <c r="A51" i="38"/>
  <c r="A62" i="45"/>
  <c r="A61" i="45"/>
  <c r="A60" i="45"/>
  <c r="A79" i="45"/>
  <c r="A71" i="45"/>
  <c r="G8" i="62"/>
  <c r="F69" i="38"/>
  <c r="G9" i="38"/>
  <c r="H9" i="38" s="1"/>
  <c r="I9" i="38" s="1"/>
  <c r="J9" i="38" s="1"/>
  <c r="K9" i="38" s="1"/>
  <c r="L9" i="38" s="1"/>
  <c r="M9" i="38" s="1"/>
  <c r="N9" i="38" s="1"/>
  <c r="O9" i="38" s="1"/>
  <c r="P9" i="38" s="1"/>
  <c r="Q9" i="38" s="1"/>
  <c r="A69" i="41"/>
  <c r="A57" i="41"/>
  <c r="A63" i="45" l="1"/>
  <c r="A74" i="45"/>
  <c r="A75" i="41" l="1"/>
  <c r="A90" i="45" l="1"/>
  <c r="A34" i="34"/>
  <c r="A40" i="13"/>
  <c r="A41" i="13"/>
  <c r="A42" i="13"/>
  <c r="D11" i="52"/>
  <c r="A80" i="41" l="1"/>
  <c r="A78" i="41"/>
  <c r="A77" i="41"/>
  <c r="A76" i="41"/>
  <c r="A74" i="41"/>
  <c r="A73" i="41"/>
  <c r="A72" i="41"/>
  <c r="A71" i="41"/>
  <c r="L109" i="18"/>
  <c r="K109" i="18"/>
  <c r="J109" i="18"/>
  <c r="I109" i="18"/>
  <c r="H109" i="18"/>
  <c r="G109" i="18"/>
  <c r="F109" i="18"/>
  <c r="A110" i="18"/>
  <c r="A112" i="18"/>
  <c r="A91" i="41" l="1"/>
  <c r="A92" i="41"/>
  <c r="A93" i="41"/>
  <c r="A94" i="41"/>
  <c r="A95" i="41"/>
  <c r="A96" i="41"/>
  <c r="A97" i="41"/>
  <c r="A85" i="41"/>
  <c r="A86" i="41"/>
  <c r="A87" i="41"/>
  <c r="A88" i="41"/>
  <c r="A64" i="41"/>
  <c r="A65" i="41"/>
  <c r="A55" i="41"/>
  <c r="A56" i="41"/>
  <c r="A35" i="66"/>
  <c r="A34" i="66"/>
  <c r="A33" i="66"/>
  <c r="A32" i="66"/>
  <c r="A31" i="66"/>
  <c r="A30" i="66"/>
  <c r="A29" i="66"/>
  <c r="A28" i="66"/>
  <c r="A27" i="66"/>
  <c r="A26" i="66"/>
  <c r="A25" i="66"/>
  <c r="A24" i="66"/>
  <c r="A23" i="66"/>
  <c r="A22" i="66"/>
  <c r="A21" i="66"/>
  <c r="A20" i="66"/>
  <c r="A19" i="66"/>
  <c r="A18" i="66"/>
  <c r="A17" i="66"/>
  <c r="A16" i="66"/>
  <c r="A15" i="66"/>
  <c r="A14" i="66"/>
  <c r="A13" i="66"/>
  <c r="A12" i="66"/>
  <c r="A11" i="66"/>
  <c r="A10" i="66"/>
  <c r="A9" i="66"/>
  <c r="A183" i="61" l="1"/>
  <c r="F12" i="67" l="1"/>
  <c r="A10" i="67"/>
  <c r="A39" i="18"/>
  <c r="A40" i="18"/>
  <c r="A41" i="18"/>
  <c r="A13" i="13"/>
  <c r="B299" i="62" l="1"/>
  <c r="B298" i="62"/>
  <c r="B297" i="62"/>
  <c r="B296" i="62"/>
  <c r="A299" i="62"/>
  <c r="A298" i="62"/>
  <c r="A297" i="62"/>
  <c r="G110" i="62"/>
  <c r="F26" i="67" s="1"/>
  <c r="A134" i="62"/>
  <c r="A133" i="62"/>
  <c r="A39" i="13"/>
  <c r="A38" i="13"/>
  <c r="A37" i="13"/>
  <c r="A5" i="74"/>
  <c r="A5" i="72" l="1"/>
  <c r="A113" i="18"/>
  <c r="A114" i="18"/>
  <c r="A115" i="18"/>
  <c r="A118" i="18"/>
  <c r="A116" i="18"/>
  <c r="A89" i="18"/>
  <c r="A90" i="18"/>
  <c r="A98" i="18"/>
  <c r="A99" i="18"/>
  <c r="A101" i="18"/>
  <c r="A102" i="18"/>
  <c r="A103" i="18"/>
  <c r="A104" i="18"/>
  <c r="A105" i="18"/>
  <c r="A106" i="18"/>
  <c r="A107" i="18"/>
  <c r="A108" i="18"/>
  <c r="A109" i="18"/>
  <c r="A111" i="18"/>
  <c r="F99" i="18" l="1"/>
  <c r="A64" i="18"/>
  <c r="A13" i="18"/>
  <c r="F13" i="67"/>
  <c r="A13" i="67"/>
  <c r="D147" i="35"/>
  <c r="F71" i="35"/>
  <c r="F59" i="35"/>
  <c r="A100" i="47" l="1"/>
  <c r="A99" i="47"/>
  <c r="A98" i="47"/>
  <c r="A97" i="47"/>
  <c r="A96" i="47"/>
  <c r="A95" i="47"/>
  <c r="A94" i="47"/>
  <c r="A93" i="47"/>
  <c r="A92" i="47"/>
  <c r="A91" i="47"/>
  <c r="A90" i="47"/>
  <c r="A89" i="47"/>
  <c r="A88" i="47"/>
  <c r="A87" i="47"/>
  <c r="A86" i="47"/>
  <c r="A85" i="47"/>
  <c r="A84" i="47"/>
  <c r="A83" i="47"/>
  <c r="A82" i="47"/>
  <c r="A81" i="47"/>
  <c r="A80" i="47"/>
  <c r="A79" i="47"/>
  <c r="A78" i="47"/>
  <c r="A77" i="47"/>
  <c r="A76" i="47"/>
  <c r="A75" i="47"/>
  <c r="A74" i="47"/>
  <c r="A73" i="47"/>
  <c r="A72" i="47"/>
  <c r="A71" i="47"/>
  <c r="A70" i="47"/>
  <c r="A69" i="47"/>
  <c r="A68" i="47"/>
  <c r="A67" i="47"/>
  <c r="A66" i="47"/>
  <c r="A65" i="47"/>
  <c r="A64" i="47"/>
  <c r="A63" i="47"/>
  <c r="A62" i="47"/>
  <c r="A61" i="47"/>
  <c r="A60" i="47"/>
  <c r="A59" i="47"/>
  <c r="A58" i="47"/>
  <c r="A57" i="47"/>
  <c r="A56" i="47"/>
  <c r="A55" i="47"/>
  <c r="A54" i="47"/>
  <c r="A53" i="47"/>
  <c r="A52" i="47"/>
  <c r="A51" i="47"/>
  <c r="I11" i="18"/>
  <c r="H11" i="18"/>
  <c r="G11" i="18"/>
  <c r="F11" i="18"/>
  <c r="A2" i="71"/>
  <c r="A64" i="13"/>
  <c r="A63" i="13" l="1"/>
  <c r="A5" i="71" l="1"/>
  <c r="A83" i="13" l="1"/>
  <c r="A62" i="13"/>
  <c r="A65" i="13"/>
  <c r="A61" i="13"/>
  <c r="A2" i="68" l="1"/>
  <c r="H16" i="69"/>
  <c r="J15" i="69"/>
  <c r="J16" i="69" s="1"/>
  <c r="I15" i="69"/>
  <c r="I16" i="69" s="1"/>
  <c r="H15" i="69"/>
  <c r="G15" i="69"/>
  <c r="G16" i="69" s="1"/>
  <c r="F15" i="69"/>
  <c r="F16" i="69" s="1"/>
  <c r="J14" i="69"/>
  <c r="K14" i="69" s="1"/>
  <c r="K15" i="69" s="1"/>
  <c r="K16" i="69" s="1"/>
  <c r="A5" i="69"/>
  <c r="A34" i="18"/>
  <c r="A35" i="18"/>
  <c r="A36" i="18"/>
  <c r="A37" i="18"/>
  <c r="A38" i="18"/>
  <c r="A42" i="18"/>
  <c r="A46" i="13"/>
  <c r="A125" i="61" l="1"/>
  <c r="A123" i="61"/>
  <c r="A120" i="61"/>
  <c r="A131" i="61"/>
  <c r="A130" i="61"/>
  <c r="A129" i="61"/>
  <c r="A128" i="61"/>
  <c r="A127" i="61"/>
  <c r="A126" i="61"/>
  <c r="A124" i="61"/>
  <c r="A122" i="61"/>
  <c r="A121" i="61"/>
  <c r="A119" i="61"/>
  <c r="A118" i="61"/>
  <c r="A117" i="61"/>
  <c r="A116" i="61"/>
  <c r="A115" i="61"/>
  <c r="A114" i="61"/>
  <c r="A113" i="61"/>
  <c r="A112" i="61"/>
  <c r="A143" i="61"/>
  <c r="A38" i="46"/>
  <c r="A35" i="62" l="1"/>
  <c r="A34" i="62"/>
  <c r="A33" i="62"/>
  <c r="A32" i="62"/>
  <c r="A39" i="39" l="1"/>
  <c r="A80" i="13"/>
  <c r="C70" i="13"/>
  <c r="A58" i="13"/>
  <c r="A59" i="18"/>
  <c r="B77" i="67" l="1"/>
  <c r="A77" i="67"/>
  <c r="B76" i="67"/>
  <c r="A76" i="67"/>
  <c r="B75" i="67"/>
  <c r="A75" i="67"/>
  <c r="B74" i="67"/>
  <c r="A74" i="67"/>
  <c r="B73" i="67"/>
  <c r="B72" i="67"/>
  <c r="B71" i="67"/>
  <c r="B70" i="67"/>
  <c r="B68" i="67"/>
  <c r="B67" i="67"/>
  <c r="B66" i="67"/>
  <c r="B65" i="67"/>
  <c r="B64" i="67"/>
  <c r="B63" i="67"/>
  <c r="B62" i="67"/>
  <c r="B61" i="67"/>
  <c r="B60" i="67"/>
  <c r="B59" i="67"/>
  <c r="B58" i="67"/>
  <c r="F18" i="18" l="1"/>
  <c r="A144" i="13"/>
  <c r="A67" i="18" l="1"/>
  <c r="E23" i="38"/>
  <c r="A23" i="38"/>
  <c r="E70" i="13"/>
  <c r="E69" i="13"/>
  <c r="A18" i="62"/>
  <c r="A17" i="62"/>
  <c r="A16" i="62"/>
  <c r="A71" i="18" l="1"/>
  <c r="A72" i="18"/>
  <c r="A73" i="18"/>
  <c r="A74" i="18"/>
  <c r="A75" i="18"/>
  <c r="A76" i="18"/>
  <c r="A77" i="18"/>
  <c r="A78" i="18"/>
  <c r="A79" i="18"/>
  <c r="A70" i="18"/>
  <c r="A69" i="18"/>
  <c r="A68" i="18"/>
  <c r="A66" i="18"/>
  <c r="A65" i="18"/>
  <c r="A127" i="13"/>
  <c r="A101" i="13"/>
  <c r="A5" i="68" l="1"/>
  <c r="A47" i="13" l="1"/>
  <c r="A48" i="13"/>
  <c r="A49" i="13"/>
  <c r="A50" i="13"/>
  <c r="A51" i="13"/>
  <c r="A52" i="13"/>
  <c r="A53" i="13"/>
  <c r="A54" i="13"/>
  <c r="A55" i="13"/>
  <c r="A56" i="13"/>
  <c r="A57" i="13"/>
  <c r="A59" i="13"/>
  <c r="A60" i="13"/>
  <c r="A465" i="62" l="1"/>
  <c r="A464" i="62"/>
  <c r="A463" i="62"/>
  <c r="A202" i="61" l="1"/>
  <c r="A203" i="61"/>
  <c r="A15" i="67" l="1"/>
  <c r="A14" i="67" l="1"/>
  <c r="A12" i="67"/>
  <c r="A9" i="67"/>
  <c r="A131" i="67"/>
  <c r="A130" i="67"/>
  <c r="A129" i="67"/>
  <c r="A128" i="67"/>
  <c r="A127" i="67"/>
  <c r="A126" i="67"/>
  <c r="A125" i="67"/>
  <c r="A124" i="67"/>
  <c r="A123" i="67"/>
  <c r="A122" i="67"/>
  <c r="A121" i="67"/>
  <c r="A120" i="67"/>
  <c r="A119" i="67"/>
  <c r="A118" i="67"/>
  <c r="A117" i="67"/>
  <c r="A116" i="67"/>
  <c r="A115" i="67"/>
  <c r="A114" i="67"/>
  <c r="A113" i="67"/>
  <c r="A112" i="67"/>
  <c r="A111" i="67"/>
  <c r="A110" i="67"/>
  <c r="A109" i="67"/>
  <c r="A108" i="67"/>
  <c r="A107" i="67"/>
  <c r="A106" i="67"/>
  <c r="A105" i="67"/>
  <c r="A104" i="67"/>
  <c r="A103" i="67"/>
  <c r="A102" i="67"/>
  <c r="A101" i="67"/>
  <c r="A100" i="67"/>
  <c r="B99" i="67"/>
  <c r="A99" i="67"/>
  <c r="B98" i="67"/>
  <c r="A98" i="67"/>
  <c r="A97" i="67"/>
  <c r="A96" i="67"/>
  <c r="A95" i="67"/>
  <c r="C94" i="67"/>
  <c r="A94" i="67"/>
  <c r="A93" i="67"/>
  <c r="F92" i="67"/>
  <c r="A92" i="67"/>
  <c r="A91" i="67"/>
  <c r="A90" i="67"/>
  <c r="A89" i="67"/>
  <c r="A88" i="67"/>
  <c r="A87" i="67"/>
  <c r="A86" i="67"/>
  <c r="A85" i="67"/>
  <c r="A84" i="67"/>
  <c r="A83" i="67"/>
  <c r="A82" i="67"/>
  <c r="A81" i="67"/>
  <c r="A80" i="67"/>
  <c r="A79" i="67"/>
  <c r="A78" i="67"/>
  <c r="A73" i="67"/>
  <c r="A72" i="67"/>
  <c r="A71" i="67"/>
  <c r="A70" i="67"/>
  <c r="A69" i="67"/>
  <c r="A68" i="67"/>
  <c r="A67" i="67"/>
  <c r="A66" i="67"/>
  <c r="A65" i="67"/>
  <c r="A64" i="67"/>
  <c r="A63" i="67"/>
  <c r="A62" i="67"/>
  <c r="A61" i="67"/>
  <c r="A60" i="67"/>
  <c r="A59" i="67"/>
  <c r="A58" i="67"/>
  <c r="A57" i="67"/>
  <c r="A56" i="67"/>
  <c r="A55" i="67"/>
  <c r="A54" i="67"/>
  <c r="A53" i="67"/>
  <c r="A52" i="67"/>
  <c r="A51" i="67"/>
  <c r="A50" i="67"/>
  <c r="A49" i="67"/>
  <c r="A48" i="67"/>
  <c r="A47" i="67"/>
  <c r="A46" i="67"/>
  <c r="A45" i="67"/>
  <c r="A44" i="67"/>
  <c r="A43" i="67"/>
  <c r="A42" i="67"/>
  <c r="A41" i="67"/>
  <c r="A40" i="67"/>
  <c r="A39" i="67"/>
  <c r="A38" i="67"/>
  <c r="A37" i="67"/>
  <c r="A36" i="67"/>
  <c r="A35" i="67"/>
  <c r="A34" i="67"/>
  <c r="A33" i="67"/>
  <c r="A32" i="67"/>
  <c r="A31" i="67"/>
  <c r="A28" i="67"/>
  <c r="A25" i="67"/>
  <c r="A24" i="67"/>
  <c r="A23" i="67"/>
  <c r="A22" i="67"/>
  <c r="F21" i="67"/>
  <c r="A21" i="67"/>
  <c r="A20" i="67"/>
  <c r="A19" i="67"/>
  <c r="A18" i="67"/>
  <c r="A17" i="67"/>
  <c r="A16" i="67"/>
  <c r="A80" i="18"/>
  <c r="A23" i="39" l="1"/>
  <c r="E68" i="13"/>
  <c r="E71" i="13" s="1"/>
  <c r="A15" i="13" l="1"/>
  <c r="A122" i="13"/>
  <c r="F24" i="18"/>
  <c r="F67" i="67" s="1"/>
  <c r="L117" i="13"/>
  <c r="K117" i="13"/>
  <c r="J117" i="13"/>
  <c r="I117" i="13"/>
  <c r="H117" i="13"/>
  <c r="G117" i="13"/>
  <c r="A117" i="13"/>
  <c r="A116" i="13"/>
  <c r="A115" i="13"/>
  <c r="A143" i="13"/>
  <c r="A124" i="13"/>
  <c r="A90" i="13"/>
  <c r="A91" i="13"/>
  <c r="A81" i="13"/>
  <c r="D142" i="35"/>
  <c r="G84" i="13"/>
  <c r="G116" i="13" s="1"/>
  <c r="G92" i="13"/>
  <c r="A75" i="13"/>
  <c r="A74" i="13"/>
  <c r="G94" i="13"/>
  <c r="C73" i="13"/>
  <c r="C74" i="13" s="1"/>
  <c r="E73" i="13"/>
  <c r="G24" i="18" l="1"/>
  <c r="G67" i="67" s="1"/>
  <c r="F15" i="18"/>
  <c r="G93" i="13"/>
  <c r="L34" i="18"/>
  <c r="L77" i="67" s="1"/>
  <c r="K34" i="18"/>
  <c r="K77" i="67" s="1"/>
  <c r="J34" i="18"/>
  <c r="J77" i="67" s="1"/>
  <c r="I34" i="18"/>
  <c r="I77" i="67" s="1"/>
  <c r="H34" i="18"/>
  <c r="H77" i="67" s="1"/>
  <c r="G34" i="18"/>
  <c r="G77" i="67" s="1"/>
  <c r="F34" i="18"/>
  <c r="F77" i="67" s="1"/>
  <c r="A141" i="61"/>
  <c r="A140" i="61"/>
  <c r="A139" i="61"/>
  <c r="A138" i="61"/>
  <c r="A137" i="61"/>
  <c r="A136" i="61"/>
  <c r="A135" i="61"/>
  <c r="C34" i="18" l="1"/>
  <c r="D34" i="18"/>
  <c r="A21" i="45" l="1"/>
  <c r="A11" i="18" l="1"/>
  <c r="A36" i="46" l="1"/>
  <c r="A37" i="46"/>
  <c r="A39" i="46"/>
  <c r="A37" i="39"/>
  <c r="A36" i="39"/>
  <c r="A35" i="39"/>
  <c r="A34" i="39"/>
  <c r="A33" i="39"/>
  <c r="L101" i="61" l="1"/>
  <c r="K101" i="61"/>
  <c r="J101" i="61"/>
  <c r="I101" i="61"/>
  <c r="H101" i="61"/>
  <c r="G101" i="61"/>
  <c r="H100" i="61"/>
  <c r="I100" i="61"/>
  <c r="J100" i="61"/>
  <c r="K100" i="61"/>
  <c r="L100" i="61"/>
  <c r="A134" i="61"/>
  <c r="A76" i="13"/>
  <c r="A73" i="13"/>
  <c r="A72" i="13"/>
  <c r="A71" i="13"/>
  <c r="A70" i="13"/>
  <c r="A69" i="13"/>
  <c r="A68" i="13"/>
  <c r="A67" i="13"/>
  <c r="A66" i="13"/>
  <c r="A25" i="39" l="1"/>
  <c r="A24" i="39"/>
  <c r="A21" i="39"/>
  <c r="A22" i="39"/>
  <c r="A133" i="61" l="1"/>
  <c r="A132" i="61"/>
  <c r="B26" i="18" l="1"/>
  <c r="B69" i="67" s="1"/>
  <c r="L26" i="18"/>
  <c r="L69" i="67" s="1"/>
  <c r="K26" i="18"/>
  <c r="K69" i="67" s="1"/>
  <c r="J26" i="18"/>
  <c r="J69" i="67" s="1"/>
  <c r="I26" i="18"/>
  <c r="I69" i="67" s="1"/>
  <c r="H26" i="18"/>
  <c r="H69" i="67" s="1"/>
  <c r="G26" i="18"/>
  <c r="G69" i="67" s="1"/>
  <c r="F26" i="18"/>
  <c r="A26" i="18"/>
  <c r="C134" i="13"/>
  <c r="A146" i="13"/>
  <c r="A145" i="13"/>
  <c r="A142" i="13"/>
  <c r="A141" i="13"/>
  <c r="A140" i="13"/>
  <c r="A139" i="13"/>
  <c r="A138" i="13"/>
  <c r="A137" i="13"/>
  <c r="A136" i="13"/>
  <c r="A135" i="13"/>
  <c r="A134" i="13"/>
  <c r="A67" i="45"/>
  <c r="D26" i="18" l="1"/>
  <c r="C26" i="18"/>
  <c r="D56" i="13" l="1"/>
  <c r="A40" i="39"/>
  <c r="E39" i="39"/>
  <c r="A38" i="39"/>
  <c r="A32" i="39"/>
  <c r="A31" i="39"/>
  <c r="A30" i="39"/>
  <c r="A29" i="39"/>
  <c r="A28" i="39"/>
  <c r="A27" i="39"/>
  <c r="A26" i="39"/>
  <c r="A20" i="39"/>
  <c r="A19" i="39"/>
  <c r="A18" i="39"/>
  <c r="A17" i="39"/>
  <c r="A16" i="39"/>
  <c r="A15" i="39"/>
  <c r="A14" i="39"/>
  <c r="A13" i="39"/>
  <c r="A12" i="39"/>
  <c r="A11" i="39"/>
  <c r="M13" i="38"/>
  <c r="N13" i="38" s="1"/>
  <c r="O13" i="38" s="1"/>
  <c r="P13" i="38" s="1"/>
  <c r="Q13" i="38" s="1"/>
  <c r="R13" i="38" s="1"/>
  <c r="G13" i="38"/>
  <c r="H13" i="38" s="1"/>
  <c r="I13" i="38" s="1"/>
  <c r="J13" i="38" s="1"/>
  <c r="K13" i="38" s="1"/>
  <c r="E46" i="38"/>
  <c r="A31" i="34"/>
  <c r="A30" i="34"/>
  <c r="A29" i="34"/>
  <c r="A28" i="34"/>
  <c r="A79" i="61"/>
  <c r="A101" i="61"/>
  <c r="A102" i="61"/>
  <c r="A100" i="61"/>
  <c r="B84" i="13" l="1"/>
  <c r="B145" i="35"/>
  <c r="D153" i="35" l="1"/>
  <c r="D152" i="35" s="1"/>
  <c r="C84" i="13" l="1"/>
  <c r="B80" i="38"/>
  <c r="F61" i="35"/>
  <c r="F60" i="35"/>
  <c r="F58" i="35"/>
  <c r="F57" i="35"/>
  <c r="F56" i="35"/>
  <c r="F55" i="35"/>
  <c r="F16" i="18" l="1"/>
  <c r="F59" i="67" s="1"/>
  <c r="F58" i="67"/>
  <c r="A113" i="13"/>
  <c r="A123" i="13"/>
  <c r="A121" i="13"/>
  <c r="A120" i="13"/>
  <c r="A119" i="13"/>
  <c r="A118" i="13"/>
  <c r="A114" i="13"/>
  <c r="A97" i="13"/>
  <c r="A96" i="13"/>
  <c r="A95" i="13"/>
  <c r="A94" i="13"/>
  <c r="A93" i="13"/>
  <c r="A92" i="13"/>
  <c r="A89" i="13"/>
  <c r="C109" i="13"/>
  <c r="A103" i="13"/>
  <c r="A102" i="13"/>
  <c r="A100" i="13"/>
  <c r="A99" i="13"/>
  <c r="A98" i="13"/>
  <c r="A88" i="13"/>
  <c r="A87" i="13"/>
  <c r="A86" i="13"/>
  <c r="A85" i="13"/>
  <c r="A84" i="13"/>
  <c r="A82" i="13"/>
  <c r="A79" i="13"/>
  <c r="A78" i="13"/>
  <c r="A77" i="13"/>
  <c r="E73" i="35"/>
  <c r="E72" i="35"/>
  <c r="E70" i="35"/>
  <c r="E69" i="35"/>
  <c r="E68" i="35"/>
  <c r="E67" i="35"/>
  <c r="D85" i="13"/>
  <c r="B86" i="13"/>
  <c r="B85" i="13"/>
  <c r="G85" i="13" l="1"/>
  <c r="D86" i="13"/>
  <c r="H92" i="13"/>
  <c r="I92" i="13" s="1"/>
  <c r="J92" i="13" s="1"/>
  <c r="K92" i="13" s="1"/>
  <c r="L92" i="13" s="1"/>
  <c r="H93" i="13"/>
  <c r="I93" i="13" s="1"/>
  <c r="J93" i="13" s="1"/>
  <c r="K93" i="13" s="1"/>
  <c r="L93" i="13" s="1"/>
  <c r="H94" i="13"/>
  <c r="I94" i="13" s="1"/>
  <c r="J94" i="13" s="1"/>
  <c r="K94" i="13" s="1"/>
  <c r="L94" i="13" s="1"/>
  <c r="G87" i="13" l="1"/>
  <c r="G86" i="13"/>
  <c r="K100" i="35"/>
  <c r="K99" i="35"/>
  <c r="K98" i="35"/>
  <c r="K97" i="35"/>
  <c r="G115" i="13" l="1"/>
  <c r="C28" i="38" s="1"/>
  <c r="K101" i="35"/>
  <c r="D92" i="35" l="1"/>
  <c r="D50" i="35"/>
  <c r="G36" i="13" l="1"/>
  <c r="G149" i="61" s="1"/>
  <c r="G38" i="13" l="1"/>
  <c r="G173" i="61"/>
  <c r="G174" i="61" s="1"/>
  <c r="G175" i="61" s="1"/>
  <c r="G176" i="61" s="1"/>
  <c r="G12" i="13"/>
  <c r="G69" i="13"/>
  <c r="G29" i="67" s="1"/>
  <c r="G127" i="13"/>
  <c r="C23" i="38" s="1"/>
  <c r="D23" i="38" s="1"/>
  <c r="G70" i="13"/>
  <c r="G71" i="13"/>
  <c r="G68" i="13"/>
  <c r="H84" i="13" s="1"/>
  <c r="H116" i="13" s="1"/>
  <c r="H24" i="18" s="1"/>
  <c r="G21" i="67"/>
  <c r="G19" i="13"/>
  <c r="G53" i="13"/>
  <c r="G51" i="13"/>
  <c r="H110" i="62" s="1"/>
  <c r="G26" i="67" s="1"/>
  <c r="G54" i="13"/>
  <c r="G52" i="13"/>
  <c r="G111" i="13"/>
  <c r="D149" i="35"/>
  <c r="D148" i="35"/>
  <c r="D146" i="35"/>
  <c r="D145" i="35"/>
  <c r="D144" i="35"/>
  <c r="D143" i="35"/>
  <c r="A111" i="13"/>
  <c r="I149" i="35"/>
  <c r="H149" i="35"/>
  <c r="G149" i="35"/>
  <c r="F149" i="35"/>
  <c r="I148" i="35"/>
  <c r="H148" i="35"/>
  <c r="G148" i="35"/>
  <c r="F148" i="35"/>
  <c r="I146" i="35"/>
  <c r="H146" i="35"/>
  <c r="G146" i="35"/>
  <c r="F146" i="35"/>
  <c r="I145" i="35"/>
  <c r="H145" i="35"/>
  <c r="G145" i="35"/>
  <c r="F145" i="35"/>
  <c r="I144" i="35"/>
  <c r="H144" i="35"/>
  <c r="G144" i="35"/>
  <c r="F144" i="35"/>
  <c r="I143" i="35"/>
  <c r="H143" i="35"/>
  <c r="G143" i="35"/>
  <c r="F143" i="35"/>
  <c r="B149" i="35"/>
  <c r="B148" i="35"/>
  <c r="B146" i="35"/>
  <c r="B144" i="35"/>
  <c r="B143" i="35"/>
  <c r="E149" i="35"/>
  <c r="E148" i="35"/>
  <c r="E146" i="35"/>
  <c r="E145" i="35"/>
  <c r="E144" i="35"/>
  <c r="E143" i="35"/>
  <c r="I136" i="35"/>
  <c r="H136" i="35"/>
  <c r="G136" i="35"/>
  <c r="F136" i="35"/>
  <c r="C115" i="35"/>
  <c r="C138" i="35"/>
  <c r="A144" i="35"/>
  <c r="A145" i="35" s="1"/>
  <c r="A146" i="35" s="1"/>
  <c r="A147" i="35" s="1"/>
  <c r="A148" i="35" s="1"/>
  <c r="A149" i="35" s="1"/>
  <c r="C129" i="35"/>
  <c r="I128" i="35"/>
  <c r="H128" i="35"/>
  <c r="G128" i="35"/>
  <c r="F128" i="35"/>
  <c r="I127" i="35"/>
  <c r="H127" i="35"/>
  <c r="G127" i="35"/>
  <c r="F127" i="35"/>
  <c r="I126" i="35"/>
  <c r="H126" i="35"/>
  <c r="G126" i="35"/>
  <c r="F126" i="35"/>
  <c r="I123" i="35"/>
  <c r="H123" i="35"/>
  <c r="G123" i="35"/>
  <c r="I122" i="35"/>
  <c r="H122" i="35"/>
  <c r="G122" i="35"/>
  <c r="F122" i="35"/>
  <c r="F123" i="35"/>
  <c r="E128" i="35"/>
  <c r="E127" i="35"/>
  <c r="E126" i="35"/>
  <c r="E123" i="35"/>
  <c r="E122" i="35"/>
  <c r="B127" i="35"/>
  <c r="B126" i="35"/>
  <c r="B125" i="35"/>
  <c r="B124" i="35"/>
  <c r="B123" i="35"/>
  <c r="B122" i="35"/>
  <c r="A123" i="35"/>
  <c r="A124" i="35" s="1"/>
  <c r="A125" i="35" s="1"/>
  <c r="A126" i="35" s="1"/>
  <c r="A127" i="35" s="1"/>
  <c r="E115" i="35"/>
  <c r="E134" i="35" s="1"/>
  <c r="G9" i="67" l="1"/>
  <c r="G114" i="67"/>
  <c r="G126" i="67"/>
  <c r="G100" i="67"/>
  <c r="D88" i="13"/>
  <c r="J145" i="35"/>
  <c r="J149" i="35"/>
  <c r="J144" i="35"/>
  <c r="J148" i="35"/>
  <c r="J143" i="35"/>
  <c r="J128" i="35"/>
  <c r="J127" i="35"/>
  <c r="J122" i="35"/>
  <c r="G88" i="13" l="1"/>
  <c r="G114" i="13" s="1"/>
  <c r="G56" i="13"/>
  <c r="J146" i="35"/>
  <c r="J126" i="35"/>
  <c r="J123" i="35"/>
  <c r="H117" i="35"/>
  <c r="G117" i="35"/>
  <c r="I117" i="35"/>
  <c r="F117" i="35"/>
  <c r="H115" i="35"/>
  <c r="G115" i="35"/>
  <c r="I115" i="35"/>
  <c r="F115" i="35"/>
  <c r="H134" i="35" l="1"/>
  <c r="I134" i="35"/>
  <c r="F134" i="35"/>
  <c r="G134" i="35"/>
  <c r="J115" i="35"/>
  <c r="I297" i="35"/>
  <c r="H297" i="35"/>
  <c r="G297" i="35"/>
  <c r="F297" i="35"/>
  <c r="E297" i="35"/>
  <c r="I296" i="35"/>
  <c r="H296" i="35"/>
  <c r="G296" i="35"/>
  <c r="F296" i="35"/>
  <c r="E296" i="35"/>
  <c r="E275" i="35" s="1"/>
  <c r="I295" i="35"/>
  <c r="H295" i="35"/>
  <c r="G295" i="35"/>
  <c r="F295" i="35"/>
  <c r="E295" i="35"/>
  <c r="E274" i="35" s="1"/>
  <c r="I294" i="35"/>
  <c r="H294" i="35"/>
  <c r="G294" i="35"/>
  <c r="F294" i="35"/>
  <c r="E294" i="35"/>
  <c r="I293" i="35"/>
  <c r="H293" i="35"/>
  <c r="G293" i="35"/>
  <c r="F293" i="35"/>
  <c r="E293" i="35"/>
  <c r="I292" i="35"/>
  <c r="H292" i="35"/>
  <c r="G292" i="35"/>
  <c r="F292" i="35"/>
  <c r="E292" i="35"/>
  <c r="E271" i="35" s="1"/>
  <c r="E50" i="35"/>
  <c r="D150" i="35" s="1"/>
  <c r="B336" i="35"/>
  <c r="B335" i="35"/>
  <c r="B334" i="35"/>
  <c r="D333" i="35"/>
  <c r="B333" i="35"/>
  <c r="D332" i="35"/>
  <c r="B332" i="35"/>
  <c r="A332" i="35"/>
  <c r="A333" i="35" s="1"/>
  <c r="A334" i="35" s="1"/>
  <c r="A335" i="35" s="1"/>
  <c r="A336" i="35" s="1"/>
  <c r="D331" i="35"/>
  <c r="B331" i="35"/>
  <c r="B326" i="35"/>
  <c r="B325" i="35"/>
  <c r="B324" i="35"/>
  <c r="D323" i="35"/>
  <c r="B323" i="35"/>
  <c r="D322" i="35"/>
  <c r="B322" i="35"/>
  <c r="A322" i="35"/>
  <c r="A323" i="35" s="1"/>
  <c r="A324" i="35" s="1"/>
  <c r="A325" i="35" s="1"/>
  <c r="A326" i="35" s="1"/>
  <c r="D321" i="35"/>
  <c r="B321" i="35"/>
  <c r="I315" i="35"/>
  <c r="H315" i="35"/>
  <c r="G315" i="35"/>
  <c r="F315" i="35"/>
  <c r="E315" i="35"/>
  <c r="B313" i="35"/>
  <c r="B312" i="35"/>
  <c r="B311" i="35"/>
  <c r="D310" i="35"/>
  <c r="B310" i="35"/>
  <c r="D309" i="35"/>
  <c r="B309" i="35"/>
  <c r="A309" i="35"/>
  <c r="A310" i="35" s="1"/>
  <c r="A311" i="35" s="1"/>
  <c r="A312" i="35" s="1"/>
  <c r="A313" i="35" s="1"/>
  <c r="D308" i="35"/>
  <c r="B308" i="35"/>
  <c r="D68" i="35"/>
  <c r="F68" i="35" s="1"/>
  <c r="D73" i="35"/>
  <c r="F73" i="35" s="1"/>
  <c r="D72" i="35"/>
  <c r="D70" i="35"/>
  <c r="F70" i="35" s="1"/>
  <c r="D69" i="35"/>
  <c r="D67" i="35"/>
  <c r="F72" i="35" l="1"/>
  <c r="F69" i="35"/>
  <c r="G80" i="35"/>
  <c r="H80" i="35" s="1"/>
  <c r="G77" i="35"/>
  <c r="H77" i="35" s="1"/>
  <c r="G79" i="35"/>
  <c r="H79" i="35" s="1"/>
  <c r="G78" i="35"/>
  <c r="H78" i="35" s="1"/>
  <c r="F67" i="35"/>
  <c r="I116" i="35"/>
  <c r="K115" i="35"/>
  <c r="G116" i="35"/>
  <c r="I150" i="35"/>
  <c r="I151" i="35" s="1"/>
  <c r="D126" i="35"/>
  <c r="J134" i="35"/>
  <c r="D125" i="35"/>
  <c r="D122" i="35"/>
  <c r="D127" i="35"/>
  <c r="D124" i="35"/>
  <c r="D123" i="35"/>
  <c r="D296" i="35"/>
  <c r="G150" i="35"/>
  <c r="G151" i="35" s="1"/>
  <c r="D128" i="35"/>
  <c r="E121" i="35"/>
  <c r="E125" i="35"/>
  <c r="J116" i="35"/>
  <c r="E116" i="35"/>
  <c r="F116" i="35"/>
  <c r="H116" i="35"/>
  <c r="H298" i="35"/>
  <c r="D273" i="35"/>
  <c r="D285" i="35"/>
  <c r="D274" i="35"/>
  <c r="D282" i="35"/>
  <c r="D286" i="35"/>
  <c r="D294" i="35"/>
  <c r="D293" i="35"/>
  <c r="D271" i="35"/>
  <c r="D275" i="35"/>
  <c r="D283" i="35"/>
  <c r="D287" i="35"/>
  <c r="D295" i="35"/>
  <c r="F298" i="35"/>
  <c r="J293" i="35"/>
  <c r="J297" i="35"/>
  <c r="D297" i="35"/>
  <c r="J315" i="35"/>
  <c r="D272" i="35"/>
  <c r="D276" i="35"/>
  <c r="D284" i="35"/>
  <c r="D292" i="35"/>
  <c r="G298" i="35"/>
  <c r="J294" i="35"/>
  <c r="J295" i="35"/>
  <c r="E272" i="35"/>
  <c r="E276" i="35"/>
  <c r="J292" i="35"/>
  <c r="I298" i="35"/>
  <c r="J296" i="35"/>
  <c r="E273" i="35"/>
  <c r="E298" i="35"/>
  <c r="E277" i="35" l="1"/>
  <c r="F124" i="35"/>
  <c r="G124" i="35"/>
  <c r="I124" i="35"/>
  <c r="H124" i="35"/>
  <c r="E124" i="35"/>
  <c r="E129" i="35" s="1"/>
  <c r="E130" i="35" s="1"/>
  <c r="G135" i="35"/>
  <c r="F135" i="35"/>
  <c r="H150" i="35"/>
  <c r="H151" i="35" s="1"/>
  <c r="I125" i="35"/>
  <c r="F125" i="35"/>
  <c r="G125" i="35"/>
  <c r="H125" i="35"/>
  <c r="F150" i="35"/>
  <c r="F151" i="35" s="1"/>
  <c r="I135" i="35"/>
  <c r="H135" i="35"/>
  <c r="E150" i="35"/>
  <c r="J135" i="35"/>
  <c r="E135" i="35"/>
  <c r="E142" i="35"/>
  <c r="E300" i="35"/>
  <c r="J298" i="35"/>
  <c r="H129" i="35" l="1"/>
  <c r="H130" i="35" s="1"/>
  <c r="G129" i="35"/>
  <c r="G130" i="35" s="1"/>
  <c r="F129" i="35"/>
  <c r="F130" i="35" s="1"/>
  <c r="F131" i="35" s="1"/>
  <c r="I129" i="35"/>
  <c r="I130" i="35" s="1"/>
  <c r="I131" i="35" s="1"/>
  <c r="J124" i="35"/>
  <c r="E131" i="35"/>
  <c r="G131" i="35"/>
  <c r="H131" i="35"/>
  <c r="J125" i="35"/>
  <c r="J150" i="35"/>
  <c r="E151" i="35"/>
  <c r="J151" i="35" s="1"/>
  <c r="D239" i="35"/>
  <c r="D238" i="35"/>
  <c r="D237" i="35"/>
  <c r="D236" i="35"/>
  <c r="D235" i="35"/>
  <c r="D234" i="35"/>
  <c r="D252" i="35"/>
  <c r="D251" i="35"/>
  <c r="D250" i="35"/>
  <c r="D249" i="35"/>
  <c r="D248" i="35"/>
  <c r="D247" i="35"/>
  <c r="I262" i="35"/>
  <c r="H262" i="35"/>
  <c r="G262" i="35"/>
  <c r="F262" i="35"/>
  <c r="E262" i="35"/>
  <c r="I261" i="35"/>
  <c r="H261" i="35"/>
  <c r="G261" i="35"/>
  <c r="F261" i="35"/>
  <c r="E261" i="35"/>
  <c r="E238" i="35" s="1"/>
  <c r="I260" i="35"/>
  <c r="H260" i="35"/>
  <c r="G260" i="35"/>
  <c r="F260" i="35"/>
  <c r="E260" i="35"/>
  <c r="E237" i="35" s="1"/>
  <c r="I259" i="35"/>
  <c r="H259" i="35"/>
  <c r="G259" i="35"/>
  <c r="F259" i="35"/>
  <c r="E259" i="35"/>
  <c r="E236" i="35" s="1"/>
  <c r="I258" i="35"/>
  <c r="H258" i="35"/>
  <c r="G258" i="35"/>
  <c r="F258" i="35"/>
  <c r="E258" i="35"/>
  <c r="E235" i="35" s="1"/>
  <c r="I257" i="35"/>
  <c r="H257" i="35"/>
  <c r="G257" i="35"/>
  <c r="E257" i="35"/>
  <c r="E234" i="35" s="1"/>
  <c r="D262" i="35"/>
  <c r="D261" i="35"/>
  <c r="D260" i="35"/>
  <c r="D259" i="35"/>
  <c r="D258" i="35"/>
  <c r="D257" i="35"/>
  <c r="F257" i="35" s="1"/>
  <c r="B297" i="35"/>
  <c r="B296" i="35"/>
  <c r="B295" i="35"/>
  <c r="B294" i="35"/>
  <c r="B293" i="35"/>
  <c r="B292" i="35"/>
  <c r="B287" i="35"/>
  <c r="B286" i="35"/>
  <c r="B285" i="35"/>
  <c r="B284" i="35"/>
  <c r="B283" i="35"/>
  <c r="B282" i="35"/>
  <c r="B276" i="35"/>
  <c r="B275" i="35"/>
  <c r="B274" i="35"/>
  <c r="B273" i="35"/>
  <c r="B272" i="35"/>
  <c r="B271" i="35"/>
  <c r="B262" i="35"/>
  <c r="B261" i="35"/>
  <c r="B260" i="35"/>
  <c r="B259" i="35"/>
  <c r="B258" i="35"/>
  <c r="B257" i="35"/>
  <c r="B252" i="35"/>
  <c r="B251" i="35"/>
  <c r="B250" i="35"/>
  <c r="B249" i="35"/>
  <c r="B248" i="35"/>
  <c r="B247" i="35"/>
  <c r="B239" i="35"/>
  <c r="B238" i="35"/>
  <c r="B237" i="35"/>
  <c r="B236" i="35"/>
  <c r="B235" i="35"/>
  <c r="B234" i="35"/>
  <c r="B225" i="35"/>
  <c r="B224" i="35"/>
  <c r="B223" i="35"/>
  <c r="B222" i="35"/>
  <c r="B221" i="35"/>
  <c r="B220" i="35"/>
  <c r="B215" i="35"/>
  <c r="B214" i="35"/>
  <c r="B213" i="35"/>
  <c r="B212" i="35"/>
  <c r="B211" i="35"/>
  <c r="B210" i="35"/>
  <c r="B204" i="35"/>
  <c r="B203" i="35"/>
  <c r="B202" i="35"/>
  <c r="B201" i="35"/>
  <c r="B200" i="35"/>
  <c r="B199" i="35"/>
  <c r="B190" i="35"/>
  <c r="B189" i="35"/>
  <c r="B188" i="35"/>
  <c r="B187" i="35"/>
  <c r="B186" i="35"/>
  <c r="B185" i="35"/>
  <c r="B180" i="35"/>
  <c r="B179" i="35"/>
  <c r="B178" i="35"/>
  <c r="B177" i="35"/>
  <c r="B176" i="35"/>
  <c r="B175" i="35"/>
  <c r="B169" i="35"/>
  <c r="B168" i="35"/>
  <c r="B167" i="35"/>
  <c r="B166" i="35"/>
  <c r="B165" i="35"/>
  <c r="B164" i="35"/>
  <c r="A293" i="35"/>
  <c r="A294" i="35" s="1"/>
  <c r="A295" i="35" s="1"/>
  <c r="A296" i="35" s="1"/>
  <c r="A297" i="35" s="1"/>
  <c r="A283" i="35"/>
  <c r="A284" i="35" s="1"/>
  <c r="A285" i="35" s="1"/>
  <c r="A286" i="35" s="1"/>
  <c r="A287" i="35" s="1"/>
  <c r="A272" i="35"/>
  <c r="A273" i="35" s="1"/>
  <c r="A274" i="35" s="1"/>
  <c r="A275" i="35" s="1"/>
  <c r="A276" i="35" s="1"/>
  <c r="A258" i="35"/>
  <c r="A259" i="35" s="1"/>
  <c r="A260" i="35" s="1"/>
  <c r="A261" i="35" s="1"/>
  <c r="A262" i="35" s="1"/>
  <c r="A248" i="35"/>
  <c r="A249" i="35" s="1"/>
  <c r="A250" i="35" s="1"/>
  <c r="A251" i="35" s="1"/>
  <c r="A252" i="35" s="1"/>
  <c r="A235" i="35"/>
  <c r="A236" i="35" s="1"/>
  <c r="A237" i="35" s="1"/>
  <c r="A238" i="35" s="1"/>
  <c r="A239" i="35" s="1"/>
  <c r="I225" i="35"/>
  <c r="H225" i="35"/>
  <c r="G225" i="35"/>
  <c r="F225" i="35"/>
  <c r="E225" i="35"/>
  <c r="I224" i="35"/>
  <c r="H224" i="35"/>
  <c r="G224" i="35"/>
  <c r="F224" i="35"/>
  <c r="E224" i="35"/>
  <c r="I223" i="35"/>
  <c r="H223" i="35"/>
  <c r="G223" i="35"/>
  <c r="F223" i="35"/>
  <c r="E223" i="35"/>
  <c r="I222" i="35"/>
  <c r="H222" i="35"/>
  <c r="G222" i="35"/>
  <c r="F222" i="35"/>
  <c r="E222" i="35"/>
  <c r="I221" i="35"/>
  <c r="H221" i="35"/>
  <c r="G221" i="35"/>
  <c r="F221" i="35"/>
  <c r="E221" i="35"/>
  <c r="A221" i="35"/>
  <c r="A222" i="35" s="1"/>
  <c r="A223" i="35" s="1"/>
  <c r="A224" i="35" s="1"/>
  <c r="A225" i="35" s="1"/>
  <c r="I220" i="35"/>
  <c r="H220" i="35"/>
  <c r="G220" i="35"/>
  <c r="F220" i="35"/>
  <c r="E220" i="35"/>
  <c r="I216" i="35"/>
  <c r="H216" i="35"/>
  <c r="G216" i="35"/>
  <c r="F216" i="35"/>
  <c r="J215" i="35"/>
  <c r="J214" i="35"/>
  <c r="J213" i="35"/>
  <c r="J212" i="35"/>
  <c r="J211" i="35"/>
  <c r="A211" i="35"/>
  <c r="A212" i="35" s="1"/>
  <c r="A213" i="35" s="1"/>
  <c r="A214" i="35" s="1"/>
  <c r="A215" i="35" s="1"/>
  <c r="J210" i="35"/>
  <c r="I205" i="35"/>
  <c r="H205" i="35"/>
  <c r="G205" i="35"/>
  <c r="F205" i="35"/>
  <c r="E205" i="35"/>
  <c r="J204" i="35"/>
  <c r="J203" i="35"/>
  <c r="J202" i="35"/>
  <c r="J201" i="35"/>
  <c r="J200" i="35"/>
  <c r="A200" i="35"/>
  <c r="A201" i="35" s="1"/>
  <c r="A202" i="35" s="1"/>
  <c r="A203" i="35" s="1"/>
  <c r="A204" i="35" s="1"/>
  <c r="J199" i="35"/>
  <c r="I170" i="35"/>
  <c r="I241" i="35" s="1"/>
  <c r="I333" i="35" s="1"/>
  <c r="H170" i="35"/>
  <c r="H241" i="35" s="1"/>
  <c r="H333" i="35" s="1"/>
  <c r="G170" i="35"/>
  <c r="G241" i="35" s="1"/>
  <c r="G333" i="35" s="1"/>
  <c r="E170" i="35"/>
  <c r="E241" i="35" s="1"/>
  <c r="E333" i="35" s="1"/>
  <c r="F170" i="35"/>
  <c r="F241" i="35" s="1"/>
  <c r="F333" i="35" s="1"/>
  <c r="J164" i="35"/>
  <c r="I190" i="35"/>
  <c r="H190" i="35"/>
  <c r="G190" i="35"/>
  <c r="F190" i="35"/>
  <c r="E190" i="35"/>
  <c r="I189" i="35"/>
  <c r="H189" i="35"/>
  <c r="G189" i="35"/>
  <c r="F189" i="35"/>
  <c r="E189" i="35"/>
  <c r="I188" i="35"/>
  <c r="H188" i="35"/>
  <c r="G188" i="35"/>
  <c r="F188" i="35"/>
  <c r="E188" i="35"/>
  <c r="I209" i="35" s="1"/>
  <c r="I187" i="35"/>
  <c r="H187" i="35"/>
  <c r="G187" i="35"/>
  <c r="F187" i="35"/>
  <c r="E187" i="35"/>
  <c r="H209" i="35" s="1"/>
  <c r="I186" i="35"/>
  <c r="H186" i="35"/>
  <c r="G186" i="35"/>
  <c r="F186" i="35"/>
  <c r="E186" i="35"/>
  <c r="G209" i="35" s="1"/>
  <c r="I185" i="35"/>
  <c r="H185" i="35"/>
  <c r="G185" i="35"/>
  <c r="F185" i="35"/>
  <c r="E185" i="35"/>
  <c r="F209" i="35" s="1"/>
  <c r="A186" i="35"/>
  <c r="A187" i="35" s="1"/>
  <c r="A188" i="35" s="1"/>
  <c r="A189" i="35" s="1"/>
  <c r="A190" i="35" s="1"/>
  <c r="A176" i="35"/>
  <c r="A177" i="35" s="1"/>
  <c r="A178" i="35" s="1"/>
  <c r="A179" i="35" s="1"/>
  <c r="A180" i="35" s="1"/>
  <c r="A165" i="35"/>
  <c r="A166" i="35" s="1"/>
  <c r="A167" i="35" s="1"/>
  <c r="A168" i="35" s="1"/>
  <c r="A169" i="35" s="1"/>
  <c r="J169" i="35"/>
  <c r="J168" i="35"/>
  <c r="J167" i="35"/>
  <c r="J166" i="35"/>
  <c r="J165" i="35"/>
  <c r="J180" i="35"/>
  <c r="J179" i="35"/>
  <c r="J178" i="35"/>
  <c r="J177" i="35"/>
  <c r="J176" i="35"/>
  <c r="J175" i="35"/>
  <c r="I181" i="35"/>
  <c r="H181" i="35"/>
  <c r="G181" i="35"/>
  <c r="F181" i="35"/>
  <c r="I174" i="35"/>
  <c r="I246" i="35" s="1"/>
  <c r="H174" i="35"/>
  <c r="H246" i="35" s="1"/>
  <c r="F174" i="35"/>
  <c r="F246" i="35" s="1"/>
  <c r="G174" i="35"/>
  <c r="G246" i="35" s="1"/>
  <c r="G448" i="35"/>
  <c r="J437" i="35"/>
  <c r="J129" i="35" l="1"/>
  <c r="J130" i="35" s="1"/>
  <c r="J131" i="35" s="1"/>
  <c r="J333" i="35"/>
  <c r="E310" i="35"/>
  <c r="J310" i="35" s="1"/>
  <c r="I247" i="35"/>
  <c r="I234" i="35" s="1"/>
  <c r="I248" i="35"/>
  <c r="I235" i="35" s="1"/>
  <c r="I249" i="35"/>
  <c r="I320" i="35" s="1"/>
  <c r="I250" i="35"/>
  <c r="I251" i="35"/>
  <c r="I252" i="35"/>
  <c r="I287" i="35"/>
  <c r="I276" i="35" s="1"/>
  <c r="I283" i="35"/>
  <c r="I272" i="35" s="1"/>
  <c r="I282" i="35"/>
  <c r="I286" i="35"/>
  <c r="I275" i="35" s="1"/>
  <c r="I285" i="35"/>
  <c r="I274" i="35" s="1"/>
  <c r="I284" i="35"/>
  <c r="I273" i="35" s="1"/>
  <c r="G283" i="35"/>
  <c r="G272" i="35" s="1"/>
  <c r="G287" i="35"/>
  <c r="G276" i="35" s="1"/>
  <c r="G247" i="35"/>
  <c r="G234" i="35" s="1"/>
  <c r="G248" i="35"/>
  <c r="G235" i="35" s="1"/>
  <c r="G249" i="35"/>
  <c r="G236" i="35" s="1"/>
  <c r="G250" i="35"/>
  <c r="G251" i="35"/>
  <c r="G322" i="35" s="1"/>
  <c r="G252" i="35"/>
  <c r="G285" i="35"/>
  <c r="G274" i="35" s="1"/>
  <c r="G286" i="35"/>
  <c r="G275" i="35" s="1"/>
  <c r="G282" i="35"/>
  <c r="G284" i="35"/>
  <c r="G273" i="35" s="1"/>
  <c r="H287" i="35"/>
  <c r="H276" i="35" s="1"/>
  <c r="H286" i="35"/>
  <c r="H275" i="35" s="1"/>
  <c r="H284" i="35"/>
  <c r="H273" i="35" s="1"/>
  <c r="H283" i="35"/>
  <c r="H272" i="35" s="1"/>
  <c r="H282" i="35"/>
  <c r="H247" i="35"/>
  <c r="H234" i="35" s="1"/>
  <c r="H248" i="35"/>
  <c r="H235" i="35" s="1"/>
  <c r="H249" i="35"/>
  <c r="H250" i="35"/>
  <c r="H251" i="35"/>
  <c r="H252" i="35"/>
  <c r="H285" i="35"/>
  <c r="H274" i="35" s="1"/>
  <c r="F283" i="35"/>
  <c r="F247" i="35"/>
  <c r="F248" i="35"/>
  <c r="F249" i="35"/>
  <c r="F250" i="35"/>
  <c r="F251" i="35"/>
  <c r="F252" i="35"/>
  <c r="F286" i="35"/>
  <c r="F282" i="35"/>
  <c r="F287" i="35"/>
  <c r="F284" i="35"/>
  <c r="F285" i="35"/>
  <c r="D324" i="35"/>
  <c r="D334" i="35"/>
  <c r="D311" i="35"/>
  <c r="H335" i="35"/>
  <c r="D335" i="35"/>
  <c r="G335" i="35"/>
  <c r="D325" i="35"/>
  <c r="D312" i="35"/>
  <c r="F335" i="35"/>
  <c r="I335" i="35"/>
  <c r="E335" i="35"/>
  <c r="E312" i="35" s="1"/>
  <c r="I336" i="35"/>
  <c r="E336" i="35"/>
  <c r="D313" i="35"/>
  <c r="G336" i="35"/>
  <c r="D326" i="35"/>
  <c r="F336" i="35"/>
  <c r="H336" i="35"/>
  <c r="D336" i="35"/>
  <c r="H281" i="35"/>
  <c r="I281" i="35"/>
  <c r="G281" i="35"/>
  <c r="H226" i="35"/>
  <c r="H228" i="35" s="1"/>
  <c r="J222" i="35"/>
  <c r="I226" i="35"/>
  <c r="I228" i="35" s="1"/>
  <c r="J241" i="35"/>
  <c r="F281" i="35"/>
  <c r="J181" i="35"/>
  <c r="J189" i="35"/>
  <c r="J262" i="35"/>
  <c r="E263" i="35"/>
  <c r="E265" i="35" s="1"/>
  <c r="J186" i="35"/>
  <c r="J259" i="35"/>
  <c r="J220" i="35"/>
  <c r="E226" i="35"/>
  <c r="E228" i="35" s="1"/>
  <c r="J205" i="35"/>
  <c r="D84" i="35" s="1"/>
  <c r="J223" i="35"/>
  <c r="F226" i="35"/>
  <c r="J224" i="35"/>
  <c r="G226" i="35"/>
  <c r="G228" i="35" s="1"/>
  <c r="J221" i="35"/>
  <c r="J225" i="35"/>
  <c r="J261" i="35"/>
  <c r="G263" i="35"/>
  <c r="J260" i="35"/>
  <c r="J258" i="35"/>
  <c r="I263" i="35"/>
  <c r="H263" i="35"/>
  <c r="F263" i="35"/>
  <c r="J257" i="35"/>
  <c r="J216" i="35"/>
  <c r="I191" i="35"/>
  <c r="I193" i="35" s="1"/>
  <c r="G191" i="35"/>
  <c r="G193" i="35" s="1"/>
  <c r="J170" i="35"/>
  <c r="D83" i="35" s="1"/>
  <c r="J188" i="35"/>
  <c r="F191" i="35"/>
  <c r="F193" i="35" s="1"/>
  <c r="H191" i="35"/>
  <c r="H193" i="35" s="1"/>
  <c r="E191" i="35"/>
  <c r="E193" i="35" s="1"/>
  <c r="J190" i="35"/>
  <c r="J187" i="35"/>
  <c r="J185" i="35"/>
  <c r="G119" i="13" l="1"/>
  <c r="G15" i="18" s="1"/>
  <c r="I236" i="35"/>
  <c r="G320" i="35"/>
  <c r="J249" i="35"/>
  <c r="D85" i="35"/>
  <c r="J251" i="35"/>
  <c r="J247" i="35"/>
  <c r="F253" i="35"/>
  <c r="J282" i="35"/>
  <c r="F271" i="35"/>
  <c r="F288" i="35"/>
  <c r="F272" i="35"/>
  <c r="J272" i="35" s="1"/>
  <c r="J283" i="35"/>
  <c r="J250" i="35"/>
  <c r="H288" i="35"/>
  <c r="H300" i="35" s="1"/>
  <c r="H271" i="35"/>
  <c r="H277" i="35" s="1"/>
  <c r="I271" i="35"/>
  <c r="I277" i="35" s="1"/>
  <c r="I288" i="35"/>
  <c r="I300" i="35" s="1"/>
  <c r="I253" i="35"/>
  <c r="F276" i="35"/>
  <c r="J276" i="35" s="1"/>
  <c r="J287" i="35"/>
  <c r="F234" i="35"/>
  <c r="J234" i="35" s="1"/>
  <c r="J285" i="35"/>
  <c r="F274" i="35"/>
  <c r="J274" i="35" s="1"/>
  <c r="F275" i="35"/>
  <c r="J275" i="35" s="1"/>
  <c r="J286" i="35"/>
  <c r="H253" i="35"/>
  <c r="F273" i="35"/>
  <c r="J273" i="35" s="1"/>
  <c r="J284" i="35"/>
  <c r="J252" i="35"/>
  <c r="J248" i="35"/>
  <c r="G271" i="35"/>
  <c r="G277" i="35" s="1"/>
  <c r="G288" i="35"/>
  <c r="G300" i="35" s="1"/>
  <c r="G253" i="35"/>
  <c r="E239" i="35"/>
  <c r="I237" i="35"/>
  <c r="I321" i="35"/>
  <c r="H238" i="35"/>
  <c r="H322" i="35"/>
  <c r="F237" i="35"/>
  <c r="F321" i="35"/>
  <c r="F238" i="35"/>
  <c r="F322" i="35"/>
  <c r="G237" i="35"/>
  <c r="G321" i="35"/>
  <c r="G238" i="35"/>
  <c r="F236" i="35"/>
  <c r="F320" i="35"/>
  <c r="H237" i="35"/>
  <c r="H321" i="35"/>
  <c r="I238" i="35"/>
  <c r="I322" i="35"/>
  <c r="H236" i="35"/>
  <c r="H320" i="35"/>
  <c r="J226" i="35"/>
  <c r="F228" i="35"/>
  <c r="J228" i="35" s="1"/>
  <c r="H326" i="35"/>
  <c r="H313" i="35" s="1"/>
  <c r="G326" i="35"/>
  <c r="G313" i="35" s="1"/>
  <c r="I326" i="35"/>
  <c r="I313" i="35" s="1"/>
  <c r="F326" i="35"/>
  <c r="H325" i="35"/>
  <c r="H312" i="35" s="1"/>
  <c r="G325" i="35"/>
  <c r="G312" i="35" s="1"/>
  <c r="I325" i="35"/>
  <c r="I312" i="35" s="1"/>
  <c r="F325" i="35"/>
  <c r="J336" i="35"/>
  <c r="E313" i="35"/>
  <c r="J313" i="35" s="1"/>
  <c r="J335" i="35"/>
  <c r="F235" i="35"/>
  <c r="J193" i="35"/>
  <c r="J191" i="35"/>
  <c r="J263" i="35"/>
  <c r="C19" i="38" l="1"/>
  <c r="G98" i="67"/>
  <c r="G16" i="18"/>
  <c r="G59" i="67" s="1"/>
  <c r="C20" i="38"/>
  <c r="G121" i="13"/>
  <c r="G122" i="13" s="1"/>
  <c r="J253" i="35"/>
  <c r="J271" i="35"/>
  <c r="F277" i="35"/>
  <c r="J277" i="35" s="1"/>
  <c r="J288" i="35"/>
  <c r="F300" i="35"/>
  <c r="J300" i="35" s="1"/>
  <c r="J238" i="35"/>
  <c r="E331" i="35"/>
  <c r="E308" i="35" s="1"/>
  <c r="E240" i="35"/>
  <c r="J237" i="35"/>
  <c r="J236" i="35"/>
  <c r="J321" i="35"/>
  <c r="J322" i="35"/>
  <c r="F312" i="35"/>
  <c r="J312" i="35" s="1"/>
  <c r="J325" i="35"/>
  <c r="J326" i="35"/>
  <c r="F313" i="35"/>
  <c r="J235" i="35"/>
  <c r="H20" i="38" l="1"/>
  <c r="I20" i="38"/>
  <c r="G20" i="38"/>
  <c r="K19" i="38"/>
  <c r="K20" i="38" s="1"/>
  <c r="N19" i="38"/>
  <c r="N20" i="38" s="1"/>
  <c r="O19" i="38"/>
  <c r="O20" i="38" s="1"/>
  <c r="R19" i="38"/>
  <c r="R20" i="38" s="1"/>
  <c r="M19" i="38"/>
  <c r="M20" i="38" s="1"/>
  <c r="P19" i="38"/>
  <c r="P20" i="38" s="1"/>
  <c r="Q19" i="38"/>
  <c r="Q20" i="38" s="1"/>
  <c r="L19" i="38"/>
  <c r="L20" i="38" s="1"/>
  <c r="G99" i="67"/>
  <c r="E242" i="35"/>
  <c r="E334" i="35" s="1"/>
  <c r="E311" i="35" s="1"/>
  <c r="E332" i="35"/>
  <c r="E309" i="35" l="1"/>
  <c r="E314" i="35" s="1"/>
  <c r="E337" i="35"/>
  <c r="J337" i="35" l="1"/>
  <c r="E339" i="35"/>
  <c r="J339" i="35" s="1"/>
  <c r="E316" i="35"/>
  <c r="J314" i="35"/>
  <c r="J316" i="35" s="1"/>
  <c r="A61" i="41" l="1"/>
  <c r="A60" i="41"/>
  <c r="A70" i="41"/>
  <c r="A68" i="41"/>
  <c r="A67" i="41"/>
  <c r="A66" i="41"/>
  <c r="A63" i="41"/>
  <c r="E51" i="38" l="1"/>
  <c r="A198" i="61" l="1"/>
  <c r="A199" i="61"/>
  <c r="A200" i="61"/>
  <c r="A201" i="61"/>
  <c r="F17" i="46"/>
  <c r="F21" i="46" s="1"/>
  <c r="F20" i="46" s="1"/>
  <c r="F14" i="46"/>
  <c r="A46" i="38"/>
  <c r="F23" i="46" l="1"/>
  <c r="F41" i="46" s="1"/>
  <c r="B258" i="62"/>
  <c r="B257" i="62"/>
  <c r="B256" i="62"/>
  <c r="B255" i="62"/>
  <c r="B251" i="62"/>
  <c r="B250" i="62"/>
  <c r="B249" i="62"/>
  <c r="B247" i="62"/>
  <c r="B248" i="62"/>
  <c r="A15" i="45" l="1"/>
  <c r="C69" i="62"/>
  <c r="L14" i="46" l="1"/>
  <c r="K14" i="46"/>
  <c r="J14" i="46"/>
  <c r="I14" i="46"/>
  <c r="H14" i="46"/>
  <c r="G14" i="46"/>
  <c r="A14" i="46"/>
  <c r="A13" i="46"/>
  <c r="A23" i="45"/>
  <c r="A22" i="45"/>
  <c r="A20" i="45"/>
  <c r="A19" i="45"/>
  <c r="A18" i="45"/>
  <c r="A17" i="45"/>
  <c r="A42" i="45"/>
  <c r="A43" i="45"/>
  <c r="A44" i="45"/>
  <c r="A45" i="45"/>
  <c r="A46" i="45"/>
  <c r="A47" i="45"/>
  <c r="A100" i="41"/>
  <c r="A99" i="41"/>
  <c r="A98" i="41"/>
  <c r="A90" i="41"/>
  <c r="A89" i="41"/>
  <c r="A84" i="41"/>
  <c r="A83" i="41"/>
  <c r="A82" i="41"/>
  <c r="A81" i="41"/>
  <c r="A62" i="41"/>
  <c r="A59" i="41"/>
  <c r="A58" i="41"/>
  <c r="A54" i="41"/>
  <c r="A53" i="41"/>
  <c r="A52" i="41"/>
  <c r="A51" i="41"/>
  <c r="A50" i="41"/>
  <c r="A49" i="41"/>
  <c r="A89" i="45" l="1"/>
  <c r="A88" i="45"/>
  <c r="A87" i="45"/>
  <c r="A86" i="45"/>
  <c r="A85" i="45"/>
  <c r="A84" i="45"/>
  <c r="A83" i="45"/>
  <c r="A82" i="45"/>
  <c r="A81" i="45"/>
  <c r="A80" i="45"/>
  <c r="A76" i="45"/>
  <c r="A75" i="45"/>
  <c r="A72" i="45"/>
  <c r="A70" i="45"/>
  <c r="A69" i="45"/>
  <c r="A68" i="45"/>
  <c r="A66" i="45"/>
  <c r="A65" i="45"/>
  <c r="A64" i="45"/>
  <c r="A59" i="45"/>
  <c r="A58" i="45"/>
  <c r="A57" i="45"/>
  <c r="A56" i="45"/>
  <c r="A55" i="45"/>
  <c r="A54" i="45"/>
  <c r="A53" i="45"/>
  <c r="A52" i="45"/>
  <c r="A51" i="45"/>
  <c r="A49" i="45"/>
  <c r="A48" i="45"/>
  <c r="A41" i="45"/>
  <c r="A40" i="45"/>
  <c r="A39" i="45"/>
  <c r="A38" i="45"/>
  <c r="A37" i="45"/>
  <c r="A36" i="45"/>
  <c r="A35" i="45"/>
  <c r="A34" i="45"/>
  <c r="A33" i="45"/>
  <c r="A32" i="45"/>
  <c r="A31" i="45"/>
  <c r="A30" i="45"/>
  <c r="A29" i="45"/>
  <c r="A28" i="45"/>
  <c r="A27" i="45"/>
  <c r="A26" i="45"/>
  <c r="A25" i="45"/>
  <c r="A24" i="45"/>
  <c r="A16" i="45"/>
  <c r="A14" i="45"/>
  <c r="A13" i="45"/>
  <c r="A12" i="45"/>
  <c r="A44" i="48"/>
  <c r="A43" i="48"/>
  <c r="A42" i="48"/>
  <c r="A41" i="48"/>
  <c r="A40" i="48"/>
  <c r="A39" i="48"/>
  <c r="A38" i="48"/>
  <c r="A37" i="48"/>
  <c r="A36" i="48"/>
  <c r="A35" i="48"/>
  <c r="A34" i="48"/>
  <c r="A33" i="48"/>
  <c r="A32" i="48"/>
  <c r="A31" i="48"/>
  <c r="A30" i="48"/>
  <c r="A29" i="48"/>
  <c r="A28" i="48"/>
  <c r="A27" i="48"/>
  <c r="A26" i="48"/>
  <c r="A25" i="48"/>
  <c r="A24" i="48"/>
  <c r="A23" i="48"/>
  <c r="A22" i="48"/>
  <c r="A21" i="48"/>
  <c r="A20" i="48"/>
  <c r="A19" i="48"/>
  <c r="A18" i="48"/>
  <c r="A17" i="48"/>
  <c r="A16" i="48"/>
  <c r="A15" i="48"/>
  <c r="A14" i="48"/>
  <c r="A50" i="47"/>
  <c r="A49" i="47"/>
  <c r="A48" i="47"/>
  <c r="A47" i="47"/>
  <c r="A46" i="47"/>
  <c r="A45" i="47"/>
  <c r="A44" i="47"/>
  <c r="A43" i="47"/>
  <c r="A42" i="47"/>
  <c r="A41" i="47"/>
  <c r="A40" i="47"/>
  <c r="A39" i="47"/>
  <c r="A38" i="47"/>
  <c r="A37" i="47"/>
  <c r="A36" i="47"/>
  <c r="A35" i="47"/>
  <c r="A34" i="47"/>
  <c r="A33" i="47"/>
  <c r="A32" i="47"/>
  <c r="A31" i="47"/>
  <c r="A30" i="47"/>
  <c r="A29" i="47"/>
  <c r="A28" i="47"/>
  <c r="A27" i="47"/>
  <c r="A26" i="47"/>
  <c r="A25" i="47"/>
  <c r="A24" i="47"/>
  <c r="A23" i="47"/>
  <c r="A22" i="47"/>
  <c r="A21" i="47"/>
  <c r="A20" i="47"/>
  <c r="A19" i="47"/>
  <c r="A18" i="47"/>
  <c r="A17" i="47"/>
  <c r="A16" i="47"/>
  <c r="A15" i="47"/>
  <c r="A14" i="47"/>
  <c r="A13" i="47"/>
  <c r="A12" i="47"/>
  <c r="A11" i="47"/>
  <c r="A100" i="46"/>
  <c r="A99" i="46"/>
  <c r="A98" i="46"/>
  <c r="A97" i="46"/>
  <c r="A96" i="46"/>
  <c r="A95" i="46"/>
  <c r="A94" i="46"/>
  <c r="A93" i="46"/>
  <c r="A92" i="46"/>
  <c r="A91" i="46"/>
  <c r="A90" i="46"/>
  <c r="A89" i="46"/>
  <c r="A88" i="46"/>
  <c r="A87" i="46"/>
  <c r="A86" i="46"/>
  <c r="A85" i="46"/>
  <c r="A84" i="46"/>
  <c r="A83" i="46"/>
  <c r="A82" i="46"/>
  <c r="A81" i="46"/>
  <c r="A80" i="46"/>
  <c r="A79" i="46"/>
  <c r="A78" i="46"/>
  <c r="A77" i="46"/>
  <c r="A76" i="46"/>
  <c r="A75" i="46"/>
  <c r="A74" i="46"/>
  <c r="A73" i="46"/>
  <c r="A72" i="46"/>
  <c r="A71" i="46"/>
  <c r="A70" i="46"/>
  <c r="A69" i="46"/>
  <c r="A68" i="46"/>
  <c r="A67" i="46"/>
  <c r="A66" i="46"/>
  <c r="A65" i="46"/>
  <c r="A64" i="46"/>
  <c r="A63" i="46"/>
  <c r="A62" i="46"/>
  <c r="A61" i="46"/>
  <c r="A60" i="46"/>
  <c r="A59" i="46"/>
  <c r="A58" i="46"/>
  <c r="A57" i="46"/>
  <c r="A56" i="46"/>
  <c r="A55" i="46"/>
  <c r="A54" i="46"/>
  <c r="A53" i="46"/>
  <c r="A52" i="46"/>
  <c r="A51" i="46"/>
  <c r="A50" i="46"/>
  <c r="A49" i="46"/>
  <c r="A48" i="46"/>
  <c r="A47" i="46"/>
  <c r="A46" i="46"/>
  <c r="A45" i="46"/>
  <c r="A44" i="46"/>
  <c r="A43" i="46"/>
  <c r="A42" i="46"/>
  <c r="A41" i="46"/>
  <c r="A40" i="46"/>
  <c r="A35" i="46"/>
  <c r="A34" i="46"/>
  <c r="A33" i="46"/>
  <c r="A32" i="46"/>
  <c r="A31" i="46"/>
  <c r="A30" i="46"/>
  <c r="A29" i="46"/>
  <c r="A28" i="46"/>
  <c r="A27" i="46"/>
  <c r="A26" i="46"/>
  <c r="A25" i="46"/>
  <c r="A24" i="46"/>
  <c r="A23" i="46"/>
  <c r="A22" i="46"/>
  <c r="A21" i="46"/>
  <c r="A20" i="46"/>
  <c r="A19" i="46"/>
  <c r="A18" i="46"/>
  <c r="A17" i="46"/>
  <c r="A16" i="46"/>
  <c r="A11" i="46"/>
  <c r="A10" i="46"/>
  <c r="A9" i="46"/>
  <c r="A88" i="18"/>
  <c r="A87" i="18"/>
  <c r="A86" i="18"/>
  <c r="A85" i="18"/>
  <c r="A84" i="18"/>
  <c r="A83" i="18"/>
  <c r="A82" i="18"/>
  <c r="A81" i="18"/>
  <c r="A63" i="18"/>
  <c r="A62" i="18"/>
  <c r="A61" i="18"/>
  <c r="A60" i="18"/>
  <c r="A55" i="18"/>
  <c r="A54" i="18"/>
  <c r="A52" i="18"/>
  <c r="A50" i="18"/>
  <c r="A49" i="18"/>
  <c r="A48" i="18"/>
  <c r="A47" i="18"/>
  <c r="A46" i="18"/>
  <c r="A45" i="18"/>
  <c r="A44" i="18"/>
  <c r="A43" i="18"/>
  <c r="A33" i="18"/>
  <c r="A32" i="18"/>
  <c r="A31" i="18"/>
  <c r="A30" i="18"/>
  <c r="A29" i="18"/>
  <c r="A28" i="18"/>
  <c r="A27" i="18"/>
  <c r="A25" i="18"/>
  <c r="A24" i="18"/>
  <c r="A23" i="18"/>
  <c r="A22" i="18"/>
  <c r="A21" i="18"/>
  <c r="A20" i="18"/>
  <c r="A19" i="18"/>
  <c r="A18" i="18"/>
  <c r="A17" i="18"/>
  <c r="A16" i="18"/>
  <c r="A15" i="18"/>
  <c r="A14" i="18"/>
  <c r="A12" i="18"/>
  <c r="A10" i="18"/>
  <c r="A9" i="18"/>
  <c r="A31" i="41"/>
  <c r="A30" i="41"/>
  <c r="A29" i="41"/>
  <c r="A28" i="41"/>
  <c r="A27" i="41"/>
  <c r="A26" i="41"/>
  <c r="A25" i="41"/>
  <c r="A24" i="41"/>
  <c r="A23" i="41"/>
  <c r="A22" i="41"/>
  <c r="A21" i="41"/>
  <c r="A20" i="41"/>
  <c r="A19" i="41"/>
  <c r="A18" i="41"/>
  <c r="A17" i="41"/>
  <c r="A16" i="41"/>
  <c r="A15" i="41"/>
  <c r="A14" i="41"/>
  <c r="A13" i="41"/>
  <c r="A12" i="41"/>
  <c r="A11" i="41"/>
  <c r="A10" i="41"/>
  <c r="A50" i="38"/>
  <c r="A49" i="38"/>
  <c r="A48" i="38"/>
  <c r="A47" i="38"/>
  <c r="A45" i="38"/>
  <c r="A44" i="38"/>
  <c r="A43" i="38"/>
  <c r="A42" i="38"/>
  <c r="A41" i="38"/>
  <c r="A40" i="38"/>
  <c r="A39" i="38"/>
  <c r="A38" i="38"/>
  <c r="A37" i="38"/>
  <c r="A36" i="38"/>
  <c r="A35" i="38"/>
  <c r="A34" i="38"/>
  <c r="A33" i="38"/>
  <c r="A32" i="38"/>
  <c r="A31" i="38"/>
  <c r="A30" i="38"/>
  <c r="A29" i="38"/>
  <c r="A28" i="38"/>
  <c r="A27" i="38"/>
  <c r="A26" i="38"/>
  <c r="A25" i="38"/>
  <c r="A24" i="38"/>
  <c r="A22" i="38"/>
  <c r="A21" i="38"/>
  <c r="A20" i="38"/>
  <c r="A19" i="38"/>
  <c r="A18" i="38"/>
  <c r="A197" i="61"/>
  <c r="A196" i="61"/>
  <c r="A195" i="61"/>
  <c r="A194" i="61"/>
  <c r="A193" i="61"/>
  <c r="A192" i="61"/>
  <c r="A191" i="61"/>
  <c r="A190" i="61"/>
  <c r="A189" i="61"/>
  <c r="A188" i="61"/>
  <c r="A187" i="61"/>
  <c r="A186" i="61"/>
  <c r="A185" i="61"/>
  <c r="A184" i="61"/>
  <c r="A182" i="61"/>
  <c r="A181" i="61"/>
  <c r="A180" i="61"/>
  <c r="A179" i="61"/>
  <c r="A178" i="61"/>
  <c r="A177" i="61"/>
  <c r="A176" i="61"/>
  <c r="A175" i="61"/>
  <c r="A174" i="61"/>
  <c r="A173" i="61"/>
  <c r="A172" i="61"/>
  <c r="A171" i="61"/>
  <c r="A170" i="61"/>
  <c r="A169" i="61"/>
  <c r="A168" i="61"/>
  <c r="A167" i="61"/>
  <c r="A166" i="61"/>
  <c r="A165" i="61"/>
  <c r="A164" i="61"/>
  <c r="A163" i="61"/>
  <c r="A162" i="61"/>
  <c r="A161" i="61"/>
  <c r="A160" i="61"/>
  <c r="A158" i="61"/>
  <c r="A156" i="61"/>
  <c r="A155" i="61"/>
  <c r="A154" i="61"/>
  <c r="A153" i="61"/>
  <c r="A152" i="61"/>
  <c r="A151" i="61"/>
  <c r="A150" i="61"/>
  <c r="A149" i="61"/>
  <c r="A148" i="61"/>
  <c r="A147" i="61"/>
  <c r="A146" i="61"/>
  <c r="A145" i="61"/>
  <c r="A144" i="61"/>
  <c r="A142" i="61"/>
  <c r="A110" i="61"/>
  <c r="A109" i="61"/>
  <c r="A108" i="61"/>
  <c r="A107" i="61"/>
  <c r="A106" i="61"/>
  <c r="A105" i="61"/>
  <c r="A104" i="61"/>
  <c r="A103" i="61"/>
  <c r="A99" i="61"/>
  <c r="A98" i="61"/>
  <c r="A97" i="61"/>
  <c r="A96" i="61"/>
  <c r="A95" i="61"/>
  <c r="A94" i="61"/>
  <c r="A93" i="61"/>
  <c r="A92" i="61"/>
  <c r="A91" i="61"/>
  <c r="A90" i="61"/>
  <c r="A89" i="61"/>
  <c r="A88" i="61"/>
  <c r="A87" i="61"/>
  <c r="A86" i="61"/>
  <c r="A85" i="61"/>
  <c r="A84" i="61"/>
  <c r="A83" i="61"/>
  <c r="A82" i="61"/>
  <c r="A81" i="61"/>
  <c r="A80" i="61"/>
  <c r="A78" i="61"/>
  <c r="A77" i="61"/>
  <c r="A76" i="61"/>
  <c r="A75" i="61"/>
  <c r="A74" i="61"/>
  <c r="A73" i="61"/>
  <c r="A72" i="61"/>
  <c r="A71" i="61"/>
  <c r="A70" i="61"/>
  <c r="A69" i="61"/>
  <c r="A68" i="61"/>
  <c r="A67" i="61"/>
  <c r="A66" i="61"/>
  <c r="A65" i="61"/>
  <c r="A63" i="61"/>
  <c r="A62" i="61"/>
  <c r="A61" i="61"/>
  <c r="A60" i="61"/>
  <c r="A59" i="61"/>
  <c r="A58" i="61"/>
  <c r="A57" i="61"/>
  <c r="A56" i="61"/>
  <c r="A55" i="61"/>
  <c r="A54" i="61"/>
  <c r="A53" i="61"/>
  <c r="A52" i="61"/>
  <c r="A51" i="61"/>
  <c r="A50" i="61"/>
  <c r="A49" i="61"/>
  <c r="A48" i="61"/>
  <c r="A47" i="61"/>
  <c r="A46" i="61"/>
  <c r="A45" i="61"/>
  <c r="A44" i="61"/>
  <c r="A43" i="61"/>
  <c r="A42" i="61"/>
  <c r="A41" i="61"/>
  <c r="A40" i="61"/>
  <c r="A39" i="61"/>
  <c r="A38" i="61"/>
  <c r="A37" i="61"/>
  <c r="A36" i="61"/>
  <c r="A35" i="61"/>
  <c r="A34" i="61"/>
  <c r="A33" i="61"/>
  <c r="A32" i="61"/>
  <c r="A31" i="61"/>
  <c r="A30" i="61"/>
  <c r="A29" i="61"/>
  <c r="A28" i="61"/>
  <c r="A27" i="61"/>
  <c r="A26" i="61"/>
  <c r="A25" i="61"/>
  <c r="A24" i="61"/>
  <c r="A23" i="61"/>
  <c r="A22" i="61"/>
  <c r="A21" i="61"/>
  <c r="A20" i="61"/>
  <c r="A19" i="61"/>
  <c r="A18" i="61"/>
  <c r="A17" i="61"/>
  <c r="A16" i="61"/>
  <c r="A15" i="61"/>
  <c r="A14" i="61"/>
  <c r="A13" i="61"/>
  <c r="A474" i="62"/>
  <c r="A473" i="62"/>
  <c r="A472" i="62"/>
  <c r="A471" i="62"/>
  <c r="A470" i="62"/>
  <c r="A469" i="62"/>
  <c r="A468" i="62"/>
  <c r="A462" i="62"/>
  <c r="A461" i="62"/>
  <c r="A460" i="62"/>
  <c r="A459" i="62"/>
  <c r="A458" i="62"/>
  <c r="A457" i="62"/>
  <c r="A456" i="62"/>
  <c r="A455" i="62"/>
  <c r="A454" i="62"/>
  <c r="A453" i="62"/>
  <c r="A452" i="62"/>
  <c r="A451" i="62"/>
  <c r="A450" i="62"/>
  <c r="A449" i="62"/>
  <c r="A448" i="62"/>
  <c r="A447" i="62"/>
  <c r="A446" i="62"/>
  <c r="A445" i="62"/>
  <c r="A444" i="62"/>
  <c r="A443" i="62"/>
  <c r="A442" i="62"/>
  <c r="A441" i="62"/>
  <c r="A430" i="62"/>
  <c r="A429" i="62"/>
  <c r="A428" i="62"/>
  <c r="A427" i="62"/>
  <c r="A426" i="62"/>
  <c r="A425" i="62"/>
  <c r="A424" i="62"/>
  <c r="A423" i="62"/>
  <c r="A422" i="62"/>
  <c r="A421" i="62"/>
  <c r="A420" i="62"/>
  <c r="A419" i="62"/>
  <c r="A418" i="62"/>
  <c r="A417" i="62"/>
  <c r="A416" i="62"/>
  <c r="A415" i="62"/>
  <c r="A414" i="62"/>
  <c r="A413" i="62"/>
  <c r="A412" i="62"/>
  <c r="A411" i="62"/>
  <c r="A410" i="62"/>
  <c r="A409" i="62"/>
  <c r="A408" i="62"/>
  <c r="A407" i="62"/>
  <c r="A406" i="62"/>
  <c r="A405" i="62"/>
  <c r="A404" i="62"/>
  <c r="A403" i="62"/>
  <c r="A402" i="62"/>
  <c r="A401" i="62"/>
  <c r="A400" i="62"/>
  <c r="A399" i="62"/>
  <c r="A398" i="62"/>
  <c r="A397" i="62"/>
  <c r="A396" i="62"/>
  <c r="A395" i="62"/>
  <c r="A394" i="62"/>
  <c r="A393" i="62"/>
  <c r="A392" i="62"/>
  <c r="A391" i="62"/>
  <c r="A390" i="62"/>
  <c r="A389" i="62"/>
  <c r="A388" i="62"/>
  <c r="A387" i="62"/>
  <c r="A386" i="62"/>
  <c r="A385" i="62"/>
  <c r="A384" i="62"/>
  <c r="A383" i="62"/>
  <c r="A382" i="62"/>
  <c r="A381" i="62"/>
  <c r="A380" i="62"/>
  <c r="A379" i="62"/>
  <c r="A378" i="62"/>
  <c r="A377" i="62"/>
  <c r="A376" i="62"/>
  <c r="A375" i="62"/>
  <c r="A374" i="62"/>
  <c r="A373" i="62"/>
  <c r="A372" i="62"/>
  <c r="A371" i="62"/>
  <c r="A370" i="62"/>
  <c r="A369" i="62"/>
  <c r="A368" i="62"/>
  <c r="A367" i="62"/>
  <c r="A366" i="62"/>
  <c r="A365" i="62"/>
  <c r="A364" i="62"/>
  <c r="A363" i="62"/>
  <c r="A362" i="62"/>
  <c r="A361" i="62"/>
  <c r="A360" i="62"/>
  <c r="A359" i="62"/>
  <c r="A358" i="62"/>
  <c r="A357" i="62"/>
  <c r="A356" i="62"/>
  <c r="A355" i="62"/>
  <c r="A354" i="62"/>
  <c r="A353" i="62"/>
  <c r="A352" i="62"/>
  <c r="A351" i="62"/>
  <c r="A350" i="62"/>
  <c r="A349" i="62"/>
  <c r="A348" i="62"/>
  <c r="A347" i="62"/>
  <c r="A346" i="62"/>
  <c r="A345" i="62"/>
  <c r="A344" i="62"/>
  <c r="A343" i="62"/>
  <c r="A342" i="62"/>
  <c r="A341" i="62"/>
  <c r="A340" i="62"/>
  <c r="A339" i="62"/>
  <c r="A338" i="62"/>
  <c r="A337" i="62"/>
  <c r="A336" i="62"/>
  <c r="A335" i="62"/>
  <c r="A334" i="62"/>
  <c r="A333" i="62"/>
  <c r="A332" i="62"/>
  <c r="A331" i="62"/>
  <c r="A330" i="62"/>
  <c r="A329" i="62"/>
  <c r="A328" i="62"/>
  <c r="A327" i="62"/>
  <c r="A326" i="62"/>
  <c r="A325" i="62"/>
  <c r="A324" i="62"/>
  <c r="A323" i="62"/>
  <c r="A322" i="62"/>
  <c r="A321" i="62"/>
  <c r="A320" i="62"/>
  <c r="A319" i="62"/>
  <c r="A318" i="62"/>
  <c r="A317" i="62"/>
  <c r="A316" i="62"/>
  <c r="A315" i="62"/>
  <c r="A314" i="62"/>
  <c r="A313" i="62"/>
  <c r="A312" i="62"/>
  <c r="A311" i="62"/>
  <c r="A310" i="62"/>
  <c r="A309" i="62"/>
  <c r="A308" i="62"/>
  <c r="A307" i="62"/>
  <c r="A306" i="62"/>
  <c r="A305" i="62"/>
  <c r="A304" i="62"/>
  <c r="A303" i="62"/>
  <c r="A302" i="62"/>
  <c r="A301" i="62"/>
  <c r="A300" i="62"/>
  <c r="A296" i="62"/>
  <c r="A295" i="62"/>
  <c r="A294" i="62"/>
  <c r="A293" i="62"/>
  <c r="A292" i="62"/>
  <c r="A291" i="62"/>
  <c r="A290" i="62"/>
  <c r="A289" i="62"/>
  <c r="A288" i="62"/>
  <c r="A287" i="62"/>
  <c r="A286" i="62"/>
  <c r="A285" i="62"/>
  <c r="A284" i="62"/>
  <c r="A283" i="62"/>
  <c r="A282" i="62"/>
  <c r="A281" i="62"/>
  <c r="A280" i="62"/>
  <c r="A279" i="62"/>
  <c r="A278" i="62"/>
  <c r="A277" i="62"/>
  <c r="A276" i="62"/>
  <c r="A275" i="62"/>
  <c r="A274" i="62"/>
  <c r="A273" i="62"/>
  <c r="A272" i="62"/>
  <c r="A271" i="62"/>
  <c r="A270" i="62"/>
  <c r="A269" i="62"/>
  <c r="A268" i="62"/>
  <c r="A267" i="62"/>
  <c r="A266" i="62"/>
  <c r="A265" i="62"/>
  <c r="A264" i="62"/>
  <c r="A263" i="62"/>
  <c r="A262" i="62"/>
  <c r="A261" i="62"/>
  <c r="A260" i="62"/>
  <c r="A259" i="62"/>
  <c r="A258" i="62"/>
  <c r="A256" i="62"/>
  <c r="A255" i="62"/>
  <c r="A254" i="62"/>
  <c r="A253" i="62"/>
  <c r="A252" i="62"/>
  <c r="A251" i="62"/>
  <c r="A250" i="62"/>
  <c r="A249" i="62"/>
  <c r="A248" i="62"/>
  <c r="A247" i="62"/>
  <c r="A246" i="62"/>
  <c r="A245" i="62"/>
  <c r="A244" i="62"/>
  <c r="A243" i="62"/>
  <c r="A242" i="62"/>
  <c r="A241" i="62"/>
  <c r="A240" i="62"/>
  <c r="A239" i="62"/>
  <c r="A238" i="62"/>
  <c r="A237" i="62"/>
  <c r="A236" i="62"/>
  <c r="A235" i="62"/>
  <c r="A234" i="62"/>
  <c r="A233" i="62"/>
  <c r="A232" i="62"/>
  <c r="A231" i="62"/>
  <c r="A230" i="62"/>
  <c r="A229" i="62"/>
  <c r="A228" i="62"/>
  <c r="A227" i="62"/>
  <c r="A226" i="62"/>
  <c r="A225" i="62"/>
  <c r="A224" i="62"/>
  <c r="A223" i="62"/>
  <c r="A222" i="62"/>
  <c r="A221" i="62"/>
  <c r="A220" i="62"/>
  <c r="A219" i="62"/>
  <c r="A218" i="62"/>
  <c r="A217" i="62"/>
  <c r="A216" i="62"/>
  <c r="A215" i="62"/>
  <c r="A214" i="62"/>
  <c r="A213" i="62"/>
  <c r="A212" i="62"/>
  <c r="A211" i="62"/>
  <c r="A210" i="62"/>
  <c r="A209" i="62"/>
  <c r="A208" i="62"/>
  <c r="A207" i="62"/>
  <c r="A206" i="62"/>
  <c r="A205" i="62"/>
  <c r="A204" i="62"/>
  <c r="A203" i="62"/>
  <c r="A202" i="62"/>
  <c r="A201" i="62"/>
  <c r="A200" i="62"/>
  <c r="A199" i="62"/>
  <c r="A198" i="62"/>
  <c r="A197" i="62"/>
  <c r="A196" i="62"/>
  <c r="A195" i="62"/>
  <c r="A194" i="62"/>
  <c r="A193" i="62"/>
  <c r="A192" i="62"/>
  <c r="A191" i="62"/>
  <c r="A190" i="62"/>
  <c r="A189" i="62"/>
  <c r="A188" i="62"/>
  <c r="A187" i="62"/>
  <c r="A186" i="62"/>
  <c r="A185" i="62"/>
  <c r="A184" i="62"/>
  <c r="A183" i="62"/>
  <c r="A182" i="62"/>
  <c r="A181" i="62"/>
  <c r="A180" i="62"/>
  <c r="A179" i="62"/>
  <c r="A178" i="62"/>
  <c r="A177" i="62"/>
  <c r="A176" i="62"/>
  <c r="A175" i="62"/>
  <c r="A174" i="62"/>
  <c r="A173" i="62"/>
  <c r="A172" i="62"/>
  <c r="A171" i="62"/>
  <c r="A170" i="62"/>
  <c r="A169" i="62"/>
  <c r="A168" i="62"/>
  <c r="A167" i="62"/>
  <c r="A166" i="62"/>
  <c r="A165" i="62"/>
  <c r="A164" i="62"/>
  <c r="A163" i="62"/>
  <c r="A162" i="62"/>
  <c r="A161" i="62"/>
  <c r="A160" i="62"/>
  <c r="A159" i="62"/>
  <c r="A158" i="62"/>
  <c r="A157" i="62"/>
  <c r="A156" i="62"/>
  <c r="A155" i="62"/>
  <c r="A154" i="62"/>
  <c r="A153" i="62"/>
  <c r="A152" i="62"/>
  <c r="A151" i="62"/>
  <c r="A150" i="62"/>
  <c r="A149" i="62"/>
  <c r="A148" i="62"/>
  <c r="A147" i="62"/>
  <c r="A146" i="62"/>
  <c r="A145" i="62"/>
  <c r="A144" i="62"/>
  <c r="A143" i="62"/>
  <c r="A142" i="62"/>
  <c r="A141" i="62"/>
  <c r="A140" i="62"/>
  <c r="A139" i="62"/>
  <c r="A138" i="62"/>
  <c r="A137" i="62"/>
  <c r="A136" i="62"/>
  <c r="A135" i="62"/>
  <c r="A132" i="62"/>
  <c r="A131" i="62"/>
  <c r="A130" i="62"/>
  <c r="A129" i="62"/>
  <c r="A128" i="62"/>
  <c r="A127" i="62"/>
  <c r="A126" i="62"/>
  <c r="A125" i="62"/>
  <c r="A124" i="62"/>
  <c r="A123" i="62"/>
  <c r="A122" i="62"/>
  <c r="A121" i="62"/>
  <c r="A120" i="62"/>
  <c r="A119" i="62"/>
  <c r="A118" i="62"/>
  <c r="A117" i="62"/>
  <c r="A116" i="62"/>
  <c r="A115" i="62"/>
  <c r="A114" i="62"/>
  <c r="A113" i="62"/>
  <c r="A112" i="62"/>
  <c r="A109" i="62"/>
  <c r="A108" i="62"/>
  <c r="A107" i="62"/>
  <c r="A106" i="62"/>
  <c r="A105" i="62"/>
  <c r="A104" i="62"/>
  <c r="A103" i="62"/>
  <c r="A102" i="62"/>
  <c r="A101" i="62"/>
  <c r="A100" i="62"/>
  <c r="A99" i="62"/>
  <c r="A98" i="62"/>
  <c r="A97" i="62"/>
  <c r="A96" i="62"/>
  <c r="A95" i="62"/>
  <c r="A94" i="62"/>
  <c r="A93" i="62"/>
  <c r="A92" i="62"/>
  <c r="A91" i="62"/>
  <c r="A90" i="62"/>
  <c r="A89" i="62"/>
  <c r="A88" i="62"/>
  <c r="A87" i="62"/>
  <c r="A86" i="62"/>
  <c r="A85" i="62"/>
  <c r="A84" i="62"/>
  <c r="A83" i="62"/>
  <c r="A82" i="62"/>
  <c r="A81" i="62"/>
  <c r="A79" i="62"/>
  <c r="A76" i="62"/>
  <c r="A75" i="62"/>
  <c r="A74" i="62"/>
  <c r="A73" i="62"/>
  <c r="A72" i="62"/>
  <c r="A71" i="62"/>
  <c r="A70" i="62"/>
  <c r="A69" i="62"/>
  <c r="A68" i="62"/>
  <c r="A67" i="62"/>
  <c r="A66" i="62"/>
  <c r="A65" i="62"/>
  <c r="A64" i="62"/>
  <c r="A63" i="62"/>
  <c r="A62" i="62"/>
  <c r="A61" i="62"/>
  <c r="A60" i="62"/>
  <c r="A59" i="62"/>
  <c r="A58" i="62"/>
  <c r="A57" i="62"/>
  <c r="A56" i="62"/>
  <c r="A55" i="62"/>
  <c r="A54" i="62"/>
  <c r="A53" i="62"/>
  <c r="A52" i="62"/>
  <c r="A51" i="62"/>
  <c r="A50" i="62"/>
  <c r="A49" i="62"/>
  <c r="A48" i="62"/>
  <c r="A47" i="62"/>
  <c r="A46" i="62"/>
  <c r="A45" i="62"/>
  <c r="A44" i="62"/>
  <c r="A43" i="62"/>
  <c r="A42" i="62"/>
  <c r="A41" i="62"/>
  <c r="A40" i="62"/>
  <c r="A39" i="62"/>
  <c r="A38" i="62"/>
  <c r="A37" i="62"/>
  <c r="A36" i="62"/>
  <c r="A31" i="62"/>
  <c r="A30" i="62"/>
  <c r="A29" i="62"/>
  <c r="A28" i="62"/>
  <c r="A27" i="62"/>
  <c r="A26" i="62"/>
  <c r="A25" i="62"/>
  <c r="A24" i="62"/>
  <c r="A22" i="62"/>
  <c r="A21" i="62"/>
  <c r="A20" i="62"/>
  <c r="A19" i="62"/>
  <c r="A15" i="62"/>
  <c r="A14" i="62"/>
  <c r="A12" i="34" l="1"/>
  <c r="A69" i="34"/>
  <c r="A68" i="34"/>
  <c r="A67" i="34"/>
  <c r="A66" i="34"/>
  <c r="A65" i="34"/>
  <c r="A64" i="34"/>
  <c r="A63" i="34"/>
  <c r="A62" i="34"/>
  <c r="A61" i="34"/>
  <c r="A60" i="34"/>
  <c r="A59" i="34"/>
  <c r="A58" i="34"/>
  <c r="A57" i="34"/>
  <c r="A56" i="34"/>
  <c r="A55" i="34"/>
  <c r="A54" i="34"/>
  <c r="A53" i="34"/>
  <c r="A52" i="34"/>
  <c r="A51" i="34"/>
  <c r="A50" i="34"/>
  <c r="A49" i="34"/>
  <c r="A48" i="34"/>
  <c r="A47" i="34"/>
  <c r="A46" i="34"/>
  <c r="A45" i="34"/>
  <c r="A44" i="34"/>
  <c r="A43" i="34"/>
  <c r="A42" i="34"/>
  <c r="A41" i="34"/>
  <c r="A40" i="34"/>
  <c r="A39" i="34"/>
  <c r="A38" i="34"/>
  <c r="A37" i="34"/>
  <c r="A36" i="34"/>
  <c r="A35" i="34"/>
  <c r="A33" i="34"/>
  <c r="A32" i="34"/>
  <c r="A27" i="34"/>
  <c r="A26" i="34"/>
  <c r="A25" i="34"/>
  <c r="A24" i="34"/>
  <c r="A23" i="34"/>
  <c r="A22" i="34"/>
  <c r="A21" i="34"/>
  <c r="A20" i="34"/>
  <c r="A19" i="34"/>
  <c r="A18" i="34"/>
  <c r="A17" i="34"/>
  <c r="A16" i="34"/>
  <c r="A15" i="34"/>
  <c r="A14" i="34"/>
  <c r="A13" i="34"/>
  <c r="A11" i="34"/>
  <c r="A10" i="34"/>
  <c r="A133" i="13" l="1"/>
  <c r="A132" i="13"/>
  <c r="A131" i="13"/>
  <c r="A130" i="13"/>
  <c r="A129" i="13"/>
  <c r="A128" i="13"/>
  <c r="A126" i="13"/>
  <c r="A125" i="13"/>
  <c r="A110" i="13"/>
  <c r="A109" i="13"/>
  <c r="A108" i="13"/>
  <c r="A107" i="13"/>
  <c r="A106" i="13"/>
  <c r="A105" i="13"/>
  <c r="A104" i="13"/>
  <c r="A45" i="13"/>
  <c r="A44" i="13"/>
  <c r="A43" i="13"/>
  <c r="A36" i="13"/>
  <c r="A35" i="13"/>
  <c r="A34" i="13"/>
  <c r="A33" i="13"/>
  <c r="A32" i="13"/>
  <c r="A31" i="13"/>
  <c r="A30" i="13"/>
  <c r="A29" i="13"/>
  <c r="A28" i="13"/>
  <c r="A27" i="13"/>
  <c r="A26" i="13"/>
  <c r="A25" i="13"/>
  <c r="A24" i="13"/>
  <c r="A23" i="13"/>
  <c r="A22" i="13"/>
  <c r="A21" i="13"/>
  <c r="A20" i="13"/>
  <c r="A19" i="13"/>
  <c r="A18" i="13"/>
  <c r="A17" i="13"/>
  <c r="A16" i="13"/>
  <c r="A12" i="13"/>
  <c r="A11" i="13"/>
  <c r="E23" i="47" l="1"/>
  <c r="G67" i="61" l="1"/>
  <c r="H67" i="61"/>
  <c r="I67" i="61"/>
  <c r="J67" i="61"/>
  <c r="K67" i="61"/>
  <c r="L67" i="61"/>
  <c r="L36" i="13"/>
  <c r="K36" i="13"/>
  <c r="J36" i="13"/>
  <c r="I36" i="13"/>
  <c r="G130" i="13"/>
  <c r="H36" i="13"/>
  <c r="A2" i="63"/>
  <c r="A4" i="63"/>
  <c r="H39" i="13" l="1"/>
  <c r="H173" i="61"/>
  <c r="H174" i="61" s="1"/>
  <c r="H12" i="13"/>
  <c r="I173" i="61"/>
  <c r="I174" i="61" s="1"/>
  <c r="I175" i="61" s="1"/>
  <c r="I12" i="13"/>
  <c r="K173" i="61"/>
  <c r="K174" i="61" s="1"/>
  <c r="K175" i="61" s="1"/>
  <c r="K12" i="13"/>
  <c r="J173" i="61"/>
  <c r="J174" i="61" s="1"/>
  <c r="J175" i="61" s="1"/>
  <c r="J12" i="13"/>
  <c r="L39" i="13"/>
  <c r="L173" i="61"/>
  <c r="L174" i="61" s="1"/>
  <c r="L175" i="61" s="1"/>
  <c r="L12" i="13"/>
  <c r="I39" i="13"/>
  <c r="K39" i="13"/>
  <c r="J39" i="13"/>
  <c r="H88" i="13"/>
  <c r="H114" i="13" s="1"/>
  <c r="H38" i="13"/>
  <c r="I88" i="13"/>
  <c r="I114" i="13" s="1"/>
  <c r="I38" i="13"/>
  <c r="K88" i="13"/>
  <c r="K114" i="13" s="1"/>
  <c r="K38" i="13"/>
  <c r="J88" i="13"/>
  <c r="J114" i="13" s="1"/>
  <c r="J38" i="13"/>
  <c r="L88" i="13"/>
  <c r="L114" i="13" s="1"/>
  <c r="L38" i="13"/>
  <c r="H21" i="67"/>
  <c r="H127" i="13"/>
  <c r="K21" i="67"/>
  <c r="K127" i="13"/>
  <c r="L21" i="67"/>
  <c r="L127" i="13"/>
  <c r="I21" i="67"/>
  <c r="I127" i="13"/>
  <c r="J21" i="67"/>
  <c r="J127" i="13"/>
  <c r="H54" i="13"/>
  <c r="H51" i="13"/>
  <c r="I110" i="62" s="1"/>
  <c r="H26" i="67" s="1"/>
  <c r="H53" i="13"/>
  <c r="H52" i="13"/>
  <c r="K54" i="13"/>
  <c r="K51" i="13"/>
  <c r="L110" i="62" s="1"/>
  <c r="K26" i="67" s="1"/>
  <c r="K53" i="13"/>
  <c r="K52" i="13"/>
  <c r="L51" i="13"/>
  <c r="M110" i="62" s="1"/>
  <c r="L26" i="67" s="1"/>
  <c r="L54" i="13"/>
  <c r="L52" i="13"/>
  <c r="L53" i="13"/>
  <c r="I51" i="13"/>
  <c r="J110" i="62" s="1"/>
  <c r="I26" i="67" s="1"/>
  <c r="I52" i="13"/>
  <c r="I54" i="13"/>
  <c r="I53" i="13"/>
  <c r="J51" i="13"/>
  <c r="K110" i="62" s="1"/>
  <c r="J26" i="67" s="1"/>
  <c r="J52" i="13"/>
  <c r="J53" i="13"/>
  <c r="J54" i="13"/>
  <c r="H68" i="13"/>
  <c r="I84" i="13" s="1"/>
  <c r="I116" i="13" s="1"/>
  <c r="I24" i="18" s="1"/>
  <c r="K68" i="13"/>
  <c r="L84" i="13" s="1"/>
  <c r="L116" i="13" s="1"/>
  <c r="L24" i="18" s="1"/>
  <c r="L68" i="13"/>
  <c r="I68" i="13"/>
  <c r="J84" i="13" s="1"/>
  <c r="J116" i="13" s="1"/>
  <c r="J24" i="18" s="1"/>
  <c r="J68" i="13"/>
  <c r="K84" i="13" s="1"/>
  <c r="K116" i="13" s="1"/>
  <c r="K24" i="18" s="1"/>
  <c r="L111" i="13"/>
  <c r="J111" i="13"/>
  <c r="H111" i="13"/>
  <c r="K111" i="13"/>
  <c r="I111" i="13"/>
  <c r="G128" i="13"/>
  <c r="G132" i="13"/>
  <c r="G126" i="13"/>
  <c r="G18" i="18" s="1"/>
  <c r="G125" i="13"/>
  <c r="J176" i="61" l="1"/>
  <c r="C26" i="67"/>
  <c r="I9" i="67"/>
  <c r="K9" i="67"/>
  <c r="J114" i="67"/>
  <c r="J9" i="67"/>
  <c r="L114" i="67"/>
  <c r="L9" i="67"/>
  <c r="H24" i="67"/>
  <c r="H9" i="67"/>
  <c r="K176" i="61"/>
  <c r="L176" i="61"/>
  <c r="L126" i="67"/>
  <c r="H114" i="67"/>
  <c r="H126" i="67"/>
  <c r="I24" i="67"/>
  <c r="J126" i="67"/>
  <c r="C21" i="67"/>
  <c r="H100" i="67"/>
  <c r="K24" i="67"/>
  <c r="J24" i="67"/>
  <c r="L24" i="67"/>
  <c r="I114" i="67"/>
  <c r="I126" i="67"/>
  <c r="K114" i="67"/>
  <c r="C127" i="13"/>
  <c r="K126" i="67"/>
  <c r="J100" i="67"/>
  <c r="I100" i="67"/>
  <c r="K100" i="67"/>
  <c r="L100" i="67"/>
  <c r="M470" i="62"/>
  <c r="M26" i="62" s="1"/>
  <c r="L470" i="62"/>
  <c r="L26" i="62" s="1"/>
  <c r="K470" i="62"/>
  <c r="K26" i="62" s="1"/>
  <c r="H470" i="62"/>
  <c r="H26" i="62" s="1"/>
  <c r="G470" i="62"/>
  <c r="G26" i="62" s="1"/>
  <c r="C24" i="67" l="1"/>
  <c r="C126" i="67"/>
  <c r="C114" i="67"/>
  <c r="C100" i="67"/>
  <c r="L56" i="13"/>
  <c r="K56" i="13"/>
  <c r="J56" i="13"/>
  <c r="H56" i="13"/>
  <c r="I56" i="13"/>
  <c r="L83" i="18"/>
  <c r="K83" i="18"/>
  <c r="J83" i="18"/>
  <c r="I83" i="18"/>
  <c r="H83" i="18"/>
  <c r="G83" i="18"/>
  <c r="F83" i="18"/>
  <c r="J470" i="62" l="1"/>
  <c r="J26" i="62" s="1"/>
  <c r="I470" i="62"/>
  <c r="I26" i="62" s="1"/>
  <c r="L30" i="18" l="1"/>
  <c r="L73" i="67" s="1"/>
  <c r="K30" i="18"/>
  <c r="K73" i="67" s="1"/>
  <c r="J30" i="18"/>
  <c r="J73" i="67" s="1"/>
  <c r="I30" i="18"/>
  <c r="I73" i="67" s="1"/>
  <c r="H30" i="18"/>
  <c r="H73" i="67" s="1"/>
  <c r="G30" i="18"/>
  <c r="G73" i="67" s="1"/>
  <c r="F30" i="18"/>
  <c r="F73" i="67" s="1"/>
  <c r="C142" i="13"/>
  <c r="C141" i="13"/>
  <c r="C140" i="13"/>
  <c r="C139" i="13"/>
  <c r="C138" i="13"/>
  <c r="C137" i="13"/>
  <c r="C133" i="13"/>
  <c r="F181" i="61"/>
  <c r="F184" i="61" s="1"/>
  <c r="F50" i="18" s="1"/>
  <c r="I107" i="67" l="1"/>
  <c r="J107" i="67"/>
  <c r="K107" i="67"/>
  <c r="G107" i="67"/>
  <c r="H107" i="67"/>
  <c r="L107" i="67"/>
  <c r="D30" i="18"/>
  <c r="C30" i="18"/>
  <c r="C107" i="67" l="1"/>
  <c r="F197" i="61"/>
  <c r="L197" i="61"/>
  <c r="L90" i="61" s="1"/>
  <c r="K197" i="61"/>
  <c r="K90" i="61" s="1"/>
  <c r="J197" i="61"/>
  <c r="J90" i="61" s="1"/>
  <c r="I197" i="61"/>
  <c r="I90" i="61" s="1"/>
  <c r="H197" i="61"/>
  <c r="G197" i="61"/>
  <c r="G90" i="61" l="1"/>
  <c r="C45" i="38"/>
  <c r="C197" i="61"/>
  <c r="H90" i="61"/>
  <c r="A4" i="66"/>
  <c r="G32" i="46" l="1"/>
  <c r="E29" i="46"/>
  <c r="E28" i="46" l="1"/>
  <c r="E7" i="39"/>
  <c r="I12" i="48"/>
  <c r="G10" i="13"/>
  <c r="F10" i="45" l="1"/>
  <c r="C80" i="62"/>
  <c r="G11" i="13"/>
  <c r="H10" i="13" l="1"/>
  <c r="H11" i="13" s="1"/>
  <c r="G15" i="41"/>
  <c r="I10" i="13" l="1"/>
  <c r="I11" i="13" s="1"/>
  <c r="E14" i="41"/>
  <c r="F15" i="41"/>
  <c r="AJ55" i="47" a="1"/>
  <c r="AJ55" i="47" s="1"/>
  <c r="AJ54" i="47" a="1"/>
  <c r="AJ54" i="47" s="1"/>
  <c r="AJ53" i="47" a="1"/>
  <c r="AJ53" i="47" s="1"/>
  <c r="AJ52" i="47" a="1"/>
  <c r="AJ52" i="47" s="1"/>
  <c r="AJ51" i="47" a="1"/>
  <c r="AJ51" i="47" s="1"/>
  <c r="AJ50" i="47" a="1"/>
  <c r="AJ50" i="47" s="1"/>
  <c r="AJ49" i="47" a="1"/>
  <c r="AJ49" i="47" s="1"/>
  <c r="AJ48" i="47" a="1"/>
  <c r="AJ48" i="47" s="1"/>
  <c r="AJ47" i="47" a="1"/>
  <c r="AJ47" i="47" s="1"/>
  <c r="AJ46" i="47" a="1"/>
  <c r="AJ46" i="47" s="1"/>
  <c r="AJ45" i="47" a="1"/>
  <c r="AJ45" i="47" s="1"/>
  <c r="AJ44" i="47" a="1"/>
  <c r="AJ44" i="47" s="1"/>
  <c r="AJ43" i="47" a="1"/>
  <c r="AJ43" i="47" s="1"/>
  <c r="AJ42" i="47" a="1"/>
  <c r="AJ42" i="47" s="1"/>
  <c r="AJ41" i="47" a="1"/>
  <c r="AJ41" i="47" s="1"/>
  <c r="AJ40" i="47" a="1"/>
  <c r="AJ40" i="47" s="1"/>
  <c r="AJ39" i="47" a="1"/>
  <c r="AJ39" i="47" s="1"/>
  <c r="AJ38" i="47" a="1"/>
  <c r="AJ38" i="47" s="1"/>
  <c r="AJ37" i="47" a="1"/>
  <c r="AJ37" i="47" s="1"/>
  <c r="AJ36" i="47" a="1"/>
  <c r="AJ36" i="47" s="1"/>
  <c r="AJ35" i="47" a="1"/>
  <c r="AJ35" i="47" s="1"/>
  <c r="AJ34" i="47" a="1"/>
  <c r="AJ34" i="47" s="1"/>
  <c r="AJ33" i="47" a="1"/>
  <c r="AJ33" i="47" s="1"/>
  <c r="AJ32" i="47" a="1"/>
  <c r="AJ32" i="47" s="1"/>
  <c r="AJ31" i="47" a="1"/>
  <c r="AJ31" i="47" s="1"/>
  <c r="AJ30" i="47" a="1"/>
  <c r="AJ30" i="47" s="1"/>
  <c r="AJ29" i="47" a="1"/>
  <c r="AJ29" i="47" s="1"/>
  <c r="AJ28" i="47" a="1"/>
  <c r="AJ28" i="47" s="1"/>
  <c r="AJ27" i="47" a="1"/>
  <c r="AJ27" i="47" s="1"/>
  <c r="AJ26" i="47" a="1"/>
  <c r="AJ26" i="47" s="1"/>
  <c r="AJ21" i="47" a="1"/>
  <c r="AJ21" i="47" s="1"/>
  <c r="AJ20" i="47" a="1"/>
  <c r="AJ20" i="47" s="1"/>
  <c r="AJ19" i="47" a="1"/>
  <c r="AJ19" i="47" s="1"/>
  <c r="AJ18" i="47" a="1"/>
  <c r="AJ18" i="47" s="1"/>
  <c r="AJ17" i="47" a="1"/>
  <c r="AJ17" i="47" s="1"/>
  <c r="AJ16" i="47" a="1"/>
  <c r="AJ16" i="47" s="1"/>
  <c r="AJ15" i="47" a="1"/>
  <c r="AJ15" i="47" s="1"/>
  <c r="AJ14" i="47" a="1"/>
  <c r="AJ14" i="47" s="1"/>
  <c r="AJ13" i="47" a="1"/>
  <c r="AJ13" i="47" s="1"/>
  <c r="AJ12" i="47" a="1"/>
  <c r="AJ12" i="47" s="1"/>
  <c r="AJ11" i="47" a="1"/>
  <c r="AJ11" i="47" s="1"/>
  <c r="AJ10" i="47" a="1"/>
  <c r="AJ10" i="47" s="1"/>
  <c r="AJ9" i="47" a="1"/>
  <c r="AJ9" i="47" s="1"/>
  <c r="AJ7" i="47" a="1"/>
  <c r="AJ7" i="47" s="1"/>
  <c r="AJ6" i="47" a="1"/>
  <c r="AJ6" i="47" s="1"/>
  <c r="AJ5" i="47" a="1"/>
  <c r="AJ5" i="47" s="1"/>
  <c r="AJ4" i="47" a="1"/>
  <c r="AJ4" i="47" s="1"/>
  <c r="AJ3" i="47" a="1"/>
  <c r="AJ3" i="47" s="1"/>
  <c r="AJ2" i="47" a="1"/>
  <c r="AJ2" i="47" s="1"/>
  <c r="AJ1" i="47" a="1"/>
  <c r="AJ1" i="47" s="1"/>
  <c r="AI55" i="47" a="1"/>
  <c r="AI55" i="47" s="1"/>
  <c r="AI54" i="47" a="1"/>
  <c r="AI54" i="47" s="1"/>
  <c r="AI53" i="47" a="1"/>
  <c r="AI53" i="47" s="1"/>
  <c r="AI52" i="47" a="1"/>
  <c r="AI52" i="47" s="1"/>
  <c r="AI51" i="47" a="1"/>
  <c r="AI51" i="47" s="1"/>
  <c r="AI50" i="47" a="1"/>
  <c r="AI50" i="47" s="1"/>
  <c r="AI49" i="47" a="1"/>
  <c r="AI49" i="47" s="1"/>
  <c r="AI48" i="47" a="1"/>
  <c r="AI48" i="47" s="1"/>
  <c r="AI47" i="47" a="1"/>
  <c r="AI47" i="47" s="1"/>
  <c r="AI46" i="47" a="1"/>
  <c r="AI46" i="47" s="1"/>
  <c r="AI45" i="47" a="1"/>
  <c r="AI45" i="47" s="1"/>
  <c r="AI44" i="47" a="1"/>
  <c r="AI44" i="47" s="1"/>
  <c r="AI43" i="47" a="1"/>
  <c r="AI43" i="47" s="1"/>
  <c r="AI42" i="47" a="1"/>
  <c r="AI42" i="47" s="1"/>
  <c r="AI41" i="47" a="1"/>
  <c r="AI41" i="47" s="1"/>
  <c r="AI40" i="47" a="1"/>
  <c r="AI40" i="47" s="1"/>
  <c r="AI39" i="47" a="1"/>
  <c r="AI39" i="47" s="1"/>
  <c r="AI38" i="47" a="1"/>
  <c r="AI38" i="47" s="1"/>
  <c r="AI37" i="47" a="1"/>
  <c r="AI37" i="47" s="1"/>
  <c r="AI36" i="47" a="1"/>
  <c r="AI36" i="47" s="1"/>
  <c r="AI35" i="47" a="1"/>
  <c r="AI35" i="47" s="1"/>
  <c r="AI34" i="47" a="1"/>
  <c r="AI34" i="47" s="1"/>
  <c r="AI33" i="47" a="1"/>
  <c r="AI33" i="47" s="1"/>
  <c r="AI32" i="47" a="1"/>
  <c r="AI32" i="47" s="1"/>
  <c r="AI31" i="47" a="1"/>
  <c r="AI31" i="47" s="1"/>
  <c r="AI30" i="47" a="1"/>
  <c r="AI30" i="47" s="1"/>
  <c r="AI29" i="47" a="1"/>
  <c r="AI29" i="47" s="1"/>
  <c r="AI28" i="47" a="1"/>
  <c r="AI28" i="47" s="1"/>
  <c r="AI27" i="47" a="1"/>
  <c r="AI27" i="47" s="1"/>
  <c r="AI26" i="47" a="1"/>
  <c r="AI26" i="47" s="1"/>
  <c r="AI21" i="47" a="1"/>
  <c r="AI21" i="47" s="1"/>
  <c r="AI20" i="47" a="1"/>
  <c r="AI20" i="47" s="1"/>
  <c r="AI19" i="47" a="1"/>
  <c r="AI19" i="47" s="1"/>
  <c r="AI18" i="47" a="1"/>
  <c r="AI18" i="47" s="1"/>
  <c r="AI17" i="47" a="1"/>
  <c r="AI17" i="47" s="1"/>
  <c r="AI16" i="47" a="1"/>
  <c r="AI16" i="47" s="1"/>
  <c r="AI15" i="47" a="1"/>
  <c r="AI15" i="47" s="1"/>
  <c r="AI14" i="47" a="1"/>
  <c r="AI14" i="47" s="1"/>
  <c r="AI13" i="47" a="1"/>
  <c r="AI13" i="47" s="1"/>
  <c r="AI12" i="47" a="1"/>
  <c r="AI12" i="47" s="1"/>
  <c r="AI11" i="47" a="1"/>
  <c r="AI11" i="47" s="1"/>
  <c r="AI10" i="47" a="1"/>
  <c r="AI10" i="47" s="1"/>
  <c r="AI9" i="47" a="1"/>
  <c r="AI9" i="47" s="1"/>
  <c r="AI7" i="47" a="1"/>
  <c r="AI7" i="47" s="1"/>
  <c r="AI6" i="47" a="1"/>
  <c r="AI6" i="47" s="1"/>
  <c r="AI5" i="47" a="1"/>
  <c r="AI5" i="47" s="1"/>
  <c r="AI4" i="47" a="1"/>
  <c r="AI4" i="47" s="1"/>
  <c r="AI3" i="47" a="1"/>
  <c r="AI3" i="47" s="1"/>
  <c r="AI2" i="47" a="1"/>
  <c r="AI2" i="47" s="1"/>
  <c r="AI1" i="47" a="1"/>
  <c r="AI1" i="47" s="1"/>
  <c r="AH55" i="47" a="1"/>
  <c r="AH55" i="47" s="1"/>
  <c r="AH54" i="47" a="1"/>
  <c r="AH54" i="47" s="1"/>
  <c r="AH53" i="47" a="1"/>
  <c r="AH53" i="47" s="1"/>
  <c r="AH52" i="47" a="1"/>
  <c r="AH52" i="47" s="1"/>
  <c r="AH51" i="47" a="1"/>
  <c r="AH51" i="47" s="1"/>
  <c r="AH50" i="47" a="1"/>
  <c r="AH50" i="47" s="1"/>
  <c r="AH49" i="47" a="1"/>
  <c r="AH49" i="47" s="1"/>
  <c r="AH48" i="47" a="1"/>
  <c r="AH48" i="47" s="1"/>
  <c r="AH47" i="47" a="1"/>
  <c r="AH47" i="47" s="1"/>
  <c r="AH46" i="47" a="1"/>
  <c r="AH46" i="47" s="1"/>
  <c r="AH45" i="47" a="1"/>
  <c r="AH45" i="47" s="1"/>
  <c r="AH44" i="47" a="1"/>
  <c r="AH44" i="47" s="1"/>
  <c r="AH43" i="47" a="1"/>
  <c r="AH43" i="47" s="1"/>
  <c r="AH42" i="47" a="1"/>
  <c r="AH42" i="47" s="1"/>
  <c r="AH41" i="47" a="1"/>
  <c r="AH41" i="47" s="1"/>
  <c r="AH40" i="47" a="1"/>
  <c r="AH40" i="47" s="1"/>
  <c r="AH39" i="47" a="1"/>
  <c r="AH39" i="47" s="1"/>
  <c r="AH38" i="47" a="1"/>
  <c r="AH38" i="47" s="1"/>
  <c r="AH37" i="47" a="1"/>
  <c r="AH37" i="47" s="1"/>
  <c r="AH36" i="47" a="1"/>
  <c r="AH36" i="47" s="1"/>
  <c r="AH35" i="47" a="1"/>
  <c r="AH35" i="47" s="1"/>
  <c r="AH34" i="47" a="1"/>
  <c r="AH34" i="47" s="1"/>
  <c r="AH33" i="47" a="1"/>
  <c r="AH33" i="47" s="1"/>
  <c r="AH32" i="47" a="1"/>
  <c r="AH32" i="47" s="1"/>
  <c r="AH31" i="47" a="1"/>
  <c r="AH31" i="47" s="1"/>
  <c r="AH30" i="47" a="1"/>
  <c r="AH30" i="47" s="1"/>
  <c r="AH29" i="47" a="1"/>
  <c r="AH29" i="47" s="1"/>
  <c r="AH28" i="47" a="1"/>
  <c r="AH28" i="47" s="1"/>
  <c r="AH27" i="47" a="1"/>
  <c r="AH27" i="47" s="1"/>
  <c r="AH26" i="47" a="1"/>
  <c r="AH26" i="47" s="1"/>
  <c r="AH21" i="47" a="1"/>
  <c r="AH21" i="47" s="1"/>
  <c r="AH20" i="47" a="1"/>
  <c r="AH20" i="47" s="1"/>
  <c r="AH19" i="47" a="1"/>
  <c r="AH19" i="47" s="1"/>
  <c r="AH18" i="47" a="1"/>
  <c r="AH18" i="47" s="1"/>
  <c r="AH17" i="47" a="1"/>
  <c r="AH17" i="47" s="1"/>
  <c r="AH16" i="47" a="1"/>
  <c r="AH16" i="47" s="1"/>
  <c r="AH15" i="47" a="1"/>
  <c r="AH15" i="47" s="1"/>
  <c r="AH14" i="47" a="1"/>
  <c r="AH14" i="47" s="1"/>
  <c r="AH13" i="47" a="1"/>
  <c r="AH13" i="47" s="1"/>
  <c r="AH12" i="47" a="1"/>
  <c r="AH12" i="47" s="1"/>
  <c r="AH11" i="47" a="1"/>
  <c r="AH11" i="47" s="1"/>
  <c r="AH10" i="47" a="1"/>
  <c r="AH10" i="47" s="1"/>
  <c r="AH9" i="47" a="1"/>
  <c r="AH9" i="47" s="1"/>
  <c r="AH7" i="47" a="1"/>
  <c r="AH7" i="47" s="1"/>
  <c r="AH6" i="47" a="1"/>
  <c r="AH6" i="47" s="1"/>
  <c r="AH5" i="47" a="1"/>
  <c r="AH5" i="47" s="1"/>
  <c r="AH4" i="47" a="1"/>
  <c r="AH4" i="47" s="1"/>
  <c r="AH3" i="47" a="1"/>
  <c r="AH3" i="47" s="1"/>
  <c r="AH2" i="47" a="1"/>
  <c r="AH2" i="47" s="1"/>
  <c r="AH1" i="47" a="1"/>
  <c r="AH1" i="47" s="1"/>
  <c r="AG55" i="47" a="1"/>
  <c r="AG55" i="47" s="1"/>
  <c r="AG54" i="47" a="1"/>
  <c r="AG54" i="47" s="1"/>
  <c r="AG53" i="47" a="1"/>
  <c r="AG53" i="47" s="1"/>
  <c r="AG52" i="47" a="1"/>
  <c r="AG52" i="47" s="1"/>
  <c r="AG51" i="47" a="1"/>
  <c r="AG51" i="47" s="1"/>
  <c r="AG50" i="47" a="1"/>
  <c r="AG50" i="47" s="1"/>
  <c r="AG49" i="47" a="1"/>
  <c r="AG49" i="47" s="1"/>
  <c r="AG48" i="47" a="1"/>
  <c r="AG48" i="47" s="1"/>
  <c r="AG47" i="47" a="1"/>
  <c r="AG47" i="47" s="1"/>
  <c r="AG46" i="47" a="1"/>
  <c r="AG46" i="47" s="1"/>
  <c r="AG45" i="47" a="1"/>
  <c r="AG45" i="47" s="1"/>
  <c r="AG44" i="47" a="1"/>
  <c r="AG44" i="47" s="1"/>
  <c r="AG43" i="47" a="1"/>
  <c r="AG43" i="47" s="1"/>
  <c r="AG42" i="47" a="1"/>
  <c r="AG42" i="47" s="1"/>
  <c r="AG41" i="47" a="1"/>
  <c r="AG41" i="47" s="1"/>
  <c r="AG40" i="47" a="1"/>
  <c r="AG40" i="47" s="1"/>
  <c r="AG39" i="47" a="1"/>
  <c r="AG39" i="47" s="1"/>
  <c r="AG38" i="47" a="1"/>
  <c r="AG38" i="47" s="1"/>
  <c r="AG37" i="47" a="1"/>
  <c r="AG37" i="47" s="1"/>
  <c r="AG36" i="47" a="1"/>
  <c r="AG36" i="47" s="1"/>
  <c r="AG35" i="47" a="1"/>
  <c r="AG35" i="47" s="1"/>
  <c r="AG34" i="47" a="1"/>
  <c r="AG34" i="47" s="1"/>
  <c r="AG33" i="47" a="1"/>
  <c r="AG33" i="47" s="1"/>
  <c r="AG32" i="47" a="1"/>
  <c r="AG32" i="47" s="1"/>
  <c r="AG31" i="47" a="1"/>
  <c r="AG31" i="47" s="1"/>
  <c r="AG30" i="47" a="1"/>
  <c r="AG30" i="47" s="1"/>
  <c r="AG29" i="47" a="1"/>
  <c r="AG29" i="47" s="1"/>
  <c r="AG28" i="47" a="1"/>
  <c r="AG28" i="47" s="1"/>
  <c r="AG27" i="47" a="1"/>
  <c r="AG27" i="47" s="1"/>
  <c r="AG26" i="47" a="1"/>
  <c r="AG26" i="47" s="1"/>
  <c r="AG21" i="47" a="1"/>
  <c r="AG21" i="47" s="1"/>
  <c r="AG20" i="47" a="1"/>
  <c r="AG20" i="47" s="1"/>
  <c r="AG19" i="47" a="1"/>
  <c r="AG19" i="47" s="1"/>
  <c r="AG18" i="47" a="1"/>
  <c r="AG18" i="47" s="1"/>
  <c r="AG17" i="47" a="1"/>
  <c r="AG17" i="47" s="1"/>
  <c r="AG16" i="47" a="1"/>
  <c r="AG16" i="47" s="1"/>
  <c r="AG15" i="47" a="1"/>
  <c r="AG15" i="47" s="1"/>
  <c r="AG14" i="47" a="1"/>
  <c r="AG14" i="47" s="1"/>
  <c r="AG13" i="47" a="1"/>
  <c r="AG13" i="47" s="1"/>
  <c r="AG12" i="47" a="1"/>
  <c r="AG12" i="47" s="1"/>
  <c r="AG11" i="47" a="1"/>
  <c r="AG11" i="47" s="1"/>
  <c r="AG10" i="47" a="1"/>
  <c r="AG10" i="47" s="1"/>
  <c r="AG9" i="47" a="1"/>
  <c r="AG9" i="47" s="1"/>
  <c r="AG7" i="47" a="1"/>
  <c r="AG7" i="47" s="1"/>
  <c r="AG6" i="47" a="1"/>
  <c r="AG6" i="47" s="1"/>
  <c r="AG5" i="47" a="1"/>
  <c r="AG5" i="47" s="1"/>
  <c r="AG4" i="47" a="1"/>
  <c r="AG4" i="47" s="1"/>
  <c r="AG3" i="47" a="1"/>
  <c r="AG3" i="47" s="1"/>
  <c r="AG2" i="47" a="1"/>
  <c r="AG2" i="47" s="1"/>
  <c r="AG1" i="47" a="1"/>
  <c r="AG1" i="47" s="1"/>
  <c r="AF55" i="47" a="1"/>
  <c r="AF55" i="47" s="1"/>
  <c r="AF54" i="47" a="1"/>
  <c r="AF54" i="47" s="1"/>
  <c r="AF53" i="47" a="1"/>
  <c r="AF53" i="47" s="1"/>
  <c r="AF52" i="47" a="1"/>
  <c r="AF52" i="47" s="1"/>
  <c r="AF51" i="47" a="1"/>
  <c r="AF51" i="47" s="1"/>
  <c r="AF50" i="47" a="1"/>
  <c r="AF50" i="47" s="1"/>
  <c r="AF49" i="47" a="1"/>
  <c r="AF49" i="47" s="1"/>
  <c r="AF48" i="47" a="1"/>
  <c r="AF48" i="47" s="1"/>
  <c r="AF47" i="47" a="1"/>
  <c r="AF47" i="47" s="1"/>
  <c r="AF46" i="47" a="1"/>
  <c r="AF46" i="47" s="1"/>
  <c r="AF45" i="47" a="1"/>
  <c r="AF45" i="47" s="1"/>
  <c r="AF44" i="47" a="1"/>
  <c r="AF44" i="47" s="1"/>
  <c r="AF43" i="47" a="1"/>
  <c r="AF43" i="47" s="1"/>
  <c r="AF42" i="47" a="1"/>
  <c r="AF42" i="47" s="1"/>
  <c r="AF41" i="47" a="1"/>
  <c r="AF41" i="47" s="1"/>
  <c r="AF40" i="47" a="1"/>
  <c r="AF40" i="47" s="1"/>
  <c r="AF39" i="47" a="1"/>
  <c r="AF39" i="47" s="1"/>
  <c r="AF38" i="47" a="1"/>
  <c r="AF38" i="47" s="1"/>
  <c r="AF37" i="47" a="1"/>
  <c r="AF37" i="47" s="1"/>
  <c r="AF36" i="47" a="1"/>
  <c r="AF36" i="47" s="1"/>
  <c r="AF35" i="47" a="1"/>
  <c r="AF35" i="47" s="1"/>
  <c r="AF34" i="47" a="1"/>
  <c r="AF34" i="47" s="1"/>
  <c r="AF33" i="47" a="1"/>
  <c r="AF33" i="47" s="1"/>
  <c r="AF32" i="47" a="1"/>
  <c r="AF32" i="47" s="1"/>
  <c r="AF31" i="47" a="1"/>
  <c r="AF31" i="47" s="1"/>
  <c r="AF30" i="47" a="1"/>
  <c r="AF30" i="47" s="1"/>
  <c r="AF29" i="47" a="1"/>
  <c r="AF29" i="47" s="1"/>
  <c r="AF28" i="47" a="1"/>
  <c r="AF28" i="47" s="1"/>
  <c r="AF27" i="47" a="1"/>
  <c r="AF27" i="47" s="1"/>
  <c r="AF26" i="47" a="1"/>
  <c r="AF26" i="47" s="1"/>
  <c r="AF21" i="47" a="1"/>
  <c r="AF21" i="47" s="1"/>
  <c r="AF20" i="47" a="1"/>
  <c r="AF20" i="47" s="1"/>
  <c r="AF19" i="47" a="1"/>
  <c r="AF19" i="47" s="1"/>
  <c r="AF18" i="47" a="1"/>
  <c r="AF18" i="47" s="1"/>
  <c r="AF17" i="47" a="1"/>
  <c r="AF17" i="47" s="1"/>
  <c r="AF16" i="47" a="1"/>
  <c r="AF16" i="47" s="1"/>
  <c r="AF15" i="47" a="1"/>
  <c r="AF15" i="47" s="1"/>
  <c r="AF14" i="47" a="1"/>
  <c r="AF14" i="47" s="1"/>
  <c r="AF13" i="47" a="1"/>
  <c r="AF13" i="47" s="1"/>
  <c r="AF12" i="47" a="1"/>
  <c r="AF12" i="47" s="1"/>
  <c r="AF11" i="47" a="1"/>
  <c r="AF11" i="47" s="1"/>
  <c r="AF10" i="47" a="1"/>
  <c r="AF10" i="47" s="1"/>
  <c r="AF9" i="47" a="1"/>
  <c r="AF9" i="47" s="1"/>
  <c r="AF7" i="47" a="1"/>
  <c r="AF7" i="47" s="1"/>
  <c r="AF6" i="47" a="1"/>
  <c r="AF6" i="47" s="1"/>
  <c r="AF5" i="47" a="1"/>
  <c r="AF5" i="47" s="1"/>
  <c r="AF4" i="47" a="1"/>
  <c r="AF4" i="47" s="1"/>
  <c r="AF3" i="47" a="1"/>
  <c r="AF3" i="47" s="1"/>
  <c r="AF2" i="47" a="1"/>
  <c r="AF2" i="47" s="1"/>
  <c r="AF1" i="47" a="1"/>
  <c r="AF1" i="47" s="1"/>
  <c r="AE55" i="47" a="1"/>
  <c r="AE55" i="47" s="1"/>
  <c r="AE54" i="47" a="1"/>
  <c r="AE54" i="47" s="1"/>
  <c r="AE53" i="47" a="1"/>
  <c r="AE53" i="47" s="1"/>
  <c r="AE52" i="47" a="1"/>
  <c r="AE52" i="47" s="1"/>
  <c r="AE51" i="47" a="1"/>
  <c r="AE51" i="47" s="1"/>
  <c r="AE50" i="47" a="1"/>
  <c r="AE50" i="47" s="1"/>
  <c r="AE49" i="47" a="1"/>
  <c r="AE49" i="47" s="1"/>
  <c r="AE48" i="47" a="1"/>
  <c r="AE48" i="47" s="1"/>
  <c r="AE47" i="47" a="1"/>
  <c r="AE47" i="47" s="1"/>
  <c r="AE46" i="47" a="1"/>
  <c r="AE46" i="47" s="1"/>
  <c r="AE45" i="47" a="1"/>
  <c r="AE45" i="47" s="1"/>
  <c r="AE44" i="47" a="1"/>
  <c r="AE44" i="47" s="1"/>
  <c r="AE43" i="47" a="1"/>
  <c r="AE43" i="47" s="1"/>
  <c r="AE42" i="47" a="1"/>
  <c r="AE42" i="47" s="1"/>
  <c r="AE41" i="47" a="1"/>
  <c r="AE41" i="47" s="1"/>
  <c r="AE40" i="47" a="1"/>
  <c r="AE40" i="47" s="1"/>
  <c r="AE39" i="47" a="1"/>
  <c r="AE39" i="47" s="1"/>
  <c r="AE38" i="47" a="1"/>
  <c r="AE38" i="47" s="1"/>
  <c r="AE37" i="47" a="1"/>
  <c r="AE37" i="47" s="1"/>
  <c r="AE36" i="47" a="1"/>
  <c r="AE36" i="47" s="1"/>
  <c r="AE35" i="47" a="1"/>
  <c r="AE35" i="47" s="1"/>
  <c r="AE34" i="47" a="1"/>
  <c r="AE34" i="47" s="1"/>
  <c r="AE33" i="47" a="1"/>
  <c r="AE33" i="47" s="1"/>
  <c r="AE32" i="47" a="1"/>
  <c r="AE32" i="47" s="1"/>
  <c r="AE31" i="47" a="1"/>
  <c r="AE31" i="47" s="1"/>
  <c r="AE30" i="47" a="1"/>
  <c r="AE30" i="47" s="1"/>
  <c r="AE29" i="47" a="1"/>
  <c r="AE29" i="47" s="1"/>
  <c r="AE28" i="47" a="1"/>
  <c r="AE28" i="47" s="1"/>
  <c r="AE27" i="47" a="1"/>
  <c r="AE27" i="47" s="1"/>
  <c r="AE26" i="47" a="1"/>
  <c r="AE26" i="47" s="1"/>
  <c r="AE21" i="47" a="1"/>
  <c r="AE21" i="47" s="1"/>
  <c r="AE20" i="47" a="1"/>
  <c r="AE20" i="47" s="1"/>
  <c r="AE19" i="47" a="1"/>
  <c r="AE19" i="47" s="1"/>
  <c r="AE18" i="47" a="1"/>
  <c r="AE18" i="47" s="1"/>
  <c r="AE17" i="47" a="1"/>
  <c r="AE17" i="47" s="1"/>
  <c r="AE16" i="47" a="1"/>
  <c r="AE16" i="47" s="1"/>
  <c r="AE15" i="47" a="1"/>
  <c r="AE15" i="47" s="1"/>
  <c r="AE14" i="47" a="1"/>
  <c r="AE14" i="47" s="1"/>
  <c r="AE13" i="47" a="1"/>
  <c r="AE13" i="47" s="1"/>
  <c r="AE12" i="47" a="1"/>
  <c r="AE12" i="47" s="1"/>
  <c r="AE11" i="47" a="1"/>
  <c r="AE11" i="47" s="1"/>
  <c r="AE10" i="47" a="1"/>
  <c r="AE10" i="47" s="1"/>
  <c r="AE9" i="47" a="1"/>
  <c r="AE9" i="47" s="1"/>
  <c r="AE7" i="47" a="1"/>
  <c r="AE7" i="47" s="1"/>
  <c r="AE6" i="47" a="1"/>
  <c r="AE6" i="47" s="1"/>
  <c r="AE5" i="47" a="1"/>
  <c r="AE5" i="47" s="1"/>
  <c r="AE4" i="47" a="1"/>
  <c r="AE4" i="47" s="1"/>
  <c r="AE3" i="47" a="1"/>
  <c r="AE3" i="47" s="1"/>
  <c r="AE2" i="47" a="1"/>
  <c r="AE2" i="47" s="1"/>
  <c r="AE1" i="47" a="1"/>
  <c r="AE1" i="47" s="1"/>
  <c r="AD55" i="47" a="1"/>
  <c r="AD55" i="47" s="1"/>
  <c r="AD54" i="47" a="1"/>
  <c r="AD54" i="47" s="1"/>
  <c r="AD53" i="47" a="1"/>
  <c r="AD53" i="47" s="1"/>
  <c r="AD52" i="47" a="1"/>
  <c r="AD52" i="47" s="1"/>
  <c r="AD51" i="47" a="1"/>
  <c r="AD51" i="47" s="1"/>
  <c r="AD50" i="47" a="1"/>
  <c r="AD50" i="47" s="1"/>
  <c r="AD49" i="47" a="1"/>
  <c r="AD49" i="47" s="1"/>
  <c r="AD48" i="47" a="1"/>
  <c r="AD48" i="47" s="1"/>
  <c r="AD47" i="47" a="1"/>
  <c r="AD47" i="47" s="1"/>
  <c r="AD46" i="47" a="1"/>
  <c r="AD46" i="47" s="1"/>
  <c r="AD45" i="47" a="1"/>
  <c r="AD45" i="47" s="1"/>
  <c r="AD44" i="47" a="1"/>
  <c r="AD44" i="47" s="1"/>
  <c r="AD43" i="47" a="1"/>
  <c r="AD43" i="47" s="1"/>
  <c r="AD42" i="47" a="1"/>
  <c r="AD42" i="47" s="1"/>
  <c r="AD41" i="47" a="1"/>
  <c r="AD41" i="47" s="1"/>
  <c r="AD40" i="47" a="1"/>
  <c r="AD40" i="47" s="1"/>
  <c r="AD39" i="47" a="1"/>
  <c r="AD39" i="47" s="1"/>
  <c r="AD38" i="47" a="1"/>
  <c r="AD38" i="47" s="1"/>
  <c r="AD37" i="47" a="1"/>
  <c r="AD37" i="47" s="1"/>
  <c r="AD36" i="47" a="1"/>
  <c r="AD36" i="47" s="1"/>
  <c r="AD35" i="47" a="1"/>
  <c r="AD35" i="47" s="1"/>
  <c r="AD34" i="47" a="1"/>
  <c r="AD34" i="47" s="1"/>
  <c r="AD33" i="47" a="1"/>
  <c r="AD33" i="47" s="1"/>
  <c r="AD32" i="47" a="1"/>
  <c r="AD32" i="47" s="1"/>
  <c r="AD31" i="47" a="1"/>
  <c r="AD31" i="47" s="1"/>
  <c r="AD30" i="47" a="1"/>
  <c r="AD30" i="47" s="1"/>
  <c r="AD29" i="47" a="1"/>
  <c r="AD29" i="47" s="1"/>
  <c r="AD28" i="47" a="1"/>
  <c r="AD28" i="47" s="1"/>
  <c r="AD27" i="47" a="1"/>
  <c r="AD27" i="47" s="1"/>
  <c r="AD26" i="47" a="1"/>
  <c r="AD26" i="47" s="1"/>
  <c r="AD21" i="47" a="1"/>
  <c r="AD21" i="47" s="1"/>
  <c r="AD20" i="47" a="1"/>
  <c r="AD20" i="47" s="1"/>
  <c r="AD19" i="47" a="1"/>
  <c r="AD19" i="47" s="1"/>
  <c r="AD18" i="47" a="1"/>
  <c r="AD18" i="47" s="1"/>
  <c r="AD17" i="47" a="1"/>
  <c r="AD17" i="47" s="1"/>
  <c r="AD16" i="47" a="1"/>
  <c r="AD16" i="47" s="1"/>
  <c r="AD15" i="47" a="1"/>
  <c r="AD15" i="47" s="1"/>
  <c r="AD14" i="47" a="1"/>
  <c r="AD14" i="47" s="1"/>
  <c r="AD13" i="47" a="1"/>
  <c r="AD13" i="47" s="1"/>
  <c r="AD12" i="47" a="1"/>
  <c r="AD12" i="47" s="1"/>
  <c r="AD11" i="47" a="1"/>
  <c r="AD11" i="47" s="1"/>
  <c r="AD10" i="47" a="1"/>
  <c r="AD10" i="47" s="1"/>
  <c r="AD9" i="47" a="1"/>
  <c r="AD9" i="47" s="1"/>
  <c r="AD7" i="47" a="1"/>
  <c r="AD7" i="47" s="1"/>
  <c r="AD6" i="47" a="1"/>
  <c r="AD6" i="47" s="1"/>
  <c r="AD5" i="47" a="1"/>
  <c r="AD5" i="47" s="1"/>
  <c r="AD4" i="47" a="1"/>
  <c r="AD4" i="47" s="1"/>
  <c r="AD3" i="47" a="1"/>
  <c r="AD3" i="47" s="1"/>
  <c r="AD2" i="47" a="1"/>
  <c r="AD2" i="47" s="1"/>
  <c r="AD1" i="47" a="1"/>
  <c r="AD1" i="47" s="1"/>
  <c r="AC55" i="47" a="1"/>
  <c r="AC55" i="47" s="1"/>
  <c r="AC54" i="47" a="1"/>
  <c r="AC54" i="47" s="1"/>
  <c r="AC53" i="47" a="1"/>
  <c r="AC53" i="47" s="1"/>
  <c r="AC52" i="47" a="1"/>
  <c r="AC52" i="47" s="1"/>
  <c r="AC51" i="47" a="1"/>
  <c r="AC51" i="47" s="1"/>
  <c r="AC50" i="47" a="1"/>
  <c r="AC50" i="47" s="1"/>
  <c r="AC49" i="47" a="1"/>
  <c r="AC49" i="47" s="1"/>
  <c r="AC48" i="47" a="1"/>
  <c r="AC48" i="47" s="1"/>
  <c r="AC47" i="47" a="1"/>
  <c r="AC47" i="47" s="1"/>
  <c r="AC46" i="47" a="1"/>
  <c r="AC46" i="47" s="1"/>
  <c r="AC45" i="47" a="1"/>
  <c r="AC45" i="47" s="1"/>
  <c r="AC44" i="47" a="1"/>
  <c r="AC44" i="47" s="1"/>
  <c r="AC43" i="47" a="1"/>
  <c r="AC43" i="47" s="1"/>
  <c r="AC42" i="47" a="1"/>
  <c r="AC42" i="47" s="1"/>
  <c r="AC41" i="47" a="1"/>
  <c r="AC41" i="47" s="1"/>
  <c r="AC40" i="47" a="1"/>
  <c r="AC40" i="47" s="1"/>
  <c r="AC39" i="47" a="1"/>
  <c r="AC39" i="47" s="1"/>
  <c r="AC38" i="47" a="1"/>
  <c r="AC38" i="47" s="1"/>
  <c r="AC37" i="47" a="1"/>
  <c r="AC37" i="47" s="1"/>
  <c r="AC36" i="47" a="1"/>
  <c r="AC36" i="47" s="1"/>
  <c r="AC35" i="47" a="1"/>
  <c r="AC35" i="47" s="1"/>
  <c r="AC34" i="47" a="1"/>
  <c r="AC34" i="47" s="1"/>
  <c r="AC33" i="47" a="1"/>
  <c r="AC33" i="47" s="1"/>
  <c r="AC32" i="47" a="1"/>
  <c r="AC32" i="47" s="1"/>
  <c r="AC31" i="47" a="1"/>
  <c r="AC31" i="47" s="1"/>
  <c r="AC30" i="47" a="1"/>
  <c r="AC30" i="47" s="1"/>
  <c r="AC29" i="47" a="1"/>
  <c r="AC29" i="47" s="1"/>
  <c r="AC28" i="47" a="1"/>
  <c r="AC28" i="47" s="1"/>
  <c r="AC27" i="47" a="1"/>
  <c r="AC27" i="47" s="1"/>
  <c r="AC26" i="47" a="1"/>
  <c r="AC26" i="47" s="1"/>
  <c r="AC21" i="47" a="1"/>
  <c r="AC21" i="47" s="1"/>
  <c r="AC20" i="47" a="1"/>
  <c r="AC20" i="47" s="1"/>
  <c r="AC19" i="47" a="1"/>
  <c r="AC19" i="47" s="1"/>
  <c r="AC18" i="47" a="1"/>
  <c r="AC18" i="47" s="1"/>
  <c r="AC17" i="47" a="1"/>
  <c r="AC17" i="47" s="1"/>
  <c r="AC16" i="47" a="1"/>
  <c r="AC16" i="47" s="1"/>
  <c r="AC15" i="47" a="1"/>
  <c r="AC15" i="47" s="1"/>
  <c r="AC14" i="47" a="1"/>
  <c r="AC14" i="47" s="1"/>
  <c r="AC13" i="47" a="1"/>
  <c r="AC13" i="47" s="1"/>
  <c r="AC12" i="47" a="1"/>
  <c r="AC12" i="47" s="1"/>
  <c r="AC11" i="47" a="1"/>
  <c r="AC11" i="47" s="1"/>
  <c r="AC10" i="47" a="1"/>
  <c r="AC10" i="47" s="1"/>
  <c r="AC9" i="47" a="1"/>
  <c r="AC9" i="47" s="1"/>
  <c r="AC7" i="47" a="1"/>
  <c r="AC7" i="47" s="1"/>
  <c r="AC6" i="47" a="1"/>
  <c r="AC6" i="47" s="1"/>
  <c r="AC5" i="47" a="1"/>
  <c r="AC5" i="47" s="1"/>
  <c r="AC4" i="47" a="1"/>
  <c r="AC4" i="47" s="1"/>
  <c r="AC3" i="47" a="1"/>
  <c r="AC3" i="47" s="1"/>
  <c r="AC2" i="47" a="1"/>
  <c r="AC2" i="47" s="1"/>
  <c r="AC1" i="47" a="1"/>
  <c r="AC1" i="47" s="1"/>
  <c r="AB55" i="47" a="1"/>
  <c r="AB55" i="47" s="1"/>
  <c r="AA55" i="47" a="1"/>
  <c r="AA55" i="47" s="1"/>
  <c r="Z55" i="47" a="1"/>
  <c r="Z55" i="47" s="1"/>
  <c r="Y55" i="47" a="1"/>
  <c r="Y55" i="47" s="1"/>
  <c r="AB54" i="47" a="1"/>
  <c r="AB54" i="47" s="1"/>
  <c r="AA54" i="47" a="1"/>
  <c r="AA54" i="47" s="1"/>
  <c r="Z54" i="47" a="1"/>
  <c r="Z54" i="47" s="1"/>
  <c r="Y54" i="47" a="1"/>
  <c r="Y54" i="47" s="1"/>
  <c r="AB53" i="47" a="1"/>
  <c r="AB53" i="47" s="1"/>
  <c r="AA53" i="47" a="1"/>
  <c r="AA53" i="47" s="1"/>
  <c r="Z53" i="47" a="1"/>
  <c r="Z53" i="47" s="1"/>
  <c r="Y53" i="47" a="1"/>
  <c r="Y53" i="47" s="1"/>
  <c r="AB52" i="47" a="1"/>
  <c r="AB52" i="47" s="1"/>
  <c r="AA52" i="47" a="1"/>
  <c r="AA52" i="47" s="1"/>
  <c r="Z52" i="47" a="1"/>
  <c r="Z52" i="47" s="1"/>
  <c r="Y52" i="47" a="1"/>
  <c r="Y52" i="47" s="1"/>
  <c r="AB51" i="47" a="1"/>
  <c r="AB51" i="47" s="1"/>
  <c r="AA51" i="47" a="1"/>
  <c r="AA51" i="47" s="1"/>
  <c r="Z51" i="47" a="1"/>
  <c r="Z51" i="47" s="1"/>
  <c r="Y51" i="47" a="1"/>
  <c r="Y51" i="47" s="1"/>
  <c r="AB50" i="47" a="1"/>
  <c r="AB50" i="47" s="1"/>
  <c r="AA50" i="47" a="1"/>
  <c r="AA50" i="47" s="1"/>
  <c r="Z50" i="47" a="1"/>
  <c r="Z50" i="47" s="1"/>
  <c r="Y50" i="47" a="1"/>
  <c r="Y50" i="47" s="1"/>
  <c r="AB49" i="47" a="1"/>
  <c r="AB49" i="47" s="1"/>
  <c r="AA49" i="47" a="1"/>
  <c r="AA49" i="47" s="1"/>
  <c r="Z49" i="47" a="1"/>
  <c r="Z49" i="47" s="1"/>
  <c r="Y49" i="47" a="1"/>
  <c r="Y49" i="47" s="1"/>
  <c r="AB48" i="47" a="1"/>
  <c r="AB48" i="47" s="1"/>
  <c r="AA48" i="47" a="1"/>
  <c r="AA48" i="47" s="1"/>
  <c r="Z48" i="47" a="1"/>
  <c r="Z48" i="47" s="1"/>
  <c r="Y48" i="47" a="1"/>
  <c r="Y48" i="47" s="1"/>
  <c r="AB47" i="47" a="1"/>
  <c r="AB47" i="47" s="1"/>
  <c r="AA47" i="47" a="1"/>
  <c r="AA47" i="47" s="1"/>
  <c r="Z47" i="47" a="1"/>
  <c r="Z47" i="47" s="1"/>
  <c r="Y47" i="47" a="1"/>
  <c r="Y47" i="47" s="1"/>
  <c r="AB46" i="47" a="1"/>
  <c r="AB46" i="47" s="1"/>
  <c r="AA46" i="47" a="1"/>
  <c r="AA46" i="47" s="1"/>
  <c r="Z46" i="47" a="1"/>
  <c r="Z46" i="47" s="1"/>
  <c r="Y46" i="47" a="1"/>
  <c r="Y46" i="47" s="1"/>
  <c r="AB45" i="47" a="1"/>
  <c r="AB45" i="47" s="1"/>
  <c r="AA45" i="47" a="1"/>
  <c r="AA45" i="47" s="1"/>
  <c r="Z45" i="47" a="1"/>
  <c r="Z45" i="47" s="1"/>
  <c r="Y45" i="47" a="1"/>
  <c r="Y45" i="47" s="1"/>
  <c r="AB44" i="47" a="1"/>
  <c r="AB44" i="47" s="1"/>
  <c r="AA44" i="47" a="1"/>
  <c r="AA44" i="47" s="1"/>
  <c r="Z44" i="47" a="1"/>
  <c r="Z44" i="47" s="1"/>
  <c r="Y44" i="47" a="1"/>
  <c r="Y44" i="47" s="1"/>
  <c r="AB43" i="47" a="1"/>
  <c r="AB43" i="47" s="1"/>
  <c r="AA43" i="47" a="1"/>
  <c r="AA43" i="47" s="1"/>
  <c r="Z43" i="47" a="1"/>
  <c r="Z43" i="47" s="1"/>
  <c r="Y43" i="47" a="1"/>
  <c r="Y43" i="47" s="1"/>
  <c r="AB42" i="47" a="1"/>
  <c r="AB42" i="47" s="1"/>
  <c r="AA42" i="47" a="1"/>
  <c r="AA42" i="47" s="1"/>
  <c r="Z42" i="47" a="1"/>
  <c r="Z42" i="47" s="1"/>
  <c r="Y42" i="47" a="1"/>
  <c r="Y42" i="47" s="1"/>
  <c r="AB41" i="47" a="1"/>
  <c r="AB41" i="47" s="1"/>
  <c r="AA41" i="47" a="1"/>
  <c r="AA41" i="47" s="1"/>
  <c r="Z41" i="47" a="1"/>
  <c r="Z41" i="47" s="1"/>
  <c r="Y41" i="47" a="1"/>
  <c r="Y41" i="47" s="1"/>
  <c r="AB40" i="47" a="1"/>
  <c r="AB40" i="47" s="1"/>
  <c r="AA40" i="47" a="1"/>
  <c r="AA40" i="47" s="1"/>
  <c r="Z40" i="47" a="1"/>
  <c r="Z40" i="47" s="1"/>
  <c r="Y40" i="47" a="1"/>
  <c r="Y40" i="47" s="1"/>
  <c r="AB39" i="47" a="1"/>
  <c r="AB39" i="47" s="1"/>
  <c r="AA39" i="47" a="1"/>
  <c r="AA39" i="47" s="1"/>
  <c r="Z39" i="47" a="1"/>
  <c r="Z39" i="47" s="1"/>
  <c r="Y39" i="47" a="1"/>
  <c r="Y39" i="47" s="1"/>
  <c r="AB38" i="47" a="1"/>
  <c r="AB38" i="47" s="1"/>
  <c r="AA38" i="47" a="1"/>
  <c r="AA38" i="47" s="1"/>
  <c r="Z38" i="47" a="1"/>
  <c r="Z38" i="47" s="1"/>
  <c r="Y38" i="47" a="1"/>
  <c r="Y38" i="47" s="1"/>
  <c r="AB37" i="47" a="1"/>
  <c r="AB37" i="47" s="1"/>
  <c r="AA37" i="47" a="1"/>
  <c r="AA37" i="47" s="1"/>
  <c r="Z37" i="47" a="1"/>
  <c r="Z37" i="47" s="1"/>
  <c r="Y37" i="47" a="1"/>
  <c r="Y37" i="47" s="1"/>
  <c r="AB36" i="47" a="1"/>
  <c r="AB36" i="47" s="1"/>
  <c r="AA36" i="47" a="1"/>
  <c r="AA36" i="47" s="1"/>
  <c r="Z36" i="47" a="1"/>
  <c r="Z36" i="47" s="1"/>
  <c r="Y36" i="47" a="1"/>
  <c r="Y36" i="47" s="1"/>
  <c r="AB35" i="47" a="1"/>
  <c r="AB35" i="47" s="1"/>
  <c r="AA35" i="47" a="1"/>
  <c r="AA35" i="47" s="1"/>
  <c r="Z35" i="47" a="1"/>
  <c r="Z35" i="47" s="1"/>
  <c r="Y35" i="47" a="1"/>
  <c r="Y35" i="47" s="1"/>
  <c r="AB34" i="47" a="1"/>
  <c r="AB34" i="47" s="1"/>
  <c r="AA34" i="47" a="1"/>
  <c r="AA34" i="47" s="1"/>
  <c r="Z34" i="47" a="1"/>
  <c r="Z34" i="47" s="1"/>
  <c r="Y34" i="47" a="1"/>
  <c r="Y34" i="47" s="1"/>
  <c r="AB33" i="47" a="1"/>
  <c r="AB33" i="47" s="1"/>
  <c r="AA33" i="47" a="1"/>
  <c r="AA33" i="47" s="1"/>
  <c r="Z33" i="47" a="1"/>
  <c r="Z33" i="47" s="1"/>
  <c r="Y33" i="47" a="1"/>
  <c r="Y33" i="47" s="1"/>
  <c r="AB32" i="47" a="1"/>
  <c r="AB32" i="47" s="1"/>
  <c r="AA32" i="47" a="1"/>
  <c r="AA32" i="47" s="1"/>
  <c r="Z32" i="47" a="1"/>
  <c r="Z32" i="47" s="1"/>
  <c r="Y32" i="47" a="1"/>
  <c r="Y32" i="47" s="1"/>
  <c r="AB31" i="47" a="1"/>
  <c r="AB31" i="47" s="1"/>
  <c r="AA31" i="47" a="1"/>
  <c r="AA31" i="47" s="1"/>
  <c r="Z31" i="47" a="1"/>
  <c r="Z31" i="47" s="1"/>
  <c r="Y31" i="47" a="1"/>
  <c r="Y31" i="47" s="1"/>
  <c r="AB30" i="47" a="1"/>
  <c r="AB30" i="47" s="1"/>
  <c r="AA30" i="47" a="1"/>
  <c r="AA30" i="47" s="1"/>
  <c r="Z30" i="47" a="1"/>
  <c r="Z30" i="47" s="1"/>
  <c r="Y30" i="47" a="1"/>
  <c r="Y30" i="47" s="1"/>
  <c r="AB29" i="47" a="1"/>
  <c r="AB29" i="47" s="1"/>
  <c r="AA29" i="47" a="1"/>
  <c r="AA29" i="47" s="1"/>
  <c r="Z29" i="47" a="1"/>
  <c r="Z29" i="47" s="1"/>
  <c r="Y29" i="47" a="1"/>
  <c r="Y29" i="47" s="1"/>
  <c r="AB28" i="47" a="1"/>
  <c r="AB28" i="47" s="1"/>
  <c r="AA28" i="47" a="1"/>
  <c r="AA28" i="47" s="1"/>
  <c r="Z28" i="47" a="1"/>
  <c r="Z28" i="47" s="1"/>
  <c r="Y28" i="47" a="1"/>
  <c r="Y28" i="47" s="1"/>
  <c r="AB27" i="47" a="1"/>
  <c r="AB27" i="47" s="1"/>
  <c r="AA27" i="47" a="1"/>
  <c r="AA27" i="47" s="1"/>
  <c r="Z27" i="47" a="1"/>
  <c r="Z27" i="47" s="1"/>
  <c r="Y27" i="47" a="1"/>
  <c r="Y27" i="47" s="1"/>
  <c r="AB26" i="47" a="1"/>
  <c r="AB26" i="47" s="1"/>
  <c r="AA26" i="47" a="1"/>
  <c r="AA26" i="47" s="1"/>
  <c r="Z26" i="47" a="1"/>
  <c r="Z26" i="47" s="1"/>
  <c r="Y26" i="47" a="1"/>
  <c r="Y26" i="47" s="1"/>
  <c r="AB21" i="47" a="1"/>
  <c r="AB21" i="47" s="1"/>
  <c r="AA21" i="47" a="1"/>
  <c r="AA21" i="47" s="1"/>
  <c r="Z21" i="47" a="1"/>
  <c r="Z21" i="47" s="1"/>
  <c r="Y21" i="47" a="1"/>
  <c r="Y21" i="47" s="1"/>
  <c r="AB20" i="47" a="1"/>
  <c r="AB20" i="47" s="1"/>
  <c r="AA20" i="47" a="1"/>
  <c r="AA20" i="47" s="1"/>
  <c r="Z20" i="47" a="1"/>
  <c r="Z20" i="47" s="1"/>
  <c r="Y20" i="47" a="1"/>
  <c r="Y20" i="47" s="1"/>
  <c r="AB19" i="47" a="1"/>
  <c r="AB19" i="47" s="1"/>
  <c r="AA19" i="47" a="1"/>
  <c r="AA19" i="47" s="1"/>
  <c r="Z19" i="47" a="1"/>
  <c r="Z19" i="47" s="1"/>
  <c r="Y19" i="47" a="1"/>
  <c r="Y19" i="47" s="1"/>
  <c r="AB18" i="47" a="1"/>
  <c r="AB18" i="47" s="1"/>
  <c r="AA18" i="47" a="1"/>
  <c r="AA18" i="47" s="1"/>
  <c r="Z18" i="47" a="1"/>
  <c r="Z18" i="47" s="1"/>
  <c r="Y18" i="47" a="1"/>
  <c r="Y18" i="47" s="1"/>
  <c r="AB17" i="47" a="1"/>
  <c r="AB17" i="47" s="1"/>
  <c r="AA17" i="47" a="1"/>
  <c r="AA17" i="47" s="1"/>
  <c r="Z17" i="47" a="1"/>
  <c r="Z17" i="47" s="1"/>
  <c r="Y17" i="47" a="1"/>
  <c r="Y17" i="47" s="1"/>
  <c r="AB16" i="47" a="1"/>
  <c r="AB16" i="47" s="1"/>
  <c r="AA16" i="47" a="1"/>
  <c r="AA16" i="47" s="1"/>
  <c r="Z16" i="47" a="1"/>
  <c r="Z16" i="47" s="1"/>
  <c r="Y16" i="47" a="1"/>
  <c r="Y16" i="47" s="1"/>
  <c r="AB15" i="47" a="1"/>
  <c r="AB15" i="47" s="1"/>
  <c r="AA15" i="47" a="1"/>
  <c r="AA15" i="47" s="1"/>
  <c r="Z15" i="47" a="1"/>
  <c r="Z15" i="47" s="1"/>
  <c r="Y15" i="47" a="1"/>
  <c r="Y15" i="47" s="1"/>
  <c r="AB14" i="47" a="1"/>
  <c r="AB14" i="47" s="1"/>
  <c r="AA14" i="47" a="1"/>
  <c r="AA14" i="47" s="1"/>
  <c r="Z14" i="47" a="1"/>
  <c r="Z14" i="47" s="1"/>
  <c r="Y14" i="47" a="1"/>
  <c r="Y14" i="47" s="1"/>
  <c r="AB13" i="47" a="1"/>
  <c r="AB13" i="47" s="1"/>
  <c r="AA13" i="47" a="1"/>
  <c r="AA13" i="47" s="1"/>
  <c r="Z13" i="47" a="1"/>
  <c r="Z13" i="47" s="1"/>
  <c r="Y13" i="47" a="1"/>
  <c r="Y13" i="47" s="1"/>
  <c r="AB12" i="47" a="1"/>
  <c r="AB12" i="47" s="1"/>
  <c r="AA12" i="47" a="1"/>
  <c r="AA12" i="47" s="1"/>
  <c r="Z12" i="47" a="1"/>
  <c r="Z12" i="47" s="1"/>
  <c r="Y12" i="47" a="1"/>
  <c r="Y12" i="47" s="1"/>
  <c r="AB11" i="47" a="1"/>
  <c r="AB11" i="47" s="1"/>
  <c r="AA11" i="47" a="1"/>
  <c r="AA11" i="47" s="1"/>
  <c r="Z11" i="47" a="1"/>
  <c r="Z11" i="47" s="1"/>
  <c r="Y11" i="47" a="1"/>
  <c r="Y11" i="47" s="1"/>
  <c r="AB10" i="47" a="1"/>
  <c r="AB10" i="47" s="1"/>
  <c r="AA10" i="47" a="1"/>
  <c r="AA10" i="47" s="1"/>
  <c r="Z10" i="47" a="1"/>
  <c r="Z10" i="47" s="1"/>
  <c r="Y10" i="47" a="1"/>
  <c r="Y10" i="47" s="1"/>
  <c r="AB9" i="47" a="1"/>
  <c r="AB9" i="47" s="1"/>
  <c r="AA9" i="47" a="1"/>
  <c r="AA9" i="47" s="1"/>
  <c r="Z9" i="47" a="1"/>
  <c r="Z9" i="47" s="1"/>
  <c r="Y9" i="47" a="1"/>
  <c r="Y9" i="47" s="1"/>
  <c r="AB7" i="47" a="1"/>
  <c r="AB7" i="47" s="1"/>
  <c r="AA7" i="47" a="1"/>
  <c r="AA7" i="47" s="1"/>
  <c r="Z7" i="47" a="1"/>
  <c r="Z7" i="47" s="1"/>
  <c r="Y7" i="47" a="1"/>
  <c r="Y7" i="47" s="1"/>
  <c r="AB6" i="47" a="1"/>
  <c r="AB6" i="47" s="1"/>
  <c r="AA6" i="47" a="1"/>
  <c r="AA6" i="47" s="1"/>
  <c r="Z6" i="47" a="1"/>
  <c r="Z6" i="47" s="1"/>
  <c r="Y6" i="47" a="1"/>
  <c r="Y6" i="47" s="1"/>
  <c r="AB5" i="47" a="1"/>
  <c r="AB5" i="47" s="1"/>
  <c r="AA5" i="47" a="1"/>
  <c r="AA5" i="47" s="1"/>
  <c r="Z5" i="47" a="1"/>
  <c r="Z5" i="47" s="1"/>
  <c r="Y5" i="47" a="1"/>
  <c r="Y5" i="47" s="1"/>
  <c r="AB4" i="47" a="1"/>
  <c r="AB4" i="47" s="1"/>
  <c r="AA4" i="47" a="1"/>
  <c r="AA4" i="47" s="1"/>
  <c r="Z4" i="47" a="1"/>
  <c r="Z4" i="47" s="1"/>
  <c r="Y4" i="47" a="1"/>
  <c r="Y4" i="47" s="1"/>
  <c r="AB3" i="47" a="1"/>
  <c r="AB3" i="47" s="1"/>
  <c r="AA3" i="47" a="1"/>
  <c r="AA3" i="47" s="1"/>
  <c r="Z3" i="47" a="1"/>
  <c r="Z3" i="47" s="1"/>
  <c r="Y3" i="47" a="1"/>
  <c r="Y3" i="47" s="1"/>
  <c r="AB2" i="47" a="1"/>
  <c r="AB2" i="47" s="1"/>
  <c r="AA2" i="47" a="1"/>
  <c r="AA2" i="47" s="1"/>
  <c r="Z2" i="47" a="1"/>
  <c r="Z2" i="47" s="1"/>
  <c r="Y2" i="47" a="1"/>
  <c r="Y2" i="47" s="1"/>
  <c r="AB1" i="47" a="1"/>
  <c r="AB1" i="47" s="1"/>
  <c r="AA1" i="47" a="1"/>
  <c r="AA1" i="47" s="1"/>
  <c r="Z1" i="47" a="1"/>
  <c r="Z1" i="47" s="1"/>
  <c r="Y1" i="47" a="1"/>
  <c r="Y1" i="47" s="1"/>
  <c r="Z1" i="34" a="1"/>
  <c r="Z1" i="34" s="1"/>
  <c r="Y1" i="34" a="1"/>
  <c r="Y1" i="34" s="1"/>
  <c r="X1" i="34" a="1"/>
  <c r="X1" i="34" s="1"/>
  <c r="W1" i="34" a="1"/>
  <c r="W1" i="34" s="1"/>
  <c r="V1" i="34" a="1"/>
  <c r="V1" i="34" s="1"/>
  <c r="U1" i="34" a="1"/>
  <c r="U1" i="34" s="1"/>
  <c r="T1" i="34" a="1"/>
  <c r="T1" i="34" s="1"/>
  <c r="S1" i="34" a="1"/>
  <c r="S1" i="34" s="1"/>
  <c r="R1" i="34" a="1"/>
  <c r="R1" i="34" s="1"/>
  <c r="Q1" i="34" a="1"/>
  <c r="Q1" i="34" s="1"/>
  <c r="P1" i="34" a="1"/>
  <c r="P1" i="34" s="1"/>
  <c r="O1" i="34" a="1"/>
  <c r="O1" i="34" s="1"/>
  <c r="J10" i="13" l="1"/>
  <c r="J11" i="13" s="1"/>
  <c r="G48" i="62"/>
  <c r="F52" i="61"/>
  <c r="F69" i="34"/>
  <c r="B85" i="46"/>
  <c r="B86" i="46"/>
  <c r="B87" i="46"/>
  <c r="B88" i="46"/>
  <c r="B82" i="46"/>
  <c r="F82" i="46"/>
  <c r="B83" i="46"/>
  <c r="B84" i="46"/>
  <c r="E81" i="46"/>
  <c r="K10" i="13" l="1"/>
  <c r="K11" i="13" s="1"/>
  <c r="A436" i="35"/>
  <c r="A437" i="35"/>
  <c r="A438" i="35"/>
  <c r="A439" i="35"/>
  <c r="A440" i="35"/>
  <c r="A441" i="35"/>
  <c r="A442" i="35"/>
  <c r="A443" i="35"/>
  <c r="A444" i="35"/>
  <c r="A445" i="35"/>
  <c r="A446" i="35"/>
  <c r="A447" i="35"/>
  <c r="A448" i="35"/>
  <c r="A449" i="35"/>
  <c r="A450" i="35"/>
  <c r="A451" i="35"/>
  <c r="A435" i="35"/>
  <c r="A2" i="66"/>
  <c r="L10" i="13" l="1"/>
  <c r="L11" i="13" s="1"/>
  <c r="C32" i="63"/>
  <c r="C6" i="63"/>
  <c r="F79" i="46" s="1"/>
  <c r="D6" i="63"/>
  <c r="G79" i="46" s="1"/>
  <c r="E35" i="46" l="1"/>
  <c r="H32" i="46" l="1"/>
  <c r="H25" i="46"/>
  <c r="L40" i="61"/>
  <c r="K40" i="61"/>
  <c r="J40" i="61"/>
  <c r="I40" i="61"/>
  <c r="H40" i="61"/>
  <c r="G40" i="61"/>
  <c r="F40" i="61"/>
  <c r="L38" i="61"/>
  <c r="K38" i="61"/>
  <c r="J38" i="61"/>
  <c r="I38" i="61"/>
  <c r="H38" i="61"/>
  <c r="G38" i="61"/>
  <c r="F38" i="61"/>
  <c r="L36" i="61"/>
  <c r="K36" i="61"/>
  <c r="J36" i="61"/>
  <c r="I36" i="61"/>
  <c r="H36" i="61"/>
  <c r="G36" i="61"/>
  <c r="F36" i="61"/>
  <c r="H33" i="61"/>
  <c r="G33" i="61"/>
  <c r="F33" i="61"/>
  <c r="L30" i="61"/>
  <c r="K30" i="61"/>
  <c r="J30" i="61"/>
  <c r="I30" i="61"/>
  <c r="H30" i="61"/>
  <c r="G30" i="61"/>
  <c r="F30" i="61"/>
  <c r="L29" i="61"/>
  <c r="K29" i="61"/>
  <c r="J29" i="61"/>
  <c r="I29" i="61"/>
  <c r="H29" i="61"/>
  <c r="G29" i="61"/>
  <c r="F29" i="61"/>
  <c r="L28" i="61"/>
  <c r="K28" i="61"/>
  <c r="J28" i="61"/>
  <c r="I28" i="61"/>
  <c r="H28" i="61"/>
  <c r="G28" i="61"/>
  <c r="F28" i="61"/>
  <c r="L27" i="61"/>
  <c r="K27" i="61"/>
  <c r="J27" i="61"/>
  <c r="I27" i="61"/>
  <c r="H27" i="61"/>
  <c r="G27" i="61"/>
  <c r="F27" i="61"/>
  <c r="L26" i="61"/>
  <c r="K26" i="61"/>
  <c r="J26" i="61"/>
  <c r="I26" i="61"/>
  <c r="H26" i="61"/>
  <c r="G26" i="61"/>
  <c r="F26" i="61"/>
  <c r="L25" i="61"/>
  <c r="K25" i="61"/>
  <c r="J25" i="61"/>
  <c r="I25" i="61"/>
  <c r="H25" i="61"/>
  <c r="G25" i="61"/>
  <c r="F25" i="61"/>
  <c r="L24" i="61"/>
  <c r="K24" i="61"/>
  <c r="J24" i="61"/>
  <c r="I24" i="61"/>
  <c r="H24" i="61"/>
  <c r="G24" i="61"/>
  <c r="F24" i="61"/>
  <c r="L23" i="61"/>
  <c r="K23" i="61"/>
  <c r="J23" i="61"/>
  <c r="I23" i="61"/>
  <c r="H23" i="61"/>
  <c r="G23" i="61"/>
  <c r="F23" i="61"/>
  <c r="L22" i="61"/>
  <c r="K22" i="61"/>
  <c r="J22" i="61"/>
  <c r="I22" i="61"/>
  <c r="H22" i="61"/>
  <c r="G22" i="61"/>
  <c r="F22" i="61"/>
  <c r="L21" i="61"/>
  <c r="K21" i="61"/>
  <c r="J21" i="61"/>
  <c r="I21" i="61"/>
  <c r="H21" i="61"/>
  <c r="G21" i="61"/>
  <c r="F21" i="61"/>
  <c r="L20" i="61"/>
  <c r="K20" i="61"/>
  <c r="J20" i="61"/>
  <c r="I20" i="61"/>
  <c r="H20" i="61"/>
  <c r="G20" i="61"/>
  <c r="F20" i="61"/>
  <c r="L19" i="61"/>
  <c r="K19" i="61"/>
  <c r="J19" i="61"/>
  <c r="I19" i="61"/>
  <c r="H19" i="61"/>
  <c r="G19" i="61"/>
  <c r="F19" i="61"/>
  <c r="L18" i="61"/>
  <c r="K18" i="61"/>
  <c r="J18" i="61"/>
  <c r="I18" i="61"/>
  <c r="H18" i="61"/>
  <c r="G18" i="61"/>
  <c r="F18" i="61"/>
  <c r="F16" i="61"/>
  <c r="F15" i="61"/>
  <c r="J11" i="18" l="1"/>
  <c r="I32" i="46"/>
  <c r="I25" i="46"/>
  <c r="K11" i="18" l="1"/>
  <c r="J25" i="46"/>
  <c r="J32" i="46"/>
  <c r="C165" i="61"/>
  <c r="C167" i="61" s="1"/>
  <c r="C169" i="61" s="1"/>
  <c r="G84" i="61"/>
  <c r="H84" i="61"/>
  <c r="I84" i="61"/>
  <c r="J84" i="61"/>
  <c r="K84" i="61"/>
  <c r="L84" i="61"/>
  <c r="G87" i="61"/>
  <c r="H87" i="61"/>
  <c r="I87" i="61"/>
  <c r="J87" i="61"/>
  <c r="K87" i="61"/>
  <c r="L87" i="61"/>
  <c r="G89" i="61"/>
  <c r="H89" i="61"/>
  <c r="I89" i="61"/>
  <c r="J89" i="61"/>
  <c r="K89" i="61"/>
  <c r="L89" i="61"/>
  <c r="G97" i="61"/>
  <c r="H97" i="61"/>
  <c r="I97" i="61"/>
  <c r="J97" i="61"/>
  <c r="K97" i="61"/>
  <c r="L97" i="61"/>
  <c r="H103" i="61"/>
  <c r="I103" i="61"/>
  <c r="J103" i="61"/>
  <c r="K103" i="61"/>
  <c r="L103" i="61"/>
  <c r="H104" i="61"/>
  <c r="I104" i="61"/>
  <c r="J104" i="61"/>
  <c r="K104" i="61"/>
  <c r="L104" i="61"/>
  <c r="F106" i="61"/>
  <c r="F107" i="61" s="1"/>
  <c r="F145" i="61"/>
  <c r="G150" i="61"/>
  <c r="H150" i="61"/>
  <c r="I150" i="61"/>
  <c r="J150" i="61"/>
  <c r="K150" i="61"/>
  <c r="L150" i="61"/>
  <c r="G151" i="61"/>
  <c r="H151" i="61"/>
  <c r="I151" i="61"/>
  <c r="J151" i="61"/>
  <c r="K151" i="61"/>
  <c r="L151" i="61"/>
  <c r="F153" i="61"/>
  <c r="H8" i="62"/>
  <c r="C59" i="62"/>
  <c r="B246" i="62"/>
  <c r="B254" i="62"/>
  <c r="B261" i="62"/>
  <c r="B264" i="62"/>
  <c r="B265" i="62"/>
  <c r="B266" i="62"/>
  <c r="B267" i="62"/>
  <c r="B268" i="62"/>
  <c r="B269" i="62"/>
  <c r="B270" i="62"/>
  <c r="B271" i="62"/>
  <c r="B272" i="62"/>
  <c r="B273" i="62"/>
  <c r="B274" i="62"/>
  <c r="B276" i="62"/>
  <c r="B277" i="62"/>
  <c r="B278" i="62"/>
  <c r="B279" i="62"/>
  <c r="B280" i="62"/>
  <c r="B281" i="62"/>
  <c r="B282" i="62"/>
  <c r="B283" i="62"/>
  <c r="B284" i="62"/>
  <c r="B285" i="62"/>
  <c r="B286" i="62"/>
  <c r="B288" i="62"/>
  <c r="B289" i="62"/>
  <c r="B290" i="62"/>
  <c r="B291" i="62"/>
  <c r="B292" i="62"/>
  <c r="B293" i="62"/>
  <c r="B294" i="62"/>
  <c r="B295" i="62"/>
  <c r="B300" i="62"/>
  <c r="B302" i="62"/>
  <c r="B303" i="62"/>
  <c r="B304" i="62"/>
  <c r="C305" i="62"/>
  <c r="B306" i="62"/>
  <c r="B307" i="62"/>
  <c r="B308" i="62"/>
  <c r="B309" i="62"/>
  <c r="B310" i="62"/>
  <c r="C311" i="62"/>
  <c r="B312" i="62"/>
  <c r="B313" i="62"/>
  <c r="B314" i="62"/>
  <c r="B315" i="62"/>
  <c r="B316" i="62"/>
  <c r="C317" i="62"/>
  <c r="B318" i="62"/>
  <c r="B319" i="62"/>
  <c r="B320" i="62"/>
  <c r="B321" i="62"/>
  <c r="B322" i="62"/>
  <c r="C323" i="62"/>
  <c r="B324" i="62"/>
  <c r="B325" i="62"/>
  <c r="B326" i="62"/>
  <c r="B327" i="62"/>
  <c r="B328" i="62"/>
  <c r="C329" i="62"/>
  <c r="B330" i="62"/>
  <c r="B331" i="62"/>
  <c r="B332" i="62"/>
  <c r="B333" i="62"/>
  <c r="B334" i="62"/>
  <c r="C335" i="62"/>
  <c r="B336" i="62"/>
  <c r="B337" i="62"/>
  <c r="B338" i="62"/>
  <c r="B339" i="62"/>
  <c r="B340" i="62"/>
  <c r="C341" i="62"/>
  <c r="B342" i="62"/>
  <c r="B343" i="62"/>
  <c r="B344" i="62"/>
  <c r="B345" i="62"/>
  <c r="B346" i="62"/>
  <c r="C347" i="62"/>
  <c r="B348" i="62"/>
  <c r="B349" i="62"/>
  <c r="B350" i="62"/>
  <c r="B351" i="62"/>
  <c r="B352" i="62"/>
  <c r="B353" i="62"/>
  <c r="C354" i="62"/>
  <c r="B355" i="62"/>
  <c r="B356" i="62"/>
  <c r="B357" i="62"/>
  <c r="B358" i="62"/>
  <c r="B359" i="62"/>
  <c r="C360" i="62"/>
  <c r="B361" i="62"/>
  <c r="B362" i="62"/>
  <c r="B363" i="62"/>
  <c r="B364" i="62"/>
  <c r="B365" i="62"/>
  <c r="C366" i="62"/>
  <c r="B367" i="62"/>
  <c r="B368" i="62"/>
  <c r="B369" i="62"/>
  <c r="B370" i="62"/>
  <c r="B371" i="62"/>
  <c r="C372" i="62"/>
  <c r="B373" i="62"/>
  <c r="B374" i="62"/>
  <c r="B375" i="62"/>
  <c r="B376" i="62"/>
  <c r="B377" i="62"/>
  <c r="C378" i="62"/>
  <c r="B379" i="62"/>
  <c r="B380" i="62"/>
  <c r="B381" i="62"/>
  <c r="B382" i="62"/>
  <c r="B383" i="62"/>
  <c r="C384" i="62"/>
  <c r="B385" i="62"/>
  <c r="B386" i="62"/>
  <c r="B387" i="62"/>
  <c r="B388" i="62"/>
  <c r="B389" i="62"/>
  <c r="C390" i="62"/>
  <c r="B391" i="62"/>
  <c r="B392" i="62"/>
  <c r="B393" i="62"/>
  <c r="B394" i="62"/>
  <c r="B395" i="62"/>
  <c r="H445" i="62"/>
  <c r="I445" i="62"/>
  <c r="J445" i="62"/>
  <c r="K445" i="62"/>
  <c r="L445" i="62"/>
  <c r="M445" i="62"/>
  <c r="G449" i="62"/>
  <c r="H449" i="62"/>
  <c r="I449" i="62"/>
  <c r="J449" i="62"/>
  <c r="K449" i="62"/>
  <c r="L449" i="62"/>
  <c r="M449" i="62"/>
  <c r="G453" i="62"/>
  <c r="H453" i="62"/>
  <c r="I453" i="62"/>
  <c r="J453" i="62" s="1"/>
  <c r="G457" i="62"/>
  <c r="H457" i="62"/>
  <c r="I457" i="62"/>
  <c r="J457" i="62"/>
  <c r="K457" i="62"/>
  <c r="L457" i="62"/>
  <c r="M457" i="62"/>
  <c r="G461" i="62"/>
  <c r="H461" i="62"/>
  <c r="I461" i="62"/>
  <c r="J461" i="62"/>
  <c r="K461" i="62"/>
  <c r="L461" i="62"/>
  <c r="M461" i="62"/>
  <c r="A2" i="62"/>
  <c r="L31" i="61"/>
  <c r="K31" i="61"/>
  <c r="J31" i="61"/>
  <c r="J39" i="61" s="1"/>
  <c r="I31" i="61"/>
  <c r="H31" i="61"/>
  <c r="G31" i="61"/>
  <c r="H9" i="61"/>
  <c r="I9" i="61" s="1"/>
  <c r="G6" i="61"/>
  <c r="G10" i="61" s="1"/>
  <c r="F10" i="61" s="1"/>
  <c r="A2" i="61"/>
  <c r="H463" i="62" l="1"/>
  <c r="H465" i="62" s="1"/>
  <c r="I463" i="62"/>
  <c r="I465" i="62" s="1"/>
  <c r="G463" i="62"/>
  <c r="G465" i="62" s="1"/>
  <c r="H50" i="62"/>
  <c r="H7" i="62"/>
  <c r="G50" i="62"/>
  <c r="G7" i="62"/>
  <c r="K453" i="62"/>
  <c r="K468" i="62" s="1"/>
  <c r="J463" i="62"/>
  <c r="J465" i="62" s="1"/>
  <c r="L11" i="18"/>
  <c r="K32" i="46"/>
  <c r="K25" i="46"/>
  <c r="C28" i="63"/>
  <c r="J37" i="61"/>
  <c r="G7" i="61"/>
  <c r="J41" i="61"/>
  <c r="G468" i="62"/>
  <c r="C171" i="61"/>
  <c r="G34" i="61"/>
  <c r="I468" i="62"/>
  <c r="H468" i="62"/>
  <c r="J468" i="62"/>
  <c r="G11" i="61"/>
  <c r="F11" i="61" s="1"/>
  <c r="F199" i="61" s="1"/>
  <c r="F201" i="61" s="1"/>
  <c r="F203" i="61" s="1"/>
  <c r="F46" i="18" s="1"/>
  <c r="H34" i="61"/>
  <c r="G37" i="61"/>
  <c r="K37" i="61"/>
  <c r="G39" i="61"/>
  <c r="K39" i="61"/>
  <c r="G41" i="61"/>
  <c r="K41" i="61"/>
  <c r="H37" i="61"/>
  <c r="L37" i="61"/>
  <c r="H39" i="61"/>
  <c r="L39" i="61"/>
  <c r="H41" i="61"/>
  <c r="L41" i="61"/>
  <c r="J9" i="61"/>
  <c r="I37" i="61"/>
  <c r="I39" i="61"/>
  <c r="I41" i="61"/>
  <c r="L453" i="62" l="1"/>
  <c r="K463" i="62"/>
  <c r="K465" i="62" s="1"/>
  <c r="E30" i="46"/>
  <c r="L32" i="46"/>
  <c r="E32" i="46" s="1"/>
  <c r="L25" i="46"/>
  <c r="E31" i="46"/>
  <c r="C16" i="63"/>
  <c r="H10" i="61"/>
  <c r="K9" i="61"/>
  <c r="M453" i="62" l="1"/>
  <c r="L463" i="62"/>
  <c r="L465" i="62" s="1"/>
  <c r="L468" i="62"/>
  <c r="F47" i="61"/>
  <c r="L9" i="61"/>
  <c r="H11" i="61"/>
  <c r="F49" i="47"/>
  <c r="F50" i="47" s="1"/>
  <c r="L49" i="46"/>
  <c r="K49" i="46"/>
  <c r="J49" i="46"/>
  <c r="I49" i="46"/>
  <c r="H49" i="46"/>
  <c r="G49" i="46"/>
  <c r="L17" i="46"/>
  <c r="K17" i="46"/>
  <c r="J17" i="46"/>
  <c r="I17" i="46"/>
  <c r="H17" i="46"/>
  <c r="G17" i="46"/>
  <c r="L29" i="18"/>
  <c r="K29" i="18"/>
  <c r="J29" i="18"/>
  <c r="I29" i="18"/>
  <c r="H29" i="18"/>
  <c r="G29" i="18"/>
  <c r="F29" i="18"/>
  <c r="F72" i="67" s="1"/>
  <c r="L20" i="18"/>
  <c r="K20" i="18"/>
  <c r="J20" i="18"/>
  <c r="I20" i="18"/>
  <c r="H20" i="18"/>
  <c r="G20" i="18"/>
  <c r="F20" i="18"/>
  <c r="F63" i="67" s="1"/>
  <c r="H9" i="13"/>
  <c r="E6" i="63" s="1"/>
  <c r="H79" i="46" s="1"/>
  <c r="M463" i="62" l="1"/>
  <c r="M465" i="62" s="1"/>
  <c r="M468" i="62"/>
  <c r="C468" i="62" s="1"/>
  <c r="D29" i="18"/>
  <c r="D20" i="18"/>
  <c r="I8" i="62"/>
  <c r="I9" i="13"/>
  <c r="F6" i="63" s="1"/>
  <c r="I79" i="46" s="1"/>
  <c r="I10" i="61"/>
  <c r="C29" i="18"/>
  <c r="C20" i="18"/>
  <c r="I50" i="62" l="1"/>
  <c r="I7" i="62"/>
  <c r="J8" i="62"/>
  <c r="J9" i="13"/>
  <c r="G6" i="63" s="1"/>
  <c r="J79" i="46" s="1"/>
  <c r="I11" i="61"/>
  <c r="G33" i="34"/>
  <c r="J50" i="62" l="1"/>
  <c r="J7" i="62"/>
  <c r="K9" i="13"/>
  <c r="H6" i="63" s="1"/>
  <c r="K79" i="46" s="1"/>
  <c r="K8" i="62"/>
  <c r="J10" i="61"/>
  <c r="F43" i="34"/>
  <c r="C24" i="63" s="1"/>
  <c r="K50" i="62" l="1"/>
  <c r="K7" i="62"/>
  <c r="L8" i="62"/>
  <c r="L50" i="62" s="1"/>
  <c r="L9" i="13"/>
  <c r="I6" i="63" s="1"/>
  <c r="L79" i="46" s="1"/>
  <c r="F64" i="34"/>
  <c r="J11" i="61"/>
  <c r="M8" i="62" l="1"/>
  <c r="M50" i="62" s="1"/>
  <c r="K10" i="61"/>
  <c r="A5" i="57"/>
  <c r="A2" i="57"/>
  <c r="N39" i="55"/>
  <c r="M39" i="55"/>
  <c r="L39" i="55"/>
  <c r="K39" i="55"/>
  <c r="J39" i="55"/>
  <c r="I39" i="55"/>
  <c r="N26" i="55"/>
  <c r="M26" i="55"/>
  <c r="L26" i="55"/>
  <c r="K26" i="55"/>
  <c r="J26" i="55"/>
  <c r="I26" i="55"/>
  <c r="K11" i="55"/>
  <c r="L11" i="55" s="1"/>
  <c r="M11" i="55" s="1"/>
  <c r="N11" i="55" s="1"/>
  <c r="K11" i="61" l="1"/>
  <c r="L10" i="61" l="1"/>
  <c r="I40" i="53"/>
  <c r="I39" i="53"/>
  <c r="G40" i="53"/>
  <c r="G39" i="53"/>
  <c r="L11" i="61" l="1"/>
  <c r="D38" i="45"/>
  <c r="D35" i="45"/>
  <c r="D34" i="45"/>
  <c r="D32" i="45"/>
  <c r="D31" i="45"/>
  <c r="D29" i="45"/>
  <c r="D28" i="45"/>
  <c r="D26" i="45"/>
  <c r="D25" i="45"/>
  <c r="A2" i="39" l="1"/>
  <c r="L33" i="61" l="1"/>
  <c r="L34" i="61" s="1"/>
  <c r="K33" i="61"/>
  <c r="K34" i="61" s="1"/>
  <c r="J33" i="61"/>
  <c r="J34" i="61" s="1"/>
  <c r="I33" i="61"/>
  <c r="I34" i="61" s="1"/>
  <c r="A2" i="54" l="1"/>
  <c r="A5" i="55"/>
  <c r="G16" i="41" l="1"/>
  <c r="A5" i="54" l="1"/>
  <c r="L45" i="47" l="1"/>
  <c r="K45" i="47"/>
  <c r="J45" i="47"/>
  <c r="I45" i="47"/>
  <c r="H45" i="47"/>
  <c r="G45" i="47"/>
  <c r="L44" i="47"/>
  <c r="K44" i="47"/>
  <c r="J44" i="47"/>
  <c r="I44" i="47"/>
  <c r="H44" i="47"/>
  <c r="G44" i="47"/>
  <c r="L43" i="47"/>
  <c r="K43" i="47"/>
  <c r="J43" i="47"/>
  <c r="I43" i="47"/>
  <c r="H43" i="47"/>
  <c r="G43" i="47"/>
  <c r="L42" i="47"/>
  <c r="K42" i="47"/>
  <c r="J42" i="47"/>
  <c r="I42" i="47"/>
  <c r="H42" i="47"/>
  <c r="G42" i="47"/>
  <c r="L41" i="47"/>
  <c r="K41" i="47"/>
  <c r="J41" i="47"/>
  <c r="I41" i="47"/>
  <c r="H41" i="47"/>
  <c r="G41" i="47"/>
  <c r="L40" i="47"/>
  <c r="K40" i="47"/>
  <c r="J40" i="47"/>
  <c r="I40" i="47"/>
  <c r="H40" i="47"/>
  <c r="G40" i="47"/>
  <c r="L39" i="47"/>
  <c r="K39" i="47"/>
  <c r="J39" i="47"/>
  <c r="I39" i="47"/>
  <c r="H39" i="47"/>
  <c r="G39" i="47"/>
  <c r="L38" i="47"/>
  <c r="K38" i="47"/>
  <c r="J38" i="47"/>
  <c r="I38" i="47"/>
  <c r="H38" i="47"/>
  <c r="G38" i="47"/>
  <c r="L37" i="47"/>
  <c r="K37" i="47"/>
  <c r="J37" i="47"/>
  <c r="I37" i="47"/>
  <c r="H37" i="47"/>
  <c r="G37" i="47"/>
  <c r="B76" i="46" l="1"/>
  <c r="F40" i="46"/>
  <c r="F42" i="46" s="1"/>
  <c r="G40" i="46" l="1"/>
  <c r="F75" i="46"/>
  <c r="G21" i="46"/>
  <c r="H21" i="46" s="1"/>
  <c r="G23" i="46" l="1"/>
  <c r="H23" i="46"/>
  <c r="H45" i="46" s="1"/>
  <c r="I21" i="46"/>
  <c r="G45" i="46" l="1"/>
  <c r="C34" i="46"/>
  <c r="J21" i="46"/>
  <c r="I23" i="46"/>
  <c r="I45" i="46" s="1"/>
  <c r="E12" i="53"/>
  <c r="I12" i="53" s="1"/>
  <c r="A2" i="53"/>
  <c r="A5" i="53"/>
  <c r="M34" i="53"/>
  <c r="K34" i="53"/>
  <c r="I34" i="53"/>
  <c r="G34" i="53"/>
  <c r="M33" i="53"/>
  <c r="K33" i="53"/>
  <c r="I33" i="53"/>
  <c r="G33" i="53"/>
  <c r="M32" i="53"/>
  <c r="K32" i="53"/>
  <c r="I32" i="53"/>
  <c r="G32" i="53"/>
  <c r="M31" i="53"/>
  <c r="K31" i="53"/>
  <c r="I31" i="53"/>
  <c r="G31" i="53"/>
  <c r="M30" i="53"/>
  <c r="K30" i="53"/>
  <c r="I30" i="53"/>
  <c r="G30" i="53"/>
  <c r="I29" i="53"/>
  <c r="G29" i="53"/>
  <c r="M28" i="53"/>
  <c r="K28" i="53"/>
  <c r="I28" i="53"/>
  <c r="G28" i="53"/>
  <c r="M27" i="53"/>
  <c r="K27" i="53"/>
  <c r="I27" i="53"/>
  <c r="G27" i="53"/>
  <c r="M26" i="53"/>
  <c r="K26" i="53"/>
  <c r="I26" i="53"/>
  <c r="G26" i="53"/>
  <c r="M25" i="53"/>
  <c r="K25" i="53"/>
  <c r="I25" i="53"/>
  <c r="G25" i="53"/>
  <c r="M24" i="53"/>
  <c r="K24" i="53"/>
  <c r="I24" i="53"/>
  <c r="G24" i="53"/>
  <c r="M23" i="53"/>
  <c r="K23" i="53"/>
  <c r="I23" i="53"/>
  <c r="G23" i="53"/>
  <c r="M22" i="53"/>
  <c r="K22" i="53"/>
  <c r="I22" i="53"/>
  <c r="G22" i="53"/>
  <c r="M21" i="53"/>
  <c r="K21" i="53"/>
  <c r="I21" i="53"/>
  <c r="G21" i="53"/>
  <c r="M20" i="53"/>
  <c r="K20" i="53"/>
  <c r="I20" i="53"/>
  <c r="G20" i="53"/>
  <c r="M19" i="53"/>
  <c r="K19" i="53"/>
  <c r="I19" i="53"/>
  <c r="G19" i="53"/>
  <c r="M18" i="53"/>
  <c r="K18" i="53"/>
  <c r="I18" i="53"/>
  <c r="G18" i="53"/>
  <c r="M17" i="53"/>
  <c r="K17" i="53"/>
  <c r="I17" i="53"/>
  <c r="G17" i="53"/>
  <c r="M16" i="53"/>
  <c r="K16" i="53"/>
  <c r="I16" i="53"/>
  <c r="G16" i="53"/>
  <c r="H15" i="53"/>
  <c r="I15" i="53" s="1"/>
  <c r="F15" i="53"/>
  <c r="G15" i="53" s="1"/>
  <c r="K12" i="53" l="1"/>
  <c r="G35" i="53"/>
  <c r="G36" i="53" s="1"/>
  <c r="G37" i="53" s="1"/>
  <c r="G38" i="53" s="1"/>
  <c r="I35" i="53"/>
  <c r="M12" i="53"/>
  <c r="G12" i="53"/>
  <c r="K21" i="46"/>
  <c r="J23" i="46"/>
  <c r="J45" i="46" s="1"/>
  <c r="I36" i="53"/>
  <c r="I37" i="53" s="1"/>
  <c r="I38" i="53" s="1"/>
  <c r="G43" i="48"/>
  <c r="G42" i="48"/>
  <c r="G41" i="48"/>
  <c r="G40" i="48"/>
  <c r="G39" i="48"/>
  <c r="G38" i="48"/>
  <c r="G37" i="48"/>
  <c r="G36" i="48"/>
  <c r="H44" i="48"/>
  <c r="L21" i="46" l="1"/>
  <c r="L23" i="46" s="1"/>
  <c r="L45" i="46" s="1"/>
  <c r="K23" i="46"/>
  <c r="K45" i="46" s="1"/>
  <c r="H100" i="46"/>
  <c r="I100" i="46"/>
  <c r="J100" i="46"/>
  <c r="K100" i="46"/>
  <c r="L100" i="46"/>
  <c r="H99" i="46"/>
  <c r="I99" i="46"/>
  <c r="J99" i="46"/>
  <c r="K99" i="46"/>
  <c r="L99" i="46"/>
  <c r="G99" i="46"/>
  <c r="H67" i="46"/>
  <c r="I67" i="46"/>
  <c r="J67" i="46"/>
  <c r="K67" i="46"/>
  <c r="L67" i="46"/>
  <c r="G67" i="46"/>
  <c r="H68" i="46"/>
  <c r="I68" i="46"/>
  <c r="J68" i="46"/>
  <c r="K68" i="46"/>
  <c r="L68" i="46"/>
  <c r="G68" i="46"/>
  <c r="H93" i="46"/>
  <c r="I93" i="46"/>
  <c r="J93" i="46"/>
  <c r="K93" i="46"/>
  <c r="L93" i="46"/>
  <c r="G93" i="46"/>
  <c r="I12" i="67" l="1"/>
  <c r="I13" i="67" s="1"/>
  <c r="I51" i="67"/>
  <c r="I52" i="67" s="1"/>
  <c r="G12" i="67"/>
  <c r="G13" i="67" s="1"/>
  <c r="G51" i="67"/>
  <c r="K12" i="67"/>
  <c r="K13" i="67" s="1"/>
  <c r="K51" i="67"/>
  <c r="K52" i="67" s="1"/>
  <c r="J12" i="67"/>
  <c r="J13" i="67" s="1"/>
  <c r="J51" i="67"/>
  <c r="J52" i="67" s="1"/>
  <c r="L12" i="67"/>
  <c r="L13" i="67" s="1"/>
  <c r="L51" i="67"/>
  <c r="L52" i="67" s="1"/>
  <c r="H12" i="67"/>
  <c r="H13" i="67" s="1"/>
  <c r="H51" i="67"/>
  <c r="H52" i="67" s="1"/>
  <c r="H40" i="46"/>
  <c r="C51" i="67" l="1"/>
  <c r="G52" i="67"/>
  <c r="C52" i="67" s="1"/>
  <c r="I40" i="46"/>
  <c r="F51" i="47"/>
  <c r="E47" i="47"/>
  <c r="E46" i="47"/>
  <c r="E45" i="47"/>
  <c r="E44" i="47"/>
  <c r="E43" i="47"/>
  <c r="E42" i="47"/>
  <c r="E41" i="47"/>
  <c r="E15" i="47"/>
  <c r="E14" i="47"/>
  <c r="F52" i="18" l="1"/>
  <c r="C30" i="63"/>
  <c r="J40" i="46"/>
  <c r="F6" i="34"/>
  <c r="F58" i="34" s="1"/>
  <c r="C34" i="63" l="1"/>
  <c r="K40" i="46"/>
  <c r="D26" i="41"/>
  <c r="D25" i="41"/>
  <c r="D24" i="41"/>
  <c r="D23" i="41"/>
  <c r="D22" i="41"/>
  <c r="D21" i="41"/>
  <c r="D20" i="41"/>
  <c r="D19" i="41"/>
  <c r="D18" i="41"/>
  <c r="D17" i="41"/>
  <c r="D16" i="41"/>
  <c r="D15" i="41"/>
  <c r="D14" i="41"/>
  <c r="D12" i="41"/>
  <c r="D11" i="41" l="1"/>
  <c r="L40" i="46"/>
  <c r="D27" i="41"/>
  <c r="C12" i="52" l="1"/>
  <c r="D12" i="52" s="1"/>
  <c r="H101" i="41" l="1"/>
  <c r="I101" i="41" s="1"/>
  <c r="H71" i="41"/>
  <c r="I71" i="41" l="1"/>
  <c r="F6" i="46"/>
  <c r="L98" i="46"/>
  <c r="K98" i="46"/>
  <c r="J98" i="46"/>
  <c r="I98" i="46"/>
  <c r="H98" i="46"/>
  <c r="G98" i="46" l="1"/>
  <c r="L20" i="46" l="1"/>
  <c r="K20" i="46"/>
  <c r="J20" i="46"/>
  <c r="I20" i="46"/>
  <c r="H20" i="46"/>
  <c r="G20" i="46"/>
  <c r="E23" i="46" l="1"/>
  <c r="E34" i="46" l="1"/>
  <c r="G100" i="46"/>
  <c r="C49" i="38" s="1"/>
  <c r="F49" i="38" s="1"/>
  <c r="E49" i="38" s="1"/>
  <c r="F2" i="41"/>
  <c r="C34" i="38" l="1"/>
  <c r="C33" i="38"/>
  <c r="E39" i="45" l="1"/>
  <c r="F47" i="18" l="1"/>
  <c r="F33" i="18" l="1"/>
  <c r="F76" i="67" s="1"/>
  <c r="F32" i="18"/>
  <c r="F31" i="18"/>
  <c r="F74" i="67" s="1"/>
  <c r="F28" i="18"/>
  <c r="F71" i="67" s="1"/>
  <c r="F25" i="18"/>
  <c r="F23" i="18"/>
  <c r="F66" i="67" s="1"/>
  <c r="F22" i="18"/>
  <c r="F65" i="67" s="1"/>
  <c r="F21" i="18"/>
  <c r="F64" i="67" s="1"/>
  <c r="F19" i="18"/>
  <c r="F62" i="67" s="1"/>
  <c r="F61" i="67"/>
  <c r="F17" i="18"/>
  <c r="F60" i="67" s="1"/>
  <c r="L17" i="13"/>
  <c r="L15" i="61" s="1"/>
  <c r="K17" i="13"/>
  <c r="K15" i="61" s="1"/>
  <c r="J17" i="13"/>
  <c r="J15" i="61" s="1"/>
  <c r="I17" i="13"/>
  <c r="I15" i="61" s="1"/>
  <c r="H17" i="13"/>
  <c r="H15" i="61" s="1"/>
  <c r="G17" i="13"/>
  <c r="G15" i="61" s="1"/>
  <c r="F49" i="18"/>
  <c r="F48" i="18"/>
  <c r="F6" i="18"/>
  <c r="F15" i="67" l="1"/>
  <c r="F117" i="67"/>
  <c r="F80" i="67"/>
  <c r="F56" i="67"/>
  <c r="F75" i="67"/>
  <c r="F14" i="18"/>
  <c r="F96" i="67"/>
  <c r="F43" i="18"/>
  <c r="F9" i="18"/>
  <c r="K98" i="61"/>
  <c r="K99" i="61"/>
  <c r="I99" i="61"/>
  <c r="I98" i="61"/>
  <c r="J98" i="61"/>
  <c r="J99" i="61"/>
  <c r="G98" i="61"/>
  <c r="H99" i="61"/>
  <c r="H98" i="61"/>
  <c r="L99" i="61"/>
  <c r="L98" i="61"/>
  <c r="F12" i="18" l="1"/>
  <c r="E34" i="38"/>
  <c r="D34" i="38" s="1"/>
  <c r="C35" i="38"/>
  <c r="E22" i="38" l="1"/>
  <c r="E31" i="38"/>
  <c r="E32" i="38"/>
  <c r="E33" i="38"/>
  <c r="D33" i="38" s="1"/>
  <c r="E35" i="38"/>
  <c r="D35" i="38" s="1"/>
  <c r="E12" i="47" l="1"/>
  <c r="N44" i="48"/>
  <c r="I32" i="63" s="1"/>
  <c r="M44" i="48"/>
  <c r="H32" i="63" s="1"/>
  <c r="L44" i="48"/>
  <c r="G32" i="63" s="1"/>
  <c r="K44" i="48"/>
  <c r="F32" i="63" s="1"/>
  <c r="J44" i="48"/>
  <c r="E32" i="63" s="1"/>
  <c r="I44" i="48"/>
  <c r="D32" i="63" s="1"/>
  <c r="I13" i="48"/>
  <c r="I35" i="48" s="1"/>
  <c r="A2" i="48"/>
  <c r="B32" i="63" l="1"/>
  <c r="K45" i="48"/>
  <c r="G48" i="18"/>
  <c r="G44" i="48"/>
  <c r="J45" i="48" s="1"/>
  <c r="C47" i="38"/>
  <c r="K48" i="18"/>
  <c r="J48" i="18"/>
  <c r="H48" i="18"/>
  <c r="L48" i="18"/>
  <c r="I48" i="18"/>
  <c r="H12" i="48"/>
  <c r="J12" i="48"/>
  <c r="J13" i="48" s="1"/>
  <c r="H13" i="48"/>
  <c r="H35" i="48" s="1"/>
  <c r="N45" i="48" l="1"/>
  <c r="F68" i="67"/>
  <c r="F69" i="67"/>
  <c r="I122" i="67"/>
  <c r="K122" i="67"/>
  <c r="L122" i="67"/>
  <c r="H122" i="67"/>
  <c r="J122" i="67"/>
  <c r="G122" i="67"/>
  <c r="D48" i="18"/>
  <c r="L45" i="48"/>
  <c r="G45" i="48"/>
  <c r="H45" i="48"/>
  <c r="I45" i="48"/>
  <c r="M45" i="48"/>
  <c r="K12" i="48"/>
  <c r="K13" i="48" s="1"/>
  <c r="J35" i="48"/>
  <c r="C48" i="18"/>
  <c r="C122" i="67" l="1"/>
  <c r="L12" i="48"/>
  <c r="L13" i="48" s="1"/>
  <c r="K35" i="48"/>
  <c r="G66" i="46"/>
  <c r="H66" i="46"/>
  <c r="G65" i="46"/>
  <c r="H65" i="46"/>
  <c r="G37" i="34"/>
  <c r="H33" i="34"/>
  <c r="G32" i="34"/>
  <c r="H32" i="34"/>
  <c r="M12" i="48" l="1"/>
  <c r="M13" i="48" s="1"/>
  <c r="L35" i="48"/>
  <c r="D51" i="47"/>
  <c r="E39" i="47"/>
  <c r="E37" i="47"/>
  <c r="E35" i="47"/>
  <c r="E33" i="47"/>
  <c r="E31" i="47"/>
  <c r="E29" i="47"/>
  <c r="E27" i="47"/>
  <c r="H7" i="47"/>
  <c r="I7" i="47" s="1"/>
  <c r="J7" i="47" s="1"/>
  <c r="K7" i="47" s="1"/>
  <c r="L7" i="47" s="1"/>
  <c r="A2" i="47"/>
  <c r="L66" i="46"/>
  <c r="K66" i="46"/>
  <c r="J66" i="46"/>
  <c r="I66" i="46"/>
  <c r="L65" i="46"/>
  <c r="K65" i="46"/>
  <c r="J65" i="46"/>
  <c r="I65" i="46"/>
  <c r="C59" i="46"/>
  <c r="C57" i="46"/>
  <c r="L27" i="46"/>
  <c r="K27" i="46"/>
  <c r="J27" i="46"/>
  <c r="I27" i="46"/>
  <c r="H27" i="46"/>
  <c r="G27" i="46"/>
  <c r="L26" i="46"/>
  <c r="K26" i="46"/>
  <c r="J26" i="46"/>
  <c r="I26" i="46"/>
  <c r="H26" i="46"/>
  <c r="L6" i="46"/>
  <c r="K6" i="46"/>
  <c r="J6" i="46"/>
  <c r="I6" i="46"/>
  <c r="H6" i="46"/>
  <c r="G6" i="46"/>
  <c r="A2" i="46"/>
  <c r="G33" i="46" l="1"/>
  <c r="G41" i="46" s="1"/>
  <c r="J33" i="46"/>
  <c r="J41" i="46" s="1"/>
  <c r="H33" i="46"/>
  <c r="H41" i="46" s="1"/>
  <c r="I33" i="46"/>
  <c r="I41" i="46" s="1"/>
  <c r="K33" i="46"/>
  <c r="K41" i="46" s="1"/>
  <c r="L33" i="46"/>
  <c r="L41" i="46" s="1"/>
  <c r="K46" i="46"/>
  <c r="H46" i="46"/>
  <c r="I46" i="46"/>
  <c r="G46" i="46"/>
  <c r="L46" i="46"/>
  <c r="J46" i="46"/>
  <c r="I96" i="46"/>
  <c r="I47" i="46"/>
  <c r="G97" i="46"/>
  <c r="G48" i="46"/>
  <c r="K97" i="46"/>
  <c r="K48" i="46"/>
  <c r="L97" i="46"/>
  <c r="L48" i="46"/>
  <c r="J96" i="46"/>
  <c r="J47" i="46"/>
  <c r="H97" i="46"/>
  <c r="H48" i="46"/>
  <c r="G96" i="46"/>
  <c r="G47" i="46"/>
  <c r="K96" i="46"/>
  <c r="K47" i="46"/>
  <c r="I97" i="46"/>
  <c r="I48" i="46"/>
  <c r="H96" i="46"/>
  <c r="H47" i="46"/>
  <c r="L96" i="46"/>
  <c r="L47" i="46"/>
  <c r="J97" i="46"/>
  <c r="J48" i="46"/>
  <c r="H49" i="47"/>
  <c r="H50" i="47" s="1"/>
  <c r="H51" i="47" s="1"/>
  <c r="L49" i="47"/>
  <c r="L50" i="47" s="1"/>
  <c r="L51" i="47" s="1"/>
  <c r="I49" i="47"/>
  <c r="I50" i="47" s="1"/>
  <c r="I51" i="47" s="1"/>
  <c r="J49" i="47"/>
  <c r="J50" i="47" s="1"/>
  <c r="J51" i="47" s="1"/>
  <c r="G49" i="47"/>
  <c r="G50" i="47" s="1"/>
  <c r="G51" i="47" s="1"/>
  <c r="D30" i="63" s="1"/>
  <c r="K49" i="47"/>
  <c r="K50" i="47" s="1"/>
  <c r="K51" i="47" s="1"/>
  <c r="E48" i="47"/>
  <c r="N12" i="48"/>
  <c r="N13" i="48" s="1"/>
  <c r="N35" i="48" s="1"/>
  <c r="M35" i="48"/>
  <c r="E30" i="47"/>
  <c r="E32" i="47"/>
  <c r="E34" i="47"/>
  <c r="E36" i="47"/>
  <c r="E40" i="47"/>
  <c r="E13" i="47"/>
  <c r="E17" i="47"/>
  <c r="E19" i="47"/>
  <c r="E20" i="47"/>
  <c r="E28" i="47"/>
  <c r="E16" i="47"/>
  <c r="E18" i="47"/>
  <c r="G95" i="46"/>
  <c r="J72" i="46"/>
  <c r="I72" i="46"/>
  <c r="L72" i="46"/>
  <c r="H72" i="46"/>
  <c r="K72" i="46"/>
  <c r="G72" i="46"/>
  <c r="H95" i="46"/>
  <c r="L95" i="46"/>
  <c r="K95" i="46"/>
  <c r="I95" i="46"/>
  <c r="J95" i="46"/>
  <c r="E38" i="47"/>
  <c r="E27" i="46"/>
  <c r="E25" i="46"/>
  <c r="G69" i="46"/>
  <c r="C60" i="46"/>
  <c r="G56" i="46" s="1"/>
  <c r="I42" i="46" l="1"/>
  <c r="I75" i="46" s="1"/>
  <c r="H42" i="46"/>
  <c r="H75" i="46" s="1"/>
  <c r="L42" i="46"/>
  <c r="L75" i="46" s="1"/>
  <c r="J42" i="46"/>
  <c r="J75" i="46" s="1"/>
  <c r="K42" i="46"/>
  <c r="K75" i="46" s="1"/>
  <c r="G42" i="46"/>
  <c r="G75" i="46" s="1"/>
  <c r="E33" i="46"/>
  <c r="G30" i="63"/>
  <c r="J52" i="18"/>
  <c r="I52" i="18"/>
  <c r="F30" i="63"/>
  <c r="L52" i="18"/>
  <c r="I30" i="63"/>
  <c r="K52" i="18"/>
  <c r="H30" i="63"/>
  <c r="H52" i="18"/>
  <c r="E30" i="63"/>
  <c r="D61" i="46"/>
  <c r="D62" i="46" s="1"/>
  <c r="D63" i="46" s="1"/>
  <c r="F74" i="46"/>
  <c r="F76" i="46"/>
  <c r="C20" i="63" s="1"/>
  <c r="E26" i="46"/>
  <c r="G52" i="18"/>
  <c r="C52" i="38"/>
  <c r="E51" i="47"/>
  <c r="H52" i="38" l="1"/>
  <c r="G52" i="38"/>
  <c r="I52" i="38"/>
  <c r="J52" i="38"/>
  <c r="K52" i="38"/>
  <c r="L52" i="38"/>
  <c r="M52" i="38"/>
  <c r="N52" i="38"/>
  <c r="O52" i="38"/>
  <c r="F52" i="38"/>
  <c r="H125" i="67"/>
  <c r="G125" i="67"/>
  <c r="K125" i="67"/>
  <c r="L125" i="67"/>
  <c r="I125" i="67"/>
  <c r="J125" i="67"/>
  <c r="J43" i="46"/>
  <c r="H43" i="46"/>
  <c r="L43" i="46"/>
  <c r="I43" i="46"/>
  <c r="E75" i="46"/>
  <c r="K43" i="46"/>
  <c r="D52" i="18"/>
  <c r="G43" i="46"/>
  <c r="F85" i="46"/>
  <c r="E41" i="46"/>
  <c r="B30" i="63"/>
  <c r="G62" i="46"/>
  <c r="G94" i="46" s="1"/>
  <c r="G63" i="46"/>
  <c r="G76" i="46" s="1"/>
  <c r="F43" i="46"/>
  <c r="F45" i="18"/>
  <c r="F77" i="46"/>
  <c r="C52" i="18"/>
  <c r="F93" i="67" l="1"/>
  <c r="C125" i="67"/>
  <c r="D20" i="63"/>
  <c r="G45" i="18"/>
  <c r="G93" i="67" s="1"/>
  <c r="G71" i="46"/>
  <c r="G74" i="46" s="1"/>
  <c r="C48" i="38" s="1"/>
  <c r="E40" i="46"/>
  <c r="K48" i="38" l="1"/>
  <c r="L48" i="38"/>
  <c r="M48" i="38"/>
  <c r="N48" i="38"/>
  <c r="O48" i="38"/>
  <c r="P48" i="38"/>
  <c r="Q48" i="38"/>
  <c r="G77" i="46"/>
  <c r="G119" i="67"/>
  <c r="G85" i="46"/>
  <c r="F11" i="45" l="1"/>
  <c r="A2" i="45"/>
  <c r="E10" i="45" l="1"/>
  <c r="E11" i="45"/>
  <c r="G10" i="45"/>
  <c r="G11" i="45" s="1"/>
  <c r="H10" i="45" s="1"/>
  <c r="H11" i="45" s="1"/>
  <c r="I10" i="45" s="1"/>
  <c r="I11" i="45" s="1"/>
  <c r="J10" i="45" s="1"/>
  <c r="J11" i="45" s="1"/>
  <c r="K10" i="45" s="1"/>
  <c r="K11" i="45" s="1"/>
  <c r="E30" i="38" l="1"/>
  <c r="A2" i="35" l="1"/>
  <c r="A2" i="38"/>
  <c r="A2" i="41"/>
  <c r="A2" i="18"/>
  <c r="A2" i="13"/>
  <c r="A2" i="34"/>
  <c r="L33" i="18"/>
  <c r="L76" i="67" s="1"/>
  <c r="L31" i="18"/>
  <c r="L74" i="67" s="1"/>
  <c r="L27" i="18"/>
  <c r="L70" i="67" s="1"/>
  <c r="L25" i="18"/>
  <c r="L6" i="34"/>
  <c r="L58" i="34" s="1"/>
  <c r="K6" i="34"/>
  <c r="K58" i="34" s="1"/>
  <c r="J6" i="34"/>
  <c r="J58" i="34" s="1"/>
  <c r="I6" i="34"/>
  <c r="I58" i="34" s="1"/>
  <c r="H6" i="34"/>
  <c r="H58" i="34" s="1"/>
  <c r="G6" i="34"/>
  <c r="G58" i="34" s="1"/>
  <c r="J26" i="41"/>
  <c r="N30" i="48" s="1"/>
  <c r="I26" i="41"/>
  <c r="M30" i="48" s="1"/>
  <c r="H26" i="41"/>
  <c r="L30" i="48" s="1"/>
  <c r="G26" i="41"/>
  <c r="K30" i="48" s="1"/>
  <c r="F26" i="41"/>
  <c r="J30" i="48" s="1"/>
  <c r="E26" i="41"/>
  <c r="I30" i="48" s="1"/>
  <c r="J25" i="41"/>
  <c r="N29" i="48" s="1"/>
  <c r="I25" i="41"/>
  <c r="M29" i="48" s="1"/>
  <c r="H25" i="41"/>
  <c r="L29" i="48" s="1"/>
  <c r="G25" i="41"/>
  <c r="K29" i="48" s="1"/>
  <c r="F25" i="41"/>
  <c r="J29" i="48" s="1"/>
  <c r="E25" i="41"/>
  <c r="I29" i="48" s="1"/>
  <c r="J24" i="41"/>
  <c r="N28" i="48" s="1"/>
  <c r="I24" i="41"/>
  <c r="M28" i="48" s="1"/>
  <c r="H24" i="41"/>
  <c r="L28" i="48" s="1"/>
  <c r="G24" i="41"/>
  <c r="K28" i="48" s="1"/>
  <c r="F24" i="41"/>
  <c r="J28" i="48" s="1"/>
  <c r="E24" i="41"/>
  <c r="I28" i="48" s="1"/>
  <c r="J23" i="41"/>
  <c r="N27" i="48" s="1"/>
  <c r="I23" i="41"/>
  <c r="M27" i="48" s="1"/>
  <c r="H23" i="41"/>
  <c r="L27" i="48" s="1"/>
  <c r="G23" i="41"/>
  <c r="K27" i="48" s="1"/>
  <c r="F23" i="41"/>
  <c r="J27" i="48" s="1"/>
  <c r="E23" i="41"/>
  <c r="I27" i="48" s="1"/>
  <c r="J22" i="41"/>
  <c r="N26" i="48" s="1"/>
  <c r="I22" i="41"/>
  <c r="M26" i="48" s="1"/>
  <c r="H22" i="41"/>
  <c r="L26" i="48" s="1"/>
  <c r="G22" i="41"/>
  <c r="K26" i="48" s="1"/>
  <c r="F22" i="41"/>
  <c r="J26" i="48" s="1"/>
  <c r="E22" i="41"/>
  <c r="I26" i="48" s="1"/>
  <c r="J21" i="41"/>
  <c r="N25" i="48" s="1"/>
  <c r="I21" i="41"/>
  <c r="M25" i="48" s="1"/>
  <c r="H21" i="41"/>
  <c r="L25" i="48" s="1"/>
  <c r="G21" i="41"/>
  <c r="K25" i="48" s="1"/>
  <c r="F21" i="41"/>
  <c r="J25" i="48" s="1"/>
  <c r="E21" i="41"/>
  <c r="I25" i="48" s="1"/>
  <c r="J20" i="41"/>
  <c r="N24" i="48" s="1"/>
  <c r="I20" i="41"/>
  <c r="M24" i="48" s="1"/>
  <c r="H20" i="41"/>
  <c r="L24" i="48" s="1"/>
  <c r="G20" i="41"/>
  <c r="K24" i="48" s="1"/>
  <c r="F20" i="41"/>
  <c r="J24" i="48" s="1"/>
  <c r="E20" i="41"/>
  <c r="I24" i="48" s="1"/>
  <c r="J19" i="41"/>
  <c r="N23" i="48" s="1"/>
  <c r="I19" i="41"/>
  <c r="M23" i="48" s="1"/>
  <c r="H19" i="41"/>
  <c r="L23" i="48" s="1"/>
  <c r="G19" i="41"/>
  <c r="K23" i="48" s="1"/>
  <c r="F19" i="41"/>
  <c r="J23" i="48" s="1"/>
  <c r="E19" i="41"/>
  <c r="I23" i="48" s="1"/>
  <c r="J18" i="41"/>
  <c r="N22" i="48" s="1"/>
  <c r="I18" i="41"/>
  <c r="M22" i="48" s="1"/>
  <c r="H18" i="41"/>
  <c r="L22" i="48" s="1"/>
  <c r="G18" i="41"/>
  <c r="K22" i="48" s="1"/>
  <c r="F18" i="41"/>
  <c r="J22" i="48" s="1"/>
  <c r="E18" i="41"/>
  <c r="I22" i="48" s="1"/>
  <c r="J17" i="41"/>
  <c r="N21" i="48" s="1"/>
  <c r="I17" i="41"/>
  <c r="M21" i="48" s="1"/>
  <c r="H17" i="41"/>
  <c r="L21" i="48" s="1"/>
  <c r="K21" i="48"/>
  <c r="F17" i="41"/>
  <c r="J21" i="48" s="1"/>
  <c r="E17" i="41"/>
  <c r="I21" i="48" s="1"/>
  <c r="J16" i="41"/>
  <c r="N20" i="48" s="1"/>
  <c r="I16" i="41"/>
  <c r="M20" i="48" s="1"/>
  <c r="H16" i="41"/>
  <c r="L20" i="48" s="1"/>
  <c r="K20" i="48"/>
  <c r="F16" i="41"/>
  <c r="J20" i="48" s="1"/>
  <c r="E16" i="41"/>
  <c r="I20" i="48" s="1"/>
  <c r="J15" i="41"/>
  <c r="N19" i="48" s="1"/>
  <c r="I15" i="41"/>
  <c r="M19" i="48" s="1"/>
  <c r="H15" i="41"/>
  <c r="L19" i="48" s="1"/>
  <c r="K19" i="48"/>
  <c r="J19" i="48"/>
  <c r="E15" i="41"/>
  <c r="I19" i="48" s="1"/>
  <c r="J14" i="41"/>
  <c r="N18" i="48" s="1"/>
  <c r="I14" i="41"/>
  <c r="M18" i="48" s="1"/>
  <c r="H14" i="41"/>
  <c r="L18" i="48" s="1"/>
  <c r="G14" i="41"/>
  <c r="F14" i="41"/>
  <c r="J18" i="48" s="1"/>
  <c r="I18" i="48"/>
  <c r="L6" i="18"/>
  <c r="L15" i="67" l="1"/>
  <c r="L80" i="67"/>
  <c r="L117" i="67"/>
  <c r="L56" i="67"/>
  <c r="L109" i="67"/>
  <c r="L108" i="67"/>
  <c r="L68" i="67"/>
  <c r="L111" i="67"/>
  <c r="L14" i="18"/>
  <c r="L96" i="67"/>
  <c r="L113" i="67"/>
  <c r="L43" i="18"/>
  <c r="G11" i="41"/>
  <c r="K18" i="48"/>
  <c r="J15" i="48"/>
  <c r="J31" i="48"/>
  <c r="N15" i="48"/>
  <c r="N31" i="48"/>
  <c r="L15" i="48"/>
  <c r="L31" i="48"/>
  <c r="I31" i="48"/>
  <c r="I15" i="48"/>
  <c r="M15" i="48"/>
  <c r="M31" i="48"/>
  <c r="H11" i="41"/>
  <c r="E11" i="41"/>
  <c r="I11" i="41"/>
  <c r="F11" i="41"/>
  <c r="J11" i="41"/>
  <c r="H27" i="41"/>
  <c r="F27" i="41"/>
  <c r="J27" i="41"/>
  <c r="G27" i="41"/>
  <c r="E27" i="41"/>
  <c r="I27" i="41"/>
  <c r="E8" i="39"/>
  <c r="E29" i="41" l="1"/>
  <c r="G40" i="13" s="1"/>
  <c r="G29" i="41"/>
  <c r="I40" i="13" s="1"/>
  <c r="J29" i="41"/>
  <c r="L40" i="13" s="1"/>
  <c r="I29" i="41"/>
  <c r="K40" i="13" s="1"/>
  <c r="F29" i="41"/>
  <c r="H40" i="13" s="1"/>
  <c r="H29" i="41"/>
  <c r="J40" i="13" s="1"/>
  <c r="J30" i="41"/>
  <c r="L41" i="13" s="1"/>
  <c r="I30" i="41"/>
  <c r="K41" i="13" s="1"/>
  <c r="F30" i="41"/>
  <c r="H41" i="13" s="1"/>
  <c r="E30" i="41"/>
  <c r="G41" i="13" s="1"/>
  <c r="H30" i="41"/>
  <c r="J41" i="13" s="1"/>
  <c r="G30" i="41"/>
  <c r="I41" i="13" s="1"/>
  <c r="K31" i="48"/>
  <c r="K15" i="48"/>
  <c r="G12" i="45"/>
  <c r="I12" i="45"/>
  <c r="H12" i="45"/>
  <c r="J12" i="45"/>
  <c r="F12" i="45"/>
  <c r="K12" i="45"/>
  <c r="G33" i="18"/>
  <c r="G76" i="67" s="1"/>
  <c r="G31" i="18"/>
  <c r="G74" i="67" s="1"/>
  <c r="G25" i="18"/>
  <c r="G6" i="18"/>
  <c r="G15" i="67" l="1"/>
  <c r="G117" i="67"/>
  <c r="G56" i="67"/>
  <c r="G80" i="67"/>
  <c r="G108" i="67"/>
  <c r="G68" i="67"/>
  <c r="G111" i="67"/>
  <c r="G14" i="18"/>
  <c r="G96" i="67"/>
  <c r="G113" i="67"/>
  <c r="G43" i="18"/>
  <c r="A5" i="39" l="1"/>
  <c r="D7" i="63" l="1"/>
  <c r="G80" i="46" s="1"/>
  <c r="L10" i="46"/>
  <c r="L19" i="13" l="1"/>
  <c r="L16" i="61" s="1"/>
  <c r="L32" i="61" s="1"/>
  <c r="L21" i="13"/>
  <c r="L34" i="67" s="1"/>
  <c r="L179" i="61"/>
  <c r="I9" i="63"/>
  <c r="L72" i="61"/>
  <c r="L78" i="61"/>
  <c r="L82" i="61"/>
  <c r="L88" i="61"/>
  <c r="L92" i="61"/>
  <c r="L77" i="61"/>
  <c r="L81" i="61"/>
  <c r="L91" i="61"/>
  <c r="L149" i="61"/>
  <c r="L74" i="61"/>
  <c r="L80" i="61"/>
  <c r="L148" i="61"/>
  <c r="H9" i="62"/>
  <c r="H51" i="62" s="1"/>
  <c r="D144" i="62"/>
  <c r="L9" i="46"/>
  <c r="M4" i="53"/>
  <c r="E8" i="41"/>
  <c r="E9" i="41" s="1"/>
  <c r="F8" i="41" s="1"/>
  <c r="F9" i="41" s="1"/>
  <c r="G8" i="41" s="1"/>
  <c r="G9" i="41" s="1"/>
  <c r="H8" i="41" s="1"/>
  <c r="H9" i="41" s="1"/>
  <c r="I8" i="41" s="1"/>
  <c r="H2" i="53"/>
  <c r="H3" i="53" s="1"/>
  <c r="I2" i="53" s="1"/>
  <c r="I3" i="53" s="1"/>
  <c r="J2" i="53" s="1"/>
  <c r="J3" i="53" s="1"/>
  <c r="K2" i="53" s="1"/>
  <c r="K3" i="53" s="1"/>
  <c r="L2" i="53" s="1"/>
  <c r="L3" i="53" s="1"/>
  <c r="M2" i="53" s="1"/>
  <c r="M3" i="53" s="1"/>
  <c r="L45" i="13"/>
  <c r="L95" i="13"/>
  <c r="G7" i="46"/>
  <c r="F7" i="46" s="1"/>
  <c r="F10" i="13"/>
  <c r="C7" i="63" s="1"/>
  <c r="F80" i="46" s="1"/>
  <c r="L11" i="34"/>
  <c r="L131" i="13"/>
  <c r="L22" i="18" s="1"/>
  <c r="G7" i="34"/>
  <c r="G7" i="18"/>
  <c r="G7" i="67" s="1"/>
  <c r="C7" i="38"/>
  <c r="D8" i="63"/>
  <c r="G81" i="46" s="1"/>
  <c r="L128" i="13"/>
  <c r="L19" i="18" s="1"/>
  <c r="L136" i="13"/>
  <c r="L130" i="13"/>
  <c r="L126" i="13"/>
  <c r="L18" i="18" s="1"/>
  <c r="L132" i="13"/>
  <c r="L23" i="18" s="1"/>
  <c r="L125" i="13"/>
  <c r="L17" i="18" s="1"/>
  <c r="G59" i="34" l="1"/>
  <c r="G8" i="47"/>
  <c r="L105" i="67"/>
  <c r="L102" i="67"/>
  <c r="L101" i="67"/>
  <c r="L106" i="67"/>
  <c r="L103" i="67"/>
  <c r="L21" i="18"/>
  <c r="L143" i="13"/>
  <c r="L144" i="13" s="1"/>
  <c r="L31" i="34"/>
  <c r="L29" i="34"/>
  <c r="L27" i="34"/>
  <c r="L30" i="34"/>
  <c r="L28" i="34"/>
  <c r="I33" i="63"/>
  <c r="I31" i="63"/>
  <c r="L9" i="18"/>
  <c r="L12" i="18" s="1"/>
  <c r="L178" i="61"/>
  <c r="L177" i="61"/>
  <c r="M31" i="62"/>
  <c r="L61" i="34"/>
  <c r="L82" i="46"/>
  <c r="H10" i="62"/>
  <c r="L153" i="61"/>
  <c r="L32" i="18"/>
  <c r="L75" i="67" s="1"/>
  <c r="F7" i="34"/>
  <c r="G9" i="62"/>
  <c r="G51" i="62" s="1"/>
  <c r="M5" i="53"/>
  <c r="M6" i="53" s="1"/>
  <c r="N16" i="48"/>
  <c r="N32" i="48" s="1"/>
  <c r="J12" i="41"/>
  <c r="J28" i="41" s="1"/>
  <c r="F7" i="18"/>
  <c r="F7" i="67" s="1"/>
  <c r="D8" i="41"/>
  <c r="D9" i="41" s="1"/>
  <c r="F11" i="13"/>
  <c r="C8" i="63" s="1"/>
  <c r="F81" i="46" s="1"/>
  <c r="L28" i="18"/>
  <c r="L71" i="67" s="1"/>
  <c r="G8" i="46"/>
  <c r="F8" i="46" s="1"/>
  <c r="G9" i="47"/>
  <c r="G8" i="34"/>
  <c r="G60" i="34" s="1"/>
  <c r="G8" i="18"/>
  <c r="G8" i="67" s="1"/>
  <c r="I9" i="41"/>
  <c r="C8" i="38"/>
  <c r="E12" i="38" s="1"/>
  <c r="E7" i="63"/>
  <c r="H80" i="46" s="1"/>
  <c r="H132" i="62" l="1"/>
  <c r="H134" i="62"/>
  <c r="H297" i="62" s="1"/>
  <c r="H85" i="62"/>
  <c r="H83" i="62"/>
  <c r="H247" i="62" s="1"/>
  <c r="H94" i="62"/>
  <c r="H84" i="62"/>
  <c r="H92" i="62"/>
  <c r="H255" i="62" s="1"/>
  <c r="H86" i="62"/>
  <c r="H95" i="62"/>
  <c r="H249" i="62"/>
  <c r="H93" i="62"/>
  <c r="H87" i="62"/>
  <c r="H251" i="62" s="1"/>
  <c r="F59" i="34"/>
  <c r="F8" i="47"/>
  <c r="H133" i="62"/>
  <c r="H296" i="62" s="1"/>
  <c r="H100" i="62"/>
  <c r="H265" i="62" s="1"/>
  <c r="Q14" i="38"/>
  <c r="H16" i="62"/>
  <c r="L112" i="67"/>
  <c r="L104" i="67"/>
  <c r="L54" i="67"/>
  <c r="L110" i="67"/>
  <c r="R14" i="38"/>
  <c r="M14" i="38"/>
  <c r="I14" i="38"/>
  <c r="G14" i="38"/>
  <c r="P14" i="38"/>
  <c r="L14" i="38"/>
  <c r="F14" i="38"/>
  <c r="O14" i="38"/>
  <c r="K14" i="38"/>
  <c r="H14" i="38"/>
  <c r="N14" i="38"/>
  <c r="J14" i="38"/>
  <c r="H146" i="62"/>
  <c r="H302" i="62" s="1"/>
  <c r="H257" i="62"/>
  <c r="H52" i="62"/>
  <c r="H208" i="62"/>
  <c r="H364" i="62" s="1"/>
  <c r="H169" i="62"/>
  <c r="H225" i="62"/>
  <c r="H381" i="62" s="1"/>
  <c r="H190" i="62"/>
  <c r="H346" i="62" s="1"/>
  <c r="H233" i="62"/>
  <c r="H232" i="62"/>
  <c r="H174" i="62"/>
  <c r="H148" i="62"/>
  <c r="H207" i="62"/>
  <c r="H209" i="62"/>
  <c r="H196" i="62"/>
  <c r="H352" i="62" s="1"/>
  <c r="H237" i="62"/>
  <c r="H393" i="62" s="1"/>
  <c r="H160" i="62"/>
  <c r="H316" i="62" s="1"/>
  <c r="H108" i="62"/>
  <c r="H273" i="62" s="1"/>
  <c r="H131" i="62"/>
  <c r="H294" i="62" s="1"/>
  <c r="H223" i="62"/>
  <c r="H128" i="62"/>
  <c r="H186" i="62"/>
  <c r="H342" i="62" s="1"/>
  <c r="H183" i="62"/>
  <c r="H339" i="62" s="1"/>
  <c r="H175" i="62"/>
  <c r="H331" i="62" s="1"/>
  <c r="H192" i="62"/>
  <c r="H348" i="62" s="1"/>
  <c r="H214" i="62"/>
  <c r="H370" i="62" s="1"/>
  <c r="H153" i="62"/>
  <c r="H309" i="62" s="1"/>
  <c r="H230" i="62"/>
  <c r="H386" i="62" s="1"/>
  <c r="H226" i="62"/>
  <c r="H382" i="62" s="1"/>
  <c r="H203" i="62"/>
  <c r="H359" i="62" s="1"/>
  <c r="H206" i="62"/>
  <c r="H362" i="62" s="1"/>
  <c r="H180" i="62"/>
  <c r="H231" i="62"/>
  <c r="H221" i="62"/>
  <c r="H377" i="62" s="1"/>
  <c r="H205" i="62"/>
  <c r="H361" i="62" s="1"/>
  <c r="H158" i="62"/>
  <c r="H201" i="62"/>
  <c r="H357" i="62" s="1"/>
  <c r="H163" i="62"/>
  <c r="H319" i="62" s="1"/>
  <c r="H195" i="62"/>
  <c r="H351" i="62" s="1"/>
  <c r="H172" i="62"/>
  <c r="H159" i="62"/>
  <c r="H236" i="62"/>
  <c r="H392" i="62" s="1"/>
  <c r="H213" i="62"/>
  <c r="H369" i="62" s="1"/>
  <c r="H189" i="62"/>
  <c r="H345" i="62" s="1"/>
  <c r="H166" i="62"/>
  <c r="H322" i="62" s="1"/>
  <c r="H135" i="62"/>
  <c r="H298" i="62" s="1"/>
  <c r="H152" i="62"/>
  <c r="H129" i="62"/>
  <c r="H147" i="62"/>
  <c r="H303" i="62" s="1"/>
  <c r="H107" i="62"/>
  <c r="H103" i="62"/>
  <c r="H122" i="62"/>
  <c r="H118" i="62"/>
  <c r="H281" i="62" s="1"/>
  <c r="H104" i="62"/>
  <c r="H119" i="62"/>
  <c r="H258" i="62"/>
  <c r="H220" i="62"/>
  <c r="H199" i="62"/>
  <c r="H355" i="62" s="1"/>
  <c r="H200" i="62"/>
  <c r="H356" i="62" s="1"/>
  <c r="H177" i="62"/>
  <c r="H229" i="62"/>
  <c r="H385" i="62" s="1"/>
  <c r="H219" i="62"/>
  <c r="H202" i="62"/>
  <c r="H358" i="62" s="1"/>
  <c r="H181" i="62"/>
  <c r="H194" i="62"/>
  <c r="H350" i="62" s="1"/>
  <c r="H171" i="62"/>
  <c r="H156" i="62"/>
  <c r="H312" i="62" s="1"/>
  <c r="H239" i="62"/>
  <c r="H235" i="62"/>
  <c r="H391" i="62" s="1"/>
  <c r="H212" i="62"/>
  <c r="H188" i="62"/>
  <c r="H164" i="62"/>
  <c r="H320" i="62" s="1"/>
  <c r="H130" i="62"/>
  <c r="H293" i="62" s="1"/>
  <c r="H151" i="62"/>
  <c r="H127" i="62"/>
  <c r="H290" i="62" s="1"/>
  <c r="H126" i="62"/>
  <c r="H289" i="62" s="1"/>
  <c r="H106" i="62"/>
  <c r="H271" i="62" s="1"/>
  <c r="H102" i="62"/>
  <c r="H267" i="62" s="1"/>
  <c r="H121" i="62"/>
  <c r="H284" i="62" s="1"/>
  <c r="H117" i="62"/>
  <c r="H165" i="62"/>
  <c r="H218" i="62"/>
  <c r="H374" i="62" s="1"/>
  <c r="H176" i="62"/>
  <c r="H332" i="62" s="1"/>
  <c r="H184" i="62"/>
  <c r="H340" i="62" s="1"/>
  <c r="H157" i="62"/>
  <c r="H313" i="62" s="1"/>
  <c r="H227" i="62"/>
  <c r="H217" i="62"/>
  <c r="H373" i="62" s="1"/>
  <c r="H182" i="62"/>
  <c r="H224" i="62"/>
  <c r="H178" i="62"/>
  <c r="H334" i="62" s="1"/>
  <c r="H197" i="62"/>
  <c r="H353" i="62" s="1"/>
  <c r="H193" i="62"/>
  <c r="H349" i="62" s="1"/>
  <c r="H170" i="62"/>
  <c r="H136" i="62"/>
  <c r="H299" i="62" s="1"/>
  <c r="H238" i="62"/>
  <c r="H394" i="62" s="1"/>
  <c r="H215" i="62"/>
  <c r="H211" i="62"/>
  <c r="H367" i="62" s="1"/>
  <c r="H187" i="62"/>
  <c r="H162" i="62"/>
  <c r="H318" i="62" s="1"/>
  <c r="H154" i="62"/>
  <c r="H150" i="62"/>
  <c r="H168" i="62"/>
  <c r="H105" i="62"/>
  <c r="H270" i="62" s="1"/>
  <c r="H120" i="62"/>
  <c r="H114" i="62"/>
  <c r="H116" i="62"/>
  <c r="H115" i="62"/>
  <c r="H7" i="46"/>
  <c r="H63" i="46" s="1"/>
  <c r="I9" i="62"/>
  <c r="I51" i="62" s="1"/>
  <c r="F9" i="47"/>
  <c r="G10" i="62"/>
  <c r="F8" i="18"/>
  <c r="F8" i="67" s="1"/>
  <c r="F8" i="34"/>
  <c r="F60" i="34" s="1"/>
  <c r="E8" i="63"/>
  <c r="H81" i="46" s="1"/>
  <c r="H7" i="34"/>
  <c r="J8" i="41"/>
  <c r="G94" i="62" l="1"/>
  <c r="G93" i="62"/>
  <c r="G84" i="62"/>
  <c r="G95" i="62"/>
  <c r="G86" i="62"/>
  <c r="G87" i="62"/>
  <c r="G85" i="62"/>
  <c r="Q15" i="38"/>
  <c r="H59" i="34"/>
  <c r="H8" i="47"/>
  <c r="G133" i="62"/>
  <c r="G296" i="62" s="1"/>
  <c r="G134" i="62"/>
  <c r="G297" i="62" s="1"/>
  <c r="G16" i="62"/>
  <c r="G100" i="62"/>
  <c r="P15" i="38"/>
  <c r="R15" i="38"/>
  <c r="M15" i="38"/>
  <c r="H15" i="38"/>
  <c r="G15" i="38"/>
  <c r="J15" i="38"/>
  <c r="O15" i="38"/>
  <c r="L15" i="38"/>
  <c r="K15" i="38"/>
  <c r="I15" i="38"/>
  <c r="N15" i="38"/>
  <c r="F15" i="38"/>
  <c r="F61" i="38" s="1"/>
  <c r="G52" i="62"/>
  <c r="G257" i="62"/>
  <c r="H62" i="46"/>
  <c r="H330" i="62"/>
  <c r="H371" i="62"/>
  <c r="H277" i="62"/>
  <c r="H325" i="62"/>
  <c r="H365" i="62"/>
  <c r="H388" i="62"/>
  <c r="H256" i="62"/>
  <c r="H389" i="62"/>
  <c r="H326" i="62"/>
  <c r="H314" i="62"/>
  <c r="H344" i="62"/>
  <c r="H268" i="62"/>
  <c r="H328" i="62"/>
  <c r="H379" i="62"/>
  <c r="H250" i="62"/>
  <c r="H269" i="62"/>
  <c r="H308" i="62"/>
  <c r="H337" i="62"/>
  <c r="H376" i="62"/>
  <c r="H336" i="62"/>
  <c r="H266" i="62"/>
  <c r="H380" i="62"/>
  <c r="H109" i="62"/>
  <c r="H111" i="62" s="1"/>
  <c r="H304" i="62"/>
  <c r="H306" i="62"/>
  <c r="H310" i="62"/>
  <c r="H395" i="62"/>
  <c r="H383" i="62"/>
  <c r="H123" i="62"/>
  <c r="H375" i="62"/>
  <c r="H280" i="62"/>
  <c r="H343" i="62"/>
  <c r="H321" i="62"/>
  <c r="H282" i="62"/>
  <c r="H241" i="62"/>
  <c r="H278" i="62"/>
  <c r="H285" i="62"/>
  <c r="H363" i="62"/>
  <c r="H279" i="62"/>
  <c r="H324" i="62"/>
  <c r="H292" i="62"/>
  <c r="H315" i="62"/>
  <c r="H387" i="62"/>
  <c r="H291" i="62"/>
  <c r="H283" i="62"/>
  <c r="H307" i="62"/>
  <c r="H368" i="62"/>
  <c r="H327" i="62"/>
  <c r="H295" i="62"/>
  <c r="H333" i="62"/>
  <c r="H248" i="62"/>
  <c r="H272" i="62"/>
  <c r="H338" i="62"/>
  <c r="H89" i="62"/>
  <c r="H137" i="62"/>
  <c r="H21" i="62" s="1"/>
  <c r="G59" i="61" s="1"/>
  <c r="I10" i="62"/>
  <c r="G101" i="62"/>
  <c r="G102" i="62"/>
  <c r="G103" i="62"/>
  <c r="G104" i="62"/>
  <c r="G105" i="62"/>
  <c r="G106" i="62"/>
  <c r="G107" i="62"/>
  <c r="G108" i="62"/>
  <c r="G258" i="62"/>
  <c r="G127" i="62"/>
  <c r="G129" i="62"/>
  <c r="G131" i="62"/>
  <c r="G146" i="62"/>
  <c r="G150" i="62"/>
  <c r="G151" i="62"/>
  <c r="G152" i="62"/>
  <c r="G153" i="62"/>
  <c r="G154" i="62"/>
  <c r="G156" i="62"/>
  <c r="G157" i="62"/>
  <c r="G158" i="62"/>
  <c r="G115" i="62"/>
  <c r="G117" i="62"/>
  <c r="G119" i="62"/>
  <c r="G121" i="62"/>
  <c r="G128" i="62"/>
  <c r="G136" i="62"/>
  <c r="G299" i="62" s="1"/>
  <c r="G159" i="62"/>
  <c r="G169" i="62"/>
  <c r="G170" i="62"/>
  <c r="G171" i="62"/>
  <c r="G172" i="62"/>
  <c r="G192" i="62"/>
  <c r="G193" i="62"/>
  <c r="G194" i="62"/>
  <c r="G195" i="62"/>
  <c r="G196" i="62"/>
  <c r="G197" i="62"/>
  <c r="G217" i="62"/>
  <c r="G218" i="62"/>
  <c r="G219" i="62"/>
  <c r="G220" i="62"/>
  <c r="G221" i="62"/>
  <c r="G163" i="62"/>
  <c r="G165" i="62"/>
  <c r="G174" i="62"/>
  <c r="G175" i="62"/>
  <c r="G176" i="62"/>
  <c r="G177" i="62"/>
  <c r="G178" i="62"/>
  <c r="G199" i="62"/>
  <c r="G200" i="62"/>
  <c r="G201" i="62"/>
  <c r="G202" i="62"/>
  <c r="G203" i="62"/>
  <c r="G116" i="62"/>
  <c r="G126" i="62"/>
  <c r="G130" i="62"/>
  <c r="G132" i="62"/>
  <c r="G162" i="62"/>
  <c r="G182" i="62"/>
  <c r="G186" i="62"/>
  <c r="G187" i="62"/>
  <c r="G188" i="62"/>
  <c r="G189" i="62"/>
  <c r="G190" i="62"/>
  <c r="G205" i="62"/>
  <c r="G209" i="62"/>
  <c r="G212" i="62"/>
  <c r="G214" i="62"/>
  <c r="G223" i="62"/>
  <c r="G227" i="62"/>
  <c r="G229" i="62"/>
  <c r="G231" i="62"/>
  <c r="G233" i="62"/>
  <c r="G114" i="62"/>
  <c r="G122" i="62"/>
  <c r="G148" i="62"/>
  <c r="G183" i="62"/>
  <c r="G206" i="62"/>
  <c r="G226" i="62"/>
  <c r="G236" i="62"/>
  <c r="G238" i="62"/>
  <c r="G118" i="62"/>
  <c r="G164" i="62"/>
  <c r="G166" i="62"/>
  <c r="G168" i="62"/>
  <c r="G213" i="62"/>
  <c r="G232" i="62"/>
  <c r="G235" i="62"/>
  <c r="G135" i="62"/>
  <c r="G298" i="62" s="1"/>
  <c r="G211" i="62"/>
  <c r="G224" i="62"/>
  <c r="G225" i="62"/>
  <c r="G230" i="62"/>
  <c r="G180" i="62"/>
  <c r="G184" i="62"/>
  <c r="G207" i="62"/>
  <c r="G215" i="62"/>
  <c r="G160" i="62"/>
  <c r="G208" i="62"/>
  <c r="G181" i="62"/>
  <c r="G147" i="62"/>
  <c r="G120" i="62"/>
  <c r="G239" i="62"/>
  <c r="G237" i="62"/>
  <c r="G393" i="62" s="1"/>
  <c r="F7" i="63"/>
  <c r="I80" i="46" s="1"/>
  <c r="H76" i="46"/>
  <c r="E20" i="63" s="1"/>
  <c r="H8" i="46"/>
  <c r="H9" i="47"/>
  <c r="H8" i="34"/>
  <c r="H60" i="34" s="1"/>
  <c r="H8" i="18"/>
  <c r="H8" i="67" s="1"/>
  <c r="J9" i="41"/>
  <c r="I132" i="62" l="1"/>
  <c r="I134" i="62"/>
  <c r="I297" i="62" s="1"/>
  <c r="H71" i="46"/>
  <c r="H74" i="46" s="1"/>
  <c r="H77" i="46" s="1"/>
  <c r="H94" i="46"/>
  <c r="I85" i="62"/>
  <c r="I249" i="62" s="1"/>
  <c r="I94" i="62"/>
  <c r="I83" i="62"/>
  <c r="I247" i="62" s="1"/>
  <c r="I95" i="62"/>
  <c r="I86" i="62"/>
  <c r="I250" i="62" s="1"/>
  <c r="I92" i="62"/>
  <c r="I255" i="62" s="1"/>
  <c r="I84" i="62"/>
  <c r="I248" i="62" s="1"/>
  <c r="I93" i="62"/>
  <c r="I256" i="62" s="1"/>
  <c r="I87" i="62"/>
  <c r="I251" i="62" s="1"/>
  <c r="I133" i="62"/>
  <c r="I296" i="62" s="1"/>
  <c r="G61" i="38"/>
  <c r="H61" i="38" s="1"/>
  <c r="I61" i="38" s="1"/>
  <c r="J61" i="38" s="1"/>
  <c r="K61" i="38" s="1"/>
  <c r="L61" i="38" s="1"/>
  <c r="M61" i="38" s="1"/>
  <c r="N61" i="38" s="1"/>
  <c r="O61" i="38" s="1"/>
  <c r="P61" i="38" s="1"/>
  <c r="Q61" i="38" s="1"/>
  <c r="R61" i="38" s="1"/>
  <c r="I100" i="62"/>
  <c r="I265" i="62" s="1"/>
  <c r="I16" i="62"/>
  <c r="H17" i="62"/>
  <c r="G35" i="67"/>
  <c r="H19" i="62"/>
  <c r="G25" i="67"/>
  <c r="H20" i="62"/>
  <c r="G58" i="61" s="1"/>
  <c r="G28" i="67"/>
  <c r="G30" i="67" s="1"/>
  <c r="H22" i="62"/>
  <c r="G31" i="67"/>
  <c r="I146" i="62"/>
  <c r="I302" i="62" s="1"/>
  <c r="I257" i="62"/>
  <c r="H85" i="46"/>
  <c r="I52" i="62"/>
  <c r="I217" i="62"/>
  <c r="I373" i="62" s="1"/>
  <c r="I295" i="62"/>
  <c r="I233" i="62"/>
  <c r="I389" i="62" s="1"/>
  <c r="I197" i="62"/>
  <c r="I353" i="62" s="1"/>
  <c r="I206" i="62"/>
  <c r="I362" i="62" s="1"/>
  <c r="I101" i="62"/>
  <c r="I266" i="62" s="1"/>
  <c r="I169" i="62"/>
  <c r="I325" i="62" s="1"/>
  <c r="I239" i="62"/>
  <c r="I395" i="62" s="1"/>
  <c r="I154" i="62"/>
  <c r="I310" i="62" s="1"/>
  <c r="I117" i="62"/>
  <c r="I280" i="62" s="1"/>
  <c r="I226" i="62"/>
  <c r="I382" i="62" s="1"/>
  <c r="I168" i="62"/>
  <c r="I324" i="62" s="1"/>
  <c r="I127" i="62"/>
  <c r="I290" i="62" s="1"/>
  <c r="I202" i="62"/>
  <c r="I358" i="62" s="1"/>
  <c r="I223" i="62"/>
  <c r="I379" i="62" s="1"/>
  <c r="I215" i="62"/>
  <c r="I371" i="62" s="1"/>
  <c r="I196" i="62"/>
  <c r="I352" i="62" s="1"/>
  <c r="I237" i="62"/>
  <c r="I393" i="62" s="1"/>
  <c r="I159" i="62"/>
  <c r="I315" i="62" s="1"/>
  <c r="I232" i="62"/>
  <c r="I388" i="62" s="1"/>
  <c r="I205" i="62"/>
  <c r="I361" i="62" s="1"/>
  <c r="I153" i="62"/>
  <c r="I309" i="62" s="1"/>
  <c r="I166" i="62"/>
  <c r="I322" i="62" s="1"/>
  <c r="I108" i="62"/>
  <c r="I273" i="62" s="1"/>
  <c r="I116" i="62"/>
  <c r="I279" i="62" s="1"/>
  <c r="I126" i="62"/>
  <c r="I289" i="62" s="1"/>
  <c r="I211" i="62"/>
  <c r="I367" i="62" s="1"/>
  <c r="I224" i="62"/>
  <c r="I380" i="62" s="1"/>
  <c r="I193" i="62"/>
  <c r="I349" i="62" s="1"/>
  <c r="I220" i="62"/>
  <c r="I376" i="62" s="1"/>
  <c r="I188" i="62"/>
  <c r="I344" i="62" s="1"/>
  <c r="I229" i="62"/>
  <c r="I385" i="62" s="1"/>
  <c r="I182" i="62"/>
  <c r="I338" i="62" s="1"/>
  <c r="I150" i="62"/>
  <c r="I306" i="62" s="1"/>
  <c r="I163" i="62"/>
  <c r="I319" i="62" s="1"/>
  <c r="I105" i="62"/>
  <c r="I270" i="62" s="1"/>
  <c r="I121" i="62"/>
  <c r="I284" i="62" s="1"/>
  <c r="I131" i="62"/>
  <c r="I294" i="62" s="1"/>
  <c r="I176" i="62"/>
  <c r="I332" i="62" s="1"/>
  <c r="I221" i="62"/>
  <c r="I377" i="62" s="1"/>
  <c r="I213" i="62"/>
  <c r="I369" i="62" s="1"/>
  <c r="I214" i="62"/>
  <c r="I370" i="62" s="1"/>
  <c r="I192" i="62"/>
  <c r="I348" i="62" s="1"/>
  <c r="I218" i="62"/>
  <c r="I374" i="62" s="1"/>
  <c r="I187" i="62"/>
  <c r="I343" i="62" s="1"/>
  <c r="I209" i="62"/>
  <c r="I365" i="62" s="1"/>
  <c r="I181" i="62"/>
  <c r="I337" i="62" s="1"/>
  <c r="I162" i="62"/>
  <c r="I318" i="62" s="1"/>
  <c r="I104" i="62"/>
  <c r="I269" i="62" s="1"/>
  <c r="I120" i="62"/>
  <c r="I283" i="62" s="1"/>
  <c r="I130" i="62"/>
  <c r="I293" i="62" s="1"/>
  <c r="H300" i="62"/>
  <c r="H252" i="62"/>
  <c r="H259" i="62"/>
  <c r="H274" i="62"/>
  <c r="G89" i="62"/>
  <c r="H97" i="62"/>
  <c r="I156" i="62"/>
  <c r="I312" i="62" s="1"/>
  <c r="I199" i="62"/>
  <c r="I355" i="62" s="1"/>
  <c r="I219" i="62"/>
  <c r="I375" i="62" s="1"/>
  <c r="I175" i="62"/>
  <c r="I331" i="62" s="1"/>
  <c r="I157" i="62"/>
  <c r="I313" i="62" s="1"/>
  <c r="I172" i="62"/>
  <c r="I328" i="62" s="1"/>
  <c r="I212" i="62"/>
  <c r="I368" i="62" s="1"/>
  <c r="I195" i="62"/>
  <c r="I351" i="62" s="1"/>
  <c r="I178" i="62"/>
  <c r="I334" i="62" s="1"/>
  <c r="I235" i="62"/>
  <c r="I391" i="62" s="1"/>
  <c r="I200" i="62"/>
  <c r="I356" i="62" s="1"/>
  <c r="I190" i="62"/>
  <c r="I346" i="62" s="1"/>
  <c r="I186" i="62"/>
  <c r="I342" i="62" s="1"/>
  <c r="I231" i="62"/>
  <c r="I387" i="62" s="1"/>
  <c r="I208" i="62"/>
  <c r="I364" i="62" s="1"/>
  <c r="I184" i="62"/>
  <c r="I340" i="62" s="1"/>
  <c r="I180" i="62"/>
  <c r="I336" i="62" s="1"/>
  <c r="I152" i="62"/>
  <c r="I308" i="62" s="1"/>
  <c r="I148" i="62"/>
  <c r="I304" i="62" s="1"/>
  <c r="I165" i="62"/>
  <c r="I321" i="62" s="1"/>
  <c r="I136" i="62"/>
  <c r="I299" i="62" s="1"/>
  <c r="I107" i="62"/>
  <c r="I272" i="62" s="1"/>
  <c r="I103" i="62"/>
  <c r="I268" i="62" s="1"/>
  <c r="I258" i="62"/>
  <c r="I119" i="62"/>
  <c r="I282" i="62" s="1"/>
  <c r="I115" i="62"/>
  <c r="I278" i="62" s="1"/>
  <c r="I129" i="62"/>
  <c r="I292" i="62" s="1"/>
  <c r="H397" i="62"/>
  <c r="I227" i="62"/>
  <c r="I383" i="62" s="1"/>
  <c r="I171" i="62"/>
  <c r="I327" i="62" s="1"/>
  <c r="I203" i="62"/>
  <c r="I359" i="62" s="1"/>
  <c r="I238" i="62"/>
  <c r="I394" i="62" s="1"/>
  <c r="I236" i="62"/>
  <c r="I392" i="62" s="1"/>
  <c r="I170" i="62"/>
  <c r="I326" i="62" s="1"/>
  <c r="I201" i="62"/>
  <c r="I357" i="62" s="1"/>
  <c r="I194" i="62"/>
  <c r="I350" i="62" s="1"/>
  <c r="I174" i="62"/>
  <c r="I330" i="62" s="1"/>
  <c r="I225" i="62"/>
  <c r="I381" i="62" s="1"/>
  <c r="I177" i="62"/>
  <c r="I333" i="62" s="1"/>
  <c r="I189" i="62"/>
  <c r="I345" i="62" s="1"/>
  <c r="I160" i="62"/>
  <c r="I316" i="62" s="1"/>
  <c r="I230" i="62"/>
  <c r="I386" i="62" s="1"/>
  <c r="I207" i="62"/>
  <c r="I363" i="62" s="1"/>
  <c r="I183" i="62"/>
  <c r="I339" i="62" s="1"/>
  <c r="I158" i="62"/>
  <c r="I314" i="62" s="1"/>
  <c r="I151" i="62"/>
  <c r="I307" i="62" s="1"/>
  <c r="I147" i="62"/>
  <c r="I303" i="62" s="1"/>
  <c r="I164" i="62"/>
  <c r="I320" i="62" s="1"/>
  <c r="I135" i="62"/>
  <c r="I298" i="62" s="1"/>
  <c r="I106" i="62"/>
  <c r="I271" i="62" s="1"/>
  <c r="I102" i="62"/>
  <c r="I267" i="62" s="1"/>
  <c r="I122" i="62"/>
  <c r="I285" i="62" s="1"/>
  <c r="I118" i="62"/>
  <c r="I281" i="62" s="1"/>
  <c r="I114" i="62"/>
  <c r="I277" i="62" s="1"/>
  <c r="I128" i="62"/>
  <c r="I291" i="62" s="1"/>
  <c r="H139" i="62"/>
  <c r="H286" i="62"/>
  <c r="G283" i="62"/>
  <c r="G336" i="62"/>
  <c r="G369" i="62"/>
  <c r="G362" i="62"/>
  <c r="G385" i="62"/>
  <c r="G345" i="62"/>
  <c r="G137" i="62"/>
  <c r="G21" i="62" s="1"/>
  <c r="F59" i="61" s="1"/>
  <c r="G289" i="62"/>
  <c r="G333" i="62"/>
  <c r="G375" i="62"/>
  <c r="G348" i="62"/>
  <c r="G325" i="62"/>
  <c r="G248" i="62"/>
  <c r="G307" i="62"/>
  <c r="G269" i="62"/>
  <c r="I7" i="46"/>
  <c r="I62" i="46" s="1"/>
  <c r="I94" i="46" s="1"/>
  <c r="J9" i="62"/>
  <c r="J51" i="62" s="1"/>
  <c r="G303" i="62"/>
  <c r="G371" i="62"/>
  <c r="G386" i="62"/>
  <c r="G324" i="62"/>
  <c r="G394" i="62"/>
  <c r="G339" i="62"/>
  <c r="G249" i="62"/>
  <c r="G383" i="62"/>
  <c r="G365" i="62"/>
  <c r="G344" i="62"/>
  <c r="G318" i="62"/>
  <c r="G279" i="62"/>
  <c r="G356" i="62"/>
  <c r="G332" i="62"/>
  <c r="G319" i="62"/>
  <c r="G374" i="62"/>
  <c r="G351" i="62"/>
  <c r="G328" i="62"/>
  <c r="G315" i="62"/>
  <c r="G282" i="62"/>
  <c r="G314" i="62"/>
  <c r="G310" i="62"/>
  <c r="G306" i="62"/>
  <c r="G290" i="62"/>
  <c r="G272" i="62"/>
  <c r="G268" i="62"/>
  <c r="G337" i="62"/>
  <c r="G363" i="62"/>
  <c r="G381" i="62"/>
  <c r="G391" i="62"/>
  <c r="G322" i="62"/>
  <c r="G392" i="62"/>
  <c r="G304" i="62"/>
  <c r="G389" i="62"/>
  <c r="G379" i="62"/>
  <c r="G361" i="62"/>
  <c r="G343" i="62"/>
  <c r="G295" i="62"/>
  <c r="G359" i="62"/>
  <c r="G355" i="62"/>
  <c r="G331" i="62"/>
  <c r="G377" i="62"/>
  <c r="G373" i="62"/>
  <c r="G350" i="62"/>
  <c r="G327" i="62"/>
  <c r="G280" i="62"/>
  <c r="G313" i="62"/>
  <c r="G309" i="62"/>
  <c r="G241" i="62"/>
  <c r="G302" i="62"/>
  <c r="G251" i="62"/>
  <c r="G256" i="62"/>
  <c r="G271" i="62"/>
  <c r="G267" i="62"/>
  <c r="G316" i="62"/>
  <c r="G367" i="62"/>
  <c r="G281" i="62"/>
  <c r="G277" i="62"/>
  <c r="G123" i="62"/>
  <c r="G368" i="62"/>
  <c r="G338" i="62"/>
  <c r="G357" i="62"/>
  <c r="G321" i="62"/>
  <c r="G352" i="62"/>
  <c r="G284" i="62"/>
  <c r="G250" i="62"/>
  <c r="G292" i="62"/>
  <c r="G273" i="62"/>
  <c r="G109" i="62"/>
  <c r="G265" i="62"/>
  <c r="G395" i="62"/>
  <c r="G364" i="62"/>
  <c r="G340" i="62"/>
  <c r="G380" i="62"/>
  <c r="G388" i="62"/>
  <c r="G320" i="62"/>
  <c r="G382" i="62"/>
  <c r="G285" i="62"/>
  <c r="G387" i="62"/>
  <c r="G370" i="62"/>
  <c r="G346" i="62"/>
  <c r="G342" i="62"/>
  <c r="G293" i="62"/>
  <c r="G358" i="62"/>
  <c r="G334" i="62"/>
  <c r="G330" i="62"/>
  <c r="G376" i="62"/>
  <c r="G353" i="62"/>
  <c r="G349" i="62"/>
  <c r="G326" i="62"/>
  <c r="G291" i="62"/>
  <c r="G278" i="62"/>
  <c r="G312" i="62"/>
  <c r="G308" i="62"/>
  <c r="G294" i="62"/>
  <c r="G247" i="62"/>
  <c r="G255" i="62"/>
  <c r="G270" i="62"/>
  <c r="G266" i="62"/>
  <c r="H45" i="18"/>
  <c r="I7" i="34"/>
  <c r="F8" i="63"/>
  <c r="I81" i="46" s="1"/>
  <c r="G60" i="61" l="1"/>
  <c r="G83" i="61"/>
  <c r="G55" i="61"/>
  <c r="G27" i="67"/>
  <c r="G32" i="67"/>
  <c r="G37" i="67" s="1"/>
  <c r="I59" i="34"/>
  <c r="I8" i="47"/>
  <c r="G57" i="61"/>
  <c r="H32" i="62"/>
  <c r="G22" i="62"/>
  <c r="F60" i="61" s="1"/>
  <c r="F31" i="67"/>
  <c r="H18" i="62"/>
  <c r="G56" i="61" s="1"/>
  <c r="G38" i="67"/>
  <c r="G17" i="62"/>
  <c r="F35" i="67"/>
  <c r="F36" i="67" s="1"/>
  <c r="G44" i="67"/>
  <c r="G41" i="67"/>
  <c r="G36" i="67"/>
  <c r="G45" i="67"/>
  <c r="G19" i="62"/>
  <c r="F25" i="67"/>
  <c r="G20" i="62"/>
  <c r="F58" i="61" s="1"/>
  <c r="F28" i="67"/>
  <c r="G43" i="67"/>
  <c r="H119" i="67"/>
  <c r="I300" i="62"/>
  <c r="I109" i="62"/>
  <c r="I111" i="62" s="1"/>
  <c r="H242" i="62"/>
  <c r="I137" i="62"/>
  <c r="I21" i="62" s="1"/>
  <c r="H59" i="61" s="1"/>
  <c r="H140" i="62"/>
  <c r="I241" i="62"/>
  <c r="H261" i="62"/>
  <c r="H401" i="62" s="1"/>
  <c r="I123" i="62"/>
  <c r="I89" i="62"/>
  <c r="I63" i="46"/>
  <c r="I76" i="46" s="1"/>
  <c r="G252" i="62"/>
  <c r="G139" i="62"/>
  <c r="G242" i="62" s="1"/>
  <c r="I259" i="62"/>
  <c r="I8" i="34"/>
  <c r="I60" i="34" s="1"/>
  <c r="J10" i="62"/>
  <c r="G274" i="62"/>
  <c r="G97" i="62"/>
  <c r="G259" i="62"/>
  <c r="G286" i="62"/>
  <c r="G397" i="62"/>
  <c r="G300" i="62"/>
  <c r="I8" i="46"/>
  <c r="I8" i="18"/>
  <c r="I8" i="67" s="1"/>
  <c r="I9" i="47"/>
  <c r="G7" i="63"/>
  <c r="J80" i="46" s="1"/>
  <c r="J134" i="62" l="1"/>
  <c r="J132" i="62"/>
  <c r="J85" i="62"/>
  <c r="J92" i="62"/>
  <c r="J255" i="62" s="1"/>
  <c r="J86" i="62"/>
  <c r="J250" i="62" s="1"/>
  <c r="J84" i="62"/>
  <c r="J248" i="62" s="1"/>
  <c r="J83" i="62"/>
  <c r="J247" i="62" s="1"/>
  <c r="J87" i="62"/>
  <c r="J251" i="62" s="1"/>
  <c r="J94" i="62"/>
  <c r="J257" i="62" s="1"/>
  <c r="J95" i="62"/>
  <c r="J258" i="62" s="1"/>
  <c r="J93" i="62"/>
  <c r="J256" i="62" s="1"/>
  <c r="F55" i="61"/>
  <c r="H24" i="62"/>
  <c r="J297" i="62"/>
  <c r="J133" i="62"/>
  <c r="J296" i="62" s="1"/>
  <c r="J16" i="62"/>
  <c r="J249" i="62"/>
  <c r="J100" i="62"/>
  <c r="J265" i="62" s="1"/>
  <c r="G40" i="67"/>
  <c r="G33" i="67"/>
  <c r="G61" i="61"/>
  <c r="F57" i="61"/>
  <c r="G32" i="62"/>
  <c r="G33" i="62" s="1"/>
  <c r="I17" i="62"/>
  <c r="H35" i="67"/>
  <c r="G18" i="62"/>
  <c r="G24" i="62" s="1"/>
  <c r="F38" i="67"/>
  <c r="I20" i="62"/>
  <c r="H58" i="61" s="1"/>
  <c r="H28" i="67"/>
  <c r="F32" i="67"/>
  <c r="F37" i="67" s="1"/>
  <c r="I22" i="62"/>
  <c r="H31" i="67"/>
  <c r="I19" i="62"/>
  <c r="H25" i="67"/>
  <c r="G39" i="67"/>
  <c r="G42" i="67"/>
  <c r="J52" i="62"/>
  <c r="J146" i="62"/>
  <c r="J302" i="62" s="1"/>
  <c r="I397" i="62"/>
  <c r="H403" i="62"/>
  <c r="H402" i="62" s="1"/>
  <c r="I45" i="18"/>
  <c r="F20" i="63"/>
  <c r="I71" i="46"/>
  <c r="I74" i="46" s="1"/>
  <c r="I77" i="46" s="1"/>
  <c r="I286" i="62"/>
  <c r="I274" i="62"/>
  <c r="I252" i="62"/>
  <c r="I97" i="62"/>
  <c r="I139" i="62"/>
  <c r="I242" i="62" s="1"/>
  <c r="J126" i="62"/>
  <c r="J289" i="62" s="1"/>
  <c r="J114" i="62"/>
  <c r="J277" i="62" s="1"/>
  <c r="J115" i="62"/>
  <c r="J278" i="62" s="1"/>
  <c r="J116" i="62"/>
  <c r="J279" i="62" s="1"/>
  <c r="J117" i="62"/>
  <c r="J280" i="62" s="1"/>
  <c r="J118" i="62"/>
  <c r="J281" i="62" s="1"/>
  <c r="J119" i="62"/>
  <c r="J282" i="62" s="1"/>
  <c r="J120" i="62"/>
  <c r="J283" i="62" s="1"/>
  <c r="J121" i="62"/>
  <c r="J284" i="62" s="1"/>
  <c r="J122" i="62"/>
  <c r="J285" i="62" s="1"/>
  <c r="J128" i="62"/>
  <c r="J291" i="62" s="1"/>
  <c r="J130" i="62"/>
  <c r="J293" i="62" s="1"/>
  <c r="J156" i="62"/>
  <c r="J312" i="62" s="1"/>
  <c r="J157" i="62"/>
  <c r="J313" i="62" s="1"/>
  <c r="J158" i="62"/>
  <c r="J314" i="62" s="1"/>
  <c r="J159" i="62"/>
  <c r="J315" i="62" s="1"/>
  <c r="J160" i="62"/>
  <c r="J316" i="62" s="1"/>
  <c r="J101" i="62"/>
  <c r="J266" i="62" s="1"/>
  <c r="J102" i="62"/>
  <c r="J267" i="62" s="1"/>
  <c r="J103" i="62"/>
  <c r="J268" i="62" s="1"/>
  <c r="J104" i="62"/>
  <c r="J269" i="62" s="1"/>
  <c r="J105" i="62"/>
  <c r="J270" i="62" s="1"/>
  <c r="J106" i="62"/>
  <c r="J271" i="62" s="1"/>
  <c r="J107" i="62"/>
  <c r="J272" i="62" s="1"/>
  <c r="J108" i="62"/>
  <c r="J273" i="62" s="1"/>
  <c r="J295" i="62"/>
  <c r="J135" i="62"/>
  <c r="J298" i="62" s="1"/>
  <c r="J136" i="62"/>
  <c r="J299" i="62" s="1"/>
  <c r="J129" i="62"/>
  <c r="J292" i="62" s="1"/>
  <c r="J147" i="62"/>
  <c r="J303" i="62" s="1"/>
  <c r="J148" i="62"/>
  <c r="J304" i="62" s="1"/>
  <c r="J168" i="62"/>
  <c r="J324" i="62" s="1"/>
  <c r="J174" i="62"/>
  <c r="J330" i="62" s="1"/>
  <c r="J175" i="62"/>
  <c r="J331" i="62" s="1"/>
  <c r="J176" i="62"/>
  <c r="J332" i="62" s="1"/>
  <c r="J177" i="62"/>
  <c r="J333" i="62" s="1"/>
  <c r="J178" i="62"/>
  <c r="J334" i="62" s="1"/>
  <c r="J199" i="62"/>
  <c r="J355" i="62" s="1"/>
  <c r="J200" i="62"/>
  <c r="J356" i="62" s="1"/>
  <c r="J201" i="62"/>
  <c r="J357" i="62" s="1"/>
  <c r="J202" i="62"/>
  <c r="J358" i="62" s="1"/>
  <c r="J203" i="62"/>
  <c r="J359" i="62" s="1"/>
  <c r="J223" i="62"/>
  <c r="J379" i="62" s="1"/>
  <c r="J224" i="62"/>
  <c r="J380" i="62" s="1"/>
  <c r="J225" i="62"/>
  <c r="J381" i="62" s="1"/>
  <c r="J226" i="62"/>
  <c r="J382" i="62" s="1"/>
  <c r="J227" i="62"/>
  <c r="J383" i="62" s="1"/>
  <c r="J127" i="62"/>
  <c r="J290" i="62" s="1"/>
  <c r="J150" i="62"/>
  <c r="J306" i="62" s="1"/>
  <c r="J151" i="62"/>
  <c r="J307" i="62" s="1"/>
  <c r="J152" i="62"/>
  <c r="J308" i="62" s="1"/>
  <c r="J153" i="62"/>
  <c r="J309" i="62" s="1"/>
  <c r="J154" i="62"/>
  <c r="J310" i="62" s="1"/>
  <c r="J162" i="62"/>
  <c r="J318" i="62" s="1"/>
  <c r="J164" i="62"/>
  <c r="J320" i="62" s="1"/>
  <c r="J166" i="62"/>
  <c r="J322" i="62" s="1"/>
  <c r="J180" i="62"/>
  <c r="J336" i="62" s="1"/>
  <c r="J181" i="62"/>
  <c r="J337" i="62" s="1"/>
  <c r="J182" i="62"/>
  <c r="J338" i="62" s="1"/>
  <c r="J183" i="62"/>
  <c r="J339" i="62" s="1"/>
  <c r="J184" i="62"/>
  <c r="J340" i="62" s="1"/>
  <c r="J205" i="62"/>
  <c r="J361" i="62" s="1"/>
  <c r="J206" i="62"/>
  <c r="J362" i="62" s="1"/>
  <c r="J207" i="62"/>
  <c r="J363" i="62" s="1"/>
  <c r="J208" i="62"/>
  <c r="J364" i="62" s="1"/>
  <c r="J209" i="62"/>
  <c r="J365" i="62" s="1"/>
  <c r="J165" i="62"/>
  <c r="J321" i="62" s="1"/>
  <c r="J169" i="62"/>
  <c r="J325" i="62" s="1"/>
  <c r="J170" i="62"/>
  <c r="J326" i="62" s="1"/>
  <c r="J171" i="62"/>
  <c r="J327" i="62" s="1"/>
  <c r="J172" i="62"/>
  <c r="J328" i="62" s="1"/>
  <c r="J211" i="62"/>
  <c r="J367" i="62" s="1"/>
  <c r="J213" i="62"/>
  <c r="J369" i="62" s="1"/>
  <c r="J215" i="62"/>
  <c r="J371" i="62" s="1"/>
  <c r="J230" i="62"/>
  <c r="J386" i="62" s="1"/>
  <c r="J232" i="62"/>
  <c r="J388" i="62" s="1"/>
  <c r="J163" i="62"/>
  <c r="J319" i="62" s="1"/>
  <c r="J186" i="62"/>
  <c r="J342" i="62" s="1"/>
  <c r="J187" i="62"/>
  <c r="J343" i="62" s="1"/>
  <c r="J188" i="62"/>
  <c r="J344" i="62" s="1"/>
  <c r="J189" i="62"/>
  <c r="J345" i="62" s="1"/>
  <c r="J190" i="62"/>
  <c r="J346" i="62" s="1"/>
  <c r="J218" i="62"/>
  <c r="J374" i="62" s="1"/>
  <c r="J220" i="62"/>
  <c r="J376" i="62" s="1"/>
  <c r="J235" i="62"/>
  <c r="J391" i="62" s="1"/>
  <c r="J237" i="62"/>
  <c r="J393" i="62" s="1"/>
  <c r="J239" i="62"/>
  <c r="J395" i="62" s="1"/>
  <c r="J194" i="62"/>
  <c r="J350" i="62" s="1"/>
  <c r="J214" i="62"/>
  <c r="J370" i="62" s="1"/>
  <c r="J219" i="62"/>
  <c r="J375" i="62" s="1"/>
  <c r="J233" i="62"/>
  <c r="J389" i="62" s="1"/>
  <c r="J238" i="62"/>
  <c r="J394" i="62" s="1"/>
  <c r="J193" i="62"/>
  <c r="J349" i="62" s="1"/>
  <c r="J197" i="62"/>
  <c r="J353" i="62" s="1"/>
  <c r="J212" i="62"/>
  <c r="J368" i="62" s="1"/>
  <c r="J217" i="62"/>
  <c r="J373" i="62" s="1"/>
  <c r="J231" i="62"/>
  <c r="J387" i="62" s="1"/>
  <c r="J236" i="62"/>
  <c r="J392" i="62" s="1"/>
  <c r="J131" i="62"/>
  <c r="J294" i="62" s="1"/>
  <c r="J192" i="62"/>
  <c r="J348" i="62" s="1"/>
  <c r="J196" i="62"/>
  <c r="J352" i="62" s="1"/>
  <c r="J221" i="62"/>
  <c r="J377" i="62" s="1"/>
  <c r="J229" i="62"/>
  <c r="J385" i="62" s="1"/>
  <c r="J195" i="62"/>
  <c r="J351" i="62" s="1"/>
  <c r="G261" i="62"/>
  <c r="G401" i="62" s="1"/>
  <c r="J7" i="46"/>
  <c r="J62" i="46" s="1"/>
  <c r="J94" i="46" s="1"/>
  <c r="K9" i="62"/>
  <c r="K51" i="62" s="1"/>
  <c r="G140" i="62"/>
  <c r="G8" i="63"/>
  <c r="J81" i="46" s="1"/>
  <c r="J7" i="34"/>
  <c r="G17" i="34" l="1"/>
  <c r="L18" i="34"/>
  <c r="G96" i="61"/>
  <c r="H60" i="61"/>
  <c r="H83" i="61"/>
  <c r="G93" i="61"/>
  <c r="G66" i="61"/>
  <c r="H55" i="61"/>
  <c r="H27" i="67"/>
  <c r="H32" i="67"/>
  <c r="H426" i="62"/>
  <c r="H427" i="62" s="1"/>
  <c r="H423" i="62"/>
  <c r="H424" i="62" s="1"/>
  <c r="J59" i="34"/>
  <c r="J8" i="47"/>
  <c r="H28" i="62"/>
  <c r="G22" i="67" s="1"/>
  <c r="G10" i="67" s="1"/>
  <c r="G11" i="67" s="1"/>
  <c r="G39" i="34"/>
  <c r="G12" i="34"/>
  <c r="H420" i="62"/>
  <c r="H421" i="62" s="1"/>
  <c r="H57" i="61"/>
  <c r="I32" i="62"/>
  <c r="G94" i="61"/>
  <c r="G23" i="34"/>
  <c r="H472" i="62"/>
  <c r="G95" i="61"/>
  <c r="H408" i="62"/>
  <c r="F56" i="61"/>
  <c r="F61" i="61" s="1"/>
  <c r="H43" i="67"/>
  <c r="G408" i="62"/>
  <c r="H45" i="67"/>
  <c r="H44" i="67"/>
  <c r="H41" i="67"/>
  <c r="H36" i="67"/>
  <c r="I18" i="62"/>
  <c r="I24" i="62" s="1"/>
  <c r="H38" i="67"/>
  <c r="I119" i="67"/>
  <c r="J300" i="62"/>
  <c r="I261" i="62"/>
  <c r="I401" i="62" s="1"/>
  <c r="G28" i="62"/>
  <c r="F22" i="67" s="1"/>
  <c r="F10" i="67" s="1"/>
  <c r="F11" i="67" s="1"/>
  <c r="G403" i="62"/>
  <c r="G402" i="62" s="1"/>
  <c r="G40" i="34"/>
  <c r="I85" i="46"/>
  <c r="G38" i="34"/>
  <c r="H417" i="62"/>
  <c r="H418" i="62" s="1"/>
  <c r="H36" i="62"/>
  <c r="G22" i="34"/>
  <c r="J63" i="46"/>
  <c r="J71" i="46" s="1"/>
  <c r="J74" i="46" s="1"/>
  <c r="G420" i="62"/>
  <c r="G472" i="62"/>
  <c r="H411" i="62"/>
  <c r="H412" i="62" s="1"/>
  <c r="H414" i="62"/>
  <c r="H415" i="62" s="1"/>
  <c r="I140" i="62"/>
  <c r="J241" i="62"/>
  <c r="J137" i="62"/>
  <c r="J21" i="62" s="1"/>
  <c r="I59" i="61" s="1"/>
  <c r="J89" i="62"/>
  <c r="J9" i="47"/>
  <c r="K10" i="62"/>
  <c r="J109" i="62"/>
  <c r="J111" i="62" s="1"/>
  <c r="J123" i="62"/>
  <c r="J8" i="34"/>
  <c r="J60" i="34" s="1"/>
  <c r="H7" i="63"/>
  <c r="K80" i="46" s="1"/>
  <c r="J8" i="46"/>
  <c r="J8" i="18"/>
  <c r="J8" i="67" s="1"/>
  <c r="J76" i="46"/>
  <c r="G20" i="63" s="1"/>
  <c r="E29" i="38"/>
  <c r="D29" i="38" s="1"/>
  <c r="H66" i="61" l="1"/>
  <c r="H96" i="61"/>
  <c r="K132" i="62"/>
  <c r="K134" i="62"/>
  <c r="K87" i="62"/>
  <c r="K85" i="62"/>
  <c r="K92" i="62"/>
  <c r="K86" i="62"/>
  <c r="K250" i="62" s="1"/>
  <c r="K83" i="62"/>
  <c r="K247" i="62" s="1"/>
  <c r="K94" i="62"/>
  <c r="K257" i="62" s="1"/>
  <c r="K84" i="62"/>
  <c r="K248" i="62" s="1"/>
  <c r="K95" i="62"/>
  <c r="K258" i="62" s="1"/>
  <c r="K93" i="62"/>
  <c r="K256" i="62" s="1"/>
  <c r="G421" i="62"/>
  <c r="G39" i="62"/>
  <c r="G409" i="62"/>
  <c r="H39" i="62"/>
  <c r="H409" i="62"/>
  <c r="G417" i="62"/>
  <c r="G418" i="62" s="1"/>
  <c r="G423" i="62"/>
  <c r="G424" i="62" s="1"/>
  <c r="G426" i="62"/>
  <c r="G427" i="62" s="1"/>
  <c r="K133" i="62"/>
  <c r="K296" i="62" s="1"/>
  <c r="K297" i="62"/>
  <c r="K16" i="62"/>
  <c r="K100" i="62"/>
  <c r="K265" i="62" s="1"/>
  <c r="K255" i="62"/>
  <c r="K251" i="62"/>
  <c r="K249" i="62"/>
  <c r="G23" i="67"/>
  <c r="G53" i="67" s="1"/>
  <c r="Q132" i="38"/>
  <c r="G132" i="38"/>
  <c r="I132" i="38"/>
  <c r="O132" i="38"/>
  <c r="M132" i="38"/>
  <c r="F132" i="38"/>
  <c r="H132" i="38"/>
  <c r="N132" i="38"/>
  <c r="L132" i="38"/>
  <c r="J132" i="38"/>
  <c r="K132" i="38"/>
  <c r="P132" i="38"/>
  <c r="R132" i="38"/>
  <c r="H56" i="61"/>
  <c r="H61" i="61" s="1"/>
  <c r="H33" i="67"/>
  <c r="H40" i="67"/>
  <c r="H37" i="67"/>
  <c r="J22" i="62"/>
  <c r="I31" i="67"/>
  <c r="J19" i="62"/>
  <c r="I25" i="67"/>
  <c r="I408" i="62"/>
  <c r="H42" i="67"/>
  <c r="H39" i="67"/>
  <c r="J20" i="62"/>
  <c r="I58" i="61" s="1"/>
  <c r="I28" i="67"/>
  <c r="J17" i="62"/>
  <c r="I35" i="67"/>
  <c r="F23" i="67"/>
  <c r="I403" i="62"/>
  <c r="I402" i="62" s="1"/>
  <c r="H12" i="34"/>
  <c r="K52" i="62"/>
  <c r="K146" i="62"/>
  <c r="K302" i="62" s="1"/>
  <c r="G36" i="62"/>
  <c r="I28" i="62"/>
  <c r="H22" i="67" s="1"/>
  <c r="H10" i="67" s="1"/>
  <c r="H11" i="67" s="1"/>
  <c r="G414" i="62"/>
  <c r="H95" i="61"/>
  <c r="H93" i="61"/>
  <c r="H94" i="61"/>
  <c r="G411" i="62"/>
  <c r="G412" i="62" s="1"/>
  <c r="H428" i="62"/>
  <c r="H474" i="62" s="1"/>
  <c r="J85" i="46"/>
  <c r="H39" i="34"/>
  <c r="H40" i="62"/>
  <c r="I420" i="62"/>
  <c r="H17" i="34"/>
  <c r="H38" i="34"/>
  <c r="H40" i="34"/>
  <c r="H23" i="34"/>
  <c r="H22" i="34"/>
  <c r="I472" i="62"/>
  <c r="J286" i="62"/>
  <c r="J274" i="62"/>
  <c r="K7" i="46"/>
  <c r="K63" i="46" s="1"/>
  <c r="L9" i="62"/>
  <c r="L51" i="62" s="1"/>
  <c r="J139" i="62"/>
  <c r="J242" i="62" s="1"/>
  <c r="J97" i="62"/>
  <c r="J259" i="62"/>
  <c r="J252" i="62"/>
  <c r="K101" i="62"/>
  <c r="K266" i="62" s="1"/>
  <c r="K102" i="62"/>
  <c r="K267" i="62" s="1"/>
  <c r="K103" i="62"/>
  <c r="K268" i="62" s="1"/>
  <c r="K104" i="62"/>
  <c r="K269" i="62" s="1"/>
  <c r="K105" i="62"/>
  <c r="K270" i="62" s="1"/>
  <c r="K106" i="62"/>
  <c r="K271" i="62" s="1"/>
  <c r="K107" i="62"/>
  <c r="K272" i="62" s="1"/>
  <c r="K108" i="62"/>
  <c r="K273" i="62" s="1"/>
  <c r="K150" i="62"/>
  <c r="K306" i="62" s="1"/>
  <c r="K151" i="62"/>
  <c r="K307" i="62" s="1"/>
  <c r="K152" i="62"/>
  <c r="K308" i="62" s="1"/>
  <c r="K153" i="62"/>
  <c r="K309" i="62" s="1"/>
  <c r="K154" i="62"/>
  <c r="K310" i="62" s="1"/>
  <c r="K114" i="62"/>
  <c r="K277" i="62" s="1"/>
  <c r="K115" i="62"/>
  <c r="K278" i="62" s="1"/>
  <c r="K116" i="62"/>
  <c r="K279" i="62" s="1"/>
  <c r="K117" i="62"/>
  <c r="K280" i="62" s="1"/>
  <c r="K118" i="62"/>
  <c r="K281" i="62" s="1"/>
  <c r="K119" i="62"/>
  <c r="K282" i="62" s="1"/>
  <c r="K120" i="62"/>
  <c r="K283" i="62" s="1"/>
  <c r="K121" i="62"/>
  <c r="K284" i="62" s="1"/>
  <c r="K122" i="62"/>
  <c r="K285" i="62" s="1"/>
  <c r="K126" i="62"/>
  <c r="K289" i="62" s="1"/>
  <c r="K128" i="62"/>
  <c r="K291" i="62" s="1"/>
  <c r="K130" i="62"/>
  <c r="K293" i="62" s="1"/>
  <c r="K156" i="62"/>
  <c r="K312" i="62" s="1"/>
  <c r="K157" i="62"/>
  <c r="K313" i="62" s="1"/>
  <c r="K158" i="62"/>
  <c r="K314" i="62" s="1"/>
  <c r="K131" i="62"/>
  <c r="K294" i="62" s="1"/>
  <c r="K295" i="62"/>
  <c r="K163" i="62"/>
  <c r="K319" i="62" s="1"/>
  <c r="K165" i="62"/>
  <c r="K321" i="62" s="1"/>
  <c r="K169" i="62"/>
  <c r="K325" i="62" s="1"/>
  <c r="K170" i="62"/>
  <c r="K326" i="62" s="1"/>
  <c r="K171" i="62"/>
  <c r="K327" i="62" s="1"/>
  <c r="K172" i="62"/>
  <c r="K328" i="62" s="1"/>
  <c r="K192" i="62"/>
  <c r="K348" i="62" s="1"/>
  <c r="K193" i="62"/>
  <c r="K349" i="62" s="1"/>
  <c r="K194" i="62"/>
  <c r="K350" i="62" s="1"/>
  <c r="K195" i="62"/>
  <c r="K351" i="62" s="1"/>
  <c r="K196" i="62"/>
  <c r="K352" i="62" s="1"/>
  <c r="K197" i="62"/>
  <c r="K353" i="62" s="1"/>
  <c r="K217" i="62"/>
  <c r="K373" i="62" s="1"/>
  <c r="K218" i="62"/>
  <c r="K374" i="62" s="1"/>
  <c r="K219" i="62"/>
  <c r="K375" i="62" s="1"/>
  <c r="K220" i="62"/>
  <c r="K376" i="62" s="1"/>
  <c r="K221" i="62"/>
  <c r="K377" i="62" s="1"/>
  <c r="K129" i="62"/>
  <c r="K292" i="62" s="1"/>
  <c r="K135" i="62"/>
  <c r="K298" i="62" s="1"/>
  <c r="K147" i="62"/>
  <c r="K303" i="62" s="1"/>
  <c r="K148" i="62"/>
  <c r="K304" i="62" s="1"/>
  <c r="K168" i="62"/>
  <c r="K324" i="62" s="1"/>
  <c r="K174" i="62"/>
  <c r="K330" i="62" s="1"/>
  <c r="K175" i="62"/>
  <c r="K331" i="62" s="1"/>
  <c r="K176" i="62"/>
  <c r="K332" i="62" s="1"/>
  <c r="K177" i="62"/>
  <c r="K333" i="62" s="1"/>
  <c r="K178" i="62"/>
  <c r="K334" i="62" s="1"/>
  <c r="K199" i="62"/>
  <c r="K355" i="62" s="1"/>
  <c r="K200" i="62"/>
  <c r="K356" i="62" s="1"/>
  <c r="K201" i="62"/>
  <c r="K357" i="62" s="1"/>
  <c r="K202" i="62"/>
  <c r="K358" i="62" s="1"/>
  <c r="K203" i="62"/>
  <c r="K359" i="62" s="1"/>
  <c r="K160" i="62"/>
  <c r="K316" i="62" s="1"/>
  <c r="K164" i="62"/>
  <c r="K320" i="62" s="1"/>
  <c r="K180" i="62"/>
  <c r="K336" i="62" s="1"/>
  <c r="K184" i="62"/>
  <c r="K340" i="62" s="1"/>
  <c r="K207" i="62"/>
  <c r="K363" i="62" s="1"/>
  <c r="K226" i="62"/>
  <c r="K382" i="62" s="1"/>
  <c r="K236" i="62"/>
  <c r="K392" i="62" s="1"/>
  <c r="K238" i="62"/>
  <c r="K394" i="62" s="1"/>
  <c r="K159" i="62"/>
  <c r="K315" i="62" s="1"/>
  <c r="K162" i="62"/>
  <c r="K318" i="62" s="1"/>
  <c r="K181" i="62"/>
  <c r="K337" i="62" s="1"/>
  <c r="K208" i="62"/>
  <c r="K364" i="62" s="1"/>
  <c r="K211" i="62"/>
  <c r="K367" i="62" s="1"/>
  <c r="K213" i="62"/>
  <c r="K369" i="62" s="1"/>
  <c r="K215" i="62"/>
  <c r="K371" i="62" s="1"/>
  <c r="K225" i="62"/>
  <c r="K381" i="62" s="1"/>
  <c r="K230" i="62"/>
  <c r="K386" i="62" s="1"/>
  <c r="K232" i="62"/>
  <c r="K388" i="62" s="1"/>
  <c r="K237" i="62"/>
  <c r="K393" i="62" s="1"/>
  <c r="K127" i="62"/>
  <c r="K290" i="62" s="1"/>
  <c r="K166" i="62"/>
  <c r="K322" i="62" s="1"/>
  <c r="K182" i="62"/>
  <c r="K338" i="62" s="1"/>
  <c r="K183" i="62"/>
  <c r="K339" i="62" s="1"/>
  <c r="K187" i="62"/>
  <c r="K343" i="62" s="1"/>
  <c r="K189" i="62"/>
  <c r="K345" i="62" s="1"/>
  <c r="K205" i="62"/>
  <c r="K361" i="62" s="1"/>
  <c r="K206" i="62"/>
  <c r="K362" i="62" s="1"/>
  <c r="K209" i="62"/>
  <c r="K365" i="62" s="1"/>
  <c r="K214" i="62"/>
  <c r="K370" i="62" s="1"/>
  <c r="K233" i="62"/>
  <c r="K389" i="62" s="1"/>
  <c r="K235" i="62"/>
  <c r="K391" i="62" s="1"/>
  <c r="K136" i="62"/>
  <c r="K299" i="62" s="1"/>
  <c r="K223" i="62"/>
  <c r="K379" i="62" s="1"/>
  <c r="K227" i="62"/>
  <c r="K383" i="62" s="1"/>
  <c r="K229" i="62"/>
  <c r="K385" i="62" s="1"/>
  <c r="K188" i="62"/>
  <c r="K344" i="62" s="1"/>
  <c r="K212" i="62"/>
  <c r="K368" i="62" s="1"/>
  <c r="K186" i="62"/>
  <c r="K342" i="62" s="1"/>
  <c r="K190" i="62"/>
  <c r="K346" i="62" s="1"/>
  <c r="K224" i="62"/>
  <c r="K380" i="62" s="1"/>
  <c r="K231" i="62"/>
  <c r="K387" i="62" s="1"/>
  <c r="K239" i="62"/>
  <c r="K395" i="62" s="1"/>
  <c r="J397" i="62"/>
  <c r="J45" i="18"/>
  <c r="J77" i="46"/>
  <c r="K7" i="34"/>
  <c r="H8" i="63"/>
  <c r="K81" i="46" s="1"/>
  <c r="K76" i="46"/>
  <c r="H20" i="63" s="1"/>
  <c r="I60" i="61" l="1"/>
  <c r="I83" i="61"/>
  <c r="I55" i="61"/>
  <c r="H429" i="62"/>
  <c r="C41" i="38"/>
  <c r="F41" i="38" s="1"/>
  <c r="G40" i="62"/>
  <c r="G415" i="62"/>
  <c r="I421" i="62"/>
  <c r="I39" i="62"/>
  <c r="I409" i="62"/>
  <c r="I27" i="67"/>
  <c r="I32" i="67"/>
  <c r="I423" i="62"/>
  <c r="I424" i="62" s="1"/>
  <c r="I426" i="62"/>
  <c r="I427" i="62" s="1"/>
  <c r="K59" i="34"/>
  <c r="K8" i="47"/>
  <c r="H23" i="67"/>
  <c r="H53" i="67" s="1"/>
  <c r="Q133" i="38"/>
  <c r="I57" i="61"/>
  <c r="J32" i="62"/>
  <c r="I44" i="67"/>
  <c r="I43" i="67"/>
  <c r="I45" i="67"/>
  <c r="J18" i="62"/>
  <c r="I56" i="61" s="1"/>
  <c r="I38" i="67"/>
  <c r="I41" i="67"/>
  <c r="I36" i="67"/>
  <c r="J119" i="67"/>
  <c r="I414" i="62"/>
  <c r="I417" i="62"/>
  <c r="I418" i="62" s="1"/>
  <c r="I36" i="62"/>
  <c r="I411" i="62"/>
  <c r="I412" i="62" s="1"/>
  <c r="K300" i="62"/>
  <c r="G428" i="62"/>
  <c r="G474" i="62" s="1"/>
  <c r="P133" i="38"/>
  <c r="L133" i="38"/>
  <c r="H133" i="38"/>
  <c r="O133" i="38"/>
  <c r="K133" i="38"/>
  <c r="G133" i="38"/>
  <c r="M133" i="38"/>
  <c r="N133" i="38"/>
  <c r="J133" i="38"/>
  <c r="F133" i="38"/>
  <c r="R133" i="38"/>
  <c r="I133" i="38"/>
  <c r="K85" i="46"/>
  <c r="H38" i="62"/>
  <c r="H41" i="62"/>
  <c r="K62" i="46"/>
  <c r="I8" i="63"/>
  <c r="L81" i="46" s="1"/>
  <c r="L10" i="62"/>
  <c r="K109" i="62"/>
  <c r="K111" i="62" s="1"/>
  <c r="J261" i="62"/>
  <c r="J401" i="62" s="1"/>
  <c r="K123" i="62"/>
  <c r="J140" i="62"/>
  <c r="K89" i="62"/>
  <c r="K241" i="62"/>
  <c r="K137" i="62"/>
  <c r="K21" i="62" s="1"/>
  <c r="J59" i="61" s="1"/>
  <c r="K8" i="34"/>
  <c r="K60" i="34" s="1"/>
  <c r="K45" i="18"/>
  <c r="K9" i="47"/>
  <c r="K8" i="18"/>
  <c r="K8" i="67" s="1"/>
  <c r="K8" i="46"/>
  <c r="L132" i="62" l="1"/>
  <c r="L134" i="62"/>
  <c r="F143" i="13"/>
  <c r="F145" i="13" s="1"/>
  <c r="F27" i="18"/>
  <c r="F35" i="18" s="1"/>
  <c r="J41" i="38"/>
  <c r="M41" i="38"/>
  <c r="O41" i="38"/>
  <c r="Q41" i="38"/>
  <c r="H41" i="38"/>
  <c r="K41" i="38"/>
  <c r="N41" i="38"/>
  <c r="I41" i="38"/>
  <c r="L41" i="38"/>
  <c r="P41" i="38"/>
  <c r="G41" i="38"/>
  <c r="L87" i="62"/>
  <c r="L251" i="62" s="1"/>
  <c r="L94" i="62"/>
  <c r="L257" i="62" s="1"/>
  <c r="L85" i="62"/>
  <c r="L249" i="62" s="1"/>
  <c r="L86" i="62"/>
  <c r="L83" i="62"/>
  <c r="L247" i="62" s="1"/>
  <c r="L92" i="62"/>
  <c r="L255" i="62" s="1"/>
  <c r="L84" i="62"/>
  <c r="L248" i="62" s="1"/>
  <c r="L95" i="62"/>
  <c r="L258" i="62" s="1"/>
  <c r="L93" i="62"/>
  <c r="L256" i="62" s="1"/>
  <c r="K71" i="46"/>
  <c r="K74" i="46" s="1"/>
  <c r="K77" i="46" s="1"/>
  <c r="K94" i="46"/>
  <c r="J24" i="62"/>
  <c r="F44" i="18"/>
  <c r="G429" i="62"/>
  <c r="I40" i="62"/>
  <c r="I415" i="62"/>
  <c r="L297" i="62"/>
  <c r="L133" i="62"/>
  <c r="L296" i="62" s="1"/>
  <c r="L16" i="62"/>
  <c r="L100" i="62"/>
  <c r="L265" i="62" s="1"/>
  <c r="L250" i="62"/>
  <c r="I61" i="61"/>
  <c r="K17" i="62"/>
  <c r="J35" i="67"/>
  <c r="K19" i="62"/>
  <c r="J25" i="67"/>
  <c r="K20" i="62"/>
  <c r="J58" i="61" s="1"/>
  <c r="J28" i="67"/>
  <c r="I42" i="67"/>
  <c r="I39" i="67"/>
  <c r="K22" i="62"/>
  <c r="J31" i="67"/>
  <c r="I33" i="67"/>
  <c r="I37" i="67"/>
  <c r="I40" i="67"/>
  <c r="K119" i="67"/>
  <c r="I428" i="62"/>
  <c r="I474" i="62" s="1"/>
  <c r="G38" i="62"/>
  <c r="G41" i="62"/>
  <c r="L52" i="62"/>
  <c r="L146" i="62"/>
  <c r="L302" i="62" s="1"/>
  <c r="J403" i="62"/>
  <c r="J402" i="62" s="1"/>
  <c r="L7" i="18"/>
  <c r="L7" i="67" s="1"/>
  <c r="I7" i="63"/>
  <c r="L80" i="46" s="1"/>
  <c r="G44" i="18"/>
  <c r="H43" i="62"/>
  <c r="L7" i="34"/>
  <c r="M10" i="62"/>
  <c r="K274" i="62"/>
  <c r="K286" i="62"/>
  <c r="K139" i="62"/>
  <c r="K242" i="62" s="1"/>
  <c r="K397" i="62"/>
  <c r="L114" i="62"/>
  <c r="L277" i="62" s="1"/>
  <c r="L115" i="62"/>
  <c r="L278" i="62" s="1"/>
  <c r="L116" i="62"/>
  <c r="L279" i="62" s="1"/>
  <c r="L117" i="62"/>
  <c r="L280" i="62" s="1"/>
  <c r="L118" i="62"/>
  <c r="L281" i="62" s="1"/>
  <c r="L119" i="62"/>
  <c r="L282" i="62" s="1"/>
  <c r="L120" i="62"/>
  <c r="L283" i="62" s="1"/>
  <c r="L121" i="62"/>
  <c r="L284" i="62" s="1"/>
  <c r="L122" i="62"/>
  <c r="L285" i="62" s="1"/>
  <c r="L101" i="62"/>
  <c r="L266" i="62" s="1"/>
  <c r="L102" i="62"/>
  <c r="L267" i="62" s="1"/>
  <c r="L103" i="62"/>
  <c r="L268" i="62" s="1"/>
  <c r="L104" i="62"/>
  <c r="L269" i="62" s="1"/>
  <c r="L105" i="62"/>
  <c r="L270" i="62" s="1"/>
  <c r="L106" i="62"/>
  <c r="L271" i="62" s="1"/>
  <c r="L107" i="62"/>
  <c r="L272" i="62" s="1"/>
  <c r="L108" i="62"/>
  <c r="L273" i="62" s="1"/>
  <c r="L127" i="62"/>
  <c r="L290" i="62" s="1"/>
  <c r="L129" i="62"/>
  <c r="L292" i="62" s="1"/>
  <c r="L131" i="62"/>
  <c r="L294" i="62" s="1"/>
  <c r="L147" i="62"/>
  <c r="L303" i="62" s="1"/>
  <c r="L148" i="62"/>
  <c r="L304" i="62" s="1"/>
  <c r="L168" i="62"/>
  <c r="L324" i="62" s="1"/>
  <c r="L150" i="62"/>
  <c r="L306" i="62" s="1"/>
  <c r="L151" i="62"/>
  <c r="L307" i="62" s="1"/>
  <c r="L152" i="62"/>
  <c r="L308" i="62" s="1"/>
  <c r="L153" i="62"/>
  <c r="L309" i="62" s="1"/>
  <c r="L154" i="62"/>
  <c r="L310" i="62" s="1"/>
  <c r="L157" i="62"/>
  <c r="L313" i="62" s="1"/>
  <c r="L159" i="62"/>
  <c r="L315" i="62" s="1"/>
  <c r="L186" i="62"/>
  <c r="L342" i="62" s="1"/>
  <c r="L187" i="62"/>
  <c r="L343" i="62" s="1"/>
  <c r="L188" i="62"/>
  <c r="L344" i="62" s="1"/>
  <c r="L189" i="62"/>
  <c r="L345" i="62" s="1"/>
  <c r="L190" i="62"/>
  <c r="L346" i="62" s="1"/>
  <c r="L211" i="62"/>
  <c r="L367" i="62" s="1"/>
  <c r="L212" i="62"/>
  <c r="L368" i="62" s="1"/>
  <c r="L213" i="62"/>
  <c r="L369" i="62" s="1"/>
  <c r="L214" i="62"/>
  <c r="L370" i="62" s="1"/>
  <c r="L215" i="62"/>
  <c r="L371" i="62" s="1"/>
  <c r="L235" i="62"/>
  <c r="L391" i="62" s="1"/>
  <c r="L236" i="62"/>
  <c r="L392" i="62" s="1"/>
  <c r="L237" i="62"/>
  <c r="L393" i="62" s="1"/>
  <c r="L238" i="62"/>
  <c r="L394" i="62" s="1"/>
  <c r="L239" i="62"/>
  <c r="L395" i="62" s="1"/>
  <c r="L130" i="62"/>
  <c r="L293" i="62" s="1"/>
  <c r="L295" i="62"/>
  <c r="L158" i="62"/>
  <c r="L314" i="62" s="1"/>
  <c r="L163" i="62"/>
  <c r="L319" i="62" s="1"/>
  <c r="L165" i="62"/>
  <c r="L321" i="62" s="1"/>
  <c r="L169" i="62"/>
  <c r="L325" i="62" s="1"/>
  <c r="L170" i="62"/>
  <c r="L326" i="62" s="1"/>
  <c r="L171" i="62"/>
  <c r="L327" i="62" s="1"/>
  <c r="L172" i="62"/>
  <c r="L328" i="62" s="1"/>
  <c r="L192" i="62"/>
  <c r="L348" i="62" s="1"/>
  <c r="L193" i="62"/>
  <c r="L349" i="62" s="1"/>
  <c r="L194" i="62"/>
  <c r="L350" i="62" s="1"/>
  <c r="L195" i="62"/>
  <c r="L351" i="62" s="1"/>
  <c r="L196" i="62"/>
  <c r="L352" i="62" s="1"/>
  <c r="L197" i="62"/>
  <c r="L353" i="62" s="1"/>
  <c r="L135" i="62"/>
  <c r="L298" i="62" s="1"/>
  <c r="L156" i="62"/>
  <c r="L312" i="62" s="1"/>
  <c r="L166" i="62"/>
  <c r="L322" i="62" s="1"/>
  <c r="L176" i="62"/>
  <c r="L332" i="62" s="1"/>
  <c r="L183" i="62"/>
  <c r="L339" i="62" s="1"/>
  <c r="L199" i="62"/>
  <c r="L355" i="62" s="1"/>
  <c r="L203" i="62"/>
  <c r="L359" i="62" s="1"/>
  <c r="L206" i="62"/>
  <c r="L362" i="62" s="1"/>
  <c r="L217" i="62"/>
  <c r="L373" i="62" s="1"/>
  <c r="L219" i="62"/>
  <c r="L375" i="62" s="1"/>
  <c r="L221" i="62"/>
  <c r="L377" i="62" s="1"/>
  <c r="L223" i="62"/>
  <c r="L379" i="62" s="1"/>
  <c r="L227" i="62"/>
  <c r="L383" i="62" s="1"/>
  <c r="L229" i="62"/>
  <c r="L385" i="62" s="1"/>
  <c r="L231" i="62"/>
  <c r="L387" i="62" s="1"/>
  <c r="L233" i="62"/>
  <c r="L389" i="62" s="1"/>
  <c r="L126" i="62"/>
  <c r="L289" i="62" s="1"/>
  <c r="L128" i="62"/>
  <c r="L291" i="62" s="1"/>
  <c r="L160" i="62"/>
  <c r="L316" i="62" s="1"/>
  <c r="L164" i="62"/>
  <c r="L320" i="62" s="1"/>
  <c r="L177" i="62"/>
  <c r="L333" i="62" s="1"/>
  <c r="L180" i="62"/>
  <c r="L336" i="62" s="1"/>
  <c r="L184" i="62"/>
  <c r="L340" i="62" s="1"/>
  <c r="L200" i="62"/>
  <c r="L356" i="62" s="1"/>
  <c r="L207" i="62"/>
  <c r="L363" i="62" s="1"/>
  <c r="L226" i="62"/>
  <c r="L382" i="62" s="1"/>
  <c r="L136" i="62"/>
  <c r="L299" i="62" s="1"/>
  <c r="L218" i="62"/>
  <c r="L374" i="62" s="1"/>
  <c r="L162" i="62"/>
  <c r="L318" i="62" s="1"/>
  <c r="L175" i="62"/>
  <c r="L331" i="62" s="1"/>
  <c r="L202" i="62"/>
  <c r="L358" i="62" s="1"/>
  <c r="L182" i="62"/>
  <c r="L338" i="62" s="1"/>
  <c r="L205" i="62"/>
  <c r="L361" i="62" s="1"/>
  <c r="L230" i="62"/>
  <c r="L386" i="62" s="1"/>
  <c r="L232" i="62"/>
  <c r="L388" i="62" s="1"/>
  <c r="L178" i="62"/>
  <c r="L334" i="62" s="1"/>
  <c r="L201" i="62"/>
  <c r="L357" i="62" s="1"/>
  <c r="L208" i="62"/>
  <c r="L364" i="62" s="1"/>
  <c r="L174" i="62"/>
  <c r="L330" i="62" s="1"/>
  <c r="L209" i="62"/>
  <c r="L365" i="62" s="1"/>
  <c r="L224" i="62"/>
  <c r="L380" i="62" s="1"/>
  <c r="L181" i="62"/>
  <c r="L337" i="62" s="1"/>
  <c r="L220" i="62"/>
  <c r="L376" i="62" s="1"/>
  <c r="L225" i="62"/>
  <c r="L381" i="62" s="1"/>
  <c r="K97" i="62"/>
  <c r="K252" i="62"/>
  <c r="K259" i="62"/>
  <c r="L7" i="46"/>
  <c r="M9" i="62"/>
  <c r="M51" i="62" s="1"/>
  <c r="L76" i="46"/>
  <c r="L8" i="46"/>
  <c r="L9" i="47"/>
  <c r="L8" i="18"/>
  <c r="L8" i="67" s="1"/>
  <c r="L8" i="34"/>
  <c r="L60" i="34" s="1"/>
  <c r="K10" i="46"/>
  <c r="I23" i="34" l="1"/>
  <c r="I96" i="61"/>
  <c r="M132" i="62"/>
  <c r="M134" i="62"/>
  <c r="R41" i="38"/>
  <c r="R134" i="38" s="1"/>
  <c r="G76" i="61"/>
  <c r="G75" i="61"/>
  <c r="C30" i="38"/>
  <c r="D30" i="38" s="1"/>
  <c r="G27" i="18"/>
  <c r="G109" i="67" s="1"/>
  <c r="F70" i="67"/>
  <c r="F41" i="18"/>
  <c r="F78" i="67"/>
  <c r="F89" i="67"/>
  <c r="F87" i="67"/>
  <c r="F83" i="67"/>
  <c r="F88" i="67"/>
  <c r="F84" i="67"/>
  <c r="F86" i="67"/>
  <c r="F85" i="67"/>
  <c r="F82" i="67"/>
  <c r="C135" i="13"/>
  <c r="F36" i="18"/>
  <c r="F37" i="18" s="1"/>
  <c r="F45" i="61"/>
  <c r="C10" i="63"/>
  <c r="J60" i="61"/>
  <c r="J83" i="61"/>
  <c r="G131" i="38"/>
  <c r="G134" i="38"/>
  <c r="N131" i="38"/>
  <c r="N134" i="38"/>
  <c r="L131" i="38"/>
  <c r="L134" i="38"/>
  <c r="Q131" i="38"/>
  <c r="Q134" i="38"/>
  <c r="P131" i="38"/>
  <c r="P134" i="38"/>
  <c r="K131" i="38"/>
  <c r="K134" i="38"/>
  <c r="F131" i="38"/>
  <c r="F134" i="38"/>
  <c r="O131" i="38"/>
  <c r="O134" i="38"/>
  <c r="H131" i="38"/>
  <c r="H134" i="38"/>
  <c r="M131" i="38"/>
  <c r="M134" i="38"/>
  <c r="I131" i="38"/>
  <c r="I134" i="38"/>
  <c r="J131" i="38"/>
  <c r="J134" i="38"/>
  <c r="M93" i="62"/>
  <c r="M256" i="62" s="1"/>
  <c r="M92" i="62"/>
  <c r="M255" i="62" s="1"/>
  <c r="M87" i="62"/>
  <c r="M85" i="62"/>
  <c r="M249" i="62" s="1"/>
  <c r="M83" i="62"/>
  <c r="M247" i="62" s="1"/>
  <c r="M94" i="62"/>
  <c r="M257" i="62" s="1"/>
  <c r="C257" i="62" s="1"/>
  <c r="M86" i="62"/>
  <c r="M250" i="62" s="1"/>
  <c r="M84" i="62"/>
  <c r="M248" i="62" s="1"/>
  <c r="M95" i="62"/>
  <c r="M258" i="62" s="1"/>
  <c r="I66" i="61"/>
  <c r="I93" i="61"/>
  <c r="I95" i="61"/>
  <c r="I94" i="61"/>
  <c r="J420" i="62"/>
  <c r="J421" i="62" s="1"/>
  <c r="J28" i="62"/>
  <c r="I22" i="67" s="1"/>
  <c r="I10" i="67" s="1"/>
  <c r="I11" i="67" s="1"/>
  <c r="J408" i="62"/>
  <c r="J39" i="62" s="1"/>
  <c r="I39" i="34"/>
  <c r="I40" i="34"/>
  <c r="J472" i="62"/>
  <c r="I17" i="34"/>
  <c r="I12" i="34"/>
  <c r="I22" i="34"/>
  <c r="I38" i="34"/>
  <c r="J55" i="61"/>
  <c r="G43" i="62"/>
  <c r="C12" i="63" s="1"/>
  <c r="I429" i="62"/>
  <c r="F81" i="67"/>
  <c r="F53" i="18"/>
  <c r="F54" i="18" s="1"/>
  <c r="J27" i="67"/>
  <c r="J32" i="67"/>
  <c r="J36" i="62"/>
  <c r="J426" i="62"/>
  <c r="J427" i="62" s="1"/>
  <c r="J423" i="62"/>
  <c r="J424" i="62" s="1"/>
  <c r="L59" i="34"/>
  <c r="L8" i="47"/>
  <c r="M133" i="62"/>
  <c r="M296" i="62" s="1"/>
  <c r="M297" i="62"/>
  <c r="C297" i="62" s="1"/>
  <c r="M16" i="62"/>
  <c r="M100" i="62"/>
  <c r="M265" i="62" s="1"/>
  <c r="M251" i="62"/>
  <c r="J57" i="61"/>
  <c r="K32" i="62"/>
  <c r="J43" i="67"/>
  <c r="J44" i="67"/>
  <c r="J41" i="67"/>
  <c r="J36" i="67"/>
  <c r="K18" i="62"/>
  <c r="K24" i="62" s="1"/>
  <c r="J96" i="61" s="1"/>
  <c r="J38" i="67"/>
  <c r="J42" i="67" s="1"/>
  <c r="J45" i="67"/>
  <c r="G118" i="67"/>
  <c r="I38" i="62"/>
  <c r="I41" i="62"/>
  <c r="L300" i="62"/>
  <c r="E14" i="45"/>
  <c r="M205" i="62"/>
  <c r="M361" i="62" s="1"/>
  <c r="M146" i="62"/>
  <c r="M302" i="62" s="1"/>
  <c r="K19" i="13"/>
  <c r="K16" i="61" s="1"/>
  <c r="K32" i="61" s="1"/>
  <c r="K21" i="13"/>
  <c r="K34" i="67" s="1"/>
  <c r="L41" i="34"/>
  <c r="J417" i="62"/>
  <c r="J418" i="62" s="1"/>
  <c r="J411" i="62"/>
  <c r="J412" i="62" s="1"/>
  <c r="J414" i="62"/>
  <c r="D12" i="63"/>
  <c r="K178" i="61"/>
  <c r="H9" i="63"/>
  <c r="E76" i="46"/>
  <c r="I20" i="63"/>
  <c r="I21" i="63" s="1"/>
  <c r="H44" i="18"/>
  <c r="I43" i="62"/>
  <c r="E12" i="63" s="1"/>
  <c r="M52" i="62"/>
  <c r="M219" i="62"/>
  <c r="M375" i="62" s="1"/>
  <c r="M162" i="62"/>
  <c r="M318" i="62" s="1"/>
  <c r="M213" i="62"/>
  <c r="M369" i="62" s="1"/>
  <c r="M118" i="62"/>
  <c r="M281" i="62" s="1"/>
  <c r="M169" i="62"/>
  <c r="M325" i="62" s="1"/>
  <c r="M193" i="62"/>
  <c r="M349" i="62" s="1"/>
  <c r="M186" i="62"/>
  <c r="M342" i="62" s="1"/>
  <c r="M174" i="62"/>
  <c r="M330" i="62" s="1"/>
  <c r="M232" i="62"/>
  <c r="M388" i="62" s="1"/>
  <c r="M128" i="62"/>
  <c r="M291" i="62" s="1"/>
  <c r="M177" i="62"/>
  <c r="M333" i="62" s="1"/>
  <c r="M154" i="62"/>
  <c r="M310" i="62" s="1"/>
  <c r="M148" i="62"/>
  <c r="M304" i="62" s="1"/>
  <c r="M158" i="62"/>
  <c r="M314" i="62" s="1"/>
  <c r="M226" i="62"/>
  <c r="M382" i="62" s="1"/>
  <c r="M203" i="62"/>
  <c r="M359" i="62" s="1"/>
  <c r="M150" i="62"/>
  <c r="M306" i="62" s="1"/>
  <c r="M157" i="62"/>
  <c r="M313" i="62" s="1"/>
  <c r="M230" i="62"/>
  <c r="M386" i="62" s="1"/>
  <c r="M183" i="62"/>
  <c r="M339" i="62" s="1"/>
  <c r="M135" i="62"/>
  <c r="M298" i="62" s="1"/>
  <c r="C298" i="62" s="1"/>
  <c r="M116" i="62"/>
  <c r="M279" i="62" s="1"/>
  <c r="M126" i="62"/>
  <c r="M289" i="62" s="1"/>
  <c r="M197" i="62"/>
  <c r="M353" i="62" s="1"/>
  <c r="M104" i="62"/>
  <c r="M269" i="62" s="1"/>
  <c r="M108" i="62"/>
  <c r="M273" i="62" s="1"/>
  <c r="M218" i="62"/>
  <c r="M374" i="62" s="1"/>
  <c r="M220" i="62"/>
  <c r="M376" i="62" s="1"/>
  <c r="M236" i="62"/>
  <c r="M392" i="62" s="1"/>
  <c r="M176" i="62"/>
  <c r="M332" i="62" s="1"/>
  <c r="M214" i="62"/>
  <c r="M370" i="62" s="1"/>
  <c r="M190" i="62"/>
  <c r="M346" i="62" s="1"/>
  <c r="M105" i="62"/>
  <c r="M270" i="62" s="1"/>
  <c r="M209" i="62"/>
  <c r="M365" i="62" s="1"/>
  <c r="M181" i="62"/>
  <c r="M337" i="62" s="1"/>
  <c r="M166" i="62"/>
  <c r="M322" i="62" s="1"/>
  <c r="M122" i="62"/>
  <c r="M285" i="62" s="1"/>
  <c r="M114" i="62"/>
  <c r="M277" i="62" s="1"/>
  <c r="M196" i="62"/>
  <c r="M352" i="62" s="1"/>
  <c r="M200" i="62"/>
  <c r="M356" i="62" s="1"/>
  <c r="M195" i="62"/>
  <c r="M351" i="62" s="1"/>
  <c r="M223" i="62"/>
  <c r="M379" i="62" s="1"/>
  <c r="M171" i="62"/>
  <c r="M327" i="62" s="1"/>
  <c r="M202" i="62"/>
  <c r="M358" i="62" s="1"/>
  <c r="M188" i="62"/>
  <c r="M344" i="62" s="1"/>
  <c r="M101" i="62"/>
  <c r="M266" i="62" s="1"/>
  <c r="M207" i="62"/>
  <c r="M363" i="62" s="1"/>
  <c r="M160" i="62"/>
  <c r="M316" i="62" s="1"/>
  <c r="M164" i="62"/>
  <c r="M320" i="62" s="1"/>
  <c r="M120" i="62"/>
  <c r="M283" i="62" s="1"/>
  <c r="M130" i="62"/>
  <c r="M293" i="62" s="1"/>
  <c r="M192" i="62"/>
  <c r="M348" i="62" s="1"/>
  <c r="M102" i="62"/>
  <c r="M267" i="62" s="1"/>
  <c r="M235" i="62"/>
  <c r="M391" i="62" s="1"/>
  <c r="M237" i="62"/>
  <c r="M393" i="62" s="1"/>
  <c r="M194" i="62"/>
  <c r="M350" i="62" s="1"/>
  <c r="M225" i="62"/>
  <c r="M381" i="62" s="1"/>
  <c r="M178" i="62"/>
  <c r="M334" i="62" s="1"/>
  <c r="M238" i="62"/>
  <c r="M394" i="62" s="1"/>
  <c r="M221" i="62"/>
  <c r="M377" i="62" s="1"/>
  <c r="M199" i="62"/>
  <c r="M355" i="62" s="1"/>
  <c r="M170" i="62"/>
  <c r="M326" i="62" s="1"/>
  <c r="M224" i="62"/>
  <c r="M380" i="62" s="1"/>
  <c r="M175" i="62"/>
  <c r="M331" i="62" s="1"/>
  <c r="M106" i="62"/>
  <c r="M271" i="62" s="1"/>
  <c r="M187" i="62"/>
  <c r="M343" i="62" s="1"/>
  <c r="M107" i="62"/>
  <c r="M272" i="62" s="1"/>
  <c r="M233" i="62"/>
  <c r="M389" i="62" s="1"/>
  <c r="M229" i="62"/>
  <c r="M385" i="62" s="1"/>
  <c r="M206" i="62"/>
  <c r="M362" i="62" s="1"/>
  <c r="M182" i="62"/>
  <c r="M338" i="62" s="1"/>
  <c r="M156" i="62"/>
  <c r="M312" i="62" s="1"/>
  <c r="M163" i="62"/>
  <c r="M319" i="62" s="1"/>
  <c r="M295" i="62"/>
  <c r="M119" i="62"/>
  <c r="M282" i="62" s="1"/>
  <c r="M115" i="62"/>
  <c r="M278" i="62" s="1"/>
  <c r="M129" i="62"/>
  <c r="M292" i="62" s="1"/>
  <c r="K77" i="61"/>
  <c r="K81" i="61"/>
  <c r="K91" i="61"/>
  <c r="K149" i="61"/>
  <c r="K74" i="61"/>
  <c r="K80" i="61"/>
  <c r="K148" i="61"/>
  <c r="K78" i="61"/>
  <c r="K82" i="61"/>
  <c r="K88" i="61"/>
  <c r="K92" i="61"/>
  <c r="K72" i="61"/>
  <c r="L70" i="61"/>
  <c r="L85" i="61"/>
  <c r="M153" i="62"/>
  <c r="M309" i="62" s="1"/>
  <c r="M211" i="62"/>
  <c r="M367" i="62" s="1"/>
  <c r="M151" i="62"/>
  <c r="M307" i="62" s="1"/>
  <c r="M215" i="62"/>
  <c r="M371" i="62" s="1"/>
  <c r="M239" i="62"/>
  <c r="M395" i="62" s="1"/>
  <c r="M201" i="62"/>
  <c r="M357" i="62" s="1"/>
  <c r="M227" i="62"/>
  <c r="M383" i="62" s="1"/>
  <c r="M217" i="62"/>
  <c r="M373" i="62" s="1"/>
  <c r="M172" i="62"/>
  <c r="M328" i="62" s="1"/>
  <c r="M168" i="62"/>
  <c r="M324" i="62" s="1"/>
  <c r="M212" i="62"/>
  <c r="M368" i="62" s="1"/>
  <c r="M152" i="62"/>
  <c r="M308" i="62" s="1"/>
  <c r="M189" i="62"/>
  <c r="M345" i="62" s="1"/>
  <c r="M159" i="62"/>
  <c r="M315" i="62" s="1"/>
  <c r="M103" i="62"/>
  <c r="M268" i="62" s="1"/>
  <c r="M231" i="62"/>
  <c r="M387" i="62" s="1"/>
  <c r="M208" i="62"/>
  <c r="M364" i="62" s="1"/>
  <c r="M184" i="62"/>
  <c r="M340" i="62" s="1"/>
  <c r="M180" i="62"/>
  <c r="M336" i="62" s="1"/>
  <c r="M147" i="62"/>
  <c r="M303" i="62" s="1"/>
  <c r="M165" i="62"/>
  <c r="M321" i="62" s="1"/>
  <c r="M136" i="62"/>
  <c r="M299" i="62" s="1"/>
  <c r="C299" i="62" s="1"/>
  <c r="M121" i="62"/>
  <c r="M284" i="62" s="1"/>
  <c r="M117" i="62"/>
  <c r="M280" i="62" s="1"/>
  <c r="M131" i="62"/>
  <c r="M294" i="62" s="1"/>
  <c r="M127" i="62"/>
  <c r="M290" i="62" s="1"/>
  <c r="L63" i="46"/>
  <c r="L62" i="46"/>
  <c r="L94" i="46" s="1"/>
  <c r="K261" i="62"/>
  <c r="K401" i="62" s="1"/>
  <c r="L109" i="62"/>
  <c r="L111" i="62" s="1"/>
  <c r="L123" i="62"/>
  <c r="L137" i="62"/>
  <c r="L21" i="62" s="1"/>
  <c r="K59" i="61" s="1"/>
  <c r="K140" i="62"/>
  <c r="L241" i="62"/>
  <c r="L89" i="62"/>
  <c r="K9" i="46"/>
  <c r="L4" i="53"/>
  <c r="L45" i="18"/>
  <c r="K95" i="13"/>
  <c r="K45" i="13"/>
  <c r="K11" i="34"/>
  <c r="R131" i="38" l="1"/>
  <c r="F62" i="34"/>
  <c r="F83" i="46"/>
  <c r="G35" i="62"/>
  <c r="C18" i="63"/>
  <c r="F49" i="61" s="1"/>
  <c r="C26" i="63"/>
  <c r="F66" i="34" s="1"/>
  <c r="C36" i="63"/>
  <c r="C22" i="63"/>
  <c r="F87" i="46" s="1"/>
  <c r="C14" i="63"/>
  <c r="G45" i="62" s="1"/>
  <c r="I23" i="67"/>
  <c r="I53" i="67" s="1"/>
  <c r="C38" i="63"/>
  <c r="F89" i="46" s="1"/>
  <c r="J409" i="62"/>
  <c r="J40" i="62"/>
  <c r="J415" i="62"/>
  <c r="J56" i="61"/>
  <c r="J61" i="61" s="1"/>
  <c r="L20" i="62"/>
  <c r="K58" i="61" s="1"/>
  <c r="K28" i="67"/>
  <c r="J39" i="67"/>
  <c r="K408" i="62"/>
  <c r="J37" i="67"/>
  <c r="J40" i="67"/>
  <c r="J33" i="67"/>
  <c r="L17" i="62"/>
  <c r="K35" i="67"/>
  <c r="L22" i="62"/>
  <c r="K31" i="67"/>
  <c r="L19" i="62"/>
  <c r="K25" i="67"/>
  <c r="L119" i="67"/>
  <c r="C119" i="67" s="1"/>
  <c r="H118" i="67"/>
  <c r="K30" i="34"/>
  <c r="K28" i="34"/>
  <c r="K31" i="34"/>
  <c r="K29" i="34"/>
  <c r="K27" i="34"/>
  <c r="L19" i="34"/>
  <c r="M300" i="62"/>
  <c r="J12" i="34"/>
  <c r="D45" i="18"/>
  <c r="H33" i="63"/>
  <c r="H31" i="63"/>
  <c r="H21" i="63"/>
  <c r="K86" i="46" s="1"/>
  <c r="K28" i="62"/>
  <c r="J22" i="67" s="1"/>
  <c r="J10" i="67" s="1"/>
  <c r="J11" i="67" s="1"/>
  <c r="J428" i="62"/>
  <c r="J474" i="62" s="1"/>
  <c r="J94" i="61"/>
  <c r="J95" i="61"/>
  <c r="J93" i="61"/>
  <c r="K403" i="62"/>
  <c r="K402" i="62" s="1"/>
  <c r="K177" i="61"/>
  <c r="J39" i="34"/>
  <c r="K179" i="61"/>
  <c r="L181" i="61"/>
  <c r="L31" i="62"/>
  <c r="K61" i="34"/>
  <c r="K82" i="46"/>
  <c r="L85" i="46"/>
  <c r="L86" i="46"/>
  <c r="B20" i="63"/>
  <c r="J22" i="34"/>
  <c r="J66" i="61"/>
  <c r="J40" i="34"/>
  <c r="K472" i="62"/>
  <c r="J17" i="34"/>
  <c r="J38" i="34"/>
  <c r="J23" i="34"/>
  <c r="K420" i="62"/>
  <c r="C337" i="62"/>
  <c r="C374" i="62"/>
  <c r="C339" i="62"/>
  <c r="C382" i="62"/>
  <c r="C303" i="62"/>
  <c r="C309" i="62"/>
  <c r="C308" i="62"/>
  <c r="C332" i="62"/>
  <c r="C394" i="62"/>
  <c r="C310" i="62"/>
  <c r="C272" i="62"/>
  <c r="C359" i="62"/>
  <c r="C348" i="62"/>
  <c r="C321" i="62"/>
  <c r="C364" i="62"/>
  <c r="C345" i="62"/>
  <c r="C328" i="62"/>
  <c r="C265" i="62"/>
  <c r="C302" i="62"/>
  <c r="C315" i="62"/>
  <c r="K153" i="61"/>
  <c r="C249" i="62"/>
  <c r="C363" i="62"/>
  <c r="C296" i="62"/>
  <c r="M123" i="62"/>
  <c r="C266" i="62"/>
  <c r="M89" i="62"/>
  <c r="C338" i="62"/>
  <c r="C357" i="62"/>
  <c r="C367" i="62"/>
  <c r="M241" i="62"/>
  <c r="M137" i="62"/>
  <c r="M21" i="62" s="1"/>
  <c r="L59" i="61" s="1"/>
  <c r="M109" i="62"/>
  <c r="M111" i="62" s="1"/>
  <c r="L71" i="46"/>
  <c r="L74" i="46" s="1"/>
  <c r="C280" i="62"/>
  <c r="L397" i="62"/>
  <c r="C373" i="62"/>
  <c r="C268" i="62"/>
  <c r="C370" i="62"/>
  <c r="C355" i="62"/>
  <c r="C346" i="62"/>
  <c r="C340" i="62"/>
  <c r="C344" i="62"/>
  <c r="C371" i="62"/>
  <c r="C349" i="62"/>
  <c r="C307" i="62"/>
  <c r="C380" i="62"/>
  <c r="C389" i="62"/>
  <c r="C279" i="62"/>
  <c r="C383" i="62"/>
  <c r="C285" i="62"/>
  <c r="C290" i="62"/>
  <c r="C325" i="62"/>
  <c r="C376" i="62"/>
  <c r="L97" i="62"/>
  <c r="C267" i="62"/>
  <c r="C312" i="62"/>
  <c r="C291" i="62"/>
  <c r="C386" i="62"/>
  <c r="C270" i="62"/>
  <c r="C319" i="62"/>
  <c r="C289" i="62"/>
  <c r="C318" i="62"/>
  <c r="L286" i="62"/>
  <c r="C277" i="62"/>
  <c r="C281" i="62"/>
  <c r="C342" i="62"/>
  <c r="C322" i="62"/>
  <c r="C316" i="62"/>
  <c r="C330" i="62"/>
  <c r="C256" i="62"/>
  <c r="C282" i="62"/>
  <c r="L274" i="62"/>
  <c r="C269" i="62"/>
  <c r="C304" i="62"/>
  <c r="C362" i="62"/>
  <c r="C356" i="62"/>
  <c r="C365" i="62"/>
  <c r="C294" i="62"/>
  <c r="C350" i="62"/>
  <c r="C361" i="62"/>
  <c r="C258" i="62"/>
  <c r="C369" i="62"/>
  <c r="C375" i="62"/>
  <c r="C377" i="62"/>
  <c r="C358" i="62"/>
  <c r="M259" i="62"/>
  <c r="C273" i="62"/>
  <c r="C353" i="62"/>
  <c r="C368" i="62"/>
  <c r="L252" i="62"/>
  <c r="C247" i="62"/>
  <c r="C271" i="62"/>
  <c r="C336" i="62"/>
  <c r="C284" i="62"/>
  <c r="L259" i="62"/>
  <c r="C255" i="62"/>
  <c r="C351" i="62"/>
  <c r="C385" i="62"/>
  <c r="C331" i="62"/>
  <c r="C391" i="62"/>
  <c r="C248" i="62"/>
  <c r="C393" i="62"/>
  <c r="C387" i="62"/>
  <c r="C388" i="62"/>
  <c r="C250" i="62"/>
  <c r="C333" i="62"/>
  <c r="L139" i="62"/>
  <c r="L242" i="62" s="1"/>
  <c r="C292" i="62"/>
  <c r="C343" i="62"/>
  <c r="C320" i="62"/>
  <c r="C334" i="62"/>
  <c r="C395" i="62"/>
  <c r="L5" i="53"/>
  <c r="L6" i="53" s="1"/>
  <c r="M16" i="48"/>
  <c r="M32" i="48" s="1"/>
  <c r="I12" i="41"/>
  <c r="I28" i="41" s="1"/>
  <c r="C45" i="18"/>
  <c r="K60" i="61" l="1"/>
  <c r="K83" i="61"/>
  <c r="G47" i="62"/>
  <c r="F68" i="34"/>
  <c r="F51" i="61"/>
  <c r="K55" i="61"/>
  <c r="K421" i="62"/>
  <c r="K39" i="62"/>
  <c r="K409" i="62"/>
  <c r="J429" i="62"/>
  <c r="K27" i="67"/>
  <c r="K32" i="67"/>
  <c r="K36" i="62"/>
  <c r="K423" i="62"/>
  <c r="K424" i="62" s="1"/>
  <c r="K426" i="62"/>
  <c r="K427" i="62" s="1"/>
  <c r="L184" i="61"/>
  <c r="L50" i="18" s="1"/>
  <c r="L182" i="61"/>
  <c r="K43" i="67"/>
  <c r="K57" i="61"/>
  <c r="L32" i="62"/>
  <c r="L33" i="62" s="1"/>
  <c r="M19" i="62"/>
  <c r="L25" i="67"/>
  <c r="M20" i="62"/>
  <c r="L58" i="61" s="1"/>
  <c r="L28" i="67"/>
  <c r="K45" i="67"/>
  <c r="J23" i="67"/>
  <c r="L18" i="62"/>
  <c r="K56" i="61" s="1"/>
  <c r="K38" i="67"/>
  <c r="M22" i="62"/>
  <c r="L31" i="67"/>
  <c r="M17" i="62"/>
  <c r="L35" i="67"/>
  <c r="C35" i="67" s="1"/>
  <c r="K41" i="67"/>
  <c r="K36" i="67"/>
  <c r="K44" i="67"/>
  <c r="K414" i="62"/>
  <c r="K417" i="62"/>
  <c r="K418" i="62" s="1"/>
  <c r="K411" i="62"/>
  <c r="K412" i="62" s="1"/>
  <c r="I28" i="63"/>
  <c r="E85" i="46"/>
  <c r="M97" i="62"/>
  <c r="J41" i="62"/>
  <c r="J38" i="62"/>
  <c r="C295" i="62"/>
  <c r="C324" i="62"/>
  <c r="M286" i="62"/>
  <c r="C286" i="62" s="1"/>
  <c r="C314" i="62"/>
  <c r="M274" i="62"/>
  <c r="C283" i="62"/>
  <c r="C278" i="62"/>
  <c r="C313" i="62"/>
  <c r="C327" i="62"/>
  <c r="C392" i="62"/>
  <c r="C381" i="62"/>
  <c r="C379" i="62"/>
  <c r="C306" i="62"/>
  <c r="C326" i="62"/>
  <c r="C300" i="62"/>
  <c r="C293" i="62"/>
  <c r="M252" i="62"/>
  <c r="C352" i="62"/>
  <c r="M397" i="62"/>
  <c r="M139" i="62"/>
  <c r="M242" i="62" s="1"/>
  <c r="C251" i="62"/>
  <c r="E74" i="46"/>
  <c r="L77" i="46"/>
  <c r="L261" i="62"/>
  <c r="L401" i="62" s="1"/>
  <c r="L140" i="62"/>
  <c r="C259" i="62"/>
  <c r="K33" i="18"/>
  <c r="K76" i="67" s="1"/>
  <c r="K31" i="18"/>
  <c r="K74" i="67" s="1"/>
  <c r="K27" i="18"/>
  <c r="K70" i="67" s="1"/>
  <c r="K25" i="18"/>
  <c r="K7" i="18"/>
  <c r="K7" i="67" s="1"/>
  <c r="K6" i="18"/>
  <c r="J33" i="18"/>
  <c r="J76" i="67" s="1"/>
  <c r="J31" i="18"/>
  <c r="J74" i="67" s="1"/>
  <c r="J27" i="18"/>
  <c r="J70" i="67" s="1"/>
  <c r="J25" i="18"/>
  <c r="J7" i="18"/>
  <c r="J7" i="67" s="1"/>
  <c r="J6" i="18"/>
  <c r="L37" i="34"/>
  <c r="L33" i="34"/>
  <c r="L32" i="34"/>
  <c r="K37" i="34"/>
  <c r="K33" i="34"/>
  <c r="K32" i="34"/>
  <c r="J10" i="46"/>
  <c r="L60" i="61" l="1"/>
  <c r="L83" i="61"/>
  <c r="L55" i="61"/>
  <c r="L24" i="62"/>
  <c r="K40" i="62"/>
  <c r="K415" i="62"/>
  <c r="L27" i="67"/>
  <c r="C27" i="67" s="1"/>
  <c r="L32" i="67"/>
  <c r="C25" i="67"/>
  <c r="J15" i="67"/>
  <c r="J80" i="67"/>
  <c r="J56" i="67"/>
  <c r="J117" i="67"/>
  <c r="K15" i="67"/>
  <c r="K80" i="67"/>
  <c r="K117" i="67"/>
  <c r="K56" i="67"/>
  <c r="K61" i="61"/>
  <c r="L57" i="61"/>
  <c r="M32" i="62"/>
  <c r="M33" i="62" s="1"/>
  <c r="L43" i="67"/>
  <c r="C43" i="67" s="1"/>
  <c r="L45" i="67"/>
  <c r="C45" i="67" s="1"/>
  <c r="C31" i="67"/>
  <c r="L44" i="67"/>
  <c r="C44" i="67" s="1"/>
  <c r="C28" i="67"/>
  <c r="M18" i="62"/>
  <c r="L56" i="61" s="1"/>
  <c r="L38" i="67"/>
  <c r="C38" i="67" s="1"/>
  <c r="K37" i="67"/>
  <c r="K40" i="67"/>
  <c r="K33" i="67"/>
  <c r="L41" i="67"/>
  <c r="C41" i="67" s="1"/>
  <c r="L36" i="67"/>
  <c r="C36" i="67" s="1"/>
  <c r="K42" i="67"/>
  <c r="K39" i="67"/>
  <c r="J53" i="67"/>
  <c r="J113" i="67"/>
  <c r="K109" i="67"/>
  <c r="L124" i="67"/>
  <c r="K111" i="67"/>
  <c r="J109" i="67"/>
  <c r="K113" i="67"/>
  <c r="J108" i="67"/>
  <c r="J68" i="67"/>
  <c r="K14" i="18"/>
  <c r="K96" i="67"/>
  <c r="J14" i="18"/>
  <c r="J96" i="67"/>
  <c r="J111" i="67"/>
  <c r="K108" i="67"/>
  <c r="K68" i="67"/>
  <c r="C274" i="62"/>
  <c r="M261" i="62"/>
  <c r="M401" i="62" s="1"/>
  <c r="I34" i="63"/>
  <c r="I35" i="63" s="1"/>
  <c r="I29" i="63"/>
  <c r="K41" i="34"/>
  <c r="J19" i="13"/>
  <c r="J16" i="61" s="1"/>
  <c r="J32" i="61" s="1"/>
  <c r="J21" i="13"/>
  <c r="J34" i="67" s="1"/>
  <c r="K428" i="62"/>
  <c r="K474" i="62" s="1"/>
  <c r="C397" i="62"/>
  <c r="L403" i="62"/>
  <c r="L402" i="62" s="1"/>
  <c r="K43" i="18"/>
  <c r="J43" i="18"/>
  <c r="J179" i="61"/>
  <c r="G9" i="63"/>
  <c r="I44" i="18"/>
  <c r="J43" i="62"/>
  <c r="C252" i="62"/>
  <c r="M140" i="62"/>
  <c r="J74" i="61"/>
  <c r="J80" i="61"/>
  <c r="J148" i="61"/>
  <c r="J149" i="61"/>
  <c r="J77" i="61"/>
  <c r="J81" i="61"/>
  <c r="J72" i="61"/>
  <c r="J78" i="61"/>
  <c r="J82" i="61"/>
  <c r="J88" i="61"/>
  <c r="J92" i="61"/>
  <c r="J91" i="61"/>
  <c r="K85" i="61"/>
  <c r="K70" i="61"/>
  <c r="J9" i="46"/>
  <c r="K4" i="53"/>
  <c r="J95" i="13"/>
  <c r="J45" i="13"/>
  <c r="J11" i="34"/>
  <c r="J130" i="13"/>
  <c r="J128" i="13"/>
  <c r="J19" i="18" s="1"/>
  <c r="K131" i="13"/>
  <c r="K22" i="18" s="1"/>
  <c r="K128" i="13"/>
  <c r="K19" i="18" s="1"/>
  <c r="K125" i="13"/>
  <c r="K17" i="18" s="1"/>
  <c r="J126" i="13"/>
  <c r="J18" i="18" s="1"/>
  <c r="J125" i="13"/>
  <c r="J17" i="18" s="1"/>
  <c r="K126" i="13"/>
  <c r="K18" i="18" s="1"/>
  <c r="K130" i="13"/>
  <c r="K132" i="13"/>
  <c r="K23" i="18" s="1"/>
  <c r="K136" i="13"/>
  <c r="J131" i="13"/>
  <c r="J22" i="18" s="1"/>
  <c r="J136" i="13"/>
  <c r="J132" i="13"/>
  <c r="J23" i="18" s="1"/>
  <c r="L420" i="62" l="1"/>
  <c r="K96" i="61"/>
  <c r="M24" i="62"/>
  <c r="K17" i="34"/>
  <c r="K95" i="61"/>
  <c r="L472" i="62"/>
  <c r="L421" i="62"/>
  <c r="K66" i="61"/>
  <c r="L28" i="62"/>
  <c r="K22" i="67" s="1"/>
  <c r="K10" i="67" s="1"/>
  <c r="K11" i="67" s="1"/>
  <c r="K93" i="61"/>
  <c r="K38" i="34"/>
  <c r="K40" i="34"/>
  <c r="K39" i="34"/>
  <c r="K12" i="34"/>
  <c r="K429" i="62"/>
  <c r="K23" i="34"/>
  <c r="K94" i="61"/>
  <c r="K22" i="34"/>
  <c r="L408" i="62"/>
  <c r="L426" i="62"/>
  <c r="L427" i="62" s="1"/>
  <c r="L423" i="62"/>
  <c r="L424" i="62" s="1"/>
  <c r="L61" i="61"/>
  <c r="L33" i="67"/>
  <c r="C33" i="67" s="1"/>
  <c r="L37" i="67"/>
  <c r="C37" i="67" s="1"/>
  <c r="L40" i="67"/>
  <c r="C40" i="67" s="1"/>
  <c r="L46" i="67"/>
  <c r="C32" i="67"/>
  <c r="L42" i="67"/>
  <c r="C42" i="67" s="1"/>
  <c r="L39" i="67"/>
  <c r="C39" i="67" s="1"/>
  <c r="J106" i="67"/>
  <c r="K101" i="67"/>
  <c r="J105" i="67"/>
  <c r="K102" i="67"/>
  <c r="K46" i="67"/>
  <c r="K103" i="67"/>
  <c r="I118" i="67"/>
  <c r="J101" i="67"/>
  <c r="K105" i="67"/>
  <c r="K106" i="67"/>
  <c r="J102" i="67"/>
  <c r="J46" i="67"/>
  <c r="J103" i="67"/>
  <c r="K21" i="18"/>
  <c r="K143" i="13"/>
  <c r="K144" i="13" s="1"/>
  <c r="J21" i="18"/>
  <c r="J143" i="13"/>
  <c r="J144" i="13" s="1"/>
  <c r="J30" i="34"/>
  <c r="J28" i="34"/>
  <c r="J31" i="34"/>
  <c r="J29" i="34"/>
  <c r="J27" i="34"/>
  <c r="M403" i="62"/>
  <c r="M402" i="62" s="1"/>
  <c r="C261" i="62"/>
  <c r="G33" i="63"/>
  <c r="G31" i="63"/>
  <c r="G21" i="63"/>
  <c r="J86" i="46" s="1"/>
  <c r="K19" i="34"/>
  <c r="K181" i="61"/>
  <c r="J178" i="61"/>
  <c r="J177" i="61"/>
  <c r="F12" i="63"/>
  <c r="J9" i="18"/>
  <c r="J12" i="18" s="1"/>
  <c r="K9" i="18"/>
  <c r="K12" i="18" s="1"/>
  <c r="J61" i="34"/>
  <c r="J82" i="46"/>
  <c r="K31" i="62"/>
  <c r="K33" i="62" s="1"/>
  <c r="K38" i="62"/>
  <c r="K41" i="62"/>
  <c r="L417" i="62"/>
  <c r="L418" i="62" s="1"/>
  <c r="L36" i="62"/>
  <c r="L411" i="62"/>
  <c r="L412" i="62" s="1"/>
  <c r="L414" i="62"/>
  <c r="J153" i="61"/>
  <c r="J32" i="18"/>
  <c r="J75" i="67" s="1"/>
  <c r="K32" i="18"/>
  <c r="K75" i="67" s="1"/>
  <c r="L9" i="53"/>
  <c r="K5" i="53"/>
  <c r="L16" i="48"/>
  <c r="L32" i="48" s="1"/>
  <c r="H12" i="41"/>
  <c r="H28" i="41" s="1"/>
  <c r="K28" i="18"/>
  <c r="K71" i="67" s="1"/>
  <c r="J28" i="18"/>
  <c r="J71" i="67" s="1"/>
  <c r="K16" i="34"/>
  <c r="L16" i="34"/>
  <c r="M408" i="62" l="1"/>
  <c r="L96" i="61"/>
  <c r="L93" i="61"/>
  <c r="K23" i="67"/>
  <c r="K53" i="67" s="1"/>
  <c r="L39" i="34"/>
  <c r="L17" i="34"/>
  <c r="M39" i="62"/>
  <c r="M409" i="62"/>
  <c r="L40" i="62"/>
  <c r="L415" i="62"/>
  <c r="M420" i="62"/>
  <c r="M421" i="62" s="1"/>
  <c r="L39" i="62"/>
  <c r="L409" i="62"/>
  <c r="L23" i="34"/>
  <c r="L94" i="61"/>
  <c r="L95" i="61"/>
  <c r="L66" i="61"/>
  <c r="M28" i="62"/>
  <c r="L22" i="67" s="1"/>
  <c r="L10" i="67" s="1"/>
  <c r="L11" i="67" s="1"/>
  <c r="L40" i="34"/>
  <c r="L22" i="34"/>
  <c r="L38" i="34"/>
  <c r="M472" i="62"/>
  <c r="C472" i="62" s="1"/>
  <c r="L12" i="34"/>
  <c r="M423" i="62"/>
  <c r="M424" i="62" s="1"/>
  <c r="M426" i="62"/>
  <c r="M427" i="62" s="1"/>
  <c r="K184" i="61"/>
  <c r="K50" i="18" s="1"/>
  <c r="K182" i="61"/>
  <c r="K112" i="67"/>
  <c r="J104" i="67"/>
  <c r="J110" i="67"/>
  <c r="J54" i="67"/>
  <c r="J112" i="67"/>
  <c r="K110" i="67"/>
  <c r="K54" i="67"/>
  <c r="K104" i="67"/>
  <c r="C403" i="62"/>
  <c r="M36" i="62"/>
  <c r="C36" i="62" s="1"/>
  <c r="M417" i="62"/>
  <c r="M418" i="62" s="1"/>
  <c r="M411" i="62"/>
  <c r="M412" i="62" s="1"/>
  <c r="M414" i="62"/>
  <c r="H28" i="63"/>
  <c r="L428" i="62"/>
  <c r="L474" i="62" s="1"/>
  <c r="K6" i="53"/>
  <c r="L11" i="53" s="1"/>
  <c r="L15" i="53" s="1"/>
  <c r="M15" i="53" s="1"/>
  <c r="M29" i="53"/>
  <c r="J44" i="18"/>
  <c r="K43" i="62"/>
  <c r="H31" i="18"/>
  <c r="H74" i="67" s="1"/>
  <c r="I31" i="18"/>
  <c r="I74" i="67" s="1"/>
  <c r="M40" i="62" l="1"/>
  <c r="M415" i="62"/>
  <c r="L23" i="67"/>
  <c r="L53" i="67" s="1"/>
  <c r="C53" i="67" s="1"/>
  <c r="L429" i="62"/>
  <c r="C22" i="67"/>
  <c r="J118" i="67"/>
  <c r="K124" i="67"/>
  <c r="I111" i="67"/>
  <c r="H111" i="67"/>
  <c r="M428" i="62"/>
  <c r="M474" i="62" s="1"/>
  <c r="H34" i="63"/>
  <c r="H35" i="63" s="1"/>
  <c r="H29" i="63"/>
  <c r="D31" i="18"/>
  <c r="G12" i="63"/>
  <c r="M35" i="53"/>
  <c r="M36" i="53" s="1"/>
  <c r="M37" i="53" s="1"/>
  <c r="M38" i="53" s="1"/>
  <c r="L38" i="62"/>
  <c r="L41" i="62"/>
  <c r="C31" i="18"/>
  <c r="C23" i="67" l="1"/>
  <c r="M43" i="62"/>
  <c r="I12" i="63" s="1"/>
  <c r="I13" i="63" s="1"/>
  <c r="M44" i="62" s="1"/>
  <c r="M429" i="62"/>
  <c r="C111" i="67"/>
  <c r="M38" i="62"/>
  <c r="C38" i="62" s="1"/>
  <c r="M41" i="62"/>
  <c r="G13" i="63"/>
  <c r="K44" i="62" s="1"/>
  <c r="M39" i="53"/>
  <c r="M40" i="53"/>
  <c r="K44" i="18"/>
  <c r="L43" i="62"/>
  <c r="C474" i="62"/>
  <c r="L44" i="18"/>
  <c r="L118" i="67" l="1"/>
  <c r="K118" i="67"/>
  <c r="D44" i="18"/>
  <c r="H12" i="63"/>
  <c r="C43" i="62"/>
  <c r="E47" i="38"/>
  <c r="E52" i="38"/>
  <c r="D52" i="38" s="1"/>
  <c r="E21" i="38"/>
  <c r="E24" i="38"/>
  <c r="E25" i="38"/>
  <c r="E27" i="38"/>
  <c r="E28" i="38"/>
  <c r="C118" i="67" l="1"/>
  <c r="H13" i="63"/>
  <c r="L44" i="62" s="1"/>
  <c r="B12" i="63"/>
  <c r="D47" i="38"/>
  <c r="J32" i="34" l="1"/>
  <c r="I32" i="34"/>
  <c r="K39" i="45" l="1"/>
  <c r="H7" i="18"/>
  <c r="H7" i="67" s="1"/>
  <c r="I7" i="18"/>
  <c r="I7" i="67" s="1"/>
  <c r="H25" i="18"/>
  <c r="I25" i="18"/>
  <c r="H27" i="18"/>
  <c r="H70" i="67" s="1"/>
  <c r="I27" i="18"/>
  <c r="I70" i="67" s="1"/>
  <c r="H33" i="18"/>
  <c r="H76" i="67" s="1"/>
  <c r="I33" i="18"/>
  <c r="I76" i="67" s="1"/>
  <c r="H6" i="18"/>
  <c r="I6" i="18"/>
  <c r="I33" i="34"/>
  <c r="J33" i="34"/>
  <c r="H37" i="34"/>
  <c r="I37" i="34"/>
  <c r="J37" i="34"/>
  <c r="H10" i="46"/>
  <c r="I10" i="46"/>
  <c r="I15" i="67" l="1"/>
  <c r="I117" i="67"/>
  <c r="I80" i="67"/>
  <c r="I56" i="67"/>
  <c r="H15" i="67"/>
  <c r="H117" i="67"/>
  <c r="H80" i="67"/>
  <c r="H56" i="67"/>
  <c r="I113" i="67"/>
  <c r="H113" i="67"/>
  <c r="H14" i="18"/>
  <c r="H96" i="67"/>
  <c r="H109" i="67"/>
  <c r="I108" i="67"/>
  <c r="I68" i="67"/>
  <c r="H108" i="67"/>
  <c r="H68" i="67"/>
  <c r="I14" i="18"/>
  <c r="I96" i="67"/>
  <c r="I109" i="67"/>
  <c r="G10" i="46"/>
  <c r="H19" i="13"/>
  <c r="H16" i="61" s="1"/>
  <c r="H32" i="61" s="1"/>
  <c r="H41" i="34"/>
  <c r="H21" i="13"/>
  <c r="H34" i="67" s="1"/>
  <c r="G21" i="13"/>
  <c r="G34" i="67" s="1"/>
  <c r="G16" i="61"/>
  <c r="G32" i="61" s="1"/>
  <c r="I19" i="13"/>
  <c r="I16" i="61" s="1"/>
  <c r="I32" i="61" s="1"/>
  <c r="I41" i="34"/>
  <c r="I21" i="13"/>
  <c r="I34" i="67" s="1"/>
  <c r="J41" i="34"/>
  <c r="D33" i="18"/>
  <c r="D25" i="18"/>
  <c r="D27" i="18"/>
  <c r="D9" i="63"/>
  <c r="H43" i="18"/>
  <c r="I43" i="18"/>
  <c r="E9" i="63"/>
  <c r="I177" i="61"/>
  <c r="F9" i="63"/>
  <c r="H70" i="61"/>
  <c r="H72" i="61"/>
  <c r="H78" i="61"/>
  <c r="H82" i="61"/>
  <c r="H88" i="61"/>
  <c r="H92" i="61"/>
  <c r="H77" i="61"/>
  <c r="H81" i="61"/>
  <c r="H91" i="61"/>
  <c r="H149" i="61"/>
  <c r="H74" i="61"/>
  <c r="H80" i="61"/>
  <c r="H148" i="61"/>
  <c r="H85" i="61"/>
  <c r="G77" i="61"/>
  <c r="G81" i="61"/>
  <c r="G91" i="61"/>
  <c r="G74" i="61"/>
  <c r="G80" i="61"/>
  <c r="G148" i="61"/>
  <c r="G72" i="61"/>
  <c r="G92" i="61"/>
  <c r="G85" i="61"/>
  <c r="G78" i="61"/>
  <c r="G88" i="61"/>
  <c r="I85" i="61"/>
  <c r="I70" i="61"/>
  <c r="I72" i="61"/>
  <c r="I78" i="61"/>
  <c r="I82" i="61"/>
  <c r="I88" i="61"/>
  <c r="I92" i="61"/>
  <c r="I148" i="61"/>
  <c r="I77" i="61"/>
  <c r="I81" i="61"/>
  <c r="I91" i="61"/>
  <c r="I149" i="61"/>
  <c r="I74" i="61"/>
  <c r="I80" i="61"/>
  <c r="J85" i="61"/>
  <c r="J70" i="61"/>
  <c r="C27" i="18"/>
  <c r="C33" i="18"/>
  <c r="C25" i="18"/>
  <c r="H9" i="46"/>
  <c r="I4" i="53"/>
  <c r="G9" i="46"/>
  <c r="H4" i="53"/>
  <c r="I9" i="46"/>
  <c r="J4" i="53"/>
  <c r="I39" i="45"/>
  <c r="J39" i="45"/>
  <c r="I45" i="13"/>
  <c r="I95" i="13"/>
  <c r="G95" i="13"/>
  <c r="G45" i="13"/>
  <c r="H45" i="13"/>
  <c r="H95" i="13"/>
  <c r="H11" i="34"/>
  <c r="G11" i="34"/>
  <c r="G41" i="34"/>
  <c r="I11" i="34"/>
  <c r="H128" i="13"/>
  <c r="H19" i="18" s="1"/>
  <c r="H131" i="13"/>
  <c r="H22" i="18" s="1"/>
  <c r="H132" i="13"/>
  <c r="I128" i="13"/>
  <c r="I19" i="18" s="1"/>
  <c r="I130" i="13"/>
  <c r="H130" i="13"/>
  <c r="I126" i="13"/>
  <c r="I18" i="18" s="1"/>
  <c r="I125" i="13"/>
  <c r="H125" i="13"/>
  <c r="H126" i="13"/>
  <c r="H18" i="18" s="1"/>
  <c r="C21" i="38"/>
  <c r="I132" i="13"/>
  <c r="I23" i="18" s="1"/>
  <c r="C27" i="38"/>
  <c r="D27" i="38" s="1"/>
  <c r="I136" i="13"/>
  <c r="G136" i="13"/>
  <c r="G143" i="13" s="1"/>
  <c r="H136" i="13"/>
  <c r="I131" i="13"/>
  <c r="C34" i="67" l="1"/>
  <c r="H175" i="61"/>
  <c r="H179" i="61" s="1"/>
  <c r="G145" i="61"/>
  <c r="C43" i="38" s="1"/>
  <c r="J43" i="38" s="1"/>
  <c r="G144" i="13"/>
  <c r="D21" i="38"/>
  <c r="C113" i="67"/>
  <c r="I106" i="67"/>
  <c r="H103" i="67"/>
  <c r="C109" i="67"/>
  <c r="H102" i="67"/>
  <c r="H46" i="67"/>
  <c r="H105" i="67"/>
  <c r="I102" i="67"/>
  <c r="I46" i="67"/>
  <c r="I103" i="67"/>
  <c r="C108" i="67"/>
  <c r="H143" i="13"/>
  <c r="H144" i="13" s="1"/>
  <c r="I21" i="18"/>
  <c r="I143" i="13"/>
  <c r="I144" i="13" s="1"/>
  <c r="H31" i="34"/>
  <c r="H29" i="34"/>
  <c r="H27" i="34"/>
  <c r="H30" i="34"/>
  <c r="H28" i="34"/>
  <c r="I31" i="34"/>
  <c r="I29" i="34"/>
  <c r="I27" i="34"/>
  <c r="I30" i="34"/>
  <c r="I28" i="34"/>
  <c r="G30" i="34"/>
  <c r="G28" i="34"/>
  <c r="G31" i="34"/>
  <c r="G29" i="34"/>
  <c r="G27" i="34"/>
  <c r="E33" i="63"/>
  <c r="E31" i="63"/>
  <c r="E21" i="63"/>
  <c r="H86" i="46" s="1"/>
  <c r="E13" i="63"/>
  <c r="I44" i="62" s="1"/>
  <c r="F33" i="63"/>
  <c r="F31" i="63"/>
  <c r="F21" i="63"/>
  <c r="I86" i="46" s="1"/>
  <c r="F13" i="63"/>
  <c r="J44" i="62" s="1"/>
  <c r="G61" i="34"/>
  <c r="D33" i="63"/>
  <c r="D31" i="63"/>
  <c r="D21" i="63"/>
  <c r="G86" i="46" s="1"/>
  <c r="D13" i="63"/>
  <c r="H44" i="62" s="1"/>
  <c r="H19" i="34"/>
  <c r="H31" i="62"/>
  <c r="H33" i="62" s="1"/>
  <c r="I19" i="34"/>
  <c r="J19" i="34"/>
  <c r="H23" i="18"/>
  <c r="C132" i="13"/>
  <c r="H17" i="18"/>
  <c r="C125" i="13"/>
  <c r="G82" i="46"/>
  <c r="C136" i="13"/>
  <c r="C26" i="38"/>
  <c r="C131" i="13"/>
  <c r="C25" i="38"/>
  <c r="D25" i="38" s="1"/>
  <c r="C130" i="13"/>
  <c r="C22" i="38"/>
  <c r="D22" i="38" s="1"/>
  <c r="C126" i="13"/>
  <c r="C24" i="38"/>
  <c r="D24" i="38" s="1"/>
  <c r="C128" i="13"/>
  <c r="H9" i="18"/>
  <c r="H12" i="18" s="1"/>
  <c r="I9" i="18"/>
  <c r="I12" i="18" s="1"/>
  <c r="J181" i="61"/>
  <c r="I179" i="61"/>
  <c r="B9" i="63"/>
  <c r="I178" i="61"/>
  <c r="I31" i="62"/>
  <c r="I33" i="62" s="1"/>
  <c r="H61" i="34"/>
  <c r="H82" i="46"/>
  <c r="J31" i="62"/>
  <c r="J33" i="62" s="1"/>
  <c r="I61" i="34"/>
  <c r="I82" i="46"/>
  <c r="G153" i="61"/>
  <c r="G177" i="61"/>
  <c r="G179" i="61"/>
  <c r="G178" i="61"/>
  <c r="H153" i="61"/>
  <c r="I153" i="61"/>
  <c r="C31" i="38"/>
  <c r="D31" i="38" s="1"/>
  <c r="C32" i="38"/>
  <c r="D32" i="38" s="1"/>
  <c r="H32" i="18"/>
  <c r="H75" i="67" s="1"/>
  <c r="I32" i="18"/>
  <c r="I75" i="67" s="1"/>
  <c r="G9" i="18"/>
  <c r="D28" i="38"/>
  <c r="J9" i="53"/>
  <c r="I5" i="53"/>
  <c r="I6" i="53" s="1"/>
  <c r="J16" i="48"/>
  <c r="J32" i="48" s="1"/>
  <c r="F12" i="41"/>
  <c r="F28" i="41" s="1"/>
  <c r="H5" i="53"/>
  <c r="H6" i="53" s="1"/>
  <c r="I16" i="48"/>
  <c r="I32" i="48" s="1"/>
  <c r="E12" i="41"/>
  <c r="E28" i="41" s="1"/>
  <c r="J5" i="53"/>
  <c r="J6" i="53" s="1"/>
  <c r="K16" i="48"/>
  <c r="K32" i="48" s="1"/>
  <c r="G12" i="41"/>
  <c r="G28" i="41" s="1"/>
  <c r="G28" i="18"/>
  <c r="G71" i="67" s="1"/>
  <c r="H28" i="18"/>
  <c r="H71" i="67" s="1"/>
  <c r="G16" i="34"/>
  <c r="G19" i="18"/>
  <c r="G21" i="18"/>
  <c r="G32" i="18"/>
  <c r="G22" i="18"/>
  <c r="G23" i="18"/>
  <c r="G17" i="18"/>
  <c r="R36" i="38"/>
  <c r="E44" i="38"/>
  <c r="E45" i="38"/>
  <c r="H21" i="18"/>
  <c r="I28" i="18"/>
  <c r="I71" i="67" s="1"/>
  <c r="I16" i="34"/>
  <c r="I17" i="18"/>
  <c r="H16" i="34"/>
  <c r="J16" i="34"/>
  <c r="I22" i="18"/>
  <c r="I26" i="38" l="1"/>
  <c r="H26" i="38"/>
  <c r="L26" i="38"/>
  <c r="M26" i="38"/>
  <c r="M36" i="38" s="1"/>
  <c r="M109" i="38" s="1"/>
  <c r="O26" i="38"/>
  <c r="G26" i="38"/>
  <c r="Q26" i="38"/>
  <c r="K26" i="38"/>
  <c r="K36" i="38" s="1"/>
  <c r="K93" i="38" s="1"/>
  <c r="N26" i="38"/>
  <c r="N36" i="38" s="1"/>
  <c r="N112" i="38" s="1"/>
  <c r="P26" i="38"/>
  <c r="P36" i="38" s="1"/>
  <c r="P93" i="38" s="1"/>
  <c r="J26" i="38"/>
  <c r="J36" i="38" s="1"/>
  <c r="J122" i="38" s="1"/>
  <c r="I43" i="38"/>
  <c r="Q43" i="38"/>
  <c r="L43" i="38"/>
  <c r="K43" i="38"/>
  <c r="H43" i="38"/>
  <c r="G43" i="38"/>
  <c r="P43" i="38"/>
  <c r="O43" i="38"/>
  <c r="N43" i="38"/>
  <c r="M43" i="38"/>
  <c r="G43" i="34"/>
  <c r="G12" i="18"/>
  <c r="C9" i="18"/>
  <c r="G35" i="18"/>
  <c r="H177" i="61"/>
  <c r="H176" i="61"/>
  <c r="I176" i="61"/>
  <c r="I181" i="61" s="1"/>
  <c r="J184" i="61"/>
  <c r="J50" i="18" s="1"/>
  <c r="J182" i="61"/>
  <c r="H178" i="61"/>
  <c r="D10" i="63"/>
  <c r="D11" i="63" s="1"/>
  <c r="G36" i="18"/>
  <c r="G75" i="67"/>
  <c r="C32" i="18"/>
  <c r="I101" i="67"/>
  <c r="H104" i="67"/>
  <c r="G112" i="67"/>
  <c r="H112" i="67"/>
  <c r="I104" i="67"/>
  <c r="G101" i="67"/>
  <c r="G104" i="67"/>
  <c r="H110" i="67"/>
  <c r="H54" i="67"/>
  <c r="H101" i="67"/>
  <c r="I105" i="67"/>
  <c r="G106" i="67"/>
  <c r="G103" i="67"/>
  <c r="C103" i="67" s="1"/>
  <c r="G110" i="67"/>
  <c r="G54" i="67"/>
  <c r="I110" i="67"/>
  <c r="I54" i="67"/>
  <c r="G105" i="67"/>
  <c r="D18" i="18"/>
  <c r="G102" i="67"/>
  <c r="C102" i="67" s="1"/>
  <c r="G46" i="67"/>
  <c r="C46" i="67" s="1"/>
  <c r="I112" i="67"/>
  <c r="H106" i="67"/>
  <c r="D19" i="18"/>
  <c r="D61" i="34"/>
  <c r="B33" i="63"/>
  <c r="B31" i="63"/>
  <c r="B21" i="63"/>
  <c r="E86" i="46" s="1"/>
  <c r="B13" i="63"/>
  <c r="C31" i="62"/>
  <c r="D23" i="18"/>
  <c r="D28" i="18"/>
  <c r="D22" i="18"/>
  <c r="D21" i="18"/>
  <c r="D32" i="18"/>
  <c r="R93" i="38"/>
  <c r="R120" i="38"/>
  <c r="R121" i="38"/>
  <c r="R112" i="38"/>
  <c r="R108" i="38"/>
  <c r="R104" i="38"/>
  <c r="R102" i="38"/>
  <c r="R119" i="38"/>
  <c r="R117" i="38"/>
  <c r="R122" i="38"/>
  <c r="R115" i="38"/>
  <c r="R113" i="38"/>
  <c r="R111" i="38"/>
  <c r="R109" i="38"/>
  <c r="R107" i="38"/>
  <c r="R105" i="38"/>
  <c r="R103" i="38"/>
  <c r="R101" i="38"/>
  <c r="R118" i="38"/>
  <c r="R116" i="38"/>
  <c r="R114" i="38"/>
  <c r="R110" i="38"/>
  <c r="R106" i="38"/>
  <c r="D17" i="18"/>
  <c r="G28" i="63"/>
  <c r="C44" i="62"/>
  <c r="E82" i="46"/>
  <c r="K29" i="53"/>
  <c r="J15" i="53"/>
  <c r="K15" i="53" s="1"/>
  <c r="G181" i="61"/>
  <c r="G184" i="61" s="1"/>
  <c r="G50" i="18" s="1"/>
  <c r="G106" i="61"/>
  <c r="G45" i="61"/>
  <c r="M117" i="38"/>
  <c r="M116" i="38"/>
  <c r="M122" i="38"/>
  <c r="M114" i="38"/>
  <c r="M113" i="38"/>
  <c r="M110" i="38"/>
  <c r="M104" i="38"/>
  <c r="M120" i="38"/>
  <c r="M103" i="38"/>
  <c r="M102" i="38"/>
  <c r="M101" i="38"/>
  <c r="K111" i="38"/>
  <c r="K110" i="38"/>
  <c r="D45" i="38"/>
  <c r="C17" i="18"/>
  <c r="C28" i="18"/>
  <c r="C21" i="18"/>
  <c r="C22" i="18"/>
  <c r="C23" i="18"/>
  <c r="C19" i="18"/>
  <c r="C18" i="18"/>
  <c r="G146" i="13"/>
  <c r="G39" i="18" s="1"/>
  <c r="F13" i="45"/>
  <c r="C36" i="38"/>
  <c r="M91" i="38"/>
  <c r="M92" i="38"/>
  <c r="M94" i="38"/>
  <c r="M90" i="38"/>
  <c r="R90" i="38"/>
  <c r="R91" i="38"/>
  <c r="R92" i="38"/>
  <c r="R94" i="38"/>
  <c r="R89" i="38"/>
  <c r="M89" i="38"/>
  <c r="M84" i="38"/>
  <c r="M82" i="38"/>
  <c r="M81" i="38"/>
  <c r="M80" i="38"/>
  <c r="M79" i="38"/>
  <c r="K85" i="38"/>
  <c r="K84" i="38"/>
  <c r="R88" i="38"/>
  <c r="R87" i="38"/>
  <c r="R86" i="38"/>
  <c r="R85" i="38"/>
  <c r="R84" i="38"/>
  <c r="R83" i="38"/>
  <c r="R82" i="38"/>
  <c r="R81" i="38"/>
  <c r="R80" i="38"/>
  <c r="R79" i="38"/>
  <c r="H36" i="38"/>
  <c r="E48" i="38"/>
  <c r="N88" i="38" l="1"/>
  <c r="M105" i="38"/>
  <c r="M86" i="38"/>
  <c r="M108" i="38"/>
  <c r="M87" i="38"/>
  <c r="M111" i="38"/>
  <c r="M85" i="38"/>
  <c r="M88" i="38"/>
  <c r="M115" i="38"/>
  <c r="K115" i="38"/>
  <c r="K112" i="38"/>
  <c r="K81" i="38"/>
  <c r="N85" i="38"/>
  <c r="K82" i="38"/>
  <c r="N87" i="38"/>
  <c r="K83" i="38"/>
  <c r="M118" i="38"/>
  <c r="J110" i="38"/>
  <c r="K86" i="38"/>
  <c r="P86" i="38"/>
  <c r="J118" i="38"/>
  <c r="K87" i="38"/>
  <c r="P87" i="38"/>
  <c r="N101" i="38"/>
  <c r="M112" i="38"/>
  <c r="M93" i="38"/>
  <c r="J108" i="38"/>
  <c r="P85" i="38"/>
  <c r="P88" i="38"/>
  <c r="N113" i="38"/>
  <c r="K89" i="38"/>
  <c r="N122" i="38"/>
  <c r="P84" i="38"/>
  <c r="K108" i="38"/>
  <c r="N115" i="38"/>
  <c r="N89" i="38"/>
  <c r="M83" i="38"/>
  <c r="K109" i="38"/>
  <c r="P109" i="38"/>
  <c r="G70" i="67"/>
  <c r="G72" i="67"/>
  <c r="J93" i="38"/>
  <c r="J81" i="38"/>
  <c r="J90" i="38"/>
  <c r="K113" i="38"/>
  <c r="P103" i="38"/>
  <c r="K88" i="38"/>
  <c r="J87" i="38"/>
  <c r="P89" i="38"/>
  <c r="P92" i="38"/>
  <c r="K122" i="38"/>
  <c r="P115" i="38"/>
  <c r="M107" i="38"/>
  <c r="J88" i="38"/>
  <c r="P90" i="38"/>
  <c r="K120" i="38"/>
  <c r="P102" i="38"/>
  <c r="J92" i="38"/>
  <c r="P117" i="38"/>
  <c r="P94" i="38"/>
  <c r="P79" i="38"/>
  <c r="P91" i="38"/>
  <c r="K116" i="38"/>
  <c r="P104" i="38"/>
  <c r="J84" i="38"/>
  <c r="P111" i="38"/>
  <c r="P80" i="38"/>
  <c r="K94" i="38"/>
  <c r="K117" i="38"/>
  <c r="P108" i="38"/>
  <c r="P81" i="38"/>
  <c r="K92" i="38"/>
  <c r="J102" i="38"/>
  <c r="K103" i="38"/>
  <c r="P110" i="38"/>
  <c r="J80" i="38"/>
  <c r="K79" i="38"/>
  <c r="P82" i="38"/>
  <c r="K90" i="38"/>
  <c r="J104" i="38"/>
  <c r="K104" i="38"/>
  <c r="P112" i="38"/>
  <c r="K80" i="38"/>
  <c r="P83" i="38"/>
  <c r="K91" i="38"/>
  <c r="J105" i="38"/>
  <c r="K105" i="38"/>
  <c r="P118" i="38"/>
  <c r="N86" i="38"/>
  <c r="J103" i="38"/>
  <c r="J120" i="38"/>
  <c r="N114" i="38"/>
  <c r="J107" i="38"/>
  <c r="N102" i="38"/>
  <c r="N116" i="38"/>
  <c r="J109" i="38"/>
  <c r="N104" i="38"/>
  <c r="N118" i="38"/>
  <c r="N93" i="38"/>
  <c r="N80" i="38"/>
  <c r="J79" i="38"/>
  <c r="J112" i="38"/>
  <c r="N108" i="38"/>
  <c r="K114" i="38"/>
  <c r="P101" i="38"/>
  <c r="P114" i="38"/>
  <c r="N103" i="38"/>
  <c r="N117" i="38"/>
  <c r="Q36" i="38"/>
  <c r="Q85" i="38"/>
  <c r="N79" i="38"/>
  <c r="J83" i="38"/>
  <c r="J111" i="38"/>
  <c r="N107" i="38"/>
  <c r="N82" i="38"/>
  <c r="J82" i="38"/>
  <c r="N91" i="38"/>
  <c r="J113" i="38"/>
  <c r="N109" i="38"/>
  <c r="P105" i="38"/>
  <c r="P116" i="38"/>
  <c r="P107" i="38"/>
  <c r="N105" i="38"/>
  <c r="N120" i="38"/>
  <c r="N81" i="38"/>
  <c r="N94" i="38"/>
  <c r="J114" i="38"/>
  <c r="N83" i="38"/>
  <c r="J85" i="38"/>
  <c r="J91" i="38"/>
  <c r="N92" i="38"/>
  <c r="J117" i="38"/>
  <c r="J115" i="38"/>
  <c r="N111" i="38"/>
  <c r="K101" i="38"/>
  <c r="K118" i="38"/>
  <c r="P113" i="38"/>
  <c r="P120" i="38"/>
  <c r="J116" i="38"/>
  <c r="N110" i="38"/>
  <c r="N84" i="38"/>
  <c r="J86" i="38"/>
  <c r="J89" i="38"/>
  <c r="J94" i="38"/>
  <c r="N90" i="38"/>
  <c r="J101" i="38"/>
  <c r="K102" i="38"/>
  <c r="P122" i="38"/>
  <c r="K107" i="38"/>
  <c r="E43" i="38"/>
  <c r="D43" i="38" s="1"/>
  <c r="E26" i="38"/>
  <c r="D26" i="38" s="1"/>
  <c r="G36" i="38"/>
  <c r="G85" i="38" s="1"/>
  <c r="G199" i="61"/>
  <c r="H181" i="61"/>
  <c r="H184" i="61" s="1"/>
  <c r="I184" i="61"/>
  <c r="I50" i="18" s="1"/>
  <c r="I182" i="61"/>
  <c r="G182" i="61"/>
  <c r="D14" i="63"/>
  <c r="D15" i="63" s="1"/>
  <c r="H46" i="62" s="1"/>
  <c r="G83" i="46"/>
  <c r="D22" i="63"/>
  <c r="D23" i="63" s="1"/>
  <c r="G88" i="46" s="1"/>
  <c r="H35" i="62"/>
  <c r="G62" i="34"/>
  <c r="C105" i="67"/>
  <c r="C104" i="67"/>
  <c r="C54" i="67"/>
  <c r="C101" i="67"/>
  <c r="G115" i="67"/>
  <c r="J124" i="67"/>
  <c r="C110" i="67"/>
  <c r="C106" i="67"/>
  <c r="C112" i="67"/>
  <c r="G107" i="61"/>
  <c r="G34" i="63"/>
  <c r="G29" i="63"/>
  <c r="D24" i="18"/>
  <c r="C24" i="18"/>
  <c r="D28" i="63"/>
  <c r="D29" i="63" s="1"/>
  <c r="F28" i="63"/>
  <c r="F29" i="63" s="1"/>
  <c r="K35" i="53"/>
  <c r="K36" i="53" s="1"/>
  <c r="K37" i="53" s="1"/>
  <c r="K40" i="53" s="1"/>
  <c r="G63" i="34"/>
  <c r="G84" i="46"/>
  <c r="G46" i="61"/>
  <c r="G41" i="18"/>
  <c r="H93" i="38"/>
  <c r="H118" i="38"/>
  <c r="H117" i="38"/>
  <c r="H116" i="38"/>
  <c r="H120" i="38"/>
  <c r="H122" i="38"/>
  <c r="H115" i="38"/>
  <c r="H114" i="38"/>
  <c r="H113" i="38"/>
  <c r="H112" i="38"/>
  <c r="H111" i="38"/>
  <c r="H110" i="38"/>
  <c r="H109" i="38"/>
  <c r="H108" i="38"/>
  <c r="H107" i="38"/>
  <c r="H105" i="38"/>
  <c r="H104" i="38"/>
  <c r="H103" i="38"/>
  <c r="H102" i="38"/>
  <c r="H101" i="38"/>
  <c r="I36" i="38"/>
  <c r="D48" i="38"/>
  <c r="F39" i="45"/>
  <c r="C51" i="38" s="1"/>
  <c r="D51" i="38" s="1"/>
  <c r="G39" i="45"/>
  <c r="H90" i="38"/>
  <c r="H92" i="38"/>
  <c r="H94" i="38"/>
  <c r="H91" i="38"/>
  <c r="R95" i="38"/>
  <c r="H89" i="38"/>
  <c r="H88" i="38"/>
  <c r="H87" i="38"/>
  <c r="H86" i="38"/>
  <c r="H85" i="38"/>
  <c r="H84" i="38"/>
  <c r="H83" i="38"/>
  <c r="H82" i="38"/>
  <c r="H81" i="38"/>
  <c r="H80" i="38"/>
  <c r="H79" i="38"/>
  <c r="M95" i="38" l="1"/>
  <c r="N95" i="38"/>
  <c r="K95" i="38"/>
  <c r="P95" i="38"/>
  <c r="J95" i="38"/>
  <c r="Q111" i="38"/>
  <c r="Q115" i="38"/>
  <c r="Q108" i="38"/>
  <c r="Q87" i="38"/>
  <c r="Q79" i="38"/>
  <c r="Q117" i="38"/>
  <c r="Q80" i="38"/>
  <c r="Q88" i="38"/>
  <c r="Q122" i="38"/>
  <c r="Q118" i="38"/>
  <c r="Q110" i="38"/>
  <c r="Q90" i="38"/>
  <c r="Q116" i="38"/>
  <c r="Q92" i="38"/>
  <c r="Q103" i="38"/>
  <c r="Q91" i="38"/>
  <c r="Q84" i="38"/>
  <c r="Q83" i="38"/>
  <c r="Q109" i="38"/>
  <c r="Q120" i="38"/>
  <c r="Q104" i="38"/>
  <c r="Q94" i="38"/>
  <c r="Q102" i="38"/>
  <c r="Q105" i="38"/>
  <c r="Q82" i="38"/>
  <c r="Q113" i="38"/>
  <c r="Q81" i="38"/>
  <c r="Q93" i="38"/>
  <c r="Q86" i="38"/>
  <c r="Q114" i="38"/>
  <c r="Q89" i="38"/>
  <c r="Q112" i="38"/>
  <c r="Q101" i="38"/>
  <c r="Q107" i="38"/>
  <c r="G116" i="38"/>
  <c r="G94" i="38"/>
  <c r="G92" i="38"/>
  <c r="G111" i="38"/>
  <c r="G108" i="38"/>
  <c r="G88" i="38"/>
  <c r="G105" i="38"/>
  <c r="G87" i="38"/>
  <c r="G86" i="38"/>
  <c r="G110" i="38"/>
  <c r="G107" i="38"/>
  <c r="G104" i="38"/>
  <c r="G103" i="38"/>
  <c r="G102" i="38"/>
  <c r="G115" i="38"/>
  <c r="G109" i="38"/>
  <c r="G113" i="38"/>
  <c r="G91" i="38"/>
  <c r="G89" i="38"/>
  <c r="G101" i="38"/>
  <c r="G120" i="38"/>
  <c r="G114" i="38"/>
  <c r="G84" i="38"/>
  <c r="G83" i="38"/>
  <c r="G81" i="38"/>
  <c r="G118" i="38"/>
  <c r="G79" i="38"/>
  <c r="G93" i="38"/>
  <c r="G117" i="38"/>
  <c r="G90" i="38"/>
  <c r="G112" i="38"/>
  <c r="G122" i="38"/>
  <c r="G82" i="38"/>
  <c r="G80" i="38"/>
  <c r="C181" i="61"/>
  <c r="E28" i="63"/>
  <c r="E29" i="63" s="1"/>
  <c r="H182" i="61"/>
  <c r="H50" i="18"/>
  <c r="H124" i="67" s="1"/>
  <c r="C184" i="61"/>
  <c r="C44" i="38"/>
  <c r="D44" i="38" s="1"/>
  <c r="H45" i="62"/>
  <c r="G87" i="46"/>
  <c r="G78" i="67"/>
  <c r="G37" i="18"/>
  <c r="G63" i="67"/>
  <c r="G38" i="18"/>
  <c r="G40" i="18" s="1"/>
  <c r="G147" i="13"/>
  <c r="G148" i="13" s="1"/>
  <c r="I124" i="67"/>
  <c r="G89" i="67"/>
  <c r="G48" i="67"/>
  <c r="G58" i="67"/>
  <c r="G85" i="67"/>
  <c r="G88" i="67"/>
  <c r="G82" i="67"/>
  <c r="G81" i="67"/>
  <c r="G62" i="67"/>
  <c r="G65" i="67"/>
  <c r="G61" i="67"/>
  <c r="G64" i="67"/>
  <c r="G66" i="67"/>
  <c r="G60" i="67"/>
  <c r="G124" i="67"/>
  <c r="G87" i="67"/>
  <c r="G35" i="63"/>
  <c r="K38" i="53"/>
  <c r="K39" i="53"/>
  <c r="D34" i="63"/>
  <c r="D35" i="63" s="1"/>
  <c r="F34" i="63"/>
  <c r="F35" i="63" s="1"/>
  <c r="L36" i="38"/>
  <c r="L85" i="38" s="1"/>
  <c r="I117" i="38"/>
  <c r="I116" i="38"/>
  <c r="I120" i="38"/>
  <c r="I118" i="38"/>
  <c r="I93" i="38"/>
  <c r="I122" i="38"/>
  <c r="I115" i="38"/>
  <c r="I111" i="38"/>
  <c r="I107" i="38"/>
  <c r="I103" i="38"/>
  <c r="I113" i="38"/>
  <c r="I109" i="38"/>
  <c r="I105" i="38"/>
  <c r="I101" i="38"/>
  <c r="I112" i="38"/>
  <c r="I114" i="38"/>
  <c r="I110" i="38"/>
  <c r="I102" i="38"/>
  <c r="I108" i="38"/>
  <c r="I104" i="38"/>
  <c r="F10" i="18"/>
  <c r="K10" i="18"/>
  <c r="H39" i="45"/>
  <c r="D39" i="45" s="1"/>
  <c r="I92" i="38"/>
  <c r="I90" i="38"/>
  <c r="I91" i="38"/>
  <c r="I94" i="38"/>
  <c r="I89" i="38"/>
  <c r="H95" i="38"/>
  <c r="I88" i="38"/>
  <c r="I87" i="38"/>
  <c r="I86" i="38"/>
  <c r="I85" i="38"/>
  <c r="I84" i="38"/>
  <c r="I83" i="38"/>
  <c r="I82" i="38"/>
  <c r="I81" i="38"/>
  <c r="I80" i="38"/>
  <c r="I79" i="38"/>
  <c r="F36" i="38"/>
  <c r="Q95" i="38" l="1"/>
  <c r="G95" i="38"/>
  <c r="B28" i="63"/>
  <c r="B29" i="63" s="1"/>
  <c r="D50" i="18"/>
  <c r="E34" i="63"/>
  <c r="E35" i="63" s="1"/>
  <c r="G201" i="61"/>
  <c r="G203" i="61" s="1"/>
  <c r="G46" i="18" s="1"/>
  <c r="C46" i="38"/>
  <c r="D46" i="38" s="1"/>
  <c r="C124" i="67"/>
  <c r="D36" i="63"/>
  <c r="D37" i="63" s="1"/>
  <c r="F116" i="38"/>
  <c r="F120" i="38"/>
  <c r="F118" i="38"/>
  <c r="F117" i="38"/>
  <c r="L91" i="38"/>
  <c r="L118" i="38"/>
  <c r="L117" i="38"/>
  <c r="L116" i="38"/>
  <c r="L120" i="38"/>
  <c r="L81" i="38"/>
  <c r="L93" i="38"/>
  <c r="L112" i="38"/>
  <c r="L108" i="38"/>
  <c r="L104" i="38"/>
  <c r="L114" i="38"/>
  <c r="L102" i="38"/>
  <c r="L109" i="38"/>
  <c r="L105" i="38"/>
  <c r="L122" i="38"/>
  <c r="L115" i="38"/>
  <c r="L111" i="38"/>
  <c r="L107" i="38"/>
  <c r="L103" i="38"/>
  <c r="L110" i="38"/>
  <c r="L101" i="38"/>
  <c r="L113" i="38"/>
  <c r="L82" i="38"/>
  <c r="L86" i="38"/>
  <c r="L89" i="38"/>
  <c r="L94" i="38"/>
  <c r="F93" i="38"/>
  <c r="F114" i="38"/>
  <c r="F110" i="38"/>
  <c r="F102" i="38"/>
  <c r="F112" i="38"/>
  <c r="F108" i="38"/>
  <c r="F104" i="38"/>
  <c r="F115" i="38"/>
  <c r="F113" i="38"/>
  <c r="F109" i="38"/>
  <c r="F105" i="38"/>
  <c r="F101" i="38"/>
  <c r="F122" i="38"/>
  <c r="F107" i="38"/>
  <c r="F111" i="38"/>
  <c r="F103" i="38"/>
  <c r="L79" i="38"/>
  <c r="L83" i="38"/>
  <c r="L87" i="38"/>
  <c r="L92" i="38"/>
  <c r="L80" i="38"/>
  <c r="L84" i="38"/>
  <c r="L88" i="38"/>
  <c r="L90" i="38"/>
  <c r="L10" i="18"/>
  <c r="C50" i="18"/>
  <c r="F90" i="38"/>
  <c r="F94" i="38"/>
  <c r="F91" i="38"/>
  <c r="F92" i="38"/>
  <c r="F89" i="38"/>
  <c r="I95" i="38"/>
  <c r="F37" i="38"/>
  <c r="F88" i="38"/>
  <c r="F87" i="38"/>
  <c r="F86" i="38"/>
  <c r="F85" i="38"/>
  <c r="F84" i="38"/>
  <c r="F83" i="38"/>
  <c r="F81" i="38"/>
  <c r="F80" i="38"/>
  <c r="F82" i="38"/>
  <c r="F79" i="38"/>
  <c r="E41" i="38"/>
  <c r="B34" i="63" l="1"/>
  <c r="B35" i="63" s="1"/>
  <c r="G120" i="67"/>
  <c r="D16" i="63"/>
  <c r="G47" i="61" s="1"/>
  <c r="G83" i="67"/>
  <c r="G37" i="38"/>
  <c r="E19" i="38"/>
  <c r="D19" i="38" s="1"/>
  <c r="L95" i="38"/>
  <c r="E20" i="38"/>
  <c r="D20" i="38" s="1"/>
  <c r="O36" i="38"/>
  <c r="D41" i="38"/>
  <c r="F95" i="38"/>
  <c r="D18" i="63" l="1"/>
  <c r="D19" i="63" s="1"/>
  <c r="G50" i="61" s="1"/>
  <c r="D17" i="63"/>
  <c r="G48" i="61" s="1"/>
  <c r="H37" i="38"/>
  <c r="O120" i="38"/>
  <c r="O118" i="38"/>
  <c r="O117" i="38"/>
  <c r="O116" i="38"/>
  <c r="O93" i="38"/>
  <c r="O113" i="38"/>
  <c r="O109" i="38"/>
  <c r="O105" i="38"/>
  <c r="O101" i="38"/>
  <c r="O102" i="38"/>
  <c r="O112" i="38"/>
  <c r="O108" i="38"/>
  <c r="O104" i="38"/>
  <c r="O115" i="38"/>
  <c r="O111" i="38"/>
  <c r="O107" i="38"/>
  <c r="O103" i="38"/>
  <c r="O114" i="38"/>
  <c r="O110" i="38"/>
  <c r="O122" i="38"/>
  <c r="O92" i="38"/>
  <c r="O86" i="38"/>
  <c r="O82" i="38"/>
  <c r="O91" i="38"/>
  <c r="O83" i="38"/>
  <c r="O90" i="38"/>
  <c r="O85" i="38"/>
  <c r="O81" i="38"/>
  <c r="O94" i="38"/>
  <c r="O88" i="38"/>
  <c r="O84" i="38"/>
  <c r="O89" i="38"/>
  <c r="O87" i="38"/>
  <c r="O79" i="38"/>
  <c r="O80" i="38"/>
  <c r="E36" i="38"/>
  <c r="E125" i="38" s="1"/>
  <c r="I10" i="18"/>
  <c r="H10" i="18"/>
  <c r="R53" i="38"/>
  <c r="R55" i="38" s="1"/>
  <c r="R67" i="38" s="1"/>
  <c r="G49" i="61" l="1"/>
  <c r="F96" i="38"/>
  <c r="F38" i="38"/>
  <c r="G38" i="38"/>
  <c r="G96" i="38"/>
  <c r="I37" i="38"/>
  <c r="H96" i="38"/>
  <c r="H38" i="38"/>
  <c r="O95" i="38"/>
  <c r="E116" i="38"/>
  <c r="E120" i="38"/>
  <c r="E118" i="38"/>
  <c r="E117" i="38"/>
  <c r="E89" i="38"/>
  <c r="E103" i="38"/>
  <c r="E105" i="38"/>
  <c r="E104" i="38"/>
  <c r="E108" i="38"/>
  <c r="E107" i="38"/>
  <c r="E111" i="38"/>
  <c r="E114" i="38"/>
  <c r="E115" i="38"/>
  <c r="E109" i="38"/>
  <c r="E110" i="38"/>
  <c r="E112" i="38"/>
  <c r="E86" i="38"/>
  <c r="E85" i="38"/>
  <c r="E79" i="38"/>
  <c r="E91" i="38"/>
  <c r="E113" i="38"/>
  <c r="E101" i="38"/>
  <c r="E82" i="38"/>
  <c r="E88" i="38"/>
  <c r="D36" i="38"/>
  <c r="D37" i="38" s="1"/>
  <c r="E92" i="38"/>
  <c r="E90" i="38"/>
  <c r="E94" i="38"/>
  <c r="E93" i="38"/>
  <c r="E84" i="38"/>
  <c r="E87" i="38"/>
  <c r="E81" i="38"/>
  <c r="E83" i="38"/>
  <c r="E80" i="38"/>
  <c r="J10" i="18"/>
  <c r="R54" i="38"/>
  <c r="E102" i="38"/>
  <c r="J37" i="38" l="1"/>
  <c r="I96" i="38"/>
  <c r="I38" i="38"/>
  <c r="E95" i="38"/>
  <c r="F68" i="38" l="1"/>
  <c r="K37" i="38"/>
  <c r="J96" i="38"/>
  <c r="J38" i="38"/>
  <c r="E129" i="38"/>
  <c r="L37" i="38" l="1"/>
  <c r="K96" i="38"/>
  <c r="K38" i="38"/>
  <c r="M37" i="38" l="1"/>
  <c r="L96" i="38"/>
  <c r="L38" i="38"/>
  <c r="N37" i="38" l="1"/>
  <c r="M96" i="38"/>
  <c r="M38" i="38"/>
  <c r="N96" i="38" l="1"/>
  <c r="N38" i="38"/>
  <c r="O37" i="38"/>
  <c r="Q37" i="38" s="1"/>
  <c r="Q38" i="38" l="1"/>
  <c r="Q96" i="38"/>
  <c r="P37" i="38"/>
  <c r="O96" i="38"/>
  <c r="O38" i="38"/>
  <c r="R37" i="38" l="1"/>
  <c r="P96" i="38"/>
  <c r="P38" i="38"/>
  <c r="R96" i="38" l="1"/>
  <c r="R38" i="38"/>
  <c r="L47" i="18" l="1"/>
  <c r="I47" i="18"/>
  <c r="J47" i="18"/>
  <c r="K47" i="18"/>
  <c r="G47" i="18"/>
  <c r="H47" i="18"/>
  <c r="K121" i="67" l="1"/>
  <c r="H121" i="67"/>
  <c r="I121" i="67"/>
  <c r="J121" i="67"/>
  <c r="G84" i="67"/>
  <c r="G121" i="67"/>
  <c r="L121" i="67"/>
  <c r="D47" i="18"/>
  <c r="C47" i="18"/>
  <c r="C121" i="67" l="1"/>
  <c r="G10" i="18"/>
  <c r="C10" i="18" s="1"/>
  <c r="H43" i="34"/>
  <c r="E24" i="63" s="1"/>
  <c r="L43" i="34"/>
  <c r="I24" i="63" s="1"/>
  <c r="I43" i="34"/>
  <c r="F24" i="63" s="1"/>
  <c r="J43" i="34"/>
  <c r="G24" i="63" s="1"/>
  <c r="K43" i="34"/>
  <c r="H24" i="63" s="1"/>
  <c r="K64" i="34" l="1"/>
  <c r="H25" i="63"/>
  <c r="K65" i="34" s="1"/>
  <c r="J64" i="34"/>
  <c r="G25" i="63"/>
  <c r="J65" i="34" s="1"/>
  <c r="I64" i="34"/>
  <c r="F25" i="63"/>
  <c r="I65" i="34" s="1"/>
  <c r="L64" i="34"/>
  <c r="I25" i="63"/>
  <c r="L65" i="34" s="1"/>
  <c r="H64" i="34"/>
  <c r="E25" i="63"/>
  <c r="H65" i="34" s="1"/>
  <c r="C50" i="38"/>
  <c r="D24" i="63"/>
  <c r="C42" i="38"/>
  <c r="F42" i="38" s="1"/>
  <c r="F106" i="38" s="1"/>
  <c r="N50" i="38" l="1"/>
  <c r="J50" i="38"/>
  <c r="M50" i="38"/>
  <c r="O50" i="38"/>
  <c r="H50" i="38"/>
  <c r="K50" i="38"/>
  <c r="L50" i="38"/>
  <c r="P50" i="38"/>
  <c r="F50" i="38"/>
  <c r="G50" i="38"/>
  <c r="I50" i="38"/>
  <c r="Q50" i="38"/>
  <c r="P42" i="38"/>
  <c r="Q42" i="38"/>
  <c r="I42" i="38"/>
  <c r="M42" i="38"/>
  <c r="O42" i="38"/>
  <c r="G42" i="38"/>
  <c r="K42" i="38"/>
  <c r="L42" i="38"/>
  <c r="H42" i="38"/>
  <c r="J42" i="38"/>
  <c r="N42" i="38"/>
  <c r="G64" i="34"/>
  <c r="D25" i="63"/>
  <c r="G65" i="34" s="1"/>
  <c r="B24" i="63"/>
  <c r="B25" i="63" s="1"/>
  <c r="D26" i="63"/>
  <c r="D27" i="63" s="1"/>
  <c r="D38" i="63"/>
  <c r="D39" i="63" s="1"/>
  <c r="G49" i="18"/>
  <c r="H49" i="18"/>
  <c r="K119" i="38" l="1"/>
  <c r="K121" i="38"/>
  <c r="E50" i="38"/>
  <c r="D50" i="38" s="1"/>
  <c r="F121" i="38"/>
  <c r="F119" i="38"/>
  <c r="F53" i="38"/>
  <c r="Q119" i="38"/>
  <c r="Q121" i="38"/>
  <c r="N106" i="38"/>
  <c r="N53" i="38"/>
  <c r="H106" i="38"/>
  <c r="H53" i="38"/>
  <c r="L121" i="38"/>
  <c r="L119" i="38"/>
  <c r="O119" i="38"/>
  <c r="O121" i="38"/>
  <c r="I119" i="38"/>
  <c r="I121" i="38"/>
  <c r="L106" i="38"/>
  <c r="L53" i="38"/>
  <c r="M119" i="38"/>
  <c r="M121" i="38"/>
  <c r="P106" i="38"/>
  <c r="P53" i="38"/>
  <c r="G119" i="38"/>
  <c r="G121" i="38"/>
  <c r="J106" i="38"/>
  <c r="J53" i="38"/>
  <c r="P119" i="38"/>
  <c r="P121" i="38"/>
  <c r="K106" i="38"/>
  <c r="K53" i="38"/>
  <c r="E42" i="38"/>
  <c r="G106" i="38"/>
  <c r="G53" i="38"/>
  <c r="H119" i="38"/>
  <c r="H121" i="38"/>
  <c r="O53" i="38"/>
  <c r="O106" i="38"/>
  <c r="M106" i="38"/>
  <c r="M53" i="38"/>
  <c r="I106" i="38"/>
  <c r="I53" i="38"/>
  <c r="J119" i="38"/>
  <c r="J121" i="38"/>
  <c r="Q106" i="38"/>
  <c r="Q53" i="38"/>
  <c r="N121" i="38"/>
  <c r="N119" i="38"/>
  <c r="G53" i="18"/>
  <c r="G54" i="18" s="1"/>
  <c r="H123" i="67"/>
  <c r="G123" i="67"/>
  <c r="G86" i="67"/>
  <c r="F14" i="45"/>
  <c r="D64" i="34"/>
  <c r="D65" i="34"/>
  <c r="H47" i="62"/>
  <c r="G51" i="61"/>
  <c r="G89" i="46"/>
  <c r="G68" i="34"/>
  <c r="G67" i="34"/>
  <c r="G66" i="34"/>
  <c r="C53" i="38"/>
  <c r="C55" i="38" s="1"/>
  <c r="I49" i="18"/>
  <c r="O55" i="38" l="1"/>
  <c r="O67" i="38" s="1"/>
  <c r="O54" i="38"/>
  <c r="H55" i="38"/>
  <c r="H67" i="38" s="1"/>
  <c r="H54" i="38"/>
  <c r="N55" i="38"/>
  <c r="N67" i="38" s="1"/>
  <c r="N54" i="38"/>
  <c r="F55" i="38"/>
  <c r="F56" i="38" s="1"/>
  <c r="F58" i="38"/>
  <c r="F54" i="38"/>
  <c r="K55" i="38"/>
  <c r="K67" i="38" s="1"/>
  <c r="K54" i="38"/>
  <c r="J55" i="38"/>
  <c r="J67" i="38" s="1"/>
  <c r="J54" i="38"/>
  <c r="M55" i="38"/>
  <c r="M67" i="38" s="1"/>
  <c r="M54" i="38"/>
  <c r="E121" i="38"/>
  <c r="E119" i="38"/>
  <c r="G55" i="38"/>
  <c r="G67" i="38" s="1"/>
  <c r="G54" i="38"/>
  <c r="Q55" i="38"/>
  <c r="Q67" i="38" s="1"/>
  <c r="Q54" i="38"/>
  <c r="P55" i="38"/>
  <c r="P67" i="38" s="1"/>
  <c r="P54" i="38"/>
  <c r="L55" i="38"/>
  <c r="L67" i="38" s="1"/>
  <c r="L54" i="38"/>
  <c r="E106" i="38"/>
  <c r="E53" i="38"/>
  <c r="D42" i="38"/>
  <c r="D53" i="38" s="1"/>
  <c r="D55" i="38" s="1"/>
  <c r="I55" i="38"/>
  <c r="I67" i="38" s="1"/>
  <c r="I54" i="38"/>
  <c r="G57" i="18"/>
  <c r="G56" i="18"/>
  <c r="G55" i="18"/>
  <c r="I123" i="67"/>
  <c r="G127" i="67"/>
  <c r="G90" i="67"/>
  <c r="G49" i="67"/>
  <c r="C54" i="38"/>
  <c r="G69" i="34"/>
  <c r="G52" i="61"/>
  <c r="G90" i="46"/>
  <c r="H48" i="62"/>
  <c r="J49" i="18"/>
  <c r="E55" i="38" l="1"/>
  <c r="G56" i="38"/>
  <c r="H56" i="38" s="1"/>
  <c r="I56" i="38" s="1"/>
  <c r="J56" i="38" s="1"/>
  <c r="K56" i="38" s="1"/>
  <c r="L56" i="38" s="1"/>
  <c r="M56" i="38" s="1"/>
  <c r="N56" i="38" s="1"/>
  <c r="O56" i="38" s="1"/>
  <c r="P56" i="38" s="1"/>
  <c r="Q56" i="38" s="1"/>
  <c r="R56" i="38" s="1"/>
  <c r="E67" i="38"/>
  <c r="F70" i="38"/>
  <c r="E54" i="38"/>
  <c r="G58" i="38"/>
  <c r="F59" i="38"/>
  <c r="F60" i="38" s="1"/>
  <c r="G60" i="18"/>
  <c r="G91" i="18" s="1"/>
  <c r="G95" i="18" s="1"/>
  <c r="G129" i="67"/>
  <c r="G130" i="67" s="1"/>
  <c r="G50" i="67"/>
  <c r="J123" i="67"/>
  <c r="C43" i="34"/>
  <c r="K49" i="18"/>
  <c r="L49" i="18"/>
  <c r="G116" i="18" l="1"/>
  <c r="F72" i="38"/>
  <c r="F71" i="38"/>
  <c r="G59" i="38"/>
  <c r="G60" i="38" s="1"/>
  <c r="H58" i="38"/>
  <c r="G86" i="18"/>
  <c r="G61" i="18"/>
  <c r="G92" i="67" s="1"/>
  <c r="G16" i="67"/>
  <c r="G17" i="67" s="1"/>
  <c r="G91" i="67"/>
  <c r="G69" i="18"/>
  <c r="K123" i="67"/>
  <c r="G131" i="67"/>
  <c r="L123" i="67"/>
  <c r="D49" i="18"/>
  <c r="C49" i="18"/>
  <c r="G87" i="18" l="1"/>
  <c r="G115" i="18" a="1"/>
  <c r="G115" i="18" s="1"/>
  <c r="F125" i="38"/>
  <c r="F129" i="38" s="1"/>
  <c r="G127" i="38" s="1"/>
  <c r="G66" i="38"/>
  <c r="H59" i="38"/>
  <c r="H60" i="38" s="1"/>
  <c r="I58" i="38"/>
  <c r="C123" i="67"/>
  <c r="C44" i="18"/>
  <c r="G99" i="18" l="1"/>
  <c r="G103" i="18" s="1"/>
  <c r="G84" i="18"/>
  <c r="I59" i="38"/>
  <c r="I60" i="38" s="1"/>
  <c r="J58" i="38"/>
  <c r="G68" i="38"/>
  <c r="G69" i="38"/>
  <c r="F57" i="18"/>
  <c r="F56" i="18"/>
  <c r="F90" i="67"/>
  <c r="F55" i="18"/>
  <c r="G111" i="18" l="1"/>
  <c r="G112" i="18" s="1"/>
  <c r="G113" i="18" s="1"/>
  <c r="G118" i="18"/>
  <c r="G70" i="38"/>
  <c r="G72" i="38" s="1"/>
  <c r="G74" i="38" s="1"/>
  <c r="J59" i="38"/>
  <c r="J60" i="38" s="1"/>
  <c r="K58" i="38"/>
  <c r="F60" i="18"/>
  <c r="F91" i="18" s="1"/>
  <c r="F95" i="18" l="1"/>
  <c r="F103" i="18" s="1"/>
  <c r="K59" i="38"/>
  <c r="K60" i="38" s="1"/>
  <c r="L58" i="38"/>
  <c r="G71" i="38"/>
  <c r="F18" i="67"/>
  <c r="G18" i="67" s="1"/>
  <c r="F91" i="67"/>
  <c r="F69" i="18"/>
  <c r="F73" i="18" s="1"/>
  <c r="F74" i="18" s="1"/>
  <c r="F78" i="18"/>
  <c r="F79" i="18" s="1"/>
  <c r="F75" i="18"/>
  <c r="F86" i="18"/>
  <c r="F84" i="18"/>
  <c r="F62" i="18"/>
  <c r="G62" i="18" s="1"/>
  <c r="F115" i="18" a="1"/>
  <c r="F115" i="18" s="1"/>
  <c r="F116" i="18" l="1"/>
  <c r="G119" i="18"/>
  <c r="F111" i="18"/>
  <c r="F118" i="18"/>
  <c r="G125" i="38"/>
  <c r="G129" i="38" s="1"/>
  <c r="H127" i="38" s="1"/>
  <c r="H66" i="38"/>
  <c r="L59" i="38"/>
  <c r="L60" i="38" s="1"/>
  <c r="M58" i="38"/>
  <c r="F94" i="67"/>
  <c r="F76" i="18"/>
  <c r="G68" i="18" s="1"/>
  <c r="G70" i="18" s="1"/>
  <c r="F71" i="18"/>
  <c r="F112" i="18"/>
  <c r="F113" i="18" s="1"/>
  <c r="G114" i="18"/>
  <c r="G94" i="67"/>
  <c r="G19" i="67"/>
  <c r="M59" i="38" l="1"/>
  <c r="M60" i="38" s="1"/>
  <c r="N58" i="38"/>
  <c r="H69" i="38"/>
  <c r="H68" i="38"/>
  <c r="G73" i="18"/>
  <c r="G74" i="18" s="1"/>
  <c r="G71" i="18"/>
  <c r="F324" i="35"/>
  <c r="H70" i="38" l="1"/>
  <c r="H71" i="38" s="1"/>
  <c r="N59" i="38"/>
  <c r="N60" i="38" s="1"/>
  <c r="O58" i="38"/>
  <c r="G75" i="18"/>
  <c r="G78" i="18" s="1"/>
  <c r="G79" i="18" s="1"/>
  <c r="F265" i="35"/>
  <c r="H72" i="38" l="1"/>
  <c r="H74" i="38" s="1"/>
  <c r="O59" i="38"/>
  <c r="O60" i="38" s="1"/>
  <c r="P58" i="38"/>
  <c r="I66" i="38"/>
  <c r="G76" i="18"/>
  <c r="H68" i="18" s="1"/>
  <c r="H70" i="18" s="1"/>
  <c r="F239" i="35"/>
  <c r="F323" i="35"/>
  <c r="I265" i="35"/>
  <c r="I324" i="35"/>
  <c r="H265" i="35"/>
  <c r="H324" i="35"/>
  <c r="G265" i="35"/>
  <c r="G324" i="35"/>
  <c r="H125" i="38" l="1"/>
  <c r="I69" i="38"/>
  <c r="I68" i="38"/>
  <c r="Q58" i="38"/>
  <c r="P59" i="38"/>
  <c r="P60" i="38" s="1"/>
  <c r="J265" i="35"/>
  <c r="F331" i="35"/>
  <c r="F308" i="35" s="1"/>
  <c r="F240" i="35"/>
  <c r="I323" i="35"/>
  <c r="I239" i="35"/>
  <c r="G323" i="35"/>
  <c r="G239" i="35"/>
  <c r="J323" i="35"/>
  <c r="F327" i="35"/>
  <c r="J327" i="35" s="1"/>
  <c r="F310" i="35"/>
  <c r="H323" i="35"/>
  <c r="H239" i="35"/>
  <c r="J324" i="35"/>
  <c r="I70" i="38" l="1"/>
  <c r="I71" i="38" s="1"/>
  <c r="R58" i="38"/>
  <c r="R59" i="38" s="1"/>
  <c r="R60" i="38" s="1"/>
  <c r="Q59" i="38"/>
  <c r="Q60" i="38" s="1"/>
  <c r="F332" i="35"/>
  <c r="F242" i="35"/>
  <c r="F334" i="35" s="1"/>
  <c r="I331" i="35"/>
  <c r="I308" i="35" s="1"/>
  <c r="I240" i="35"/>
  <c r="H331" i="35"/>
  <c r="H308" i="35" s="1"/>
  <c r="H240" i="35"/>
  <c r="G331" i="35"/>
  <c r="G240" i="35"/>
  <c r="J239" i="35"/>
  <c r="G310" i="35"/>
  <c r="G327" i="35"/>
  <c r="H310" i="35"/>
  <c r="H327" i="35"/>
  <c r="I310" i="35"/>
  <c r="I327" i="35"/>
  <c r="I72" i="38" l="1"/>
  <c r="I74" i="38" s="1"/>
  <c r="J66" i="38"/>
  <c r="J331" i="35"/>
  <c r="G308" i="35"/>
  <c r="J308" i="35" s="1"/>
  <c r="G242" i="35"/>
  <c r="G334" i="35" s="1"/>
  <c r="G311" i="35" s="1"/>
  <c r="G332" i="35"/>
  <c r="G309" i="35" s="1"/>
  <c r="F311" i="35"/>
  <c r="H332" i="35"/>
  <c r="H242" i="35"/>
  <c r="H334" i="35" s="1"/>
  <c r="H311" i="35" s="1"/>
  <c r="J240" i="35"/>
  <c r="J242" i="35" s="1"/>
  <c r="I332" i="35"/>
  <c r="I242" i="35"/>
  <c r="I334" i="35" s="1"/>
  <c r="I311" i="35" s="1"/>
  <c r="F309" i="35"/>
  <c r="F337" i="35"/>
  <c r="F339" i="35" s="1"/>
  <c r="I125" i="38" l="1"/>
  <c r="J69" i="38"/>
  <c r="J68" i="38"/>
  <c r="G314" i="35"/>
  <c r="G316" i="35" s="1"/>
  <c r="J332" i="35"/>
  <c r="G337" i="35"/>
  <c r="G339" i="35" s="1"/>
  <c r="F314" i="35"/>
  <c r="F316" i="35" s="1"/>
  <c r="H309" i="35"/>
  <c r="H314" i="35" s="1"/>
  <c r="H316" i="35" s="1"/>
  <c r="H337" i="35"/>
  <c r="H339" i="35" s="1"/>
  <c r="I309" i="35"/>
  <c r="I314" i="35" s="1"/>
  <c r="I316" i="35" s="1"/>
  <c r="I337" i="35"/>
  <c r="I339" i="35" s="1"/>
  <c r="J334" i="35"/>
  <c r="J311" i="35"/>
  <c r="J70" i="38" l="1"/>
  <c r="J71" i="38" s="1"/>
  <c r="J309" i="35"/>
  <c r="J72" i="38" l="1"/>
  <c r="J74" i="38" s="1"/>
  <c r="K66" i="38"/>
  <c r="J125" i="38" l="1"/>
  <c r="K69" i="38"/>
  <c r="K68" i="38"/>
  <c r="H129" i="38"/>
  <c r="I127" i="38" s="1"/>
  <c r="I129" i="38" s="1"/>
  <c r="J127" i="38" s="1"/>
  <c r="J129" i="38" l="1"/>
  <c r="K127" i="38" s="1"/>
  <c r="K70" i="38"/>
  <c r="K72" i="38" s="1"/>
  <c r="K74" i="38" s="1"/>
  <c r="K71" i="38" l="1"/>
  <c r="L66" i="38" l="1"/>
  <c r="K125" i="38"/>
  <c r="K129" i="38" s="1"/>
  <c r="L127" i="38" s="1"/>
  <c r="L69" i="38" l="1"/>
  <c r="L68" i="38"/>
  <c r="L70" i="38" l="1"/>
  <c r="L72" i="38" s="1"/>
  <c r="L74" i="38" s="1"/>
  <c r="L71" i="38" l="1"/>
  <c r="L125" i="38" l="1"/>
  <c r="L129" i="38" s="1"/>
  <c r="M127" i="38" s="1"/>
  <c r="M66" i="38"/>
  <c r="M69" i="38" l="1"/>
  <c r="M68" i="38"/>
  <c r="H69" i="13"/>
  <c r="M70" i="38" l="1"/>
  <c r="M71" i="38" s="1"/>
  <c r="I85" i="13"/>
  <c r="H29" i="67"/>
  <c r="H85" i="13"/>
  <c r="I69" i="13"/>
  <c r="L69" i="13"/>
  <c r="L29" i="67" s="1"/>
  <c r="L30" i="67" s="1"/>
  <c r="K69" i="13"/>
  <c r="J69" i="13"/>
  <c r="H86" i="13"/>
  <c r="N66" i="38" l="1"/>
  <c r="M72" i="38"/>
  <c r="M74" i="38" s="1"/>
  <c r="L85" i="13"/>
  <c r="K29" i="67"/>
  <c r="K30" i="67" s="1"/>
  <c r="K85" i="13"/>
  <c r="J29" i="67"/>
  <c r="J30" i="67" s="1"/>
  <c r="J85" i="13"/>
  <c r="I29" i="67"/>
  <c r="I30" i="67" s="1"/>
  <c r="H30" i="67"/>
  <c r="K70" i="13"/>
  <c r="L86" i="13" s="1"/>
  <c r="H70" i="13"/>
  <c r="I86" i="13" s="1"/>
  <c r="I70" i="13"/>
  <c r="J86" i="13" s="1"/>
  <c r="L70" i="13"/>
  <c r="J70" i="13"/>
  <c r="K86" i="13" s="1"/>
  <c r="H71" i="13"/>
  <c r="M125" i="38" l="1"/>
  <c r="M129" i="38" s="1"/>
  <c r="N127" i="38" s="1"/>
  <c r="N68" i="38"/>
  <c r="N69" i="38"/>
  <c r="C30" i="67"/>
  <c r="C29" i="67"/>
  <c r="H74" i="13"/>
  <c r="I87" i="13"/>
  <c r="I115" i="13" s="1"/>
  <c r="H72" i="13"/>
  <c r="H76" i="13" s="1"/>
  <c r="I71" i="13"/>
  <c r="J71" i="13"/>
  <c r="K71" i="13"/>
  <c r="L71" i="13"/>
  <c r="L74" i="13" s="1"/>
  <c r="N70" i="38" l="1"/>
  <c r="G74" i="13"/>
  <c r="H87" i="13"/>
  <c r="J74" i="13"/>
  <c r="K87" i="13"/>
  <c r="I74" i="13"/>
  <c r="J87" i="13"/>
  <c r="K74" i="13"/>
  <c r="L87" i="13"/>
  <c r="H73" i="13"/>
  <c r="H75" i="13" s="1"/>
  <c r="J72" i="13"/>
  <c r="J76" i="13" s="1"/>
  <c r="K72" i="13"/>
  <c r="K76" i="13" s="1"/>
  <c r="I72" i="13"/>
  <c r="I76" i="13" s="1"/>
  <c r="L72" i="13"/>
  <c r="L76" i="13" s="1"/>
  <c r="G72" i="13"/>
  <c r="G76" i="13" s="1"/>
  <c r="N71" i="38" l="1"/>
  <c r="O66" i="38" s="1"/>
  <c r="N72" i="38"/>
  <c r="I118" i="13"/>
  <c r="I64" i="18" s="1"/>
  <c r="I120" i="13"/>
  <c r="L115" i="13"/>
  <c r="L120" i="13"/>
  <c r="K115" i="13"/>
  <c r="K120" i="13"/>
  <c r="H115" i="13"/>
  <c r="J115" i="13"/>
  <c r="J120" i="13"/>
  <c r="G73" i="13"/>
  <c r="G75" i="13" s="1"/>
  <c r="J73" i="13"/>
  <c r="J75" i="13" s="1"/>
  <c r="K73" i="13"/>
  <c r="K75" i="13" s="1"/>
  <c r="L73" i="13"/>
  <c r="L75" i="13" s="1"/>
  <c r="I73" i="13"/>
  <c r="I75" i="13" s="1"/>
  <c r="N125" i="38" l="1"/>
  <c r="N129" i="38" s="1"/>
  <c r="O127" i="38" s="1"/>
  <c r="N74" i="38"/>
  <c r="O68" i="38"/>
  <c r="O69" i="38"/>
  <c r="I119" i="13"/>
  <c r="I15" i="18" s="1"/>
  <c r="H120" i="13"/>
  <c r="H118" i="13"/>
  <c r="I16" i="18"/>
  <c r="I59" i="67" s="1"/>
  <c r="J118" i="13"/>
  <c r="L118" i="13"/>
  <c r="K118" i="13"/>
  <c r="I93" i="67" l="1"/>
  <c r="I97" i="18"/>
  <c r="O70" i="38"/>
  <c r="O71" i="38" s="1"/>
  <c r="I75" i="61"/>
  <c r="K119" i="13"/>
  <c r="K15" i="18" s="1"/>
  <c r="K64" i="18"/>
  <c r="J119" i="13"/>
  <c r="J15" i="18" s="1"/>
  <c r="J64" i="18"/>
  <c r="L119" i="13"/>
  <c r="L15" i="18" s="1"/>
  <c r="L64" i="18"/>
  <c r="H119" i="13"/>
  <c r="H15" i="18" s="1"/>
  <c r="H64" i="18"/>
  <c r="I76" i="61"/>
  <c r="I121" i="13"/>
  <c r="I145" i="13" s="1"/>
  <c r="I145" i="61" s="1"/>
  <c r="I98" i="67"/>
  <c r="I99" i="67"/>
  <c r="I35" i="18"/>
  <c r="J16" i="18"/>
  <c r="J59" i="67" s="1"/>
  <c r="L16" i="18"/>
  <c r="L59" i="67" s="1"/>
  <c r="H16" i="18"/>
  <c r="H59" i="67" s="1"/>
  <c r="K16" i="18"/>
  <c r="K59" i="67" s="1"/>
  <c r="I41" i="18" l="1"/>
  <c r="I72" i="67"/>
  <c r="J93" i="67"/>
  <c r="J97" i="18"/>
  <c r="K93" i="67"/>
  <c r="K97" i="18"/>
  <c r="H93" i="67"/>
  <c r="H97" i="18"/>
  <c r="L93" i="67"/>
  <c r="L97" i="18"/>
  <c r="P66" i="38"/>
  <c r="O72" i="38"/>
  <c r="O74" i="38" s="1"/>
  <c r="J75" i="61"/>
  <c r="I106" i="61"/>
  <c r="I107" i="61" s="1"/>
  <c r="L76" i="61"/>
  <c r="L75" i="61"/>
  <c r="H76" i="61"/>
  <c r="H75" i="61"/>
  <c r="K75" i="61"/>
  <c r="K76" i="61"/>
  <c r="J76" i="61"/>
  <c r="D64" i="18"/>
  <c r="C64" i="18"/>
  <c r="H13" i="45"/>
  <c r="I36" i="18"/>
  <c r="I37" i="18" s="1"/>
  <c r="I78" i="67"/>
  <c r="I63" i="67"/>
  <c r="I38" i="18"/>
  <c r="I147" i="13"/>
  <c r="I148" i="13" s="1"/>
  <c r="I122" i="13"/>
  <c r="I45" i="61"/>
  <c r="I46" i="61" s="1"/>
  <c r="L98" i="67"/>
  <c r="J98" i="67"/>
  <c r="H98" i="67"/>
  <c r="H99" i="67"/>
  <c r="L99" i="67"/>
  <c r="I115" i="67"/>
  <c r="K99" i="67"/>
  <c r="J99" i="67"/>
  <c r="K98" i="67"/>
  <c r="I89" i="67"/>
  <c r="I48" i="67"/>
  <c r="I67" i="67"/>
  <c r="I85" i="67"/>
  <c r="I88" i="67"/>
  <c r="I82" i="67"/>
  <c r="I81" i="67"/>
  <c r="I61" i="67"/>
  <c r="I66" i="67"/>
  <c r="I62" i="67"/>
  <c r="I65" i="67"/>
  <c r="I60" i="67"/>
  <c r="I64" i="67"/>
  <c r="I87" i="67"/>
  <c r="I84" i="67"/>
  <c r="I86" i="67"/>
  <c r="I58" i="67"/>
  <c r="F10" i="63"/>
  <c r="J35" i="62" s="1"/>
  <c r="I146" i="13"/>
  <c r="I39" i="18" s="1"/>
  <c r="K121" i="13"/>
  <c r="L121" i="13"/>
  <c r="H121" i="13"/>
  <c r="D15" i="18"/>
  <c r="C15" i="18"/>
  <c r="H35" i="18"/>
  <c r="L35" i="18"/>
  <c r="K35" i="18"/>
  <c r="J121" i="13"/>
  <c r="J35" i="18"/>
  <c r="D16" i="18"/>
  <c r="C16" i="18"/>
  <c r="L41" i="18" l="1"/>
  <c r="L72" i="67"/>
  <c r="H41" i="18"/>
  <c r="H72" i="67"/>
  <c r="K41" i="18"/>
  <c r="K72" i="67"/>
  <c r="J41" i="18"/>
  <c r="J72" i="67"/>
  <c r="J106" i="61"/>
  <c r="J107" i="61" s="1"/>
  <c r="O125" i="38"/>
  <c r="O129" i="38" s="1"/>
  <c r="P127" i="38" s="1"/>
  <c r="P69" i="38"/>
  <c r="P68" i="38"/>
  <c r="K106" i="61"/>
  <c r="K107" i="61" s="1"/>
  <c r="H106" i="61"/>
  <c r="I199" i="61"/>
  <c r="I201" i="61" s="1"/>
  <c r="F16" i="63" s="1"/>
  <c r="I47" i="61" s="1"/>
  <c r="L106" i="61"/>
  <c r="L107" i="61" s="1"/>
  <c r="L78" i="67"/>
  <c r="H78" i="67"/>
  <c r="J78" i="67"/>
  <c r="K78" i="67"/>
  <c r="I40" i="18"/>
  <c r="K115" i="67"/>
  <c r="K63" i="67"/>
  <c r="K38" i="18"/>
  <c r="K147" i="13"/>
  <c r="L147" i="13"/>
  <c r="L38" i="18"/>
  <c r="J63" i="67"/>
  <c r="J38" i="18"/>
  <c r="J147" i="13"/>
  <c r="H63" i="67"/>
  <c r="H147" i="13"/>
  <c r="H38" i="18"/>
  <c r="L58" i="67"/>
  <c r="L63" i="67"/>
  <c r="F22" i="63"/>
  <c r="I87" i="46" s="1"/>
  <c r="F11" i="63"/>
  <c r="I84" i="46" s="1"/>
  <c r="F26" i="63"/>
  <c r="F27" i="63" s="1"/>
  <c r="I67" i="34" s="1"/>
  <c r="F36" i="63"/>
  <c r="F37" i="63" s="1"/>
  <c r="F14" i="63"/>
  <c r="F15" i="63" s="1"/>
  <c r="J46" i="62" s="1"/>
  <c r="H89" i="67"/>
  <c r="H48" i="67"/>
  <c r="H67" i="67"/>
  <c r="H85" i="67"/>
  <c r="H88" i="67"/>
  <c r="H82" i="67"/>
  <c r="H81" i="67"/>
  <c r="H62" i="67"/>
  <c r="H65" i="67"/>
  <c r="H61" i="67"/>
  <c r="H66" i="67"/>
  <c r="H60" i="67"/>
  <c r="H64" i="67"/>
  <c r="H87" i="67"/>
  <c r="H84" i="67"/>
  <c r="H86" i="67"/>
  <c r="C99" i="67"/>
  <c r="J115" i="67"/>
  <c r="J89" i="67"/>
  <c r="J48" i="67"/>
  <c r="J67" i="67"/>
  <c r="J85" i="67"/>
  <c r="J88" i="67"/>
  <c r="J82" i="67"/>
  <c r="J66" i="67"/>
  <c r="J65" i="67"/>
  <c r="J61" i="67"/>
  <c r="J60" i="67"/>
  <c r="J62" i="67"/>
  <c r="J64" i="67"/>
  <c r="J81" i="67"/>
  <c r="J87" i="67"/>
  <c r="J84" i="67"/>
  <c r="J86" i="67"/>
  <c r="K89" i="67"/>
  <c r="K48" i="67"/>
  <c r="K67" i="67"/>
  <c r="K85" i="67"/>
  <c r="K88" i="67"/>
  <c r="K82" i="67"/>
  <c r="K61" i="67"/>
  <c r="K65" i="67"/>
  <c r="K62" i="67"/>
  <c r="K66" i="67"/>
  <c r="K60" i="67"/>
  <c r="K64" i="67"/>
  <c r="K87" i="67"/>
  <c r="K81" i="67"/>
  <c r="K84" i="67"/>
  <c r="K86" i="67"/>
  <c r="H58" i="67"/>
  <c r="J58" i="67"/>
  <c r="L89" i="67"/>
  <c r="L48" i="67"/>
  <c r="L67" i="67"/>
  <c r="L85" i="67"/>
  <c r="L88" i="67"/>
  <c r="L65" i="67"/>
  <c r="L66" i="67"/>
  <c r="L61" i="67"/>
  <c r="L60" i="67"/>
  <c r="L62" i="67"/>
  <c r="L64" i="67"/>
  <c r="L82" i="67"/>
  <c r="L87" i="67"/>
  <c r="L81" i="67"/>
  <c r="L84" i="67"/>
  <c r="L86" i="67"/>
  <c r="K58" i="67"/>
  <c r="H115" i="67"/>
  <c r="C98" i="67"/>
  <c r="L115" i="67"/>
  <c r="I62" i="34"/>
  <c r="I83" i="46"/>
  <c r="L145" i="13"/>
  <c r="L122" i="13"/>
  <c r="H145" i="13"/>
  <c r="H145" i="61" s="1"/>
  <c r="H122" i="13"/>
  <c r="J145" i="13"/>
  <c r="J145" i="61" s="1"/>
  <c r="J122" i="13"/>
  <c r="K145" i="13"/>
  <c r="K122" i="13"/>
  <c r="C35" i="18"/>
  <c r="D35" i="18"/>
  <c r="E51" i="18" s="1"/>
  <c r="J199" i="61" l="1"/>
  <c r="H199" i="61"/>
  <c r="H201" i="61" s="1"/>
  <c r="H203" i="61" s="1"/>
  <c r="H46" i="18" s="1"/>
  <c r="L36" i="18"/>
  <c r="L37" i="18" s="1"/>
  <c r="L145" i="61"/>
  <c r="L199" i="61" s="1"/>
  <c r="L201" i="61" s="1"/>
  <c r="L203" i="61" s="1"/>
  <c r="L46" i="18" s="1"/>
  <c r="K36" i="18"/>
  <c r="K37" i="18" s="1"/>
  <c r="K145" i="61"/>
  <c r="Q127" i="38"/>
  <c r="P70" i="38"/>
  <c r="P71" i="38" s="1"/>
  <c r="K199" i="61"/>
  <c r="K201" i="61" s="1"/>
  <c r="K203" i="61" s="1"/>
  <c r="K46" i="18" s="1"/>
  <c r="K120" i="67" s="1"/>
  <c r="K127" i="67" s="1"/>
  <c r="K129" i="67" s="1"/>
  <c r="K130" i="67" s="1"/>
  <c r="H107" i="61"/>
  <c r="F38" i="63"/>
  <c r="J47" i="62" s="1"/>
  <c r="F18" i="63"/>
  <c r="F19" i="63" s="1"/>
  <c r="I50" i="61" s="1"/>
  <c r="I203" i="61"/>
  <c r="I46" i="18" s="1"/>
  <c r="I83" i="67" s="1"/>
  <c r="F17" i="63"/>
  <c r="I48" i="61" s="1"/>
  <c r="J201" i="61"/>
  <c r="J203" i="61" s="1"/>
  <c r="E16" i="18"/>
  <c r="D41" i="18"/>
  <c r="C59" i="67"/>
  <c r="C41" i="18"/>
  <c r="E10" i="63"/>
  <c r="H83" i="46" s="1"/>
  <c r="H36" i="18"/>
  <c r="H37" i="18" s="1"/>
  <c r="G10" i="63"/>
  <c r="G14" i="63" s="1"/>
  <c r="J36" i="18"/>
  <c r="J37" i="18" s="1"/>
  <c r="F23" i="63"/>
  <c r="I88" i="46" s="1"/>
  <c r="J148" i="13"/>
  <c r="L148" i="13"/>
  <c r="C58" i="67"/>
  <c r="C76" i="67"/>
  <c r="C74" i="67"/>
  <c r="C69" i="67"/>
  <c r="C73" i="67"/>
  <c r="C71" i="67"/>
  <c r="C77" i="67"/>
  <c r="C75" i="67"/>
  <c r="C72" i="67"/>
  <c r="C70" i="67"/>
  <c r="K148" i="13"/>
  <c r="H148" i="13"/>
  <c r="I63" i="34"/>
  <c r="I66" i="34"/>
  <c r="J45" i="62"/>
  <c r="I13" i="45"/>
  <c r="C115" i="67"/>
  <c r="C48" i="67"/>
  <c r="C78" i="67"/>
  <c r="C63" i="67"/>
  <c r="C85" i="67"/>
  <c r="C88" i="67"/>
  <c r="C89" i="67"/>
  <c r="C82" i="67"/>
  <c r="C68" i="67"/>
  <c r="C65" i="67"/>
  <c r="C60" i="67"/>
  <c r="C61" i="67"/>
  <c r="C62" i="67"/>
  <c r="C64" i="67"/>
  <c r="C66" i="67"/>
  <c r="C67" i="67"/>
  <c r="C87" i="67"/>
  <c r="C84" i="67"/>
  <c r="C86" i="67"/>
  <c r="C81" i="67"/>
  <c r="J146" i="13"/>
  <c r="J39" i="18" s="1"/>
  <c r="J40" i="18" s="1"/>
  <c r="J45" i="61"/>
  <c r="J46" i="61" s="1"/>
  <c r="H146" i="13"/>
  <c r="H39" i="18" s="1"/>
  <c r="H40" i="18" s="1"/>
  <c r="G13" i="45"/>
  <c r="H45" i="61"/>
  <c r="H46" i="61" s="1"/>
  <c r="C145" i="13"/>
  <c r="K146" i="13"/>
  <c r="K39" i="18" s="1"/>
  <c r="K40" i="18" s="1"/>
  <c r="J13" i="45"/>
  <c r="K45" i="61"/>
  <c r="K46" i="61" s="1"/>
  <c r="H10" i="63"/>
  <c r="L45" i="61"/>
  <c r="L46" i="61" s="1"/>
  <c r="L146" i="13"/>
  <c r="L39" i="18" s="1"/>
  <c r="L40" i="18" s="1"/>
  <c r="I10" i="63"/>
  <c r="K13" i="45"/>
  <c r="E34" i="18"/>
  <c r="E50" i="18"/>
  <c r="E52" i="18"/>
  <c r="E33" i="18"/>
  <c r="E22" i="18"/>
  <c r="E19" i="18"/>
  <c r="E30" i="18"/>
  <c r="E45" i="18"/>
  <c r="E32" i="18"/>
  <c r="E26" i="18"/>
  <c r="E20" i="18"/>
  <c r="E48" i="18"/>
  <c r="E27" i="18"/>
  <c r="E23" i="18"/>
  <c r="E17" i="18"/>
  <c r="E18" i="18"/>
  <c r="E24" i="18"/>
  <c r="E44" i="18"/>
  <c r="E31" i="18"/>
  <c r="E28" i="18"/>
  <c r="E21" i="18"/>
  <c r="E29" i="18"/>
  <c r="E35" i="18"/>
  <c r="E25" i="18"/>
  <c r="E47" i="18"/>
  <c r="E49" i="18"/>
  <c r="E15" i="18"/>
  <c r="E16" i="63" l="1"/>
  <c r="E38" i="63" s="1"/>
  <c r="H16" i="63"/>
  <c r="K47" i="61" s="1"/>
  <c r="K53" i="18"/>
  <c r="K54" i="18" s="1"/>
  <c r="K57" i="18" s="1"/>
  <c r="J14" i="45"/>
  <c r="Q66" i="38"/>
  <c r="K83" i="67"/>
  <c r="P72" i="38"/>
  <c r="P74" i="38" s="1"/>
  <c r="I49" i="61"/>
  <c r="I51" i="61"/>
  <c r="I68" i="34"/>
  <c r="I89" i="46"/>
  <c r="F39" i="63"/>
  <c r="I90" i="46" s="1"/>
  <c r="I120" i="67"/>
  <c r="I127" i="67" s="1"/>
  <c r="I129" i="67" s="1"/>
  <c r="I130" i="67" s="1"/>
  <c r="I53" i="18"/>
  <c r="I54" i="18" s="1"/>
  <c r="I90" i="67" s="1"/>
  <c r="H14" i="45"/>
  <c r="L53" i="18"/>
  <c r="L54" i="18" s="1"/>
  <c r="H53" i="18"/>
  <c r="H54" i="18" s="1"/>
  <c r="G16" i="63"/>
  <c r="G18" i="63" s="1"/>
  <c r="G19" i="63" s="1"/>
  <c r="J50" i="61" s="1"/>
  <c r="I16" i="63"/>
  <c r="L47" i="61" s="1"/>
  <c r="C201" i="61"/>
  <c r="I35" i="62"/>
  <c r="J46" i="18"/>
  <c r="C203" i="61"/>
  <c r="K14" i="45"/>
  <c r="L120" i="67"/>
  <c r="L127" i="67" s="1"/>
  <c r="L129" i="67" s="1"/>
  <c r="L131" i="67" s="1"/>
  <c r="L83" i="67"/>
  <c r="K35" i="62"/>
  <c r="E41" i="18"/>
  <c r="E14" i="63"/>
  <c r="E15" i="63" s="1"/>
  <c r="I46" i="62" s="1"/>
  <c r="J83" i="46"/>
  <c r="J62" i="34"/>
  <c r="G11" i="63"/>
  <c r="J63" i="34" s="1"/>
  <c r="G26" i="63"/>
  <c r="G27" i="63" s="1"/>
  <c r="J67" i="34" s="1"/>
  <c r="G22" i="63"/>
  <c r="J87" i="46" s="1"/>
  <c r="G36" i="63"/>
  <c r="G37" i="63" s="1"/>
  <c r="E11" i="63"/>
  <c r="H63" i="34" s="1"/>
  <c r="E26" i="63"/>
  <c r="E27" i="63" s="1"/>
  <c r="H67" i="34" s="1"/>
  <c r="H62" i="34"/>
  <c r="E22" i="63"/>
  <c r="E23" i="63" s="1"/>
  <c r="H88" i="46" s="1"/>
  <c r="E36" i="63"/>
  <c r="E37" i="63" s="1"/>
  <c r="H120" i="67"/>
  <c r="H83" i="67"/>
  <c r="K131" i="67"/>
  <c r="D13" i="45"/>
  <c r="C45" i="61"/>
  <c r="H36" i="63"/>
  <c r="H37" i="63" s="1"/>
  <c r="K62" i="34"/>
  <c r="H22" i="63"/>
  <c r="K83" i="46"/>
  <c r="H26" i="63"/>
  <c r="L35" i="62"/>
  <c r="H11" i="63"/>
  <c r="H14" i="63"/>
  <c r="B10" i="63"/>
  <c r="M35" i="62"/>
  <c r="I14" i="63"/>
  <c r="L62" i="34"/>
  <c r="I36" i="63"/>
  <c r="I37" i="63" s="1"/>
  <c r="I11" i="63"/>
  <c r="I26" i="63"/>
  <c r="L83" i="46"/>
  <c r="I22" i="63"/>
  <c r="G14" i="45"/>
  <c r="G15" i="63"/>
  <c r="K46" i="62" s="1"/>
  <c r="K45" i="62"/>
  <c r="H47" i="61" l="1"/>
  <c r="E18" i="63"/>
  <c r="E19" i="63" s="1"/>
  <c r="H50" i="61" s="1"/>
  <c r="E17" i="63"/>
  <c r="H48" i="61" s="1"/>
  <c r="H17" i="63"/>
  <c r="K48" i="61" s="1"/>
  <c r="K90" i="67"/>
  <c r="K56" i="18"/>
  <c r="K60" i="18" s="1"/>
  <c r="K91" i="18" s="1"/>
  <c r="K95" i="18" s="1"/>
  <c r="H38" i="63"/>
  <c r="K89" i="46" s="1"/>
  <c r="H18" i="63"/>
  <c r="H19" i="63" s="1"/>
  <c r="K50" i="61" s="1"/>
  <c r="K55" i="18"/>
  <c r="K49" i="67"/>
  <c r="K50" i="67" s="1"/>
  <c r="P125" i="38"/>
  <c r="P129" i="38" s="1"/>
  <c r="R127" i="38" s="1"/>
  <c r="Q69" i="38"/>
  <c r="Q68" i="38"/>
  <c r="I69" i="34"/>
  <c r="I49" i="67"/>
  <c r="I50" i="67" s="1"/>
  <c r="I55" i="18"/>
  <c r="I56" i="18"/>
  <c r="I57" i="18"/>
  <c r="I52" i="61"/>
  <c r="J48" i="62"/>
  <c r="I131" i="67"/>
  <c r="J83" i="67"/>
  <c r="J53" i="18"/>
  <c r="J54" i="18" s="1"/>
  <c r="L56" i="18"/>
  <c r="L57" i="18"/>
  <c r="H57" i="18"/>
  <c r="H56" i="18"/>
  <c r="L55" i="18"/>
  <c r="H55" i="18"/>
  <c r="I18" i="63"/>
  <c r="I19" i="63" s="1"/>
  <c r="L50" i="61" s="1"/>
  <c r="I38" i="63"/>
  <c r="I39" i="63" s="1"/>
  <c r="M48" i="62" s="1"/>
  <c r="I17" i="63"/>
  <c r="L48" i="61" s="1"/>
  <c r="B16" i="63"/>
  <c r="B38" i="63" s="1"/>
  <c r="G17" i="63"/>
  <c r="J48" i="61" s="1"/>
  <c r="J47" i="61"/>
  <c r="C47" i="61" s="1"/>
  <c r="G38" i="63"/>
  <c r="G39" i="63" s="1"/>
  <c r="J52" i="61" s="1"/>
  <c r="J120" i="67"/>
  <c r="J127" i="67" s="1"/>
  <c r="J129" i="67" s="1"/>
  <c r="J130" i="67" s="1"/>
  <c r="C46" i="18"/>
  <c r="C83" i="67" s="1"/>
  <c r="I14" i="45"/>
  <c r="D14" i="45" s="1"/>
  <c r="D46" i="18"/>
  <c r="E46" i="18" s="1"/>
  <c r="L130" i="67"/>
  <c r="L90" i="67"/>
  <c r="L49" i="67"/>
  <c r="L50" i="67" s="1"/>
  <c r="I45" i="62"/>
  <c r="J84" i="46"/>
  <c r="J66" i="34"/>
  <c r="G23" i="63"/>
  <c r="J88" i="46" s="1"/>
  <c r="H66" i="34"/>
  <c r="H49" i="61"/>
  <c r="H84" i="46"/>
  <c r="H87" i="46"/>
  <c r="J49" i="61"/>
  <c r="C35" i="62"/>
  <c r="H90" i="67"/>
  <c r="H49" i="67"/>
  <c r="H127" i="67"/>
  <c r="I27" i="63"/>
  <c r="L67" i="34" s="1"/>
  <c r="L66" i="34"/>
  <c r="M45" i="62"/>
  <c r="I15" i="63"/>
  <c r="M46" i="62" s="1"/>
  <c r="L84" i="46"/>
  <c r="L63" i="34"/>
  <c r="K84" i="46"/>
  <c r="K63" i="34"/>
  <c r="K87" i="46"/>
  <c r="H23" i="63"/>
  <c r="K88" i="46" s="1"/>
  <c r="H15" i="63"/>
  <c r="L46" i="62" s="1"/>
  <c r="L45" i="62"/>
  <c r="L87" i="46"/>
  <c r="I23" i="63"/>
  <c r="L88" i="46" s="1"/>
  <c r="B11" i="63"/>
  <c r="B22" i="63"/>
  <c r="E83" i="46"/>
  <c r="B36" i="63"/>
  <c r="B37" i="63" s="1"/>
  <c r="B14" i="63"/>
  <c r="B15" i="63" s="1"/>
  <c r="B26" i="63"/>
  <c r="D62" i="34"/>
  <c r="H27" i="63"/>
  <c r="K67" i="34" s="1"/>
  <c r="K66" i="34"/>
  <c r="E39" i="63"/>
  <c r="H89" i="46"/>
  <c r="H51" i="61"/>
  <c r="H68" i="34"/>
  <c r="I47" i="62"/>
  <c r="K116" i="18" l="1"/>
  <c r="K51" i="61"/>
  <c r="K68" i="34"/>
  <c r="K49" i="61"/>
  <c r="H39" i="63"/>
  <c r="K69" i="34" s="1"/>
  <c r="L47" i="62"/>
  <c r="Q70" i="38"/>
  <c r="Q71" i="38" s="1"/>
  <c r="I60" i="18"/>
  <c r="I69" i="18" s="1"/>
  <c r="L49" i="61"/>
  <c r="K115" i="18" a="1"/>
  <c r="K115" i="18" s="1"/>
  <c r="K16" i="67"/>
  <c r="K17" i="67" s="1"/>
  <c r="K86" i="18"/>
  <c r="K91" i="67"/>
  <c r="K69" i="18"/>
  <c r="K61" i="18"/>
  <c r="K92" i="67" s="1"/>
  <c r="C53" i="18"/>
  <c r="D53" i="18"/>
  <c r="E53" i="18" s="1"/>
  <c r="L60" i="18"/>
  <c r="H60" i="18"/>
  <c r="H91" i="18" s="1"/>
  <c r="H95" i="18" s="1"/>
  <c r="J56" i="18"/>
  <c r="D56" i="18" s="1"/>
  <c r="J57" i="18"/>
  <c r="B17" i="63"/>
  <c r="C48" i="61" s="1"/>
  <c r="L89" i="46"/>
  <c r="L90" i="46"/>
  <c r="L68" i="34"/>
  <c r="L69" i="34"/>
  <c r="L52" i="61"/>
  <c r="J55" i="18"/>
  <c r="L51" i="61"/>
  <c r="B18" i="63"/>
  <c r="B19" i="63" s="1"/>
  <c r="C50" i="61" s="1"/>
  <c r="M47" i="62"/>
  <c r="J69" i="34"/>
  <c r="K48" i="62"/>
  <c r="J89" i="46"/>
  <c r="J68" i="34"/>
  <c r="J90" i="46"/>
  <c r="C54" i="18"/>
  <c r="C90" i="67" s="1"/>
  <c r="K47" i="62"/>
  <c r="J49" i="67"/>
  <c r="J50" i="67" s="1"/>
  <c r="C120" i="67"/>
  <c r="J131" i="67"/>
  <c r="J90" i="67"/>
  <c r="D54" i="18"/>
  <c r="E54" i="18" s="1"/>
  <c r="J51" i="61"/>
  <c r="C45" i="62"/>
  <c r="C46" i="62"/>
  <c r="H50" i="67"/>
  <c r="C127" i="67"/>
  <c r="C129" i="67" s="1"/>
  <c r="H129" i="67"/>
  <c r="H130" i="67" s="1"/>
  <c r="E84" i="46"/>
  <c r="D63" i="34"/>
  <c r="D66" i="34"/>
  <c r="B27" i="63"/>
  <c r="D67" i="34" s="1"/>
  <c r="B23" i="63"/>
  <c r="E88" i="46" s="1"/>
  <c r="E87" i="46"/>
  <c r="B39" i="63"/>
  <c r="C51" i="61"/>
  <c r="D68" i="34"/>
  <c r="E89" i="46"/>
  <c r="H90" i="46"/>
  <c r="H69" i="34"/>
  <c r="H52" i="61"/>
  <c r="I48" i="62"/>
  <c r="H116" i="18" l="1"/>
  <c r="K52" i="61"/>
  <c r="K90" i="46"/>
  <c r="L48" i="62"/>
  <c r="C48" i="62" s="1"/>
  <c r="C49" i="61"/>
  <c r="R66" i="38"/>
  <c r="Q72" i="38"/>
  <c r="Q74" i="38" s="1"/>
  <c r="I91" i="18"/>
  <c r="I95" i="18" s="1"/>
  <c r="I16" i="67"/>
  <c r="I17" i="67" s="1"/>
  <c r="I91" i="67"/>
  <c r="I61" i="18"/>
  <c r="I92" i="67" s="1"/>
  <c r="I86" i="18"/>
  <c r="H115" i="18" a="1"/>
  <c r="H115" i="18" s="1"/>
  <c r="H61" i="18"/>
  <c r="H92" i="67" s="1"/>
  <c r="L86" i="18"/>
  <c r="L69" i="18"/>
  <c r="L91" i="18"/>
  <c r="L95" i="18" s="1"/>
  <c r="L61" i="18"/>
  <c r="L92" i="67" s="1"/>
  <c r="L91" i="67"/>
  <c r="L16" i="67"/>
  <c r="L17" i="67" s="1"/>
  <c r="H16" i="67"/>
  <c r="H17" i="67" s="1"/>
  <c r="H18" i="67"/>
  <c r="H94" i="67" s="1"/>
  <c r="H91" i="67"/>
  <c r="H62" i="18"/>
  <c r="H86" i="18"/>
  <c r="H69" i="18"/>
  <c r="H71" i="18" s="1"/>
  <c r="H119" i="18"/>
  <c r="C56" i="18"/>
  <c r="J60" i="18"/>
  <c r="J91" i="18" s="1"/>
  <c r="J95" i="18" s="1"/>
  <c r="C57" i="18"/>
  <c r="D57" i="18"/>
  <c r="C47" i="62"/>
  <c r="C60" i="18"/>
  <c r="C91" i="67" s="1"/>
  <c r="C49" i="67"/>
  <c r="C50" i="67"/>
  <c r="H131" i="67"/>
  <c r="E90" i="46"/>
  <c r="C52" i="61"/>
  <c r="D69" i="34"/>
  <c r="I116" i="18" l="1"/>
  <c r="L119" i="18"/>
  <c r="H87" i="18"/>
  <c r="I87" i="18" s="1"/>
  <c r="I115" i="18" a="1"/>
  <c r="I115" i="18" s="1"/>
  <c r="Q125" i="38"/>
  <c r="Q129" i="38" s="1"/>
  <c r="R68" i="38"/>
  <c r="R69" i="38"/>
  <c r="E69" i="38" s="1"/>
  <c r="I62" i="18"/>
  <c r="I119" i="18"/>
  <c r="L116" i="18"/>
  <c r="H73" i="18"/>
  <c r="H74" i="18" s="1"/>
  <c r="L115" i="18" a="1"/>
  <c r="L115" i="18" s="1"/>
  <c r="H19" i="67"/>
  <c r="I18" i="67"/>
  <c r="I94" i="67" s="1"/>
  <c r="J61" i="18"/>
  <c r="J92" i="67" s="1"/>
  <c r="D60" i="18"/>
  <c r="E60" i="18" s="1"/>
  <c r="J16" i="67"/>
  <c r="J17" i="67" s="1"/>
  <c r="J91" i="67"/>
  <c r="J69" i="18"/>
  <c r="J86" i="18"/>
  <c r="J119" i="18"/>
  <c r="J115" i="18" a="1"/>
  <c r="J115" i="18" s="1"/>
  <c r="K119" i="18"/>
  <c r="J116" i="18"/>
  <c r="J62" i="18" l="1"/>
  <c r="R70" i="38"/>
  <c r="R71" i="38" s="1"/>
  <c r="H99" i="18"/>
  <c r="H103" i="18" s="1"/>
  <c r="H84" i="18"/>
  <c r="I99" i="18"/>
  <c r="I103" i="18" s="1"/>
  <c r="I84" i="18"/>
  <c r="J87" i="18"/>
  <c r="K87" i="18" s="1"/>
  <c r="L87" i="18" s="1"/>
  <c r="H75" i="18"/>
  <c r="H76" i="18" s="1"/>
  <c r="I68" i="18" s="1"/>
  <c r="I70" i="18" s="1"/>
  <c r="I73" i="18" s="1"/>
  <c r="I74" i="18" s="1"/>
  <c r="J18" i="67"/>
  <c r="J19" i="67" s="1"/>
  <c r="I19" i="67"/>
  <c r="K62" i="18" l="1"/>
  <c r="J84" i="18"/>
  <c r="R72" i="38"/>
  <c r="R74" i="38" s="1"/>
  <c r="E70" i="38"/>
  <c r="I111" i="18"/>
  <c r="I118" i="18"/>
  <c r="H118" i="18"/>
  <c r="H111" i="18"/>
  <c r="J94" i="67"/>
  <c r="K18" i="67"/>
  <c r="K94" i="67" s="1"/>
  <c r="H78" i="18"/>
  <c r="H79" i="18" s="1"/>
  <c r="I71" i="18"/>
  <c r="I75" i="18"/>
  <c r="I78" i="18" s="1"/>
  <c r="J99" i="18" l="1"/>
  <c r="J103" i="18" s="1"/>
  <c r="J111" i="18" s="1"/>
  <c r="L62" i="18"/>
  <c r="L99" i="18" s="1"/>
  <c r="L103" i="18" s="1"/>
  <c r="R125" i="38"/>
  <c r="R129" i="38" s="1"/>
  <c r="H114" i="18"/>
  <c r="H112" i="18"/>
  <c r="H113" i="18" s="1"/>
  <c r="K99" i="18"/>
  <c r="K103" i="18" s="1"/>
  <c r="K84" i="18"/>
  <c r="I112" i="18"/>
  <c r="I113" i="18" s="1"/>
  <c r="I114" i="18"/>
  <c r="K19" i="67"/>
  <c r="L18" i="67"/>
  <c r="L94" i="67" s="1"/>
  <c r="I79" i="18"/>
  <c r="I76" i="18"/>
  <c r="J68" i="18" s="1"/>
  <c r="J118" i="18" l="1"/>
  <c r="L84" i="18"/>
  <c r="C63" i="18"/>
  <c r="J112" i="18"/>
  <c r="J113" i="18" s="1"/>
  <c r="J114" i="18"/>
  <c r="K118" i="18"/>
  <c r="K111" i="18"/>
  <c r="L118" i="18"/>
  <c r="L111" i="18"/>
  <c r="L112" i="18" s="1"/>
  <c r="L113" i="18" s="1"/>
  <c r="L19" i="67"/>
  <c r="J70" i="18"/>
  <c r="K112" i="18" l="1"/>
  <c r="K113" i="18" s="1"/>
  <c r="K114" i="18"/>
  <c r="J73" i="18"/>
  <c r="J74" i="18" s="1"/>
  <c r="J71" i="18"/>
  <c r="J75" i="18" l="1"/>
  <c r="J76" i="18" l="1"/>
  <c r="K68" i="18" s="1"/>
  <c r="J78" i="18"/>
  <c r="J79" i="18" s="1"/>
  <c r="K70" i="18" l="1"/>
  <c r="K73" i="18" l="1"/>
  <c r="K74" i="18" s="1"/>
  <c r="K71" i="18"/>
  <c r="K75" i="18" l="1"/>
  <c r="K78" i="18" s="1"/>
  <c r="K79" i="18" s="1"/>
  <c r="K76" i="18" l="1"/>
  <c r="L68" i="18" s="1"/>
  <c r="L70" i="18" s="1"/>
  <c r="L73" i="18" s="1"/>
  <c r="L74" i="18" s="1"/>
  <c r="L75" i="18" l="1"/>
  <c r="L78" i="18" s="1"/>
  <c r="L79" i="18" s="1"/>
  <c r="L71" i="18"/>
  <c r="L76"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Michael Dang</author>
    <author>tc={1F282CAE-A3FF-4257-9931-DD281178725A}</author>
  </authors>
  <commentList>
    <comment ref="B73" authorId="0" shapeId="0" xr:uid="{075072D7-1F02-47A7-BD95-A0F8BA18552D}">
      <text>
        <r>
          <rPr>
            <b/>
            <sz val="9"/>
            <color indexed="81"/>
            <rFont val="Tahoma"/>
            <family val="2"/>
          </rPr>
          <t>Michael Dang:</t>
        </r>
        <r>
          <rPr>
            <sz val="9"/>
            <color indexed="81"/>
            <rFont val="Tahoma"/>
            <family val="2"/>
          </rPr>
          <t xml:space="preserve">
The Nevada Legislature recently enacted a weighted funding formula. Under this formula, special education students, English learners, gifted and talented students, and at risk students (currently identified as students qualifying for free or reduced-price lunch) receive additional funding. (see SB 439 and SB 458 from the 2021 session of the Nevada Legislature). Under this funding model, "a pupil who belongs to more than one category of pupils or for whom a school district, charter school or university school for profoundly gifted pupils is eligible to receive the statewide multiplier pursuant to NRS 387.122 must receive only the weighted funding for the single category to which the pupil belongs which has the largest multiplier or the statewide multiplier, whichever is larger. 
(See NRS 387.1214 as amended by section 4 of SB439). Currently, the largest weighted funding is provided for special education students, followed by English learners, followed by gifted and talented students, followed by at risk students. 
The SPCSA has used prior year data to develop a formula for an approximate unduplicated count for the purpose of weighted funding. 
However, schools may choose to override this formula.
There is a one-year lag for these adjusted funds. Schools do not receive these funds in the first year of operation.
</t>
        </r>
      </text>
    </comment>
    <comment ref="C73" authorId="0" shapeId="0" xr:uid="{FA66FC41-B36F-464F-9741-76ACC3602D08}">
      <text>
        <r>
          <rPr>
            <b/>
            <sz val="9"/>
            <color indexed="81"/>
            <rFont val="Tahoma"/>
            <family val="2"/>
          </rPr>
          <t>Michael Dang:</t>
        </r>
        <r>
          <rPr>
            <sz val="9"/>
            <color indexed="81"/>
            <rFont val="Tahoma"/>
            <family val="2"/>
          </rPr>
          <t xml:space="preserve">
This may go over 100% as it is showing an estimate of overlap which is addressed in the rest of the table.</t>
        </r>
      </text>
    </comment>
    <comment ref="B76" authorId="0" shapeId="0" xr:uid="{DD99A304-AFD3-46B6-99BB-E37B5E465AA6}">
      <text>
        <r>
          <rPr>
            <b/>
            <sz val="9"/>
            <color indexed="81"/>
            <rFont val="Tahoma"/>
            <family val="2"/>
          </rPr>
          <t>Michael Dang:</t>
        </r>
        <r>
          <rPr>
            <sz val="9"/>
            <color indexed="81"/>
            <rFont val="Tahoma"/>
            <family val="2"/>
          </rPr>
          <t xml:space="preserve">
Greater accuracy will reduce over/under payments and payment adjustments.</t>
        </r>
      </text>
    </comment>
    <comment ref="G76" authorId="0" shapeId="0" xr:uid="{0B227838-9E1F-4DA8-8C79-53638C9D3969}">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H76" authorId="0" shapeId="0" xr:uid="{28C64F2D-F642-4E4A-9321-562E0FD7215C}">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I76" authorId="0" shapeId="0" xr:uid="{A03D6292-4CD8-425F-84F7-3E8CD631FAB2}">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J76" authorId="0" shapeId="0" xr:uid="{335308CC-334B-47E5-8109-4F66B9C80105}">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K76" authorId="0" shapeId="0" xr:uid="{15DFF793-ACF4-46B5-A925-F0CED6634203}">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L76" authorId="0" shapeId="0" xr:uid="{59568439-FAD3-4BF8-B674-0EF8D0EC5FA0}">
      <text>
        <r>
          <rPr>
            <b/>
            <sz val="9"/>
            <color indexed="81"/>
            <rFont val="Tahoma"/>
            <family val="2"/>
          </rPr>
          <t>Michael Dang:</t>
        </r>
        <r>
          <rPr>
            <sz val="9"/>
            <color indexed="81"/>
            <rFont val="Tahoma"/>
            <family val="2"/>
          </rPr>
          <t xml:space="preserve">
An Error message here typically means the applicant is overestimating how many students can receive weighted funding.  A student can only receive weighted funding for one category so if they are shown as receiving in more than one, at a general level, an error flag will show here.</t>
        </r>
      </text>
    </comment>
    <comment ref="B78" authorId="0" shapeId="0" xr:uid="{E22956E8-248D-445B-81CB-A561E06FF142}">
      <text>
        <r>
          <rPr>
            <b/>
            <sz val="9"/>
            <color indexed="81"/>
            <rFont val="Tahoma"/>
            <family val="2"/>
          </rPr>
          <t>Michael Dang:</t>
        </r>
        <r>
          <rPr>
            <sz val="9"/>
            <color indexed="81"/>
            <rFont val="Tahoma"/>
            <family val="2"/>
          </rPr>
          <t xml:space="preserve">
The same Per Pupil Revenue (PPR) amount is now paid for all Distance Education students--regardless of the county/district they are in.
All other applications should select the appropriate District/County where they will be conducting In Person teaching.</t>
        </r>
      </text>
    </comment>
    <comment ref="D84" authorId="0" shapeId="0" xr:uid="{ED5522CE-D02D-4F14-9BFD-A8BA72F86A70}">
      <text>
        <r>
          <rPr>
            <b/>
            <sz val="9"/>
            <color indexed="81"/>
            <rFont val="Tahoma"/>
            <family val="2"/>
          </rPr>
          <t>Michael Dang:</t>
        </r>
        <r>
          <rPr>
            <sz val="9"/>
            <color indexed="81"/>
            <rFont val="Tahoma"/>
            <family val="2"/>
          </rPr>
          <t xml:space="preserve">
2025 Rates: $3,845 PP
$3,694 PP w/o inflation, replaces
$2,755.30 per pupil (subject to change depending on actual enrollment of SPED students) 
SPED FY22 Payment Book- 7.6.21</t>
        </r>
      </text>
    </comment>
    <comment ref="B97" authorId="1" shapeId="0" xr:uid="{1F282CAE-A3FF-4257-9931-DD281178725A}">
      <text>
        <t>[Threaded comment]
Your version of Excel allows you to read this threaded comment; however, any edits to it will get removed if the file is opened in a newer version of Excel. Learn more: https://go.microsoft.com/fwlink/?linkid=870924
Comment:
    The Inflation adjuster is designed to account for any increases in PCFP Revenue. Please be sure to enter the cost of inflation in this cell. You may wish to test inflation rates of 0 to 3%.  Be sure you can still operate with a surplus even with a 0% inflator/escalator.</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U44" authorId="0" shapeId="0" xr:uid="{69088876-89C9-41B6-B552-C6309179CF36}">
      <text>
        <r>
          <rPr>
            <b/>
            <sz val="9"/>
            <color indexed="81"/>
            <rFont val="Tahoma"/>
            <family val="2"/>
          </rPr>
          <t>Michael Dang:</t>
        </r>
        <r>
          <rPr>
            <sz val="9"/>
            <color indexed="81"/>
            <rFont val="Tahoma"/>
            <family val="2"/>
          </rPr>
          <t xml:space="preserve">
Per NRS 387.124, the Pupil-Centered Funding Plan payments are to be paid on or before the first day of each month in an amount approximating one-twelfth of the respective yearly apportionment. Payments begin August 1 of each year for the upcoming fiscal year.
NRS 387.1241 authorizes a charter school to request their respective apportionment 30 days before the apportionment is required. To do so, the charter school must submit a request in writing to the Superintendent of Public Instruction. To do so, there is a form in addition to the Exceptional Enrollment Growth Adjustment (EEGA) documents. The request for an accelerated payment schedule must be received no less than 60 days in advance of the accelerated payment date of July 1. Final supporting EEGA documents are required no later than 30 days before the date of accelerated payment.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tc={5AB4F22B-B34E-46CC-85F4-92C228ADA667}</author>
    <author>tc={5B5C6FFC-D74F-4D89-957C-272E389EFD53}</author>
    <author>tc={8B28DE3F-0513-4202-B787-159B600CA677}</author>
    <author>tc={31D788BA-A50C-47FC-8E94-21A195E0BD60}</author>
    <author>tc={CE950E8C-C673-4EA1-816B-0806360F654E}</author>
  </authors>
  <commentList>
    <comment ref="C60" authorId="0" shapeId="0" xr:uid="{5AB4F22B-B34E-46CC-85F4-92C228ADA667}">
      <text>
        <t xml:space="preserve">[Threaded comment]
Your version of Excel allows you to read this threaded comment; however, any edits to it will get removed if the file is opened in a newer version of Excel. Learn more: https://go.microsoft.com/fwlink/?linkid=870924
Comment:
    7.65% for employees on Social Security
1.45% for employees on PERS
Applicants should derive a weighted average estimate FICA rate depending on how many SS employees they plan to have versus PERS employees.
FICA is the Federal Insurance Contributions Act.  
https://defcomp.nv.gov/Resources/FICA_Info___FAQ_s/#:~:text=How%20much%20do%20I%20have,on%20a%20tax%20deferred%20basis.
How much do I have to contribute from my paycheck?
You must contribute 7.5% of your gross compensation per pay period to the Plan. Your contributions are made on a tax deferred basis.
</t>
      </text>
    </comment>
    <comment ref="C61" authorId="1" shapeId="0" xr:uid="{5B5C6FFC-D74F-4D89-957C-272E389EFD53}">
      <text>
        <t>[Threaded comment]
Your version of Excel allows you to read this threaded comment; however, any edits to it will get removed if the file is opened in a newer version of Excel. Learn more: https://go.microsoft.com/fwlink/?linkid=870924
Comment:
    For full EPC, use new rate:  Contribution Rate Changes – Employer Pay Contribution (EPC) Plan:  Regular Members – will increase from 29.75% to 33.50.
As of July 1, 2023
Use a blended rate between the EPC and the EE/Er rates, depending on your estimates of type of participation by your employees. 
https://www.nvpers.org/sites/default/files/publications/21735_NV_PERS_News_2022_p6_1.pdf</t>
      </text>
    </comment>
    <comment ref="C64" authorId="2" shapeId="0" xr:uid="{8B28DE3F-0513-4202-B787-159B600CA677}">
      <text>
        <t>[Threaded comment]
Your version of Excel allows you to read this threaded comment; however, any edits to it will get removed if the file is opened in a newer version of Excel. Learn more: https://go.microsoft.com/fwlink/?linkid=870924
Comment:
    Unemployment Insurance Information 
https://ui.nv.gov/ESSHTML/ui_information.htm
Unemployment Insurance Rates:
Employing Units in Nevada, who meet registration requirements, must pay unemployment insurance (UI) tax at a rate of 2.95 percent (.0295) of wages paid to each employee up to the taxable wage limit.  The employer retains this rate for a period of 14 to 17 calendar quarters (this is dependent on the quarter in which the employer becomes subject to the law), after which the rate will be determined under the "Experience Rating" system. An additional .05 percent (.0005) tax is charged for the Career Enhancement Program (CEP).
See website for more information.</t>
      </text>
    </comment>
    <comment ref="C65" authorId="3" shapeId="0" xr:uid="{31D788BA-A50C-47FC-8E94-21A195E0BD60}">
      <text>
        <t xml:space="preserve">[Threaded comment]
Your version of Excel allows you to read this threaded comment; however, any edits to it will get removed if the file is opened in a newer version of Excel. Learn more: https://go.microsoft.com/fwlink/?linkid=870924
Comment:
    Employer costs for workers’ compensation insurance (per $100 of covered wages)
https://pieinsurance.com/blog/workers-comp/workers-comp-how-much/
</t>
      </text>
    </comment>
    <comment ref="B436" authorId="4" shapeId="0" xr:uid="{CE950E8C-C673-4EA1-816B-0806360F654E}">
      <text>
        <t>[Threaded comment]
Your version of Excel allows you to read this threaded comment; however, any edits to it will get removed if the file is opened in a newer version of Excel. Learn more: https://go.microsoft.com/fwlink/?linkid=870924
Comment:
    Not included in Total Benefits above as these benefit costs are absorbed by the substitute placement firm.
This level may be set to zero, though, assuming a typical substitute placement firms is not participating in PERS.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F23" authorId="0" shapeId="0" xr:uid="{8705AAFD-D26B-499A-8B54-E198BD1DF8E0}">
      <text>
        <r>
          <rPr>
            <b/>
            <sz val="9"/>
            <color indexed="81"/>
            <rFont val="Tahoma"/>
            <family val="2"/>
          </rPr>
          <t>Michael Dang:</t>
        </r>
        <r>
          <rPr>
            <sz val="9"/>
            <color indexed="81"/>
            <rFont val="Tahoma"/>
            <family val="2"/>
          </rPr>
          <t xml:space="preserve">
Overwrite this with the actual lease rate likely for a new occupancy and partial year.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B199" authorId="0" shapeId="0" xr:uid="{7954B7BE-38F5-487C-9CDD-27658195CBA1}">
      <text>
        <r>
          <rPr>
            <b/>
            <sz val="9"/>
            <color indexed="81"/>
            <rFont val="Tahoma"/>
            <family val="2"/>
          </rPr>
          <t>Michael Dang:</t>
        </r>
        <r>
          <rPr>
            <sz val="9"/>
            <color indexed="81"/>
            <rFont val="Tahoma"/>
            <family val="2"/>
          </rPr>
          <t xml:space="preserve">
Current formula assumes costs above are entered at today's costs and this formula will inflate those costs for future years.
Otherwise we would want to use this formula, starting in G121:
=SUM(G119,G110,G102)*$C$121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Michael Dang</author>
  </authors>
  <commentList>
    <comment ref="B26" authorId="0" shapeId="0" xr:uid="{768C8515-1DB4-4E55-B6AB-EB9342627BA2}">
      <text>
        <r>
          <rPr>
            <b/>
            <sz val="9"/>
            <color indexed="81"/>
            <rFont val="Tahoma"/>
            <family val="2"/>
          </rPr>
          <t>Michael Dang:</t>
        </r>
        <r>
          <rPr>
            <sz val="9"/>
            <color indexed="81"/>
            <rFont val="Tahoma"/>
            <family val="2"/>
          </rPr>
          <t xml:space="preserve">
Great Schools for Nevada is a federal Charter School Program (CSP) Grant facilitated by Opportunity 180 to lead the launch and expansion of high-quality public charter schools across our state. As a public education champion and advocacy organization based in Southern Nevada, one key portion of our work is to seek out, vet, and support innovative leaders and high-performing school models. 
https://opportunity180.org/great-schools-for-nevada/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tc={5A0475E5-6B0D-4D68-9F79-BF251AC40EF8}</author>
  </authors>
  <commentList>
    <comment ref="B36" authorId="0" shapeId="0" xr:uid="{5A0475E5-6B0D-4D68-9F79-BF251AC40EF8}">
      <text>
        <t xml:space="preserve">[Threaded comment]
Your version of Excel allows you to read this threaded comment; however, any edits to it will get removed if the file is opened in a newer version of Excel. Learn more: https://go.microsoft.com/fwlink/?linkid=870924
Comment:
    Keep at &gt;=1 in FTE section; use PT section for PT, like 0.5 </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tc={3A938AAD-556B-4D4E-BDCA-B0961C23113C}</author>
  </authors>
  <commentList>
    <comment ref="B33" authorId="0" shapeId="0" xr:uid="{3A938AAD-556B-4D4E-BDCA-B0961C23113C}">
      <text>
        <t>[Threaded comment]
Your version of Excel allows you to read this threaded comment; however, any edits to it will get removed if the file is opened in a newer version of Excel. Learn more: https://go.microsoft.com/fwlink/?linkid=870924
Comment:
    Great Teaching &amp; Leading, NV Ready Technology, Teacher Incentives, and other measures in AB309 of the 2019 legislative session</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<sst xmlns="http://schemas.openxmlformats.org/spreadsheetml/2006/main" count="2606" uniqueCount="1451">
  <si>
    <t>Mike Dang, 702.486.8879</t>
  </si>
  <si>
    <t>TOC</t>
  </si>
  <si>
    <t>Staff tab</t>
  </si>
  <si>
    <t>Demographics</t>
  </si>
  <si>
    <t>Application Cover Sheet</t>
  </si>
  <si>
    <t>Mike Dang</t>
  </si>
  <si>
    <t>702.486.8879</t>
  </si>
  <si>
    <t>School Year Ending (SYE)</t>
  </si>
  <si>
    <t>Name of Committee To Form contact(s)</t>
  </si>
  <si>
    <t>Phone number</t>
  </si>
  <si>
    <t xml:space="preserve">  email address</t>
  </si>
  <si>
    <t>Test</t>
  </si>
  <si>
    <t>School Location(s) under consideration: (Addresses or cross streets, City)(1 minimum, 2 maximum)</t>
  </si>
  <si>
    <t>Site 2</t>
  </si>
  <si>
    <t>Specific address recommended but not required .  Target cross streets required at a minimum.</t>
  </si>
  <si>
    <t>Supporting documentation attached? (y/n)</t>
  </si>
  <si>
    <t>Three sample Listings of buildings in targeted/planned zip code being considered.</t>
  </si>
  <si>
    <t>Listing must show available square footage, lease rates, location. (E.g., Loopnet)</t>
  </si>
  <si>
    <t>For start-up funding</t>
  </si>
  <si>
    <t>For fundraising</t>
  </si>
  <si>
    <t>Table of Contents (TOC) &amp; Completeness Check</t>
  </si>
  <si>
    <t>Initialize, print (pdf) and attach:</t>
  </si>
  <si>
    <t>Complete?</t>
  </si>
  <si>
    <t>/Applicant</t>
  </si>
  <si>
    <t>/SPCSA</t>
  </si>
  <si>
    <t>TOC Notes</t>
  </si>
  <si>
    <t>Comments (Applicant/SPCSA) (Not in print range)</t>
  </si>
  <si>
    <t>Enter Initials and attach:</t>
  </si>
  <si>
    <t>Initials</t>
  </si>
  <si>
    <t>Instructions (start page)</t>
  </si>
  <si>
    <t>Instructions -- Start here</t>
  </si>
  <si>
    <t>Cover (School Name) Page</t>
  </si>
  <si>
    <t>Beginning School Year entered on Cover Page?</t>
  </si>
  <si>
    <t>Checklist &amp; Table Of Contents</t>
  </si>
  <si>
    <t>School Financial Plan Summary</t>
  </si>
  <si>
    <t>Complete lower Net Position (Balance Sheet) information</t>
  </si>
  <si>
    <t>School Plan Statistics</t>
  </si>
  <si>
    <t>Market Research</t>
  </si>
  <si>
    <t>Market (Potential Students Populations)</t>
  </si>
  <si>
    <t>Enrollment &amp; Revenue</t>
  </si>
  <si>
    <t>Revenue &amp; Enrollment</t>
  </si>
  <si>
    <t>Cash Flow Year 1 Monthly</t>
  </si>
  <si>
    <t>Expenses: Year One--Month to Month</t>
  </si>
  <si>
    <t>Staff</t>
  </si>
  <si>
    <t>Expenses: Staff</t>
  </si>
  <si>
    <t>Facilities</t>
  </si>
  <si>
    <t>Expenses: Facility Lease/Purchase</t>
  </si>
  <si>
    <t>General Operating Plan</t>
  </si>
  <si>
    <t>Expenses: General Operating</t>
  </si>
  <si>
    <t>Furniture, Fixtures, Equipment 
&amp; Technology (FFE&amp;T)</t>
  </si>
  <si>
    <t>Expenses: Furniture, Fixtures, Equipment &amp; Technology</t>
  </si>
  <si>
    <t>Insurance</t>
  </si>
  <si>
    <t>Expenses: Insurance</t>
  </si>
  <si>
    <t>Marketing</t>
  </si>
  <si>
    <t>Expenses: Marketing Plan &amp; Implementation</t>
  </si>
  <si>
    <t>EMO, CMO, BOSP</t>
  </si>
  <si>
    <t>Expenses: Education/Charter Management Organization, 
Back Office Service Provider (If applicable)</t>
  </si>
  <si>
    <t>PCFP Rates (Information)</t>
  </si>
  <si>
    <t>NA</t>
  </si>
  <si>
    <t>Applicable Per Pupil Revenue estimates (No completion required)</t>
  </si>
  <si>
    <t>Facilities (worksheet)</t>
  </si>
  <si>
    <t>Worksheet which may help calculate Facilities costs (Not required)</t>
  </si>
  <si>
    <t>Scratchpad (worksheet)</t>
  </si>
  <si>
    <t>Free space for applicant tests, notes</t>
  </si>
  <si>
    <t>Special Population and Demographic percentages</t>
  </si>
  <si>
    <t>Attachments</t>
  </si>
  <si>
    <t>Supporting documents referred to below.</t>
  </si>
  <si>
    <t>Market report or Sample Listings of buildings in targeted/planned zip codes</t>
  </si>
  <si>
    <t>Must show building types (/raw land), square footages (/acres), lease rates.</t>
  </si>
  <si>
    <t xml:space="preserve">  </t>
  </si>
  <si>
    <t>Totals/Max'/Avg</t>
  </si>
  <si>
    <t>Key Metrics</t>
  </si>
  <si>
    <t>Number of Students (Enrollment)</t>
  </si>
  <si>
    <t>Number of Employees (FTE)</t>
  </si>
  <si>
    <t>Facility Size (square footage)</t>
  </si>
  <si>
    <t xml:space="preserve">10.29 reointed cells one cell to the right on Facilities tab </t>
  </si>
  <si>
    <t xml:space="preserve">  Square feet PP</t>
  </si>
  <si>
    <t>REVENUE &amp; RESOURCES</t>
  </si>
  <si>
    <t>Total</t>
  </si>
  <si>
    <t>Avg/yr(1-6)</t>
  </si>
  <si>
    <t>%AvTot</t>
  </si>
  <si>
    <t>State &amp; Local Revenue w/o St SpEd</t>
  </si>
  <si>
    <t>CS Sponsorship Fee (Infl' Adj'd)</t>
  </si>
  <si>
    <t>Title I</t>
  </si>
  <si>
    <t>Title IIA</t>
  </si>
  <si>
    <t>Title III</t>
  </si>
  <si>
    <t>Title IV</t>
  </si>
  <si>
    <t>Federal Breakfast Program</t>
  </si>
  <si>
    <t>Federal Lunch Program</t>
  </si>
  <si>
    <t>IDEA</t>
  </si>
  <si>
    <t>State Special Education Funding</t>
  </si>
  <si>
    <t>"Replication &amp; Expansion" start-up funds</t>
  </si>
  <si>
    <t>Supporting documentation required</t>
  </si>
  <si>
    <t>Other start-up funds (incl' SEA grants)</t>
  </si>
  <si>
    <t>Student fees (Net)</t>
  </si>
  <si>
    <t>Food Services</t>
  </si>
  <si>
    <t>Transportation</t>
  </si>
  <si>
    <t>Investment Income</t>
  </si>
  <si>
    <t>School level fundraising</t>
  </si>
  <si>
    <t>Private fundraising (foundations, corporate)</t>
  </si>
  <si>
    <t>Supporting documentation required (Award letters)</t>
  </si>
  <si>
    <t>Private fundraising (individuals)</t>
  </si>
  <si>
    <t>TOTAL REVENUE</t>
  </si>
  <si>
    <t xml:space="preserve">   Enrol &amp; Rev tab</t>
  </si>
  <si>
    <t xml:space="preserve">   In balance check</t>
  </si>
  <si>
    <t xml:space="preserve">   Total Revenue PP </t>
  </si>
  <si>
    <t xml:space="preserve">   Total Revenue PP (Check w/Enrol &amp; Rev tab)</t>
  </si>
  <si>
    <t xml:space="preserve">   In balance check PP</t>
  </si>
  <si>
    <t>Title, Fed Funds/Total Rev'-no CSP</t>
  </si>
  <si>
    <t>EXPENSES</t>
  </si>
  <si>
    <t xml:space="preserve">Personnel </t>
  </si>
  <si>
    <t>General Operating Expenses</t>
  </si>
  <si>
    <t>EMO Payments</t>
  </si>
  <si>
    <t>FFE&amp;T</t>
  </si>
  <si>
    <t>TOTAL EXPENSES</t>
  </si>
  <si>
    <t xml:space="preserve">   Total Expenses PP</t>
  </si>
  <si>
    <t>SURPLUS/(DEFICIT)/Period</t>
  </si>
  <si>
    <t>The school operates only with a surplus</t>
  </si>
  <si>
    <t xml:space="preserve">     Per student</t>
  </si>
  <si>
    <t>SURPLUS/(DEFICIT)(Cumu'; capital rqt)</t>
  </si>
  <si>
    <t>Acts as a temporary estimator of cash fund balance</t>
  </si>
  <si>
    <t xml:space="preserve">    Reserves </t>
  </si>
  <si>
    <t>Additional Funding/Borrowing  required/period</t>
  </si>
  <si>
    <t>Cumulative Additional Funding potentially required</t>
  </si>
  <si>
    <t>SPCSA does not encourage debt but understands borrowing may be required. Supporting documentation of any planned borrowing must be provided.</t>
  </si>
  <si>
    <t>Debt Balance, Beginning</t>
  </si>
  <si>
    <t>Borrowings in Period</t>
  </si>
  <si>
    <t>Interest on borrowings</t>
  </si>
  <si>
    <t>Hold off on this for now; don't want to encourage borrowing too early.</t>
  </si>
  <si>
    <t>Net Surplus (Deficit) and/or Borrowings</t>
  </si>
  <si>
    <t>Cumulative Net Surplus (Deficit) Borrowings/Surplus</t>
  </si>
  <si>
    <t>Debt Payments (Deb payments)</t>
  </si>
  <si>
    <t>Debt Balance, Ending</t>
  </si>
  <si>
    <t>Net Surplus (Deficit) Net of Borrowings and Payments</t>
  </si>
  <si>
    <t>Cumulative Net Surplus (Deficit) Net of Borrowings and Payments</t>
  </si>
  <si>
    <t>Debt Service Payments-Principal</t>
  </si>
  <si>
    <t>Debt Service Payments-Interest</t>
  </si>
  <si>
    <t>Total Debt Service Payments</t>
  </si>
  <si>
    <t>SURPLUS/(DEFICIT) After Debt Service &amp; Reserves</t>
  </si>
  <si>
    <t xml:space="preserve">Surplus/(Deficit)-Schl &amp; Pri' Fundraising-S Fees </t>
  </si>
  <si>
    <t>Surplus/(Deficit) (Cumu')</t>
  </si>
  <si>
    <t>Statement of Net Position / Balance Sheet (June 30)</t>
  </si>
  <si>
    <t>ASSETS</t>
  </si>
  <si>
    <t>Other Current Assets</t>
  </si>
  <si>
    <t>Reserves</t>
  </si>
  <si>
    <t>Facilities (GASB 87 balance if leased)</t>
  </si>
  <si>
    <t>Other Noncurrent Assets</t>
  </si>
  <si>
    <t>Total Assets</t>
  </si>
  <si>
    <t>Liabilities</t>
  </si>
  <si>
    <t>Current Liabilities &amp; Short Term Borrowings</t>
  </si>
  <si>
    <t>x</t>
  </si>
  <si>
    <t>Noncurrent Liabilities &amp; Medium/Long Term Borrowings</t>
  </si>
  <si>
    <t xml:space="preserve">   Total Liabilities</t>
  </si>
  <si>
    <t>Net Position</t>
  </si>
  <si>
    <t>Liabilities &amp; Net Position</t>
  </si>
  <si>
    <t>Assets - Liabilities &amp; Net Position (w/o Net Pension Liabilities; should be 0)</t>
  </si>
  <si>
    <t>Current Ratio</t>
  </si>
  <si>
    <t>SY 0/Incu</t>
  </si>
  <si>
    <t>Number of Students</t>
  </si>
  <si>
    <t xml:space="preserve">  sq ft PP</t>
  </si>
  <si>
    <t>KEY STATISTICS</t>
  </si>
  <si>
    <t xml:space="preserve">   # students &gt; Bkeven</t>
  </si>
  <si>
    <t xml:space="preserve">   % students &gt; Bkeven</t>
  </si>
  <si>
    <t>Ending Fund Balance (cumulative)</t>
  </si>
  <si>
    <t>Cumulative Reserve/Expense</t>
  </si>
  <si>
    <t>Number of Occupants</t>
  </si>
  <si>
    <t>Growth, # students</t>
  </si>
  <si>
    <t>Number of Teachers (SPED)</t>
  </si>
  <si>
    <t>Number of Teachers (ELL)</t>
  </si>
  <si>
    <t>Number of Teachers (Grade)</t>
  </si>
  <si>
    <t>Number of Teachers (Total)</t>
  </si>
  <si>
    <t xml:space="preserve">   Student/Teacher</t>
  </si>
  <si>
    <t>Number of Admin</t>
  </si>
  <si>
    <t xml:space="preserve">   Student/Admin ratio</t>
  </si>
  <si>
    <t xml:space="preserve">   Teacher/Admin ratio</t>
  </si>
  <si>
    <t>Number of Office (non Admin)</t>
  </si>
  <si>
    <t xml:space="preserve">   Student/Office ratio</t>
  </si>
  <si>
    <t xml:space="preserve">   Teacher/Office ratio</t>
  </si>
  <si>
    <t>Salaries: Administrator</t>
  </si>
  <si>
    <t>Salaries: Office staff</t>
  </si>
  <si>
    <t>Salaries: Teachers (SPED)</t>
  </si>
  <si>
    <t>Salaries: Teachers (ELL)</t>
  </si>
  <si>
    <t>Salaries/Teachers-Grade Level</t>
  </si>
  <si>
    <t xml:space="preserve">Title IIA Professional Dev </t>
  </si>
  <si>
    <t>Revenue/pupil</t>
  </si>
  <si>
    <t>Expenses/pupil</t>
  </si>
  <si>
    <t xml:space="preserve">  Net/p</t>
  </si>
  <si>
    <t>Square Feet (Facility, Conditioned)</t>
  </si>
  <si>
    <t>Sq ft / Students</t>
  </si>
  <si>
    <t>Sq ft / Occupants</t>
  </si>
  <si>
    <t>Student fees PP</t>
  </si>
  <si>
    <t>PERCENT TOTAL REVENUE</t>
  </si>
  <si>
    <t>REVENUE</t>
  </si>
  <si>
    <t>EMO/CMO Payments, Net</t>
  </si>
  <si>
    <t>Other Pre-approval &amp; Pre-Opening</t>
  </si>
  <si>
    <t>SURPLUS/(DEFICIT)</t>
  </si>
  <si>
    <t>Ending Fund Balance (Estimator)</t>
  </si>
  <si>
    <t>PER PUPIL (AVERAGES)</t>
  </si>
  <si>
    <t>REVENUE PP</t>
  </si>
  <si>
    <t>(Avg y1-6)</t>
  </si>
  <si>
    <t>R&amp;E start-up funds</t>
  </si>
  <si>
    <t>Other start-up funds</t>
  </si>
  <si>
    <t>Student fees</t>
  </si>
  <si>
    <t>TOTAL REVENUE PP</t>
  </si>
  <si>
    <t>EXPENSES PP</t>
  </si>
  <si>
    <t>TOTAL EXPENSES PP</t>
  </si>
  <si>
    <t>SURPLUS/(DEFICIT) Per Pupil</t>
  </si>
  <si>
    <t xml:space="preserve">     Surplus/(Deficit) Per Pupil</t>
  </si>
  <si>
    <t xml:space="preserve">   Margin: Surplus(Deficit)/Revenue (aka Annual ratio)</t>
  </si>
  <si>
    <t>Location(s) under consideration:</t>
  </si>
  <si>
    <t>Site 1</t>
  </si>
  <si>
    <t>ENROLLMENT</t>
  </si>
  <si>
    <t>Number of grade levels</t>
  </si>
  <si>
    <t>Number of classrooms</t>
  </si>
  <si>
    <t>K</t>
  </si>
  <si>
    <t>1st</t>
  </si>
  <si>
    <t>2nd</t>
  </si>
  <si>
    <t>3rd</t>
  </si>
  <si>
    <t>4th</t>
  </si>
  <si>
    <t>5th</t>
  </si>
  <si>
    <t>6th</t>
  </si>
  <si>
    <t>7th</t>
  </si>
  <si>
    <t>8th</t>
  </si>
  <si>
    <t>9th</t>
  </si>
  <si>
    <t>10th</t>
  </si>
  <si>
    <t>11th</t>
  </si>
  <si>
    <t>12th</t>
  </si>
  <si>
    <t>Total Student Enrollment</t>
  </si>
  <si>
    <t>Student / Classroom (w/o teachers)</t>
  </si>
  <si>
    <t>Target Enrollment/Available Students Site 1</t>
  </si>
  <si>
    <t>Target Enrollment/Available Students Site 2</t>
  </si>
  <si>
    <t>For more accuracy you should enter below the enrollments of the relevant grades you are targeting. Otherwise, this is a general flag.</t>
  </si>
  <si>
    <t>Potential Site 1</t>
  </si>
  <si>
    <t>Relevant School Choices and/or
Feeders: Public, Private, Charter Schools w/in 4 miles</t>
  </si>
  <si>
    <t>Zip Codes</t>
  </si>
  <si>
    <t>NSPF Rtg</t>
  </si>
  <si>
    <t>Relevant Grade
Level(s)</t>
  </si>
  <si>
    <t xml:space="preserve">
Relevant Enrollments</t>
  </si>
  <si>
    <t>Choices/Alternates</t>
  </si>
  <si>
    <t>Feeder/Source Schools</t>
  </si>
  <si>
    <t>Grade
Level(s)</t>
  </si>
  <si>
    <t xml:space="preserve">
Enrollment</t>
  </si>
  <si>
    <t>School Year 1 (Fall Start) Teaching Starts</t>
  </si>
  <si>
    <t>SY Ending</t>
  </si>
  <si>
    <t>Totals</t>
  </si>
  <si>
    <t>ENROLLMENT (All Populations)</t>
  </si>
  <si>
    <t>Student / Classroom, calculated</t>
  </si>
  <si>
    <t>% Plan vs. Target</t>
  </si>
  <si>
    <t>Growth in Enrollment, YOY</t>
  </si>
  <si>
    <t>Target Enrollment/Available Students Site 1 (Capture, conversion rate of nearby students)</t>
  </si>
  <si>
    <t>Target Enrollment/Available Students Site 2 (Capture, conversion rate of nearby students)</t>
  </si>
  <si>
    <t>Number of students tentatively committed to enroll, based on community engagement activities</t>
  </si>
  <si>
    <t xml:space="preserve">   Target Reenrollment (NRS 388A.273)</t>
  </si>
  <si>
    <t xml:space="preserve">  Estimated # students to newly enroll (above reenrollment)</t>
  </si>
  <si>
    <t>ENROLLMENT BY STUDENT GROUP (Federally Fundable)</t>
  </si>
  <si>
    <t>Est' with</t>
  </si>
  <si>
    <t>Dupli'n</t>
  </si>
  <si>
    <t>State Special Education (SPED)</t>
  </si>
  <si>
    <t>English Language Learners (EL)</t>
  </si>
  <si>
    <t>Gifted &amp; Talented (GATE)</t>
  </si>
  <si>
    <t>Totals on this line may exceed 100% and planned enrollments</t>
  </si>
  <si>
    <t>FYI: Overlap</t>
  </si>
  <si>
    <t>ENROLLMENT BY STUDENT GROUP (State unique qualifying enrollment estimates)</t>
  </si>
  <si>
    <t>State level weighted funding is provided to help schools educate and support students in special population categories. Categories include English Learners (EL), Gifted And Talented Education (GATE), Free and Reduced Lunch (aka At Risk) learners.</t>
  </si>
  <si>
    <t xml:space="preserve">Additional funding is also provided to help teach students with Special Education needs.  While a student may technically be a member of multiple special populations categories, state funding is provided for only one category, deemed to be the </t>
  </si>
  <si>
    <t>category qualified for which provides the highest additional funding.  The below Duplication calculations section is designed to estimate how many funding qualified students there are among the otherwise category qualified students.</t>
  </si>
  <si>
    <t>The highest funding is provided for SPED, followed by EL, followed by GATE, followed by At Risk.</t>
  </si>
  <si>
    <t>Estimated % w/</t>
  </si>
  <si>
    <t>Undupl'ed</t>
  </si>
  <si>
    <t>Est'd % wo</t>
  </si>
  <si>
    <t>Duplication</t>
  </si>
  <si>
    <t>Default %</t>
  </si>
  <si>
    <t>English Language Learners (ELL)</t>
  </si>
  <si>
    <t>Students not identified in any of the above groups (Adjusted Base funding only)</t>
  </si>
  <si>
    <t xml:space="preserve">Students for which weighted funding may be received # </t>
  </si>
  <si>
    <t>Students for which weighted funding may be received %</t>
  </si>
  <si>
    <t xml:space="preserve">Above estimating table allows applicants to overwrite estimating formulas if they have reason to do so. </t>
  </si>
  <si>
    <t>County (In Person) / Distance Ed</t>
  </si>
  <si>
    <t>Carson City</t>
  </si>
  <si>
    <t>STATE FUNDING PORTION</t>
  </si>
  <si>
    <t>Add'l Wts%</t>
  </si>
  <si>
    <t>Add'l Wts$</t>
  </si>
  <si>
    <t>General support base (All students)(FYE 25)</t>
  </si>
  <si>
    <t>Statewide Base Per Pupil</t>
  </si>
  <si>
    <t>ENROLLMENT % (FEDERAL FUNDING PORTION)</t>
  </si>
  <si>
    <t>At Risk (% of students)</t>
  </si>
  <si>
    <t>ELL (% of students)</t>
  </si>
  <si>
    <t>Special Education (% of students) (contact staff if &gt;25% SPED)</t>
  </si>
  <si>
    <t>Special Education (# of students)</t>
  </si>
  <si>
    <t>Inflation adjustor (% per year)</t>
  </si>
  <si>
    <t>Applies to PCFP and Sponsorship fee</t>
  </si>
  <si>
    <t>PCFP Sponsorship Fee</t>
  </si>
  <si>
    <t>% of Base</t>
  </si>
  <si>
    <t>Title IA</t>
  </si>
  <si>
    <t>Title IIA (Fixed amt for all students)</t>
  </si>
  <si>
    <t>Title III ELL</t>
  </si>
  <si>
    <t>Per ELL student</t>
  </si>
  <si>
    <t>Title IV (Do not use)</t>
  </si>
  <si>
    <t>Do not use</t>
  </si>
  <si>
    <t>IDEA (total)</t>
  </si>
  <si>
    <t>Per SPED student</t>
  </si>
  <si>
    <t>Breakfast Program -- Federal Reimbursement</t>
  </si>
  <si>
    <t>Breakfast Program</t>
  </si>
  <si>
    <t>Per student per day</t>
  </si>
  <si>
    <t>Lunch Program</t>
  </si>
  <si>
    <t>Per student</t>
  </si>
  <si>
    <t>County where school is located</t>
  </si>
  <si>
    <t>Enrollment Detail</t>
  </si>
  <si>
    <t>STATE &amp; LOCAL (PCFP) FUNDING</t>
  </si>
  <si>
    <t>State PCFP Adj' Base Revenue</t>
  </si>
  <si>
    <t>State SPED Funding</t>
  </si>
  <si>
    <t>Local SPED Funding</t>
  </si>
  <si>
    <t>Inflation adjusted Total Revenue</t>
  </si>
  <si>
    <t>PCFP Sponsorship Fee (on Base)</t>
  </si>
  <si>
    <t xml:space="preserve">   PCFP Revenue Net of Sponsor Fee</t>
  </si>
  <si>
    <t xml:space="preserve">   PCFP Revenue Net of Sponsor Fee pp</t>
  </si>
  <si>
    <t>FEDERAL &amp; OTHER FUNDING PORTION</t>
  </si>
  <si>
    <t xml:space="preserve">Federal Lunch Program </t>
  </si>
  <si>
    <t>Food Services Revenue</t>
  </si>
  <si>
    <t>Transportation Funding</t>
  </si>
  <si>
    <t xml:space="preserve">  Per Pupil (Federal Funding Portion)</t>
  </si>
  <si>
    <t>Total PCFP Revenue PP</t>
  </si>
  <si>
    <t>Check (Revenue, Summary tab)</t>
  </si>
  <si>
    <t>Difference - Check (Revenue, Summary tab)</t>
  </si>
  <si>
    <t>Incubation (Pre-Year 1) Sources &amp; Uses Worksheet</t>
  </si>
  <si>
    <t>Nevada State Public Charter School Authority</t>
  </si>
  <si>
    <t>Year 0</t>
  </si>
  <si>
    <t xml:space="preserve">I pulled the Sources info'; it's more clearly handled in the revenues/resources area. </t>
  </si>
  <si>
    <t>UNIQUE YEAR ONE START UP EXPENSES</t>
  </si>
  <si>
    <t>Admissions Lottery</t>
  </si>
  <si>
    <t>Application Costs Consultants:</t>
  </si>
  <si>
    <t>Board Recruitment and Screening</t>
  </si>
  <si>
    <t>Brochures/Information</t>
  </si>
  <si>
    <t>Charter application</t>
  </si>
  <si>
    <t>Curriculum Development</t>
  </si>
  <si>
    <t>Deposits (non facility)</t>
  </si>
  <si>
    <t>Education Consultant</t>
  </si>
  <si>
    <t>Furniture Acquisition</t>
  </si>
  <si>
    <t>Insurance (If not on Insurance tab)</t>
  </si>
  <si>
    <t>Legal</t>
  </si>
  <si>
    <t>Nonprofit Incorporation (not required--but is allowed--may help with grants)</t>
  </si>
  <si>
    <t>Public meeting with hosting</t>
  </si>
  <si>
    <t>Research and Planning</t>
  </si>
  <si>
    <t>Sample items below (erase at will)</t>
  </si>
  <si>
    <t>School leader costs in incubation</t>
  </si>
  <si>
    <t>Staff Recruitment/Hiring</t>
  </si>
  <si>
    <t>Website Development</t>
  </si>
  <si>
    <t>TOTAL USES DURING PRE-OPENING</t>
  </si>
  <si>
    <t>###</t>
  </si>
  <si>
    <t>Use this tab only for unique pre-opening plan/budget costs. Otherwise, use another expense sheet.</t>
  </si>
  <si>
    <t>Year 1 Cash Flow Worksheet</t>
  </si>
  <si>
    <t>Fall</t>
  </si>
  <si>
    <t>School Operations Year 1</t>
  </si>
  <si>
    <t xml:space="preserve">Winter, Spring  </t>
  </si>
  <si>
    <t>Sponsorship Fee</t>
  </si>
  <si>
    <t>Qtr End</t>
  </si>
  <si>
    <t>SY1 Ending</t>
  </si>
  <si>
    <t>Projected</t>
  </si>
  <si>
    <t>Variance</t>
  </si>
  <si>
    <t>Mo</t>
  </si>
  <si>
    <t>BOM</t>
  </si>
  <si>
    <t>Days</t>
  </si>
  <si>
    <t>REVENUES</t>
  </si>
  <si>
    <t>PCFP Revenue</t>
  </si>
  <si>
    <t>CS Sponsorship Fee @ 0.0125</t>
  </si>
  <si>
    <t>State Weighted Funding</t>
  </si>
  <si>
    <t>Charter Start up funds</t>
  </si>
  <si>
    <t>Other start-up grant funds</t>
  </si>
  <si>
    <t>Student Fees</t>
  </si>
  <si>
    <t>Total Revenues</t>
  </si>
  <si>
    <t>Total Revenues Y-T-D</t>
  </si>
  <si>
    <t>% Revenue YTD</t>
  </si>
  <si>
    <t>OPERATING EXPENDITURES &amp; OTHER CASH OUTLAYS</t>
  </si>
  <si>
    <t>Personnel</t>
  </si>
  <si>
    <t>Instructional Supplies</t>
  </si>
  <si>
    <t>Contract Services</t>
  </si>
  <si>
    <t>Food &amp; Transportation Program</t>
  </si>
  <si>
    <t>Athletics</t>
  </si>
  <si>
    <t>General Optg Exp' Inflation</t>
  </si>
  <si>
    <t>Campus (Lease/Mortgage)</t>
  </si>
  <si>
    <t>Security Deposits (Site Lease)</t>
  </si>
  <si>
    <t>Total Expenditures</t>
  </si>
  <si>
    <t>Net Surplus (Deficit)</t>
  </si>
  <si>
    <t>Net Surplus (Deficit) Check</t>
  </si>
  <si>
    <t>Cumulative Funding-Capital Surplus (Deficit)</t>
  </si>
  <si>
    <t>Total Expenses Y-T-D</t>
  </si>
  <si>
    <t>% Budget YTD</t>
  </si>
  <si>
    <t>YTD ((Rev-Exp)/Rev)(Timing of Revenue Inflows/Expense Outflows)</t>
  </si>
  <si>
    <t>Days YTD</t>
  </si>
  <si>
    <t>SCHOOL FINANCING/BORROWING/FUNDING</t>
  </si>
  <si>
    <t>Beginning Loan Balance</t>
  </si>
  <si>
    <t>Additional Borrowings</t>
  </si>
  <si>
    <t>Period Balance</t>
  </si>
  <si>
    <t>Interest Expense w/APR @</t>
  </si>
  <si>
    <t>Loans/Financing Payments</t>
  </si>
  <si>
    <t>Ending Loan Balance</t>
  </si>
  <si>
    <t>Cumulative Net Surplus Balance (Cash Balance)</t>
  </si>
  <si>
    <t>Cash/Expense X</t>
  </si>
  <si>
    <t>Revenue / Revenue %</t>
  </si>
  <si>
    <t>Private Fundraising</t>
  </si>
  <si>
    <t>Fundraising Donations</t>
  </si>
  <si>
    <t xml:space="preserve">Total Revenue </t>
  </si>
  <si>
    <t>Expense / Revenue %</t>
  </si>
  <si>
    <t>Salaries</t>
  </si>
  <si>
    <t>Benefits</t>
  </si>
  <si>
    <t>Part-Time Wages</t>
  </si>
  <si>
    <t>Performance Bonuses</t>
  </si>
  <si>
    <t>Payroll Services</t>
  </si>
  <si>
    <t>Contracts</t>
  </si>
  <si>
    <t>Food Service</t>
  </si>
  <si>
    <t>Lease/Mortgage</t>
  </si>
  <si>
    <t>Custodial</t>
  </si>
  <si>
    <t>Utilities</t>
  </si>
  <si>
    <t>CAM/Maintenance</t>
  </si>
  <si>
    <t>Campus Security</t>
  </si>
  <si>
    <t>Capital Outlay (TI)</t>
  </si>
  <si>
    <t>Projected Cash Balance Statement</t>
  </si>
  <si>
    <t>Net change in Cash from operations</t>
  </si>
  <si>
    <t>Begin Cash Balance(F/B)</t>
  </si>
  <si>
    <t>End Cash Balance (F/B)</t>
  </si>
  <si>
    <t>Benefits/Salaries Exp</t>
  </si>
  <si>
    <t># Employees</t>
  </si>
  <si>
    <t>Benefits/Employee</t>
  </si>
  <si>
    <t>Salaries/Employee</t>
  </si>
  <si>
    <t>Staffing Expenses</t>
  </si>
  <si>
    <t>STAFF FTE COUNT (FT &amp; PT w/Benefits)</t>
  </si>
  <si>
    <t>Staff Summary</t>
  </si>
  <si>
    <t>FTE - Administrators</t>
  </si>
  <si>
    <t>FTE - Office</t>
  </si>
  <si>
    <t>FTE - SPED Teachers</t>
  </si>
  <si>
    <t>FTE - ELL Teachers</t>
  </si>
  <si>
    <t>FTE - Guidance Counselors &amp; Other</t>
  </si>
  <si>
    <t>FTE - Grade Level Teachers</t>
  </si>
  <si>
    <t xml:space="preserve">   Total FTEs w/benefits @ School</t>
  </si>
  <si>
    <t>Part-Time Staff w/o benefits (FTE count)</t>
  </si>
  <si>
    <t>Total Staff w/w/o benefits (FTE count)</t>
  </si>
  <si>
    <t>Avg (no SY 0)</t>
  </si>
  <si>
    <t>Enrollment</t>
  </si>
  <si>
    <t xml:space="preserve">  FTE Teachers (SPED, ELL, Grade Level)</t>
  </si>
  <si>
    <t xml:space="preserve">  Student/Teacher ratio</t>
  </si>
  <si>
    <t>Total Revenue</t>
  </si>
  <si>
    <t>TOTAL SALARIES</t>
  </si>
  <si>
    <t>BENEFITS</t>
  </si>
  <si>
    <t>MEDICAL</t>
  </si>
  <si>
    <t>Retirement (PERS-Required)</t>
  </si>
  <si>
    <t>Other benefits</t>
  </si>
  <si>
    <t>Total Personnel Expense</t>
  </si>
  <si>
    <t>Total Personnel Expense per Student</t>
  </si>
  <si>
    <t>Net Surplus after Personnel</t>
  </si>
  <si>
    <t>Net Surplus after Personnel per Student</t>
  </si>
  <si>
    <t>Net Surplus/Deficit</t>
  </si>
  <si>
    <t>Net Surplus/Deficit per student</t>
  </si>
  <si>
    <t>STAFFING COSTS</t>
  </si>
  <si>
    <t>ASSUMPTIONS</t>
  </si>
  <si>
    <t>Payroll Tax and Benefits</t>
  </si>
  <si>
    <t>Medical</t>
  </si>
  <si>
    <t>Single Coverage</t>
  </si>
  <si>
    <t>Per year</t>
  </si>
  <si>
    <t>Family Coverage</t>
  </si>
  <si>
    <t xml:space="preserve">School's percentage of coverage </t>
  </si>
  <si>
    <t>Assumed percentage of employees choosing single coverage</t>
    <phoneticPr fontId="7" type="noConversion"/>
  </si>
  <si>
    <t>Weighted avg. cost for medical</t>
  </si>
  <si>
    <t>/ Employee/Year</t>
  </si>
  <si>
    <t>FICA</t>
  </si>
  <si>
    <t>% Wages</t>
  </si>
  <si>
    <t>State Retirement (PERS, Required)</t>
  </si>
  <si>
    <t>Life Insurance</t>
  </si>
  <si>
    <t>GASB 75 (replaces GASB 45)</t>
  </si>
  <si>
    <t>/ Employee</t>
  </si>
  <si>
    <t>Unemployment Insurance</t>
  </si>
  <si>
    <t>Workers' Compensation Insurance</t>
  </si>
  <si>
    <t>/Emp'ee/month</t>
  </si>
  <si>
    <t>Performance Bonus</t>
  </si>
  <si>
    <t>Enter row ~379</t>
  </si>
  <si>
    <t>Inflation (Salaries &amp; related, COLA)</t>
  </si>
  <si>
    <t>Medical benefits costs tied to salaries, rise w/Inflation.</t>
  </si>
  <si>
    <t>Saturday schools per year</t>
  </si>
  <si>
    <t>Contractors required for Saturday School</t>
  </si>
  <si>
    <t>Price per contractor</t>
  </si>
  <si>
    <t>Base Salary</t>
  </si>
  <si>
    <t>Fall of School Year 1 =</t>
  </si>
  <si>
    <t xml:space="preserve">FTE Count &amp; Hiring Timing </t>
  </si>
  <si>
    <t>Administrators (Full-time &amp; Part-Time w/benefits)</t>
  </si>
  <si>
    <t>year</t>
  </si>
  <si>
    <t xml:space="preserve">Total Administrators </t>
  </si>
  <si>
    <t>Office Staff (Full-time &amp; Part-Time w/benefits)</t>
  </si>
  <si>
    <t>Total Administrators and Office Staff</t>
  </si>
  <si>
    <t>Special Education (SPED) Teachers (Full-time &amp; Part-Time w/benefits)</t>
  </si>
  <si>
    <t xml:space="preserve">     SPED Students</t>
  </si>
  <si>
    <t xml:space="preserve">     SPED Students/Teacher Ratio</t>
  </si>
  <si>
    <t>English Language Learner (ELL) Teachers (Full-time &amp; Part-Time w/benefits)</t>
  </si>
  <si>
    <t>Total ELL Teachers</t>
  </si>
  <si>
    <t xml:space="preserve">Total Special Education/ELL Teachers/Guidance Counselors </t>
  </si>
  <si>
    <t>Total Faculty before Teachers</t>
  </si>
  <si>
    <t>Teacher</t>
  </si>
  <si>
    <t>SYE</t>
  </si>
  <si>
    <t>FTE Count</t>
  </si>
  <si>
    <t>na</t>
  </si>
  <si>
    <t>General</t>
  </si>
  <si>
    <t>Total Teachers (SPED, ELL, Grade + Counselors)</t>
  </si>
  <si>
    <t>SALARIES</t>
  </si>
  <si>
    <t xml:space="preserve">   Subtotal</t>
  </si>
  <si>
    <t xml:space="preserve">   Subtotal Office Staff</t>
  </si>
  <si>
    <t>Total Grade Level Teacher Salaries</t>
  </si>
  <si>
    <t>Performance Bonuses (Manually estimate)</t>
  </si>
  <si>
    <t>Total Medical Benefits</t>
  </si>
  <si>
    <t>FICA (Federal Insurance Contributions Act)</t>
  </si>
  <si>
    <t>Total FICA</t>
  </si>
  <si>
    <t>State Retirement (PERS-Required)</t>
  </si>
  <si>
    <t>TOTAL STATE RETIREMENT COSTS</t>
  </si>
  <si>
    <t>TOTAL LIFE INSURANCE</t>
  </si>
  <si>
    <t>TOTAL UNEMPLOYMENT INSURANCE</t>
  </si>
  <si>
    <t>Total Workers' Comp</t>
  </si>
  <si>
    <t>TOTAL BENEFITS</t>
  </si>
  <si>
    <t xml:space="preserve">     % of Salaries</t>
  </si>
  <si>
    <t>Part-Time Employees (w/o benefits)</t>
  </si>
  <si>
    <t>Annualized Pay</t>
  </si>
  <si>
    <t>1. Input Part-Time Employee(s) (PTE)</t>
  </si>
  <si>
    <t xml:space="preserve">     Count of PTE (FTE equivalent)(calculator below)</t>
  </si>
  <si>
    <t xml:space="preserve">     Annualized salary</t>
  </si>
  <si>
    <t>2. Input part-time employee</t>
  </si>
  <si>
    <t xml:space="preserve">     Count of PTE (FTE equivalence)</t>
  </si>
  <si>
    <t>3. Input part-time employee</t>
  </si>
  <si>
    <t>4. Input part-time employee</t>
  </si>
  <si>
    <t>5. Input part-time employee</t>
  </si>
  <si>
    <t>Subtotal Part-Time Employee Wages</t>
  </si>
  <si>
    <t>FICA on Part-Time Employees wages</t>
  </si>
  <si>
    <t>PART TIME WAGES</t>
  </si>
  <si>
    <t>Total Part-Time Employees (w/o benefits)(FTE Count)</t>
  </si>
  <si>
    <t>PAYROLL SERVICES</t>
  </si>
  <si>
    <t>PERSONNEL (W/PAYROLL)</t>
  </si>
  <si>
    <t>LEASE OPTION</t>
  </si>
  <si>
    <t>Lease area (conditioned space)(sq ft)</t>
  </si>
  <si>
    <t>Lease rate/sq ft/Month (Contract--Before waivers/deferrals; w/o escalator)</t>
  </si>
  <si>
    <t>Lease rate/sq ft/Year (Contract--Before waivers/deferrals; w/o escalator)</t>
  </si>
  <si>
    <t>Lease rate escalator</t>
  </si>
  <si>
    <t>Lease cost/sf/month (after waivers)</t>
  </si>
  <si>
    <t>Lease rate /yr w/esca'  (after waivers)</t>
  </si>
  <si>
    <t>Facility lease cost/yr</t>
  </si>
  <si>
    <t>Per sq ft</t>
  </si>
  <si>
    <t>Custodial (Non CAM)/yr</t>
  </si>
  <si>
    <t>/sf/yr</t>
  </si>
  <si>
    <t>Utilities/yr</t>
  </si>
  <si>
    <t>CAM/yr</t>
  </si>
  <si>
    <t>Campus security</t>
  </si>
  <si>
    <t>/yr</t>
  </si>
  <si>
    <t>Insurance (If not on Ins' tab)</t>
  </si>
  <si>
    <t>Internal/major repairs</t>
  </si>
  <si>
    <t xml:space="preserve">Maintenance </t>
  </si>
  <si>
    <t>Property Taxes</t>
  </si>
  <si>
    <t>Escalator on Custodial, Utilities, CAM, Security)</t>
  </si>
  <si>
    <t>Above costs</t>
  </si>
  <si>
    <t>Security Deposit(s)(post to Cashflow ("CF Y1 Mo" tab)</t>
  </si>
  <si>
    <t>Lump sum</t>
  </si>
  <si>
    <t>Tenant Improvement Costs (Initial Capital Outlay for Occupancy)</t>
  </si>
  <si>
    <t xml:space="preserve">     Architecture &amp; Engineering</t>
  </si>
  <si>
    <t xml:space="preserve">     Space Planning</t>
  </si>
  <si>
    <t xml:space="preserve">     Other facility preparation costs</t>
  </si>
  <si>
    <t>Depreciation-Capital Outlay</t>
  </si>
  <si>
    <t>Total cash cost to lease (FYI, not shown on Summary tab)</t>
  </si>
  <si>
    <t>Total lease book expense (shown on Summary tab)</t>
  </si>
  <si>
    <t>Book Expense - Cash Cost</t>
  </si>
  <si>
    <t>Facility lease cost / Month</t>
  </si>
  <si>
    <t>Custodial (Non CAM)/mo</t>
  </si>
  <si>
    <t>Utilities/mo</t>
  </si>
  <si>
    <t>CAM /mo</t>
  </si>
  <si>
    <t>City/County sign off of improvement plans--all required work identified</t>
  </si>
  <si>
    <t>PURCHASE OPTION</t>
  </si>
  <si>
    <t>Square feet purchased</t>
  </si>
  <si>
    <t>Equity</t>
  </si>
  <si>
    <t>% of purchase price</t>
  </si>
  <si>
    <t>Purchase price per sq ft</t>
  </si>
  <si>
    <t>Amount Financed</t>
  </si>
  <si>
    <t>Purchase price</t>
  </si>
  <si>
    <t>Loan Term (years)</t>
  </si>
  <si>
    <t>Renovation cost per sq ft</t>
  </si>
  <si>
    <t>Bank Fees &amp; Points</t>
  </si>
  <si>
    <t>Total renovation costs</t>
  </si>
  <si>
    <t>Interest Rate</t>
  </si>
  <si>
    <t>Purchase price and renovation costs</t>
  </si>
  <si>
    <t>Monthly Debt Service</t>
  </si>
  <si>
    <t>Annual Debt Service</t>
  </si>
  <si>
    <t xml:space="preserve">Estimated annual interest expense </t>
  </si>
  <si>
    <t>(based on PV of all interest payments)</t>
  </si>
  <si>
    <t>Custodial Services</t>
  </si>
  <si>
    <t>Equity (down payment)</t>
  </si>
  <si>
    <t>Financing costs (6 months during planning year)</t>
  </si>
  <si>
    <t>Total cash costs to purchase</t>
  </si>
  <si>
    <t>Total purchase book  expense</t>
  </si>
  <si>
    <t>TOTAL FACILITIES CASH COSTS</t>
  </si>
  <si>
    <t>TOTAL FACILITIES Book Expense</t>
  </si>
  <si>
    <t>Difference</t>
  </si>
  <si>
    <t>To pull to other sheets</t>
  </si>
  <si>
    <t>SY 0/Incubation</t>
  </si>
  <si>
    <t>SY 1</t>
  </si>
  <si>
    <t>SY 2</t>
  </si>
  <si>
    <t>SY 3</t>
  </si>
  <si>
    <t>SY 4</t>
  </si>
  <si>
    <t>SY 5</t>
  </si>
  <si>
    <t>SY 6</t>
  </si>
  <si>
    <t>Square Feet</t>
  </si>
  <si>
    <t>Fall, Winter</t>
  </si>
  <si>
    <t>Be sure year 1 information below matches with your Year 1 Cashflow Worksheet totals</t>
  </si>
  <si>
    <t>Student / Classroom</t>
  </si>
  <si>
    <t xml:space="preserve">  Estimated # students to newly enroll</t>
  </si>
  <si>
    <t xml:space="preserve">   ELL (# of students)</t>
  </si>
  <si>
    <t>Total Revenue / Pupil</t>
  </si>
  <si>
    <t>Total GenOp</t>
  </si>
  <si>
    <t>GenOp per Student</t>
  </si>
  <si>
    <t>Net Surplus after Gen Op</t>
  </si>
  <si>
    <t>Net Surplus after Gen Op per Student</t>
  </si>
  <si>
    <t>STAFF FTE COUNT</t>
  </si>
  <si>
    <t xml:space="preserve">   FTE - Total </t>
  </si>
  <si>
    <t>GENERAL OPERATING EXPENSES</t>
  </si>
  <si>
    <t>Assumptions</t>
  </si>
  <si>
    <t>(Manual entry)</t>
  </si>
  <si>
    <t>Professional development</t>
  </si>
  <si>
    <t>Per FTE</t>
  </si>
  <si>
    <t>Staff recruitment</t>
  </si>
  <si>
    <t>Per Year</t>
    <phoneticPr fontId="7" type="noConversion"/>
  </si>
  <si>
    <t>Special Ed/Psychology Consultant</t>
  </si>
  <si>
    <t>Annual Expense</t>
  </si>
  <si>
    <t>Textbooks - initial costs</t>
  </si>
  <si>
    <t>Textbooks - repurchase of new books</t>
  </si>
  <si>
    <t>Number of years use</t>
  </si>
  <si>
    <t>Library books per new student</t>
  </si>
  <si>
    <t>Per New Student</t>
  </si>
  <si>
    <t>Food services</t>
  </si>
  <si>
    <t>Music program</t>
  </si>
  <si>
    <t>Per Student</t>
  </si>
  <si>
    <t>% of PCFP &amp; Other Grant funds</t>
  </si>
  <si>
    <t>Licensing fees</t>
  </si>
  <si>
    <t>Office Supplies (non direct student; not equip)</t>
  </si>
  <si>
    <t>Supplies for students (not equip)</t>
  </si>
  <si>
    <t>Assessment costs</t>
  </si>
  <si>
    <t>Yearbook</t>
  </si>
  <si>
    <t>School store</t>
  </si>
  <si>
    <t>Contracted SPED</t>
  </si>
  <si>
    <t>Per Instructional FTE</t>
  </si>
  <si>
    <t>General office supplies (enter here or above/student; not equip)</t>
  </si>
  <si>
    <t>Per month</t>
  </si>
  <si>
    <t>School uniforms - new students</t>
  </si>
  <si>
    <t>Per new student</t>
  </si>
  <si>
    <t>Annual Exp</t>
  </si>
  <si>
    <t>Health supplies</t>
  </si>
  <si>
    <t>Per student per year</t>
  </si>
  <si>
    <t>Bank fees</t>
  </si>
  <si>
    <t>Athletic expenditures (detail below)</t>
  </si>
  <si>
    <t>Postage and shipping</t>
  </si>
  <si>
    <t>Gifts &amp; awards - students</t>
  </si>
  <si>
    <t>Gifts &amp; awards - faculty and staff</t>
  </si>
  <si>
    <t>Dues and memberships</t>
  </si>
  <si>
    <t>Travel and Meetings</t>
  </si>
  <si>
    <t>Background checks</t>
  </si>
  <si>
    <t>Per new FTE</t>
  </si>
  <si>
    <t xml:space="preserve">Field trips </t>
  </si>
  <si>
    <t>Per grade level</t>
  </si>
  <si>
    <t>Field trips - out of state</t>
  </si>
  <si>
    <t>Governance/Board Background Checks</t>
  </si>
  <si>
    <t>Governance/Board Training</t>
  </si>
  <si>
    <t>Governance/Board Other Expenses</t>
  </si>
  <si>
    <t>Parent &amp; staff meetings</t>
  </si>
  <si>
    <t>Saturday School (contractors for instruction)</t>
  </si>
  <si>
    <t>Input "yes" or "no"</t>
  </si>
  <si>
    <t>Annual audit</t>
  </si>
  <si>
    <t>Brochures, Information</t>
  </si>
  <si>
    <t>Community meeting, hosting</t>
  </si>
  <si>
    <t>Deposits (non facility--if not shown elsewhere)</t>
  </si>
  <si>
    <t>HR: Hiring: Head of School</t>
  </si>
  <si>
    <t>Legal fees (Incubation Year)</t>
  </si>
  <si>
    <t>Legal fees (Post incubation)</t>
  </si>
  <si>
    <t>School leader acquisition/development costs in incubation</t>
  </si>
  <si>
    <t>Total Contract/Other Services</t>
  </si>
  <si>
    <t>School Pays?</t>
  </si>
  <si>
    <t>Breakfast</t>
  </si>
  <si>
    <t>Snacks</t>
  </si>
  <si>
    <t>Saturday food program</t>
  </si>
  <si>
    <t>Total Food Costs</t>
  </si>
  <si>
    <t>TRANSPORTATION REVENUES/FUNDING</t>
  </si>
  <si>
    <t>Transportation Revenues/Funding (if applicable)</t>
  </si>
  <si>
    <t>TRANSPORTATION COSTS</t>
  </si>
  <si>
    <t>Students per bus (average individual bus capacity or average per route requiring a bus)</t>
  </si>
  <si>
    <t>Bus purchase price (used bus)</t>
  </si>
  <si>
    <t>Miles driven per bus per day</t>
  </si>
  <si>
    <t>Miles driven per bus per year</t>
  </si>
  <si>
    <t>Miles per gallon</t>
  </si>
  <si>
    <t>Gallons purchased per year</t>
  </si>
  <si>
    <t>Price per gallon</t>
  </si>
  <si>
    <t>Annual fuel costs per bus</t>
  </si>
  <si>
    <t xml:space="preserve">Maintenance costs per bus </t>
  </si>
  <si>
    <t>per mile</t>
  </si>
  <si>
    <t>Annual maintenance costs per bus</t>
  </si>
  <si>
    <t>Bus Contracting Costs</t>
    <phoneticPr fontId="7" type="noConversion"/>
  </si>
  <si>
    <t>annual</t>
  </si>
  <si>
    <t>Number of buses required</t>
  </si>
  <si>
    <t>Cost of additional bus(es)</t>
  </si>
  <si>
    <t>Fuel costs</t>
  </si>
  <si>
    <t>Maintenance costs</t>
  </si>
  <si>
    <t>TOTAL TRANSPORTATION COSTS</t>
  </si>
  <si>
    <t>Per estimated rider-pupil cost</t>
  </si>
  <si>
    <t>NET TRANSPORTATION CASHFLOW</t>
  </si>
  <si>
    <t>Athletic Costs detail (subtotal posted above) (not in print range)</t>
  </si>
  <si>
    <t>TOTAL ATHLETIC COSTS</t>
  </si>
  <si>
    <t>Inflation (compounded/year)</t>
  </si>
  <si>
    <t>TOTAL GENERAL OPERATING EXPENSES</t>
  </si>
  <si>
    <t xml:space="preserve">   TOT GEN OPERATING EXPENSES w/o Trans</t>
  </si>
  <si>
    <t>Student enrollment</t>
  </si>
  <si>
    <t>Number of copiers needed</t>
  </si>
  <si>
    <t>Annual copier lease</t>
  </si>
  <si>
    <t>Copier - usage fee</t>
  </si>
  <si>
    <t>Computers - Faculty</t>
  </si>
  <si>
    <t>Per new laptop</t>
  </si>
  <si>
    <t>Computers (Replacement) - Faculty</t>
  </si>
  <si>
    <t>Computers - Students</t>
  </si>
  <si>
    <t>Computers (Replacement)- Students</t>
  </si>
  <si>
    <t>Cart Costs</t>
  </si>
  <si>
    <t>FTE Cell phone handsets</t>
  </si>
  <si>
    <t>Per handset</t>
  </si>
  <si>
    <t>FTE Cell phones</t>
  </si>
  <si>
    <t>Internet setup</t>
  </si>
  <si>
    <t>Server</t>
  </si>
  <si>
    <t>Classroom technology, other</t>
  </si>
  <si>
    <t>Per classroom</t>
  </si>
  <si>
    <t>Educational software/curriculum</t>
  </si>
  <si>
    <t>Technology Support Services</t>
  </si>
  <si>
    <t>Internet and phone monthly service</t>
  </si>
  <si>
    <t>Website development, maintenance</t>
  </si>
  <si>
    <t>Other Equipment (security system, 
Hardware costs, setup fees)</t>
  </si>
  <si>
    <t>Other Equipment replacement</t>
  </si>
  <si>
    <t>Expected years</t>
  </si>
  <si>
    <t>Monthly equipment cost</t>
  </si>
  <si>
    <t>Computer Hardware (Other)</t>
  </si>
  <si>
    <t>Computer Software</t>
  </si>
  <si>
    <t>Comments (Row #, you can include calculations in this workspace area; you can also insert Comments in cells above)</t>
  </si>
  <si>
    <t>Select Information</t>
  </si>
  <si>
    <t>Total Enrollment</t>
  </si>
  <si>
    <t>Rev per student</t>
  </si>
  <si>
    <t>Total FFE&amp;T</t>
  </si>
  <si>
    <t>FFE&amp;T per Student</t>
  </si>
  <si>
    <t>Net Surplus after FFE&amp;T</t>
  </si>
  <si>
    <t>Net Surplus after FFE&amp;T per Student</t>
  </si>
  <si>
    <t>Insurance Coverage Expenses</t>
  </si>
  <si>
    <t xml:space="preserve">Pre-Opening </t>
  </si>
  <si>
    <t>(You may overwrite the formulas below)</t>
  </si>
  <si>
    <t>Insurance types</t>
  </si>
  <si>
    <t>Minimum</t>
  </si>
  <si>
    <t>Annual</t>
  </si>
  <si>
    <t>(Select appropriate coverages)</t>
  </si>
  <si>
    <t>Coverage</t>
  </si>
  <si>
    <t>Cost</t>
  </si>
  <si>
    <t>6 yr+0</t>
  </si>
  <si>
    <t>NAC 388A.190</t>
  </si>
  <si>
    <t>(a) Industrial insurance coverage, if applicable</t>
  </si>
  <si>
    <t>(b) General liability insurance minimum coverage of $1,000,000. Includes coverage for molestation and sexual abuse, and have a broad form policy, with the named insureds:</t>
  </si>
  <si>
    <t>(c) Umbrella</t>
  </si>
  <si>
    <t>(d) Educators’ legal</t>
  </si>
  <si>
    <t>(e) Employment practices</t>
  </si>
  <si>
    <t>(f) Employment benefits</t>
  </si>
  <si>
    <t>(g) Insurance covering errors and omissions of the sponsor and 
governing body of the charter school</t>
  </si>
  <si>
    <t>(h) Motor vehicle, if applicable</t>
  </si>
  <si>
    <t>(i) Sports and athletic participation, if applicable</t>
  </si>
  <si>
    <t>NAC 388A.195</t>
  </si>
  <si>
    <t>Legal services &amp; expenses for due process complaints</t>
  </si>
  <si>
    <t>Ck w/agent</t>
  </si>
  <si>
    <t>OR describe NAC 388A.195 Reserve Fund plan in Application narrative</t>
  </si>
  <si>
    <t>Unemployment Insurance (see Staff tab)</t>
  </si>
  <si>
    <t>Worker's Compensation (see Staff tab)</t>
  </si>
  <si>
    <t>Total Insurance Expense b4 Inflation</t>
  </si>
  <si>
    <t>Inflation (Compounds)</t>
  </si>
  <si>
    <t>Marketing &amp; Recruitment Expenses</t>
  </si>
  <si>
    <t>STUDENT RECRUITMENT AND MARKETING</t>
  </si>
  <si>
    <t>Marketing/Recruitment Method</t>
  </si>
  <si>
    <t>Total Cost</t>
  </si>
  <si>
    <t>EMO, CMO, BOSP Budget Worksheet</t>
  </si>
  <si>
    <t>School Year 1 (Fall Start)</t>
  </si>
  <si>
    <t>Total Expenses (w/o EMO/CMO Fees)</t>
  </si>
  <si>
    <t>Do you plan to contract with a EMO/CMO during this term?</t>
  </si>
  <si>
    <t>Y/N?</t>
  </si>
  <si>
    <t>EMO/CMO/BOSP Services/Fee base/Type (Check largest applicable)</t>
  </si>
  <si>
    <t xml:space="preserve">    Per Pupil, or</t>
  </si>
  <si>
    <t xml:space="preserve">    PCFP (State) Revenue</t>
  </si>
  <si>
    <t xml:space="preserve">    Other State &amp; Local Revenue</t>
  </si>
  <si>
    <t>Check Fee Base</t>
  </si>
  <si>
    <t xml:space="preserve">    Federal</t>
  </si>
  <si>
    <t xml:space="preserve">    Total Federal, State &amp; Local Revenue, Grants, other funds </t>
  </si>
  <si>
    <t>Estimated EMO, CMO, and/or BOSP Fees</t>
  </si>
  <si>
    <t>OR</t>
  </si>
  <si>
    <t>% fee on (base),(Years x-y)</t>
  </si>
  <si>
    <t>% fee per "…" (Years z-a)</t>
  </si>
  <si>
    <t>Cost plus (Years 1 &amp; 2)</t>
  </si>
  <si>
    <t>Cost plus  (Years 3-6)</t>
  </si>
  <si>
    <t>Other fee structure (describe)</t>
  </si>
  <si>
    <t xml:space="preserve">NAC 388A.580 Initial EMO contract terms cannot exceed 2 years. Renewal contracts cannot exceed the remaining term of the written charter or charter contract, </t>
  </si>
  <si>
    <t>EMO or CMO</t>
  </si>
  <si>
    <t>BOSP</t>
  </si>
  <si>
    <t>Do they Perform</t>
  </si>
  <si>
    <t>Or a Cost</t>
  </si>
  <si>
    <t>Perform</t>
  </si>
  <si>
    <t>in fee?</t>
  </si>
  <si>
    <t>the Service?</t>
  </si>
  <si>
    <t>Pass Thru?</t>
  </si>
  <si>
    <t>Service?</t>
  </si>
  <si>
    <t>Y/N</t>
  </si>
  <si>
    <t>"Back office" functions (Accounting, A/P, A/R, Payroll, Inventory, financial, compliance, reporting)</t>
  </si>
  <si>
    <t>Accounting (AR, AP...)</t>
  </si>
  <si>
    <t>Bond Financing</t>
  </si>
  <si>
    <t xml:space="preserve">Capital Loans, </t>
  </si>
  <si>
    <t xml:space="preserve">Cash Advances For Startup Funds, </t>
  </si>
  <si>
    <t>Computer/Other Leasing</t>
  </si>
  <si>
    <t>Compliance</t>
  </si>
  <si>
    <t>Contract Mgt</t>
  </si>
  <si>
    <t>Curriculum</t>
  </si>
  <si>
    <t xml:space="preserve">Development of Curriculum and Instruction, </t>
  </si>
  <si>
    <t xml:space="preserve">Establishment of College Guidance &amp; Counseling Program. </t>
  </si>
  <si>
    <t>Facility Acquisition</t>
  </si>
  <si>
    <t>Facility Leasing</t>
  </si>
  <si>
    <t>Facility Tenant Improvement</t>
  </si>
  <si>
    <t>Federal funds processing</t>
  </si>
  <si>
    <t>Finance</t>
  </si>
  <si>
    <t>Food Servicing</t>
  </si>
  <si>
    <t xml:space="preserve">Furnishings, Fixtures, </t>
  </si>
  <si>
    <t>Grant Application/Processing costs</t>
  </si>
  <si>
    <t>Safety</t>
  </si>
  <si>
    <t>HR Management</t>
  </si>
  <si>
    <t>Internal Control Process Development</t>
  </si>
  <si>
    <t>Inventory</t>
  </si>
  <si>
    <t>Manage or Operate aspects of a charter school</t>
  </si>
  <si>
    <t>Payroll</t>
  </si>
  <si>
    <t xml:space="preserve">Professional Development and </t>
  </si>
  <si>
    <t>Purchasing</t>
  </si>
  <si>
    <t>Reporting</t>
  </si>
  <si>
    <t xml:space="preserve">Supervision of building Design &amp; Remodeling, </t>
  </si>
  <si>
    <t xml:space="preserve">Technology Contracting, </t>
  </si>
  <si>
    <t>Total EMO-CMO-ESP Planned Expenses</t>
  </si>
  <si>
    <t>Special Populations &amp; Demographics</t>
  </si>
  <si>
    <t>For reference:</t>
  </si>
  <si>
    <t>NDE Enrollment Data</t>
  </si>
  <si>
    <t>Academic &amp; Demographic Needs Assessment (ADNA)</t>
  </si>
  <si>
    <t>PCFP Rates</t>
  </si>
  <si>
    <t>In person</t>
  </si>
  <si>
    <t>Charter</t>
  </si>
  <si>
    <t>SYE 24</t>
  </si>
  <si>
    <t>SYE 25</t>
  </si>
  <si>
    <t>The content here is pulled to the "Enroll &amp; Rev" tab, so be careful modifying it.</t>
  </si>
  <si>
    <t>Churchill</t>
  </si>
  <si>
    <t>Clark</t>
  </si>
  <si>
    <t>Elko</t>
  </si>
  <si>
    <t>Nye</t>
  </si>
  <si>
    <t>Washoe (Reno)</t>
  </si>
  <si>
    <t>Washoe (Stead)</t>
  </si>
  <si>
    <t>White Pine</t>
  </si>
  <si>
    <t>Statewide base</t>
  </si>
  <si>
    <t>Special Populations</t>
  </si>
  <si>
    <t>SpEd (TEST INPUT)</t>
  </si>
  <si>
    <t>Using 2024 rates until we see the 2025 rates from NDE.  See NDE SPED payments file (e.g., FY 2024 Special Education Payment Book - Q2_10.25.2023), "Charter School Base Allocation" tab.</t>
  </si>
  <si>
    <t>English learners</t>
  </si>
  <si>
    <t>Gifted and talented</t>
  </si>
  <si>
    <t>SB 458 (2021) established the funding rates for the SYE 22 and SYE 23 biennium.</t>
  </si>
  <si>
    <t>NDE Adjustment Factor</t>
  </si>
  <si>
    <t>For the base</t>
  </si>
  <si>
    <t>Only for the State SPED account which was not "pre" affected by the .9931% reduction.</t>
  </si>
  <si>
    <t>SYE 23</t>
  </si>
  <si>
    <t>Distance Ed SB 458.5.5 &amp; 6.5</t>
  </si>
  <si>
    <t>Distance Ed SB 458.5.5...w/Adj</t>
  </si>
  <si>
    <t>Final adjusted base PPR, SB 458.5-6 (2021)</t>
  </si>
  <si>
    <t>% Chg YOY</t>
  </si>
  <si>
    <t xml:space="preserve">Carson City </t>
  </si>
  <si>
    <t xml:space="preserve">Churchill </t>
  </si>
  <si>
    <t xml:space="preserve">Clark </t>
  </si>
  <si>
    <t xml:space="preserve">Elko </t>
  </si>
  <si>
    <t xml:space="preserve">Washoe </t>
  </si>
  <si>
    <t xml:space="preserve">White Pine </t>
  </si>
  <si>
    <t>Final adjusted base PPR, SB 458.5-6-(2021)-w/NDE Adj Factor</t>
  </si>
  <si>
    <t>SYE 22-
conf'd</t>
  </si>
  <si>
    <t>Washoe</t>
  </si>
  <si>
    <t>CC-SYE 22</t>
  </si>
  <si>
    <t>Additional weighted PPR, SB 458.5-7 (2021)</t>
  </si>
  <si>
    <t>Placeholders for testing @ 33%</t>
  </si>
  <si>
    <t>Enrollments</t>
  </si>
  <si>
    <t>In Person</t>
  </si>
  <si>
    <t>Distance Ed'</t>
  </si>
  <si>
    <t>Working area</t>
  </si>
  <si>
    <t>Enter estimated enrollment numbers below based on the applicable categories.</t>
  </si>
  <si>
    <t>Total Enrollment (Year 1)</t>
  </si>
  <si>
    <t>General (No special pop')</t>
  </si>
  <si>
    <t>Special Populations (Unduplicated)</t>
  </si>
  <si>
    <t>Special populations (Unduplicated)</t>
  </si>
  <si>
    <t xml:space="preserve">School </t>
  </si>
  <si>
    <t>Raw totals</t>
  </si>
  <si>
    <t>Estimated Unduplicated Enrollment</t>
  </si>
  <si>
    <t>w/Dupl'n</t>
  </si>
  <si>
    <t>No</t>
  </si>
  <si>
    <t>Enrol' w/o</t>
  </si>
  <si>
    <t>Reality vs. Random</t>
  </si>
  <si>
    <t>SPED</t>
  </si>
  <si>
    <t>SPED-GATE</t>
  </si>
  <si>
    <t>SPED-ELL</t>
  </si>
  <si>
    <t>SPED-AR</t>
  </si>
  <si>
    <t>Total %</t>
  </si>
  <si>
    <t>Duplication %</t>
  </si>
  <si>
    <t>Duplication #</t>
  </si>
  <si>
    <t>Actual vs. Random</t>
  </si>
  <si>
    <t>GATE</t>
  </si>
  <si>
    <t>GATE - ELL</t>
  </si>
  <si>
    <t>GATE-AR</t>
  </si>
  <si>
    <t>ELL</t>
  </si>
  <si>
    <t>ELL-AR</t>
  </si>
  <si>
    <t>AR</t>
  </si>
  <si>
    <t xml:space="preserve">Or assume a normal distribution </t>
  </si>
  <si>
    <t>Estimated Multi-combinations</t>
  </si>
  <si>
    <t>SPED-GATE-ELL-AR</t>
  </si>
  <si>
    <t>SPED-GATE-ELL</t>
  </si>
  <si>
    <t>SPED-GATE-AR</t>
  </si>
  <si>
    <t>SPED-ELL-AR</t>
  </si>
  <si>
    <t>GATE-ELL-AR</t>
  </si>
  <si>
    <t>The below totals should be your optimized, non double-counted enrollments.</t>
  </si>
  <si>
    <t>They are used in cells E39:E42 above.</t>
  </si>
  <si>
    <t>SpEd</t>
  </si>
  <si>
    <t>EL</t>
  </si>
  <si>
    <t>G&amp;T</t>
  </si>
  <si>
    <t>Check</t>
  </si>
  <si>
    <t>Percent Total</t>
  </si>
  <si>
    <t>Add'l Funding</t>
  </si>
  <si>
    <t>Adjusted w/NDE Adj' Factor</t>
  </si>
  <si>
    <t>Full Adj Base</t>
  </si>
  <si>
    <t>Area</t>
  </si>
  <si>
    <t>Funding</t>
  </si>
  <si>
    <t>IN PERSON</t>
  </si>
  <si>
    <t>"y/n"</t>
  </si>
  <si>
    <t>PPR</t>
  </si>
  <si>
    <t>Additional Funding</t>
  </si>
  <si>
    <t>y</t>
  </si>
  <si>
    <t>Distance Education</t>
  </si>
  <si>
    <t>(All Counties)</t>
  </si>
  <si>
    <t>School Year Ending</t>
  </si>
  <si>
    <t>Full Base</t>
  </si>
  <si>
    <t>Statewide base Net of adj't</t>
  </si>
  <si>
    <t>Federal Program</t>
  </si>
  <si>
    <t>Projected per-pupil</t>
  </si>
  <si>
    <t>Fiscal Year Used</t>
  </si>
  <si>
    <t>$400/FRL student</t>
  </si>
  <si>
    <t>FY21</t>
  </si>
  <si>
    <t>$4/student AND $66/FRL student</t>
  </si>
  <si>
    <t>FY19</t>
  </si>
  <si>
    <t>$97/EL student</t>
  </si>
  <si>
    <t>IDEA SPED-B</t>
  </si>
  <si>
    <t>$1005/Special Education Student</t>
  </si>
  <si>
    <t>FY20</t>
  </si>
  <si>
    <t>ENROLLMENTS</t>
  </si>
  <si>
    <t>Total Counts</t>
  </si>
  <si>
    <t>Additional Weighted Special Population Enrollment Counts (one category per pupil only)</t>
  </si>
  <si>
    <t>Location\Weightings</t>
  </si>
  <si>
    <t>Unfunded Enrollment Counts</t>
  </si>
  <si>
    <t>Grand Total</t>
  </si>
  <si>
    <t>DISTANCE EDUCATION</t>
  </si>
  <si>
    <t>Funded Weighted Enrollment Counts</t>
  </si>
  <si>
    <t>Average PPR</t>
  </si>
  <si>
    <t>Additional Weighted Supportive Funding</t>
  </si>
  <si>
    <t>Adjusted Base Funding</t>
  </si>
  <si>
    <t>Baseline Information</t>
  </si>
  <si>
    <t>Per Pupil Revenue (PPR)</t>
  </si>
  <si>
    <t>Statewide base PPR (Charter School, Distance Ed) SB 458.5-5</t>
  </si>
  <si>
    <t>District Adj' base PPR, SB 458.5-4</t>
  </si>
  <si>
    <t>Statewide base PPR, SB 458.5-5</t>
  </si>
  <si>
    <t>Final adjusted base PPR SYE 22, SB 458.5-6</t>
  </si>
  <si>
    <t>District</t>
  </si>
  <si>
    <t xml:space="preserve">Douglas </t>
  </si>
  <si>
    <t xml:space="preserve">Esmeralda </t>
  </si>
  <si>
    <t xml:space="preserve">Eureka </t>
  </si>
  <si>
    <t>Distance Ed</t>
  </si>
  <si>
    <t xml:space="preserve">Humboldt </t>
  </si>
  <si>
    <t xml:space="preserve">Lander </t>
  </si>
  <si>
    <t>Additional weighted PPR, SB 458.5-7</t>
  </si>
  <si>
    <t xml:space="preserve">Lincoln </t>
  </si>
  <si>
    <t>Awtg</t>
  </si>
  <si>
    <t xml:space="preserve">Lyon </t>
  </si>
  <si>
    <t xml:space="preserve">Mineral </t>
  </si>
  <si>
    <t>At-risk pupils</t>
  </si>
  <si>
    <t xml:space="preserve">Nye </t>
  </si>
  <si>
    <t xml:space="preserve">Pershing </t>
  </si>
  <si>
    <t xml:space="preserve">Storey </t>
  </si>
  <si>
    <t>PUPIL CENTERED FUNDING PLAN SYE 23</t>
  </si>
  <si>
    <t>Statewide base PPR (Charter School, Distance Ed) SB 458.6-5</t>
  </si>
  <si>
    <t>District Adj' base PPR, SB 458.6-4</t>
  </si>
  <si>
    <t>Statewide base PPR, SB 458.6-5</t>
  </si>
  <si>
    <t>Final adjusted base PPR SYE 22, SB 458.6-6</t>
  </si>
  <si>
    <t>Facility Specifications - resource worksheet</t>
  </si>
  <si>
    <t>Enrolllment</t>
  </si>
  <si>
    <t># Classrooms</t>
  </si>
  <si>
    <t>Students/Classroom</t>
  </si>
  <si>
    <t xml:space="preserve">This space planning worksheet may help determine facility needs and costs.  You are not required to complete this. </t>
  </si>
  <si>
    <t>Type of Space</t>
  </si>
  <si>
    <t>Common Specifics</t>
  </si>
  <si>
    <t>Low</t>
  </si>
  <si>
    <t>High</t>
  </si>
  <si>
    <t>Avg</t>
  </si>
  <si>
    <t>Example 1</t>
  </si>
  <si>
    <t>Example 2</t>
  </si>
  <si>
    <t>Applicant yr1</t>
  </si>
  <si>
    <t>Applicant yr3</t>
  </si>
  <si>
    <t>500 Students</t>
  </si>
  <si>
    <t>Grade levels</t>
  </si>
  <si>
    <t>9th-12th</t>
  </si>
  <si>
    <t>Students per CR</t>
  </si>
  <si>
    <t>25:1</t>
  </si>
  <si>
    <t>Interior Space PS-full size</t>
  </si>
  <si>
    <t>Classroom, circulation, other PS</t>
  </si>
  <si>
    <t>Detailed Analysis</t>
  </si>
  <si>
    <t>Core classrooms SF</t>
  </si>
  <si>
    <t>20 cls @ 850 SF each = 17,000 SF</t>
  </si>
  <si>
    <t>Science labs SF</t>
  </si>
  <si>
    <t>2 cls @ 1000 SF each</t>
  </si>
  <si>
    <t>Computer labs / media centers</t>
  </si>
  <si>
    <t>1 room @ 1000 SF</t>
  </si>
  <si>
    <t>SPED Specialty offices / classrooms</t>
  </si>
  <si>
    <t>SPED, counseling room(s) - 
2 @ 400 SF each, 4 @ 100 SF each</t>
  </si>
  <si>
    <t>ELL Specialty offices / classrooms</t>
  </si>
  <si>
    <t>SPED, ELL, counseling rooms - 
2 @ 400 SF each, 4 @ 100 SF each</t>
  </si>
  <si>
    <t>Reception area / offices</t>
  </si>
  <si>
    <t>Reception area @   400 SF</t>
  </si>
  <si>
    <t>Administrative offices</t>
  </si>
  <si>
    <t>Four offices at 100 SF each</t>
  </si>
  <si>
    <t>Conference room(s)</t>
  </si>
  <si>
    <t>400 SF</t>
  </si>
  <si>
    <t>Teacher lounge / work room</t>
  </si>
  <si>
    <t>600 SF</t>
  </si>
  <si>
    <t>Commons / lunch area</t>
  </si>
  <si>
    <t>1,500 SF</t>
  </si>
  <si>
    <t>Kitchen / prep room</t>
  </si>
  <si>
    <t>200 SF (prep only)</t>
  </si>
  <si>
    <t>Bathrooms (students)</t>
  </si>
  <si>
    <t>Students - 2 @ 400 SF each</t>
  </si>
  <si>
    <t>Bathrooms (staff)</t>
  </si>
  <si>
    <t>Staff 3 @ 100 SF each</t>
  </si>
  <si>
    <t>Multi-purpose room / gymnasium (A)</t>
  </si>
  <si>
    <t>MPR / small gym @ 4,000 SF</t>
  </si>
  <si>
    <t xml:space="preserve">       "                             "           (B)</t>
  </si>
  <si>
    <t>OR--by sf/pupil</t>
  </si>
  <si>
    <t>---&gt;</t>
  </si>
  <si>
    <t>Elective classrooms</t>
  </si>
  <si>
    <t>(1) music @1,000 SF</t>
  </si>
  <si>
    <t>Storage closets</t>
  </si>
  <si>
    <t>2 @ 300 SF each</t>
  </si>
  <si>
    <t>Custodial closet</t>
  </si>
  <si>
    <t>150 SF</t>
  </si>
  <si>
    <t>Mechanical &amp; IT closet</t>
  </si>
  <si>
    <t>250 SF</t>
  </si>
  <si>
    <t>Other (drama, media, 
parent room, health, etc.)</t>
  </si>
  <si>
    <t>Parent room @ 200 SF</t>
  </si>
  <si>
    <t>Space requirements pre circulation</t>
  </si>
  <si>
    <t>Circulation (hallways)</t>
  </si>
  <si>
    <t xml:space="preserve">@15%(up to 20%) total = 4,800 </t>
  </si>
  <si>
    <t>Total estimated square feet</t>
  </si>
  <si>
    <t>32,000 + 4,800 = 36,800</t>
  </si>
  <si>
    <t>Total square feet per student</t>
  </si>
  <si>
    <t>73.6 SF per student</t>
  </si>
  <si>
    <t>Lease Rate A/sf/mo</t>
  </si>
  <si>
    <t>Common specifics</t>
  </si>
  <si>
    <t>Lease Rate B/sf/mo</t>
  </si>
  <si>
    <t>Elementary (K-6)  25/classroom</t>
  </si>
  <si>
    <t>Middle School (7-8)  27/classroom</t>
  </si>
  <si>
    <t>High School (9-12)  27/classroom</t>
  </si>
  <si>
    <t>App Development Note</t>
  </si>
  <si>
    <t>10/2</t>
  </si>
  <si>
    <t>GenOp-proof &amp; test</t>
  </si>
  <si>
    <t>10/7</t>
  </si>
  <si>
    <t>Confirm TOC labels</t>
  </si>
  <si>
    <t>Create TOC w/urls</t>
  </si>
  <si>
    <t>Confirm right cells are locked and unlocked</t>
  </si>
  <si>
    <t>Confirm logic</t>
  </si>
  <si>
    <t>Remove unnecessary tabs</t>
  </si>
  <si>
    <t>11/15/21</t>
  </si>
  <si>
    <t>Market: adjusted Market Res(earch) formula: non surplus/deficit information result ; from: =IFERROR(IF(AND(E27,$G$51)&gt;0,E27/$G51,0),0) to =IFERROR(IF(AND(E27,$H$51)&gt;0,E27/$H51,0),0)</t>
  </si>
  <si>
    <t>'Thu 6/25/2020 em from Kristin dietz</t>
  </si>
  <si>
    <t>Jun 25 image vs Jul 13 image</t>
  </si>
  <si>
    <t>F60 ok</t>
  </si>
  <si>
    <t>Fix</t>
  </si>
  <si>
    <t>Keep&gt;=1</t>
  </si>
  <si>
    <t>Fixed</t>
  </si>
  <si>
    <t>1372 perf bonus unlocked</t>
  </si>
  <si>
    <t>cf Mktg</t>
  </si>
  <si>
    <t>Unlocked</t>
  </si>
  <si>
    <t>wkg</t>
  </si>
  <si>
    <t>xl</t>
  </si>
  <si>
    <t>Depreciation calc.  9/10. MH to edit.</t>
  </si>
  <si>
    <t>Use RFA # staff by categories</t>
  </si>
  <si>
    <t>Enrol Staff &amp; Exp</t>
  </si>
  <si>
    <t>Split off "Other" from "Guidance Counselors &amp; Other" and incorporate all logic changes. 9.10</t>
  </si>
  <si>
    <t>Why is grouping protected?  It's an Excel standard.</t>
  </si>
  <si>
    <t>Can we find a work around so app'ts can use the grouping option on the Enrol Staff &amp; Exp tab?</t>
  </si>
  <si>
    <t>Enabled being able to see formulas while keeping editing access to those cells locked. 2020.09.04 MD</t>
  </si>
  <si>
    <t>Note on Depreciation+</t>
  </si>
  <si>
    <t>High Performance, Equity, Diversity WIP detail budget</t>
  </si>
  <si>
    <t>Test worksheet in development</t>
  </si>
  <si>
    <t>OPF matter?</t>
  </si>
  <si>
    <t>The purpose of this worksheet is to identify areas where one could reasonably expect to see budget affects from efforts to invest</t>
  </si>
  <si>
    <t>in activities to improve equity, diversity, restorative justice, etc.  As well as to see funding in the budget to help in this effort.</t>
  </si>
  <si>
    <t>Nonprofit Reqt?</t>
  </si>
  <si>
    <t>Planning</t>
  </si>
  <si>
    <t>Federal</t>
  </si>
  <si>
    <t>State</t>
  </si>
  <si>
    <t>Federal Grants</t>
  </si>
  <si>
    <t>1. Title IA for schools with students who are</t>
  </si>
  <si>
    <t>economically disadvantaged</t>
  </si>
  <si>
    <t>2. Title I 1003a for school improvement grants</t>
  </si>
  <si>
    <t>3. Title IIA for educator development</t>
  </si>
  <si>
    <t>4. Title III – LEP for students with limited English</t>
  </si>
  <si>
    <t>proficiency</t>
  </si>
  <si>
    <t>5. Title III – IMM for students who are immigrants</t>
  </si>
  <si>
    <t>6. IDEA – B for special education</t>
  </si>
  <si>
    <t>7. IDEA – b for early childhood special education</t>
  </si>
  <si>
    <t>8. ESSER for support in response to COVID-19</t>
  </si>
  <si>
    <t>9. CRF also for support in response to COVID-19</t>
  </si>
  <si>
    <t>10. Other</t>
  </si>
  <si>
    <t>State Grants</t>
  </si>
  <si>
    <t>1. Pre-Kindergarten</t>
  </si>
  <si>
    <t>2.Zoom</t>
  </si>
  <si>
    <t>3.Victory</t>
  </si>
  <si>
    <t>4.New Nevada Education Funding Plan</t>
  </si>
  <si>
    <t>5.Great Teaching &amp; Leading,…</t>
  </si>
  <si>
    <t>6. Other…</t>
  </si>
  <si>
    <t>7. Other…</t>
  </si>
  <si>
    <t>8. Other…</t>
  </si>
  <si>
    <t>9. Other…</t>
  </si>
  <si>
    <t>10. Other…</t>
  </si>
  <si>
    <t>Expenditures</t>
  </si>
  <si>
    <t>Professional Development</t>
  </si>
  <si>
    <t>Training: Restorative Justice</t>
  </si>
  <si>
    <t>Impact of difference in staffing levels in budget vs. narrative</t>
  </si>
  <si>
    <t xml:space="preserve">FTE - Total </t>
  </si>
  <si>
    <t>App (XL) "Staff" tab, row ___</t>
  </si>
  <si>
    <t>App (Narr) pg ___</t>
  </si>
  <si>
    <t>Average Staff Salary</t>
  </si>
  <si>
    <t>Impact magnitude</t>
  </si>
  <si>
    <t>"Levers"</t>
  </si>
  <si>
    <t xml:space="preserve"> </t>
  </si>
  <si>
    <t>Total Personnel</t>
  </si>
  <si>
    <t>Personnel per Student</t>
  </si>
  <si>
    <t>Net Surplus after Personnel per student</t>
  </si>
  <si>
    <t>Total Gen Op</t>
  </si>
  <si>
    <t>Gen Op per Student</t>
  </si>
  <si>
    <t>Total Facilities</t>
  </si>
  <si>
    <t>Facilities per Student</t>
  </si>
  <si>
    <t>Net Surplus after Facilities</t>
  </si>
  <si>
    <t>Net Surplus after Facilities per Student</t>
  </si>
  <si>
    <t>Total Transportation</t>
  </si>
  <si>
    <t>Transportation per Student</t>
  </si>
  <si>
    <t>Total Ins</t>
  </si>
  <si>
    <t>Ins per Student</t>
  </si>
  <si>
    <t>Total Marketing</t>
  </si>
  <si>
    <t>Marketing per Student</t>
  </si>
  <si>
    <t>Total Other Costs</t>
  </si>
  <si>
    <t>Other Costs per Student</t>
  </si>
  <si>
    <t>Net Surplus after Other Costs</t>
  </si>
  <si>
    <t>Net Surplus after Other Costs per Student</t>
  </si>
  <si>
    <t>Scratchpad</t>
  </si>
  <si>
    <t>Coming</t>
  </si>
  <si>
    <t>For the SYE 24 &amp; SYE 25 Biennium</t>
  </si>
  <si>
    <t>PUPIL CENTERED FUNDING PLAN SYE 24 &amp; SYE 25</t>
  </si>
  <si>
    <t>At-risk pupils (AR)</t>
  </si>
  <si>
    <t>At Risk (AR)</t>
  </si>
  <si>
    <t xml:space="preserve"> (PCFP funding for 26, 27 expected after legislative biennium session FYE 25)</t>
  </si>
  <si>
    <t xml:space="preserve"> aka "Distance education", "aka Virtual education"</t>
  </si>
  <si>
    <t>Virtual/Distance (aka Statewide base)</t>
  </si>
  <si>
    <t xml:space="preserve"> (Computed separately by NDE.  Likely funded after year 1 or after year 2)</t>
  </si>
  <si>
    <t>Inflation adjustor (on state Base only)</t>
  </si>
  <si>
    <t>(Proportion of planned enrollment)</t>
  </si>
  <si>
    <t>State Weighted Funding (EL, GATE, no local AR)</t>
  </si>
  <si>
    <t>Net Pension Liability (PERS allocates to schools in year 2)</t>
  </si>
  <si>
    <t>New FY</t>
  </si>
  <si>
    <t>There is no required information to fill out in the tabs to the right</t>
  </si>
  <si>
    <t>Information, cost estimating or "scratch paper" pages to your right.</t>
  </si>
  <si>
    <t>For costs in excess of those covered by an approved Transportation Program Application</t>
  </si>
  <si>
    <t>Change in Net Position</t>
  </si>
  <si>
    <t>Total Margin</t>
  </si>
  <si>
    <t>Debt to Assets Ratio</t>
  </si>
  <si>
    <t>Cash Flow</t>
  </si>
  <si>
    <t>Debt(Lease) Service Coverage Ratio</t>
  </si>
  <si>
    <t>Depreciation (&amp; Amortization)</t>
  </si>
  <si>
    <r>
      <t xml:space="preserve">UDCOH </t>
    </r>
    <r>
      <rPr>
        <b/>
        <i/>
        <sz val="11"/>
        <color rgb="FF000000"/>
        <rFont val="Times New Roman"/>
        <family val="1"/>
      </rPr>
      <t>(Cash Sufficiency)</t>
    </r>
  </si>
  <si>
    <t>Surplus</t>
  </si>
  <si>
    <t>Retention to cash</t>
  </si>
  <si>
    <t>Borrowings</t>
  </si>
  <si>
    <t>Other (non fund raising) contributions</t>
  </si>
  <si>
    <t>Cash, Restricted</t>
  </si>
  <si>
    <t>Cash, Unrestricted</t>
  </si>
  <si>
    <t>CONTRACT/OTHER SERVICES (NOT OTHERWISE INCLUDED IN APP)(NOTE EMO, CMO, BOSP TAB)</t>
  </si>
  <si>
    <t>SELF-PERFORMED (SCHOOL STAFF)</t>
  </si>
  <si>
    <t>Accounting services (Excludes contract svs, annual audit)</t>
  </si>
  <si>
    <t>Accounting services (Contract, Annual Independent Audit)</t>
  </si>
  <si>
    <t>Accounts Receivable</t>
  </si>
  <si>
    <t>Final adjusted base PPR, SB 503 EN (2023 session for SYE 24, SYE 25)</t>
  </si>
  <si>
    <t>Additional weighted PPR, SB 503 EN  (2023 session for SYE 24, SYE 25)</t>
  </si>
  <si>
    <t>Facilities/PCFP Revenue</t>
  </si>
  <si>
    <t>% Enrollment from new housing w/in 4 miles:</t>
  </si>
  <si>
    <t xml:space="preserve">% Enrollment from unique cohorts:  </t>
  </si>
  <si>
    <t xml:space="preserve">% Enrollment from New/Leaving Industries: </t>
  </si>
  <si>
    <t xml:space="preserve">% Enrollment from 2nd homeowners: </t>
  </si>
  <si>
    <t xml:space="preserve">Factors which may impact enrollment </t>
  </si>
  <si>
    <t>Students / Employees</t>
  </si>
  <si>
    <t xml:space="preserve">   Students / ELL Teachers</t>
  </si>
  <si>
    <t xml:space="preserve">   SPED Students / SPED Teachers</t>
  </si>
  <si>
    <t xml:space="preserve">   SPED Students</t>
  </si>
  <si>
    <t xml:space="preserve">   ELL Students</t>
  </si>
  <si>
    <t xml:space="preserve">   Student/Classroom (w/o Teacher(s))</t>
  </si>
  <si>
    <t>GASB 75, fka 45</t>
  </si>
  <si>
    <t>Total GASB 75, fka 45</t>
  </si>
  <si>
    <t>Instructional Support, Supplies, etc.</t>
  </si>
  <si>
    <t>Total Instructional Support, Supplies, etc.</t>
  </si>
  <si>
    <t>Advertising</t>
  </si>
  <si>
    <t>Recruiting: Students</t>
  </si>
  <si>
    <t>Recruiting: Teachers &amp; staff</t>
  </si>
  <si>
    <t>Inflator on PCFP (only)</t>
  </si>
  <si>
    <t>Inflator on all expenses</t>
  </si>
  <si>
    <t>Expense Inflation Adjustment</t>
  </si>
  <si>
    <t xml:space="preserve">PCFP Revenue inflation to PCFP </t>
  </si>
  <si>
    <t>Category fka "At Risk Pupils" (AR)(Determined later by NDE)</t>
  </si>
  <si>
    <t>Lease rate/sq ft/month (Net rent after waivers, abatements, deferrals, w/o escalator)(If applicable)</t>
  </si>
  <si>
    <t>Lease rate/sq ft/year (After waivers..., w/o escalator)</t>
  </si>
  <si>
    <t>/AR Student</t>
  </si>
  <si>
    <t>Title IIA (For AR students only)</t>
  </si>
  <si>
    <t>Title IIA (AR only)</t>
  </si>
  <si>
    <t>Title IIA (AR &amp; Non AR)</t>
  </si>
  <si>
    <t>$400/AR student</t>
  </si>
  <si>
    <t>$4/student AND $66/AR student</t>
  </si>
  <si>
    <t>(fka AR)</t>
  </si>
  <si>
    <t>(no 100% AR?)</t>
  </si>
  <si>
    <t>AR (% of students)</t>
  </si>
  <si>
    <t xml:space="preserve">   AR (# of students)</t>
  </si>
  <si>
    <t>Reserves--Special Education (&gt;=$25,000)</t>
  </si>
  <si>
    <t>Reserves--General</t>
  </si>
  <si>
    <t>Substitute Teachers (includes benefits)</t>
  </si>
  <si>
    <t xml:space="preserve">     Count of Substitute Teachers (FTE equivalent)</t>
  </si>
  <si>
    <t xml:space="preserve">Substitute Teachers </t>
  </si>
  <si>
    <t xml:space="preserve">    Substitute Teachers </t>
  </si>
  <si>
    <t xml:space="preserve">     Estimated Average Salary &amp; Benefits per Teacher</t>
  </si>
  <si>
    <t xml:space="preserve">     Estimated Base salary (Weighted Average (WA))</t>
  </si>
  <si>
    <t xml:space="preserve">     Estimated Average Benefits (Weighted)</t>
  </si>
  <si>
    <t xml:space="preserve">FTE - Substitute Teachers </t>
  </si>
  <si>
    <t xml:space="preserve">  Check (% of Total Salaries including Inflation)</t>
  </si>
  <si>
    <t>CASH FLOW FROM OPERATIONS</t>
  </si>
  <si>
    <t>CASH FLOW FROM FINANCING</t>
  </si>
  <si>
    <t>Proposed Name of School:</t>
  </si>
  <si>
    <t>Location 1 (Address or Cross Streets)</t>
  </si>
  <si>
    <t>Location 2  (Address or Cross Streets)</t>
  </si>
  <si>
    <t>Year 1 Beginning:</t>
  </si>
  <si>
    <t>Name</t>
  </si>
  <si>
    <t>Paid Preparer?</t>
  </si>
  <si>
    <t>Proposed Role With School</t>
  </si>
  <si>
    <t>Financial Plan Workbook Preparation Team</t>
  </si>
  <si>
    <t>Member of CTF?</t>
  </si>
  <si>
    <t>Yes</t>
  </si>
  <si>
    <t>Board Member Approval:</t>
  </si>
  <si>
    <t>Comments, Notes, Sources, etc.</t>
  </si>
  <si>
    <t>Contingency</t>
  </si>
  <si>
    <t>Potential Site 2</t>
  </si>
  <si>
    <t>Number of Students per Classroom (enter goal)</t>
  </si>
  <si>
    <t>Number of classrooms calculated</t>
  </si>
  <si>
    <t>Number of classrooms (enter goal)</t>
  </si>
  <si>
    <t>Enrollment @ Target 100% Enrollment (stabilization)</t>
  </si>
  <si>
    <t>Lunch program (not covered by Title I)</t>
  </si>
  <si>
    <t>Food Program (per student)</t>
  </si>
  <si>
    <t>Note: State Weighted and SpEd funding are paid based on prior year verified special population enrollments.  Schools do not receive these funds in Y1.</t>
  </si>
  <si>
    <t>12 mo Total</t>
  </si>
  <si>
    <t>Enrol &amp;Rev</t>
  </si>
  <si>
    <t>`</t>
  </si>
  <si>
    <t>Gen Optg</t>
  </si>
  <si>
    <t>Salary</t>
  </si>
  <si>
    <t>Other Staff (Full-time &amp; Part-Time w/benefits)</t>
  </si>
  <si>
    <t>Total Other Staff</t>
  </si>
  <si>
    <t>General Education Teachers (Full-time &amp; Part-Time w/benefits)</t>
  </si>
  <si>
    <t>Dept./Subj.</t>
  </si>
  <si>
    <t>Total General Education Teachers (Count)</t>
  </si>
  <si>
    <t xml:space="preserve">Potential location(s) under consideration: </t>
  </si>
  <si>
    <t>If Lease, specify most recent use:</t>
  </si>
  <si>
    <t>Instructional supplies - Teachers</t>
  </si>
  <si>
    <t>EMO / CMO Fee</t>
  </si>
  <si>
    <t>Management fees (other than EMO, CMO, BOSP)</t>
  </si>
  <si>
    <t>Per returning student</t>
  </si>
  <si>
    <t>School uniforms - returning students</t>
  </si>
  <si>
    <t>General building décor</t>
  </si>
  <si>
    <t xml:space="preserve">Nonprofit Incorporation-Federal </t>
  </si>
  <si>
    <t xml:space="preserve">Nonprofit Incorporation-State </t>
  </si>
  <si>
    <t>Application Costs incl. consultants</t>
  </si>
  <si>
    <t>HR: Hiring</t>
  </si>
  <si>
    <t>Staff Recruitment</t>
  </si>
  <si>
    <t>Percentage of students expected to participate in transportation program</t>
  </si>
  <si>
    <t>Planned Enrollment</t>
  </si>
  <si>
    <t>Planned students using transportation</t>
  </si>
  <si>
    <t>FTE Total</t>
  </si>
  <si>
    <t>(Enter manually Y0 Manually)</t>
  </si>
  <si>
    <t xml:space="preserve">TOTAL FFE &amp; T COSTS </t>
  </si>
  <si>
    <t>Services to charter school</t>
  </si>
  <si>
    <t>Intervention Software</t>
  </si>
  <si>
    <t>Student Information Systems</t>
  </si>
  <si>
    <t>Computer- based Assessments</t>
  </si>
  <si>
    <t>Other Student Software</t>
  </si>
  <si>
    <t xml:space="preserve">Faculty furniture </t>
  </si>
  <si>
    <t xml:space="preserve">Student furniture </t>
  </si>
  <si>
    <t>Estimated timeframe</t>
  </si>
  <si>
    <t>enter "yes" or "no"</t>
  </si>
  <si>
    <t>Instructional days per year</t>
  </si>
  <si>
    <t>(enter "yes" or "no"</t>
  </si>
  <si>
    <t>Other (Check applicable requirements and consult with your insurance agent regarding the coverages your school, faculty, leadership and board may need or want.)</t>
  </si>
  <si>
    <t>%</t>
  </si>
  <si>
    <t>Textbooks</t>
  </si>
  <si>
    <t>Input "Purchase" or "Lease"</t>
  </si>
  <si>
    <t>Charter School Program (CSP) Grant (w/ltr)</t>
  </si>
  <si>
    <t>Other start-up grant funds, incl' SEA Grants (w/ltr)</t>
  </si>
  <si>
    <t>School level fundraising (w/supporting documentation)</t>
  </si>
  <si>
    <t>Investment Income (w/supporting documentation)</t>
  </si>
  <si>
    <t>Foundation/Corporate Philanthropy (w/ltr)</t>
  </si>
  <si>
    <r>
      <t>Start-up funds</t>
    </r>
    <r>
      <rPr>
        <sz val="11"/>
        <color rgb="FF000000"/>
        <rFont val="Times New Roman"/>
        <family val="1"/>
      </rPr>
      <t xml:space="preserve"> (Federal Replication &amp; Expansion already awarded to operator-w/ltr)</t>
    </r>
  </si>
  <si>
    <t>Fundraising /Donations (w/ltr)</t>
  </si>
  <si>
    <t>INTRODUCTION TO THE FINANCIAL PLAN WORKBOOK</t>
  </si>
  <si>
    <t>UNDERSTANDING THE WORKBOOK</t>
  </si>
  <si>
    <r>
      <t>·</t>
    </r>
    <r>
      <rPr>
        <sz val="7"/>
        <color theme="1"/>
        <rFont val="Times New Roman"/>
        <family val="1"/>
      </rPr>
      <t xml:space="preserve">        </t>
    </r>
    <r>
      <rPr>
        <sz val="11"/>
        <color theme="1"/>
        <rFont val="Aptos"/>
        <family val="2"/>
      </rPr>
      <t>BLUE tab fills indicate protected sheets.</t>
    </r>
  </si>
  <si>
    <r>
      <t>·</t>
    </r>
    <r>
      <rPr>
        <sz val="7"/>
        <color theme="1"/>
        <rFont val="Times New Roman"/>
        <family val="1"/>
      </rPr>
      <t xml:space="preserve">        </t>
    </r>
    <r>
      <rPr>
        <sz val="11"/>
        <color theme="1"/>
        <rFont val="Aptos"/>
        <family val="2"/>
      </rPr>
      <t>YELLOW cell and tab fills indicate that applicant inputs are accepted and/or required. Applicants should input data ONLY in yellow cells.</t>
    </r>
  </si>
  <si>
    <r>
      <t>·</t>
    </r>
    <r>
      <rPr>
        <sz val="7"/>
        <color theme="1"/>
        <rFont val="Times New Roman"/>
        <family val="1"/>
      </rPr>
      <t xml:space="preserve">        </t>
    </r>
    <r>
      <rPr>
        <sz val="11"/>
        <color theme="1"/>
        <rFont val="Aptos"/>
        <family val="2"/>
      </rPr>
      <t>Applicants MUST complete ALL sheets with yellow tab fills. Applicants should NOT edit sheets with blue tab fills.</t>
    </r>
  </si>
  <si>
    <r>
      <t>·</t>
    </r>
    <r>
      <rPr>
        <sz val="7"/>
        <color theme="1"/>
        <rFont val="Times New Roman"/>
        <family val="1"/>
      </rPr>
      <t xml:space="preserve">        </t>
    </r>
    <r>
      <rPr>
        <sz val="11"/>
        <color theme="1"/>
        <rFont val="Aptos"/>
        <family val="2"/>
      </rPr>
      <t>DO NOT delete any worksheet, add additional worksheets, or re-order the worksheet tabs.</t>
    </r>
  </si>
  <si>
    <r>
      <t>·</t>
    </r>
    <r>
      <rPr>
        <sz val="7"/>
        <color theme="1"/>
        <rFont val="Times New Roman"/>
        <family val="1"/>
      </rPr>
      <t xml:space="preserve">        </t>
    </r>
    <r>
      <rPr>
        <sz val="11"/>
        <color theme="1"/>
        <rFont val="Aptos"/>
        <family val="2"/>
      </rPr>
      <t>Note that inputs on various sheets will be used to calculate or complete other sections of the workbook.</t>
    </r>
  </si>
  <si>
    <r>
      <t>·</t>
    </r>
    <r>
      <rPr>
        <sz val="7"/>
        <color theme="1"/>
        <rFont val="Times New Roman"/>
        <family val="1"/>
      </rPr>
      <t xml:space="preserve">        </t>
    </r>
    <r>
      <rPr>
        <sz val="11"/>
        <color theme="1"/>
        <rFont val="Aptos"/>
        <family val="2"/>
      </rPr>
      <t>The majority of applicant input sheets include a column for “Comments, Notes, Sources, etc.” High-quality applications tend to use these cells to explain the basis for the amount entered. This might include, for example:</t>
    </r>
  </si>
  <si>
    <r>
      <t>·</t>
    </r>
    <r>
      <rPr>
        <sz val="7"/>
        <color theme="1"/>
        <rFont val="Times New Roman"/>
        <family val="1"/>
      </rPr>
      <t xml:space="preserve">        </t>
    </r>
    <r>
      <rPr>
        <sz val="11"/>
        <color theme="1"/>
        <rFont val="Aptos"/>
        <family val="2"/>
      </rPr>
      <t>Please remember that the figures entered in this workbook should align with your application, and specifically your Budget Narrative.</t>
    </r>
  </si>
  <si>
    <t>INSTRUCTIONS</t>
  </si>
  <si>
    <t>You are here.</t>
  </si>
  <si>
    <t>COVER &amp; LOC</t>
  </si>
  <si>
    <t>SUMMARY</t>
  </si>
  <si>
    <t>Enter information in yellow cells only.</t>
  </si>
  <si>
    <t>ENROL &amp; REV</t>
  </si>
  <si>
    <t>CF Y1 Mo</t>
  </si>
  <si>
    <t>Enter information in yellow cells only. This worksheet requires schools to demonstrate their understanding of revenue and expense distribution across the school year. Only PCFP funding and payments to the SPCSA are automatically populated.</t>
  </si>
  <si>
    <r>
      <t xml:space="preserve">        ·</t>
    </r>
    <r>
      <rPr>
        <sz val="7"/>
        <color theme="1"/>
        <rFont val="Times New Roman"/>
        <family val="1"/>
      </rPr>
      <t xml:space="preserve">        </t>
    </r>
    <r>
      <rPr>
        <sz val="11"/>
        <color theme="1"/>
        <rFont val="Aptos"/>
        <family val="2"/>
      </rPr>
      <t>Price per piece (textbook, Chromebook, etc.)</t>
    </r>
  </si>
  <si>
    <r>
      <t xml:space="preserve">        ·</t>
    </r>
    <r>
      <rPr>
        <sz val="7"/>
        <color theme="1"/>
        <rFont val="Times New Roman"/>
        <family val="1"/>
      </rPr>
      <t xml:space="preserve">        </t>
    </r>
    <r>
      <rPr>
        <sz val="11"/>
        <color theme="1"/>
        <rFont val="Aptos"/>
        <family val="2"/>
      </rPr>
      <t>Sources informing your assumptions such as vendor quotes, actual expenditures from an existing school, or online pricing information.</t>
    </r>
  </si>
  <si>
    <r>
      <t>·</t>
    </r>
    <r>
      <rPr>
        <sz val="7"/>
        <color theme="1"/>
        <rFont val="Times New Roman"/>
        <family val="1"/>
      </rPr>
      <t xml:space="preserve">        </t>
    </r>
    <r>
      <rPr>
        <sz val="11"/>
        <color theme="1"/>
        <rFont val="Aptos"/>
        <family val="2"/>
      </rPr>
      <t>Charter Start-Up Funds</t>
    </r>
  </si>
  <si>
    <r>
      <t>·</t>
    </r>
    <r>
      <rPr>
        <sz val="7"/>
        <color theme="1"/>
        <rFont val="Times New Roman"/>
        <family val="1"/>
      </rPr>
      <t xml:space="preserve">        </t>
    </r>
    <r>
      <rPr>
        <sz val="11"/>
        <color theme="1"/>
        <rFont val="Aptos"/>
        <family val="2"/>
      </rPr>
      <t>Other Start-Up Grant Funds</t>
    </r>
  </si>
  <si>
    <r>
      <t>·</t>
    </r>
    <r>
      <rPr>
        <sz val="7"/>
        <color theme="1"/>
        <rFont val="Times New Roman"/>
        <family val="1"/>
      </rPr>
      <t xml:space="preserve">        </t>
    </r>
    <r>
      <rPr>
        <sz val="11"/>
        <color theme="1"/>
        <rFont val="Aptos"/>
        <family val="2"/>
      </rPr>
      <t>Investment Income</t>
    </r>
  </si>
  <si>
    <r>
      <t>·</t>
    </r>
    <r>
      <rPr>
        <sz val="7"/>
        <color theme="1"/>
        <rFont val="Times New Roman"/>
        <family val="1"/>
      </rPr>
      <t xml:space="preserve">        </t>
    </r>
    <r>
      <rPr>
        <sz val="11"/>
        <color theme="1"/>
        <rFont val="Aptos"/>
        <family val="2"/>
      </rPr>
      <t>Private Fundraising (major donor)</t>
    </r>
  </si>
  <si>
    <r>
      <t>·</t>
    </r>
    <r>
      <rPr>
        <sz val="7"/>
        <color theme="1"/>
        <rFont val="Times New Roman"/>
        <family val="1"/>
      </rPr>
      <t xml:space="preserve">        </t>
    </r>
    <r>
      <rPr>
        <sz val="11"/>
        <color theme="1"/>
        <rFont val="Aptos"/>
        <family val="2"/>
      </rPr>
      <t>For all other rows, you must manually insert specific amounts in the appropriate months.</t>
    </r>
  </si>
  <si>
    <r>
      <t>·</t>
    </r>
    <r>
      <rPr>
        <sz val="7"/>
        <color theme="1"/>
        <rFont val="Times New Roman"/>
        <family val="1"/>
      </rPr>
      <t xml:space="preserve">        </t>
    </r>
    <r>
      <rPr>
        <sz val="11"/>
        <color theme="1"/>
        <rFont val="Aptos"/>
        <family val="2"/>
      </rPr>
      <t>Use column U to explain why you have allocated resources as shown.</t>
    </r>
  </si>
  <si>
    <t>STAFF</t>
  </si>
  <si>
    <t>Enter information in yellow cells only. The hiring plan reflected in this sheet MUST match the Staffing Plan table in the narrative and the organizational charts. This tab must contain ALL school employees. DO NOT include contracted service providers, consultants, etc. in this section.</t>
  </si>
  <si>
    <r>
      <t>·</t>
    </r>
    <r>
      <rPr>
        <sz val="7"/>
        <color theme="1"/>
        <rFont val="Times New Roman"/>
        <family val="1"/>
      </rPr>
      <t xml:space="preserve">        </t>
    </r>
    <r>
      <rPr>
        <sz val="11"/>
        <color theme="1"/>
        <rFont val="Aptos"/>
        <family val="2"/>
      </rPr>
      <t>Use the same titles/role names that you use in your application and will use in the school.</t>
    </r>
  </si>
  <si>
    <r>
      <t>·</t>
    </r>
    <r>
      <rPr>
        <sz val="7"/>
        <color theme="1"/>
        <rFont val="Times New Roman"/>
        <family val="1"/>
      </rPr>
      <t xml:space="preserve">        </t>
    </r>
    <r>
      <rPr>
        <sz val="11"/>
        <color theme="1"/>
        <rFont val="Aptos"/>
        <family val="2"/>
      </rPr>
      <t>Administrators are the leadership of the school. Examples include your principal, deans, director of finance, etc.</t>
    </r>
  </si>
  <si>
    <r>
      <t>·</t>
    </r>
    <r>
      <rPr>
        <sz val="7"/>
        <color theme="1"/>
        <rFont val="Times New Roman"/>
        <family val="1"/>
      </rPr>
      <t xml:space="preserve">        </t>
    </r>
    <r>
      <rPr>
        <sz val="11"/>
        <color theme="1"/>
        <rFont val="Aptos"/>
        <family val="2"/>
      </rPr>
      <t>Office staff includes non-teaching staff who work in the main office, finance or operations, etc.</t>
    </r>
  </si>
  <si>
    <r>
      <t>·</t>
    </r>
    <r>
      <rPr>
        <sz val="7"/>
        <color theme="1"/>
        <rFont val="Times New Roman"/>
        <family val="1"/>
      </rPr>
      <t xml:space="preserve">        </t>
    </r>
    <r>
      <rPr>
        <sz val="11"/>
        <color theme="1"/>
        <rFont val="Aptos"/>
        <family val="2"/>
      </rPr>
      <t>SpEd Teachers should include teaching staff that will provide services directly to students on a daily basis, regardless of title, including paraprofessionals. If you will have a SpEd supervisory position that is a non-teaching role, such as a SpEd director, that role should appear under “administrators.”</t>
    </r>
  </si>
  <si>
    <r>
      <t>·</t>
    </r>
    <r>
      <rPr>
        <sz val="7"/>
        <color theme="1"/>
        <rFont val="Times New Roman"/>
        <family val="1"/>
      </rPr>
      <t xml:space="preserve">        </t>
    </r>
    <r>
      <rPr>
        <sz val="11"/>
        <color theme="1"/>
        <rFont val="Aptos"/>
        <family val="2"/>
      </rPr>
      <t>ELL Teachers should include teaching staff that will provide services directly to students on a daily basis, regardless of title, including paraprofessionals. If you will have an ELL supervisory position that is a non-teaching role, such as a director of ELL, that role should appear under “administrators.”</t>
    </r>
  </si>
  <si>
    <r>
      <t>·</t>
    </r>
    <r>
      <rPr>
        <sz val="7"/>
        <color theme="1"/>
        <rFont val="Times New Roman"/>
        <family val="1"/>
      </rPr>
      <t xml:space="preserve">        </t>
    </r>
    <r>
      <rPr>
        <sz val="11"/>
        <color theme="1"/>
        <rFont val="Aptos"/>
        <family val="2"/>
      </rPr>
      <t>Other Staff should include non-teaching staff of all types, including nurses, counselors, social workers, custodial staff, security personnel, food service or transportation staff, etc. DO NOT include contracted service providers or other non-employees here.</t>
    </r>
  </si>
  <si>
    <r>
      <t>·</t>
    </r>
    <r>
      <rPr>
        <sz val="7"/>
        <color theme="1"/>
        <rFont val="Times New Roman"/>
        <family val="1"/>
      </rPr>
      <t xml:space="preserve">        </t>
    </r>
    <r>
      <rPr>
        <sz val="11"/>
        <color theme="1"/>
        <rFont val="Aptos"/>
        <family val="2"/>
      </rPr>
      <t>General Education Teachers:</t>
    </r>
  </si>
  <si>
    <r>
      <t>·</t>
    </r>
    <r>
      <rPr>
        <sz val="7"/>
        <color theme="1"/>
        <rFont val="Times New Roman"/>
        <family val="1"/>
      </rPr>
      <t xml:space="preserve">        </t>
    </r>
    <r>
      <rPr>
        <sz val="11"/>
        <color theme="1"/>
        <rFont val="Aptos"/>
        <family val="2"/>
      </rPr>
      <t>Column B: Please specify classroom level for K-8 teachers (e.g. Kindergarten teacher, 1</t>
    </r>
    <r>
      <rPr>
        <vertAlign val="superscript"/>
        <sz val="11"/>
        <color theme="1"/>
        <rFont val="Aptos"/>
        <family val="2"/>
      </rPr>
      <t>st</t>
    </r>
    <r>
      <rPr>
        <sz val="11"/>
        <color theme="1"/>
        <rFont val="Aptos"/>
        <family val="2"/>
      </rPr>
      <t xml:space="preserve"> grade teacher, etc.). For elementary special subjects teachers, use ES Teacher-[SUBJECT]. For departmentalized staff use MS Teacher-[SUBJECT] or HS Teacher-[SUBJECT].</t>
    </r>
  </si>
  <si>
    <r>
      <t>·</t>
    </r>
    <r>
      <rPr>
        <sz val="7"/>
        <color theme="1"/>
        <rFont val="Times New Roman"/>
        <family val="1"/>
      </rPr>
      <t xml:space="preserve">        </t>
    </r>
    <r>
      <rPr>
        <sz val="11"/>
        <color theme="1"/>
        <rFont val="Aptos"/>
        <family val="2"/>
      </rPr>
      <t>Column F: indicate whether this role teaches all core subjects (general) as is typical in elementary schools. For departmentalized teachers, indicate the department or subject area (ELA, math, science, social studies, foreign language, CTE, PE, etc.)</t>
    </r>
  </si>
  <si>
    <t>Transparent Nevada</t>
  </si>
  <si>
    <t>You may wish to reference published NV state salary information:</t>
  </si>
  <si>
    <t>FACILITIES:</t>
  </si>
  <si>
    <t>GEN OPTG</t>
  </si>
  <si>
    <r>
      <t>·</t>
    </r>
    <r>
      <rPr>
        <sz val="7"/>
        <color theme="1"/>
        <rFont val="Times New Roman"/>
        <family val="1"/>
      </rPr>
      <t xml:space="preserve">        </t>
    </r>
    <r>
      <rPr>
        <sz val="11"/>
        <color theme="1"/>
        <rFont val="Aptos"/>
        <family val="2"/>
      </rPr>
      <t>Transportation and Food Services are not funded for charter schools.</t>
    </r>
  </si>
  <si>
    <t>INSURANCE</t>
  </si>
  <si>
    <t>Enter information in yellow cells only. Note that you are responsible for identifying coverage your school needs outside of the minimums required by law. These numbers should align with those provided in the attachments to the application.</t>
  </si>
  <si>
    <r>
      <t>·</t>
    </r>
    <r>
      <rPr>
        <sz val="7"/>
        <color theme="1"/>
        <rFont val="Times New Roman"/>
        <family val="1"/>
      </rPr>
      <t xml:space="preserve">        </t>
    </r>
    <r>
      <rPr>
        <sz val="11"/>
        <color theme="1"/>
        <rFont val="Aptos"/>
        <family val="2"/>
      </rPr>
      <t>Please note that you must complete Column F manually, as Y0 expenditures on FFE&amp;T spending are required before public revenues become available to the school.</t>
    </r>
  </si>
  <si>
    <r>
      <t>·</t>
    </r>
    <r>
      <rPr>
        <sz val="7"/>
        <color theme="1"/>
        <rFont val="Times New Roman"/>
        <family val="1"/>
      </rPr>
      <t xml:space="preserve">        </t>
    </r>
    <r>
      <rPr>
        <sz val="11"/>
        <color theme="1"/>
        <rFont val="Aptos"/>
        <family val="2"/>
      </rPr>
      <t>Rows 27-31: Using column N, please provide detailed notes for each type of program, explaining what products are included and their individual costs.</t>
    </r>
  </si>
  <si>
    <r>
      <t>·</t>
    </r>
    <r>
      <rPr>
        <sz val="7"/>
        <color theme="1"/>
        <rFont val="Times New Roman"/>
        <family val="1"/>
      </rPr>
      <t xml:space="preserve">        </t>
    </r>
    <r>
      <rPr>
        <sz val="11"/>
        <color theme="1"/>
        <rFont val="Aptos"/>
        <family val="2"/>
      </rPr>
      <t>If any rows are left blank, please explain in the Notes/sources section (column N).</t>
    </r>
  </si>
  <si>
    <t>MARKETING</t>
  </si>
  <si>
    <t>EMO-CMO-BOSP</t>
  </si>
  <si>
    <t>Enter Information in yellow cells only. Most of this sheet will be auto-populated using the data you have entered in other worksheets.</t>
  </si>
  <si>
    <t>STATISTICS</t>
  </si>
  <si>
    <t>No data entry required. This worksheet will auto-complete based on your responses in other sheets.</t>
  </si>
  <si>
    <t>Distance from school (miles)</t>
  </si>
  <si>
    <t>Total Special Education Teachers</t>
  </si>
  <si>
    <t>SF/pupil (50-55 sf PP common w/charter schools)(20 sf PP common for classroom only space)</t>
  </si>
  <si>
    <t>You may override these formulas with more accurate estimates</t>
  </si>
  <si>
    <t>Otherwise, include all transportation program costs and note in narrative how much will be applied for and for which items.  (May require completion of Transportation Application)</t>
  </si>
  <si>
    <t xml:space="preserve">General Operating &amp; Trans' Expenses </t>
  </si>
  <si>
    <t>Included</t>
  </si>
  <si>
    <r>
      <t>·</t>
    </r>
    <r>
      <rPr>
        <sz val="7"/>
        <color theme="1"/>
        <rFont val="Times New Roman"/>
        <family val="1"/>
      </rPr>
      <t xml:space="preserve">        </t>
    </r>
    <r>
      <rPr>
        <sz val="11"/>
        <color theme="1"/>
        <rFont val="Aptos"/>
        <family val="2"/>
      </rPr>
      <t xml:space="preserve">Within each worksheet, applicants may not need to input values in EVERY yellow cell. </t>
    </r>
  </si>
  <si>
    <r>
      <t xml:space="preserve">        ·</t>
    </r>
    <r>
      <rPr>
        <sz val="7"/>
        <color theme="1"/>
        <rFont val="Times New Roman"/>
        <family val="1"/>
      </rPr>
      <t xml:space="preserve">        </t>
    </r>
    <r>
      <rPr>
        <sz val="11"/>
        <color theme="1"/>
        <rFont val="Aptos"/>
        <family val="2"/>
      </rPr>
      <t>Component parts of a broad row item.</t>
    </r>
  </si>
  <si>
    <r>
      <t>·</t>
    </r>
    <r>
      <rPr>
        <sz val="7"/>
        <color theme="1"/>
        <rFont val="Times New Roman"/>
        <family val="1"/>
      </rPr>
      <t xml:space="preserve">        </t>
    </r>
    <r>
      <rPr>
        <sz val="11"/>
        <color theme="1"/>
        <rFont val="Aptos"/>
        <family val="2"/>
      </rPr>
      <t>Student Fees (as allowed by other public schools)</t>
    </r>
  </si>
  <si>
    <r>
      <t>·</t>
    </r>
    <r>
      <rPr>
        <sz val="7"/>
        <color theme="1"/>
        <rFont val="Times New Roman"/>
        <family val="1"/>
      </rPr>
      <t xml:space="preserve">        </t>
    </r>
    <r>
      <rPr>
        <sz val="11"/>
        <color theme="1"/>
        <rFont val="Aptos"/>
        <family val="2"/>
      </rPr>
      <t>With regard to other sources of revenue (listed below), please note that these  may ONLY be included if the applicant presents a SIGNED letter of commitment from the funding source in the attachments to the Narrative application.</t>
    </r>
  </si>
  <si>
    <r>
      <t>·</t>
    </r>
    <r>
      <rPr>
        <sz val="7"/>
        <color theme="1"/>
        <rFont val="Times New Roman"/>
        <family val="1"/>
      </rPr>
      <t xml:space="preserve">        </t>
    </r>
    <r>
      <rPr>
        <sz val="11"/>
        <color theme="1"/>
        <rFont val="Aptos"/>
        <family val="2"/>
      </rPr>
      <t>Private Fundraising (foundations, corporate)</t>
    </r>
  </si>
  <si>
    <t>Enter information in yellow cells only. Complete EITHER the purchase section OR the lease section. Be sure to add notes/sources to support the projections in this worksheet. These numbers should match the information provided in the application narrative and attachments.</t>
  </si>
  <si>
    <r>
      <t>·</t>
    </r>
    <r>
      <rPr>
        <sz val="7"/>
        <color theme="1"/>
        <rFont val="Times New Roman"/>
        <family val="1"/>
      </rPr>
      <t xml:space="preserve">        </t>
    </r>
    <r>
      <rPr>
        <sz val="11"/>
        <color theme="1"/>
        <rFont val="Aptos"/>
        <family val="2"/>
      </rPr>
      <t>Please provide detailed notes or sources in Column R.</t>
    </r>
  </si>
  <si>
    <t>Enter information in yellow cells only. Starting in Row 35, enter each program item/element (printed collateral materials, door-knocking, etc.) in column B. In column C, enter the timeframe for purchase/completion. In column P, provide detail about what is included (for instance, for purchases such as printed collateral materials, specify each type of item to be ordered, the quantity, and price; for activities such as door-knocking, describe the supplies needed as well as any stipends or payments to participants, etc.) in each row item.</t>
  </si>
  <si>
    <r>
      <t>·</t>
    </r>
    <r>
      <rPr>
        <sz val="7"/>
        <color theme="1"/>
        <rFont val="Times New Roman"/>
        <family val="1"/>
      </rPr>
      <t xml:space="preserve">        </t>
    </r>
    <r>
      <rPr>
        <sz val="11"/>
        <color theme="1"/>
        <rFont val="Aptos"/>
        <family val="2"/>
      </rPr>
      <t xml:space="preserve">The Pupil Centered Funding Plan (PCFP) funding per student can be found at https://www.leg.state.nv.us/App/NELIS/REL/82nd2023/Bill/10613/Text. If the school will be a single-district or multi-district  virtual school with a Distance Education program, then under the PCFP, one PPR rate will apply--regardless of County/District.  </t>
    </r>
  </si>
  <si>
    <r>
      <t xml:space="preserve">This New School Application Financial Plan Workbook (FPW) is designed to show the financial implications of your school plan and budget assumptions across a six-year school contract. The FPW is designed to be both simple to use and comprehensive in the information it collects to help applicants think through fiscal impacts of assumptions. 
</t>
    </r>
    <r>
      <rPr>
        <b/>
        <sz val="11"/>
        <color theme="1"/>
        <rFont val="Calibri"/>
        <family val="2"/>
        <scheme val="minor"/>
      </rPr>
      <t xml:space="preserve">Please familiarize yourself with the following general instructions prior to data entry. </t>
    </r>
  </si>
  <si>
    <r>
      <t>·</t>
    </r>
    <r>
      <rPr>
        <sz val="7"/>
        <color theme="1"/>
        <rFont val="Times New Roman"/>
        <family val="1"/>
      </rPr>
      <t xml:space="preserve">        </t>
    </r>
    <r>
      <rPr>
        <sz val="11"/>
        <color theme="1"/>
        <rFont val="Aptos"/>
        <family val="2"/>
      </rPr>
      <t>A member of the proposed school’s board must review and approve the FPW.</t>
    </r>
    <r>
      <rPr>
        <sz val="11"/>
        <color theme="1"/>
        <rFont val="Symbol"/>
        <family val="1"/>
        <charset val="2"/>
      </rPr>
      <t xml:space="preserve"> </t>
    </r>
    <r>
      <rPr>
        <sz val="11"/>
        <color theme="1"/>
        <rFont val="Calibri"/>
        <family val="2"/>
        <scheme val="minor"/>
      </rPr>
      <t>Board members are expected to be prepared to discuss the FPW at the interview.</t>
    </r>
  </si>
  <si>
    <t>Enter information in yellow cells only. Note that you MUST identify the primary preparers of the FPW, even if they are not on the CTF, including any contributing vendors, whether paid or unpaid. Additionally, at least one proposed board member must review and approve the completed FPW by inputting their name(s) in cell 9G. Board members are expected to be able to discuss the FPW during the interview.</t>
  </si>
  <si>
    <t>Enter information in yellow cells only. You MUST complete this tab if you are planning to contract with a back office service provider (such as EdTec), AND/OR if you will have a contractual relationship with an EMO or CMO. Note that information entered in this worksheet must match the narrative and the service provider's contract as presented in the attachments.</t>
  </si>
  <si>
    <t xml:space="preserve">At Risk Pupils (AR) </t>
  </si>
  <si>
    <t>Principal</t>
  </si>
  <si>
    <t>Office Manager</t>
  </si>
  <si>
    <t>Registrar/Receptionist</t>
  </si>
  <si>
    <t>Teacher: Kinder</t>
  </si>
  <si>
    <t>Teacher: Grade 1</t>
  </si>
  <si>
    <t>Teacher: Grade 2</t>
  </si>
  <si>
    <t>Teacher: Grade 3</t>
  </si>
  <si>
    <t>Teacher: Grade 4</t>
  </si>
  <si>
    <t>Teacher: Grade 5</t>
  </si>
  <si>
    <t>Teacher: Grade 6</t>
  </si>
  <si>
    <t>Teacher: Grade 7</t>
  </si>
  <si>
    <t>Teacher: Grade 8</t>
  </si>
  <si>
    <t>Teacher: Specials/Elective: PE</t>
  </si>
  <si>
    <t>Teacher: Specials/Elective: Music</t>
  </si>
  <si>
    <t>Teacher: Specials/Elective: Art</t>
  </si>
  <si>
    <t>Teacher: Specials/Elective: Foreign Language</t>
  </si>
  <si>
    <t>Abuse &amp; Molestation</t>
  </si>
  <si>
    <t>Accident Insurance - For volunteers or students due to accident at school.</t>
  </si>
  <si>
    <t>Commercial Property/Campus Liability</t>
  </si>
  <si>
    <t>Cyber Liability</t>
  </si>
  <si>
    <t>Directors &amp; Officers</t>
  </si>
  <si>
    <t>Excess/Umbrella Liability</t>
  </si>
  <si>
    <t>Student Accident Liability per accident</t>
  </si>
  <si>
    <t>Business Interruption</t>
  </si>
  <si>
    <t>Enrollment development contracting</t>
  </si>
  <si>
    <t>Lease</t>
  </si>
  <si>
    <t>Will be covered with Revolving Loan Fund @ $500.00 per student</t>
  </si>
  <si>
    <t>Revolving loan at $500 per ADE Assumed- Pay back beginnng in Year 2 and finish in Year 3.</t>
  </si>
  <si>
    <t>Assumes a 6 Year lease for asset purposes net of accrued rent. With a renewal in Year 6.</t>
  </si>
  <si>
    <t>Projected A/R's</t>
  </si>
  <si>
    <t xml:space="preserve">Includes Revolving Loan Payable. </t>
  </si>
  <si>
    <t>Interest on Revolving Loan Fund.</t>
  </si>
  <si>
    <t>Revolving Loan Fund Paid back in Year 1 to Year 3.</t>
  </si>
  <si>
    <t>Special Education (SPED) Teachers</t>
  </si>
  <si>
    <t xml:space="preserve">Attendance and Compliance Manager </t>
  </si>
  <si>
    <t>Student Enrollment and Recruitment Manager</t>
  </si>
  <si>
    <t>Pahrump Valley Academy</t>
  </si>
  <si>
    <t>Dean of Students</t>
  </si>
  <si>
    <t>Instructional Coach</t>
  </si>
  <si>
    <t>Special Education (SPED) Director</t>
  </si>
  <si>
    <t>Nurse</t>
  </si>
  <si>
    <t>Social Worker</t>
  </si>
  <si>
    <t>Campus Monitor</t>
  </si>
  <si>
    <t>Operations Management</t>
  </si>
  <si>
    <t>Paraprofessional General</t>
  </si>
  <si>
    <t>EPLI</t>
  </si>
  <si>
    <t>Crime</t>
  </si>
  <si>
    <t>Executive Director</t>
  </si>
  <si>
    <t>English Language Learner (ELL)/Reading Specialist</t>
  </si>
  <si>
    <t>Y</t>
  </si>
  <si>
    <t>N</t>
  </si>
  <si>
    <t>Financial compliance.</t>
  </si>
  <si>
    <t>Financial and payroll reporting.</t>
  </si>
  <si>
    <t>PVA anticipates using a back-office service provider.</t>
  </si>
  <si>
    <t>Y1 increased to support compliance</t>
  </si>
  <si>
    <t>Y1 increased to support At-Risk and Special Populations</t>
  </si>
  <si>
    <t>Possible repurpose to SPED based on need</t>
  </si>
  <si>
    <t>To be provided by landlord</t>
  </si>
  <si>
    <t>Textbook use anticipated at 5 years</t>
  </si>
  <si>
    <t>90% of students at $4.25 per day, for 180 days</t>
  </si>
  <si>
    <t>90% of students at $4.25 per day, for 180 days les Federal Lunch Program</t>
  </si>
  <si>
    <t>Use anticipated at 5 years</t>
  </si>
  <si>
    <t>Will apply for State Transportation funds if need is identified</t>
  </si>
  <si>
    <t>Food Service Revenues on the “Enrol &amp; Rev” tab do not pull through to this tab</t>
  </si>
  <si>
    <t>Will secure Opportunity 180 Y0 funds of up to $180,000 to cover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</si>
</sst>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0">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quot;$&quot;#,##0\ ;\(&quot;$&quot;#,##0\)"/>
    <numFmt numFmtId="168" formatCode="[$-409]mmmm\ d\,\ yyyy;@"/>
    <numFmt numFmtId="169" formatCode="_(* #,##0.00_);_(* \(#,##0.00\);_(* \-??_);_(@_)"/>
    <numFmt numFmtId="170" formatCode="_(\$* #,##0.00_);_(\$* \(#,##0.00\);_(\$* \-??_);_(@_)"/>
    <numFmt numFmtId="171" formatCode="_ * #,##0.00_ ;_ * \-#,##0.00_ ;_ * \-??_ ;_ @_ "/>
    <numFmt numFmtId="172" formatCode="_(#,##0_);[Red]_(\(#,##0\);_(&quot;-&quot;_);_(@_)"/>
    <numFmt numFmtId="173" formatCode="_(#,##0.0_);[Red]_(\(#,##0.0\);_(&quot;-&quot;_);_(@_)"/>
    <numFmt numFmtId="174" formatCode="_(&quot;$&quot;#,##0_);[Red]_(&quot;$&quot;\(#,##0\);_(&quot;$&quot;\ &quot;-&quot;_);_(@_)"/>
    <numFmt numFmtId="175" formatCode="0%;[Red]\(0%\);&quot;-%&quot;"/>
    <numFmt numFmtId="176" formatCode="_(#,##0_)&quot; sf/p&quot;;[Red]_(\(#,##0\);_(&quot;-&quot;_);_(@_)"/>
    <numFmt numFmtId="177" formatCode="_(&quot;$&quot;#,##0_);&quot;$&quot;\(#,##0\);_(&quot;$&quot;&quot;-&quot;_);_(@_)"/>
    <numFmt numFmtId="178" formatCode="_(&quot;$&quot;#,##0.00_);&quot;$&quot;\(#,##0.00\);_(&quot;$&quot;&quot;-&quot;_);_(@_)"/>
    <numFmt numFmtId="179" formatCode="&quot;$&quot;#,##0_)&quot;/pp&quot;;[Red]\(&quot;$&quot;#,##0\)"/>
    <numFmt numFmtId="180" formatCode="0%;[Red]\(0\)%"/>
    <numFmt numFmtId="181" formatCode="#,##0_)&quot;sf&quot;;\(#,##0\)&quot;sf&quot;;_(* &quot;-&quot;_);_(@_)"/>
    <numFmt numFmtId="182" formatCode="_(&quot;$&quot;* #,##0_);[Red]_(&quot;$&quot;* \(#,##0\);_(&quot;$&quot;* \ &quot;-&quot;_);_(@_)"/>
    <numFmt numFmtId="183" formatCode="_(* #,##0_);_(* \(#,##0\);_(* &quot;-&quot;??_);_(@_)"/>
    <numFmt numFmtId="184" formatCode="_(&quot;$&quot;\ #,##0_);[Red]_(&quot;$&quot;\(#,##0\);_(&quot;$&quot;\ &quot;-&quot;_);_(@_)"/>
    <numFmt numFmtId="185" formatCode="0_);[Red]\(0\)"/>
    <numFmt numFmtId="186" formatCode="000\-000\-0000"/>
    <numFmt numFmtId="187" formatCode="_(&quot;$&quot;#,##0.00_);[Red]_(&quot;$&quot;\(#,##0.00\);_(&quot;$&quot;\ &quot;-&quot;_);_(@_)"/>
    <numFmt numFmtId="188" formatCode="&quot;SYE &quot;General"/>
    <numFmt numFmtId="189" formatCode="0.00%;[Red]\(0.00%\);&quot;-%&quot;"/>
    <numFmt numFmtId="190" formatCode="#,##0_)&quot;sf/p&quot;;\(#,##0\)&quot;sf&quot;;_(* &quot;-&quot;_);_(@_)"/>
    <numFmt numFmtId="191" formatCode="_(#,##0_)&quot;sf/p&quot;;[Red]_(\(#,##0\);_(&quot;-&quot;_);_(@_)"/>
    <numFmt numFmtId="192" formatCode="General&quot; s&quot;"/>
    <numFmt numFmtId="193" formatCode="_(#,##0.0_)&quot;mi&quot;;[Red]_(\(#,##0.0\);_(&quot;-&quot;_);_(@_)"/>
    <numFmt numFmtId="194" formatCode="&quot;Yr &quot;General"/>
    <numFmt numFmtId="195" formatCode="0.0%;[Red]\(0.0%\);&quot;-%&quot;"/>
    <numFmt numFmtId="196" formatCode="_(#,##0_)&quot;s&quot;;[Red]_(\(#,##0\)&quot; s&quot;;_(&quot;-&quot;_);_(@_)"/>
    <numFmt numFmtId="197" formatCode="&quot;max &quot;#,##0_);[Red]\(#,##0\)"/>
    <numFmt numFmtId="198" formatCode="&quot;av &quot;_(&quot;$&quot;#,##0_);[Red]_(&quot;$&quot;\(#,##0\);_(&quot;$&quot;\ &quot;-&quot;_);_(@_)"/>
    <numFmt numFmtId="199" formatCode="&quot;min &quot;_(#,##0_);[Red]_(\(#,##0\);_(&quot;-&quot;_);_(@_)"/>
    <numFmt numFmtId="200" formatCode="_(#,##0_)&quot;s&quot;;[Red]_(\(#,##0\);_(&quot;-&quot;_);_(@_)"/>
    <numFmt numFmtId="201" formatCode="&quot;Plan max &quot;#,##0_);[Red]\(#,##0\)"/>
    <numFmt numFmtId="202" formatCode="_(#,##0.00_);[Red]_(\(#,##0.00\);_(&quot;-&quot;_);_(@_)"/>
    <numFmt numFmtId="203" formatCode="&quot;$&quot;#,##0_)&quot;/pp&quot;;[Red]\(&quot;$&quot;#,##0\);&quot;$-/pp&quot;"/>
    <numFmt numFmtId="204" formatCode="&quot;max &quot;#,##0_);[Red]\(#,##0\);&quot;max -&quot;"/>
    <numFmt numFmtId="205" formatCode="&quot;Plan max &quot;#,##0_);[Red]\(#,##0\);&quot;Plan max -&quot;"/>
    <numFmt numFmtId="206" formatCode="General;;&quot;-s&quot;"/>
    <numFmt numFmtId="207" formatCode="#,##0_)&quot;Ss&quot;;[Red]\(#,##0\);&quot;- Ss&quot;"/>
    <numFmt numFmtId="208" formatCode="_(&quot;$&quot;#,##0.0_);[Red]_(&quot;$&quot;\(#,##0.0\);_(&quot;$&quot;\ &quot;-&quot;_);_(@_)"/>
    <numFmt numFmtId="209" formatCode="&quot;avg &quot;&quot;$&quot;#,##0_);[Red]\(&quot;$&quot;#,##0\);&quot;avg $-&quot;"/>
    <numFmt numFmtId="210" formatCode="&quot;$&quot;#,##0.00_);[Red]\(&quot;$&quot;#,##0.00\);&quot;$ -&quot;"/>
    <numFmt numFmtId="211" formatCode="0.00%;[Red]\(0.00%\);&quot;% -&quot;"/>
    <numFmt numFmtId="212" formatCode="#,##0.00;[Red]\(#,##0.00\);&quot;-&quot;"/>
    <numFmt numFmtId="213" formatCode="_(#,##0.0_)&quot;sf&quot;;[Red]_(\(#,##0.0\);_(&quot;-&quot;_);_(@_)"/>
    <numFmt numFmtId="214" formatCode="&quot;July 1, 20&quot;##"/>
    <numFmt numFmtId="215" formatCode="&quot;$&quot;#,##0_)&quot;pp&quot;;[Red]\(&quot;$&quot;#,##0\)&quot;pp&quot;;&quot;$/pp&quot;"/>
    <numFmt numFmtId="216" formatCode="_(&quot;$&quot;#,##0_)&quot;PP&quot;;[Red]_(&quot;$&quot;\(#,##0\);_(&quot;$&quot;\ &quot;-&quot;_);_(@_)"/>
    <numFmt numFmtId="217" formatCode="_(&quot;$&quot;#,##0_)&quot;P FRL P&quot;;[Red]_(&quot;$&quot;\(#,##0\);_(&quot;$&quot;\ &quot;-&quot;_);_(@_)"/>
    <numFmt numFmtId="218" formatCode="_(&quot;$&quot;#,##0.00_)&quot;/mo&quot;;[Red]_(&quot;$&quot;\(#,##0.00\);_(&quot;$&quot;\ &quot;-&quot;_);_(@_)"/>
    <numFmt numFmtId="219" formatCode="_(&quot;$&quot;#,##0.00_)&quot;/yr&quot;;[Red]_(&quot;$&quot;\(#,##0.00\);_(&quot;$&quot;\ &quot;-&quot;_);_(@_)"/>
    <numFmt numFmtId="220" formatCode="_(#,##0_)&quot;days&quot;;[Red]_(\(#,##0\);_(&quot;-&quot;_);_(@_)"/>
    <numFmt numFmtId="221" formatCode="&quot;Incu' Yr &quot;General"/>
    <numFmt numFmtId="222" formatCode="_(#,##0_)&quot;sfPP&quot;;[Red]_(\(#,##0\);_(&quot;-&quot;_);_(@_)"/>
    <numFmt numFmtId="223" formatCode="0.0"/>
    <numFmt numFmtId="224" formatCode="_(#,##0_)&quot; sf&quot;;[Red]_(\(#,##0\);_(&quot;-&quot;_);_(@_)"/>
    <numFmt numFmtId="225" formatCode="mmm"/>
    <numFmt numFmtId="226" formatCode="mmm\ d"/>
  </numFmts>
  <fonts count="198">
    <font>
      <sz val="11"/>
      <color theme="1"/>
      <name val="Calibri"/>
      <family val="2"/>
      <scheme val="minor"/>
    </font>
    <font>
      <sz val="11"/>
      <color indexed="8"/>
      <name val="Calibri"/>
      <family val="2"/>
    </font>
    <font>
      <sz val="10"/>
      <name val="Arial"/>
      <family val="2"/>
    </font>
    <font>
      <sz val="11"/>
      <color indexed="8"/>
      <name val="Calibri"/>
      <family val="2"/>
    </font>
    <font>
      <sz val="8"/>
      <name val="Arial"/>
      <family val="2"/>
    </font>
    <font>
      <b/>
      <sz val="8"/>
      <name val="Arial"/>
      <family val="2"/>
    </font>
    <font>
      <b/>
      <sz val="11"/>
      <color indexed="8"/>
      <name val="Calibri"/>
      <family val="2"/>
    </font>
    <font>
      <sz val="8"/>
      <name val="Verdana"/>
      <family val="2"/>
    </font>
    <font>
      <sz val="11"/>
      <color theme="1"/>
      <name val="Calibri"/>
      <family val="2"/>
      <scheme val="minor"/>
    </font>
    <font>
      <b/>
      <sz val="11"/>
      <color rgb="FF0070C0"/>
      <name val="Calibri"/>
      <family val="2"/>
      <scheme val="minor"/>
    </font>
    <font>
      <u/>
      <sz val="8.8000000000000007"/>
      <color theme="10"/>
      <name val="Calibri"/>
      <family val="2"/>
    </font>
    <font>
      <b/>
      <sz val="11"/>
      <color theme="1"/>
      <name val="Calibri"/>
      <family val="2"/>
      <scheme val="minor"/>
    </font>
    <font>
      <b/>
      <sz val="11"/>
      <color theme="0"/>
      <name val="Calibri"/>
      <family val="2"/>
      <scheme val="minor"/>
    </font>
    <font>
      <i/>
      <sz val="11"/>
      <color theme="1"/>
      <name val="Calibri"/>
      <family val="2"/>
      <scheme val="minor"/>
    </font>
    <font>
      <sz val="9"/>
      <name val="Arial"/>
      <family val="2"/>
    </font>
    <font>
      <b/>
      <sz val="10"/>
      <name val="Arial"/>
      <family val="2"/>
    </font>
    <font>
      <b/>
      <sz val="11"/>
      <name val="Arial"/>
      <family val="2"/>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Times New Roman"/>
      <family val="1"/>
    </font>
    <font>
      <sz val="18"/>
      <name val="Times New Roman"/>
      <family val="1"/>
    </font>
    <font>
      <sz val="8"/>
      <name val="Times New Roman"/>
      <family val="1"/>
    </font>
    <font>
      <u/>
      <sz val="10"/>
      <color indexed="12"/>
      <name val="Arial"/>
      <family val="2"/>
    </font>
    <font>
      <sz val="12"/>
      <name val="Helv"/>
    </font>
    <font>
      <sz val="10"/>
      <name val="Helv"/>
    </font>
    <font>
      <i/>
      <sz val="10"/>
      <color rgb="FF7F7F7F"/>
      <name val="Arial"/>
      <family val="2"/>
    </font>
    <font>
      <b/>
      <sz val="11"/>
      <color theme="3"/>
      <name val="Arial"/>
      <family val="2"/>
    </font>
    <font>
      <sz val="10"/>
      <name val="Courier"/>
      <family val="3"/>
    </font>
    <font>
      <sz val="10"/>
      <color indexed="10"/>
      <name val="Arial"/>
      <family val="2"/>
    </font>
    <font>
      <b/>
      <sz val="11"/>
      <color indexed="62"/>
      <name val="Arial"/>
      <family val="2"/>
    </font>
    <font>
      <sz val="11"/>
      <color indexed="10"/>
      <name val="Calibri"/>
      <family val="2"/>
    </font>
    <font>
      <sz val="12"/>
      <color indexed="8"/>
      <name val="Verdana"/>
      <family val="2"/>
    </font>
    <font>
      <sz val="10"/>
      <color indexed="8"/>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0"/>
      <name val="Arial"/>
      <family val="2"/>
      <charset val="1"/>
    </font>
    <font>
      <b/>
      <sz val="10"/>
      <color indexed="8"/>
      <name val="Arial"/>
      <family val="2"/>
    </font>
    <font>
      <b/>
      <sz val="11"/>
      <color indexed="1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u/>
      <sz val="10"/>
      <color rgb="FF0000FF"/>
      <name val="Arial"/>
      <family val="2"/>
      <charset val="1"/>
    </font>
    <font>
      <sz val="11"/>
      <color indexed="10"/>
      <name val="Calibri"/>
      <family val="2"/>
      <scheme val="minor"/>
    </font>
    <font>
      <sz val="11"/>
      <color indexed="19"/>
      <name val="Calibri"/>
      <family val="2"/>
      <scheme val="minor"/>
    </font>
    <font>
      <b/>
      <sz val="18"/>
      <color indexed="62"/>
      <name val="Cambria"/>
      <family val="2"/>
      <scheme val="major"/>
    </font>
    <font>
      <b/>
      <sz val="10"/>
      <color indexed="39"/>
      <name val="Arial"/>
      <family val="2"/>
    </font>
    <font>
      <b/>
      <sz val="12"/>
      <color indexed="8"/>
      <name val="Arial"/>
      <family val="2"/>
    </font>
    <font>
      <sz val="10"/>
      <color indexed="39"/>
      <name val="Arial"/>
      <family val="2"/>
    </font>
    <font>
      <sz val="19"/>
      <color indexed="48"/>
      <name val="Arial"/>
      <family val="2"/>
    </font>
    <font>
      <b/>
      <sz val="12"/>
      <name val="Arial"/>
      <family val="2"/>
    </font>
    <font>
      <sz val="11"/>
      <color theme="1"/>
      <name val="Courier New"/>
      <family val="2"/>
    </font>
    <font>
      <b/>
      <sz val="15"/>
      <color theme="3"/>
      <name val="Courier New"/>
      <family val="2"/>
    </font>
    <font>
      <b/>
      <sz val="13"/>
      <color theme="3"/>
      <name val="Courier New"/>
      <family val="2"/>
    </font>
    <font>
      <b/>
      <sz val="11"/>
      <color theme="3"/>
      <name val="Courier New"/>
      <family val="2"/>
    </font>
    <font>
      <sz val="11"/>
      <color rgb="FF006100"/>
      <name val="Courier New"/>
      <family val="2"/>
    </font>
    <font>
      <sz val="11"/>
      <color rgb="FF9C0006"/>
      <name val="Courier New"/>
      <family val="2"/>
    </font>
    <font>
      <sz val="11"/>
      <color rgb="FF9C6500"/>
      <name val="Courier New"/>
      <family val="2"/>
    </font>
    <font>
      <sz val="11"/>
      <color rgb="FF3F3F76"/>
      <name val="Courier New"/>
      <family val="2"/>
    </font>
    <font>
      <b/>
      <sz val="11"/>
      <color rgb="FF3F3F3F"/>
      <name val="Courier New"/>
      <family val="2"/>
    </font>
    <font>
      <b/>
      <sz val="11"/>
      <color rgb="FFFA7D00"/>
      <name val="Courier New"/>
      <family val="2"/>
    </font>
    <font>
      <sz val="11"/>
      <color rgb="FFFA7D00"/>
      <name val="Courier New"/>
      <family val="2"/>
    </font>
    <font>
      <b/>
      <sz val="11"/>
      <color theme="0"/>
      <name val="Courier New"/>
      <family val="2"/>
    </font>
    <font>
      <sz val="11"/>
      <color rgb="FFFF0000"/>
      <name val="Courier New"/>
      <family val="2"/>
    </font>
    <font>
      <i/>
      <sz val="11"/>
      <color rgb="FF7F7F7F"/>
      <name val="Courier New"/>
      <family val="2"/>
    </font>
    <font>
      <b/>
      <sz val="11"/>
      <color theme="1"/>
      <name val="Courier New"/>
      <family val="2"/>
    </font>
    <font>
      <sz val="11"/>
      <color theme="0"/>
      <name val="Courier New"/>
      <family val="2"/>
    </font>
    <font>
      <b/>
      <sz val="18"/>
      <name val="Arial"/>
      <family val="2"/>
    </font>
    <font>
      <sz val="18"/>
      <color theme="3"/>
      <name val="Cambria"/>
      <family val="2"/>
      <scheme val="major"/>
    </font>
    <font>
      <sz val="12"/>
      <color theme="1"/>
      <name val="Calibri"/>
      <family val="2"/>
      <scheme val="minor"/>
    </font>
    <font>
      <sz val="11"/>
      <color rgb="FF9C5700"/>
      <name val="Calibri"/>
      <family val="2"/>
      <scheme val="minor"/>
    </font>
    <font>
      <i/>
      <sz val="9"/>
      <color indexed="8"/>
      <name val="Arial"/>
      <family val="2"/>
    </font>
    <font>
      <b/>
      <sz val="9"/>
      <color indexed="23"/>
      <name val="Arial"/>
      <family val="2"/>
    </font>
    <font>
      <b/>
      <sz val="10"/>
      <color indexed="23"/>
      <name val="Arial"/>
      <family val="2"/>
    </font>
    <font>
      <b/>
      <sz val="12"/>
      <color indexed="9"/>
      <name val="Arial"/>
      <family val="2"/>
    </font>
    <font>
      <b/>
      <sz val="11"/>
      <name val="Times New Roman"/>
      <family val="1"/>
    </font>
    <font>
      <sz val="11"/>
      <name val="Times New Roman"/>
      <family val="1"/>
    </font>
    <font>
      <sz val="11"/>
      <color indexed="8"/>
      <name val="Times New Roman"/>
      <family val="1"/>
    </font>
    <font>
      <b/>
      <sz val="11"/>
      <color indexed="8"/>
      <name val="Times New Roman"/>
      <family val="1"/>
    </font>
    <font>
      <sz val="10"/>
      <color rgb="FF0000FF"/>
      <name val="Arial"/>
      <family val="2"/>
    </font>
    <font>
      <b/>
      <sz val="10"/>
      <color indexed="8"/>
      <name val="Times New Roman"/>
      <family val="1"/>
    </font>
    <font>
      <sz val="10"/>
      <color indexed="8"/>
      <name val="Times New Roman"/>
      <family val="1"/>
    </font>
    <font>
      <sz val="11"/>
      <color rgb="FF0000FF"/>
      <name val="Times New Roman"/>
      <family val="1"/>
    </font>
    <font>
      <sz val="9"/>
      <color indexed="8"/>
      <name val="Times New Roman"/>
      <family val="1"/>
    </font>
    <font>
      <b/>
      <sz val="10"/>
      <color rgb="FF0000FF"/>
      <name val="Arial"/>
      <family val="2"/>
    </font>
    <font>
      <b/>
      <sz val="14"/>
      <color indexed="9"/>
      <name val="Arial"/>
      <family val="2"/>
    </font>
    <font>
      <b/>
      <sz val="9"/>
      <color indexed="8"/>
      <name val="Times New Roman"/>
      <family val="1"/>
    </font>
    <font>
      <b/>
      <sz val="11"/>
      <color rgb="FF0000FF"/>
      <name val="Times New Roman"/>
      <family val="1"/>
    </font>
    <font>
      <b/>
      <sz val="14"/>
      <color indexed="8"/>
      <name val="Times New Roman"/>
      <family val="1"/>
    </font>
    <font>
      <i/>
      <sz val="9"/>
      <color indexed="8"/>
      <name val="Times New Roman"/>
      <family val="1"/>
    </font>
    <font>
      <b/>
      <sz val="12"/>
      <color indexed="8"/>
      <name val="Times New Roman"/>
      <family val="1"/>
    </font>
    <font>
      <i/>
      <sz val="11"/>
      <color indexed="8"/>
      <name val="Times New Roman"/>
      <family val="1"/>
    </font>
    <font>
      <b/>
      <i/>
      <sz val="11"/>
      <color indexed="8"/>
      <name val="Times New Roman"/>
      <family val="1"/>
    </font>
    <font>
      <sz val="12"/>
      <color indexed="8"/>
      <name val="Times New Roman"/>
      <family val="1"/>
    </font>
    <font>
      <sz val="8.8000000000000007"/>
      <color indexed="8"/>
      <name val="Times New Roman"/>
      <family val="1"/>
    </font>
    <font>
      <b/>
      <sz val="11"/>
      <color rgb="FF000000"/>
      <name val="Times New Roman"/>
      <family val="1"/>
    </font>
    <font>
      <b/>
      <sz val="12"/>
      <color theme="1"/>
      <name val="Arial"/>
      <family val="2"/>
    </font>
    <font>
      <sz val="11"/>
      <color theme="0" tint="-0.34998626667073579"/>
      <name val="Times New Roman"/>
      <family val="1"/>
    </font>
    <font>
      <b/>
      <sz val="12"/>
      <name val="Times New Roman"/>
      <family val="1"/>
    </font>
    <font>
      <sz val="10"/>
      <color rgb="FF0000FF"/>
      <name val="Times New Roman"/>
      <family val="1"/>
    </font>
    <font>
      <b/>
      <i/>
      <sz val="10"/>
      <color rgb="FFFF0000"/>
      <name val="Times New Roman"/>
      <family val="1"/>
    </font>
    <font>
      <sz val="12"/>
      <color rgb="FF0000FF"/>
      <name val="Times New Roman"/>
      <family val="1"/>
    </font>
    <font>
      <sz val="10"/>
      <color rgb="FF000000"/>
      <name val="Times New Roman"/>
      <family val="1"/>
    </font>
    <font>
      <sz val="12"/>
      <name val="Arial"/>
      <family val="2"/>
    </font>
    <font>
      <sz val="11"/>
      <name val="Arial"/>
      <family val="2"/>
    </font>
    <font>
      <sz val="11"/>
      <color rgb="FF000000"/>
      <name val="Times New Roman"/>
      <family val="1"/>
    </font>
    <font>
      <i/>
      <sz val="8"/>
      <color indexed="8"/>
      <name val="Times New Roman"/>
      <family val="1"/>
    </font>
    <font>
      <i/>
      <sz val="11"/>
      <color rgb="FF000000"/>
      <name val="Times New Roman"/>
      <family val="1"/>
    </font>
    <font>
      <b/>
      <sz val="10"/>
      <name val="Times New Roman"/>
      <family val="1"/>
    </font>
    <font>
      <b/>
      <sz val="28"/>
      <color rgb="FF0000FF"/>
      <name val="Times New Roman"/>
      <family val="1"/>
    </font>
    <font>
      <sz val="12"/>
      <color rgb="FF000000"/>
      <name val="Times New Roman"/>
      <family val="1"/>
    </font>
    <font>
      <sz val="11"/>
      <color theme="0" tint="-0.249977111117893"/>
      <name val="Times New Roman"/>
      <family val="1"/>
    </font>
    <font>
      <b/>
      <sz val="14"/>
      <name val="Times New Roman"/>
      <family val="1"/>
    </font>
    <font>
      <u/>
      <sz val="12"/>
      <color rgb="FF0000FF"/>
      <name val="Times New Roman"/>
      <family val="1"/>
    </font>
    <font>
      <b/>
      <sz val="10"/>
      <color indexed="23"/>
      <name val="Times Roman"/>
    </font>
    <font>
      <i/>
      <sz val="9"/>
      <color indexed="8"/>
      <name val="Times Roman"/>
    </font>
    <font>
      <b/>
      <sz val="12"/>
      <color theme="1"/>
      <name val="Calibri"/>
      <family val="2"/>
      <scheme val="minor"/>
    </font>
    <font>
      <i/>
      <sz val="12"/>
      <color theme="1"/>
      <name val="Calibri"/>
      <family val="2"/>
      <scheme val="minor"/>
    </font>
    <font>
      <i/>
      <sz val="12"/>
      <color indexed="8"/>
      <name val="Times New Roman"/>
      <family val="1"/>
    </font>
    <font>
      <sz val="12"/>
      <color theme="0" tint="-0.34998626667073579"/>
      <name val="Times New Roman"/>
      <family val="1"/>
    </font>
    <font>
      <sz val="10"/>
      <color theme="0" tint="-0.249977111117893"/>
      <name val="Times New Roman"/>
      <family val="1"/>
    </font>
    <font>
      <sz val="12"/>
      <color theme="0" tint="-0.249977111117893"/>
      <name val="Times New Roman"/>
      <family val="1"/>
    </font>
    <font>
      <sz val="12"/>
      <color theme="0" tint="-0.249977111117893"/>
      <name val="Calibri"/>
      <family val="2"/>
      <scheme val="minor"/>
    </font>
    <font>
      <sz val="9"/>
      <color indexed="81"/>
      <name val="Tahoma"/>
      <family val="2"/>
    </font>
    <font>
      <b/>
      <sz val="9"/>
      <color indexed="81"/>
      <name val="Tahoma"/>
      <family val="2"/>
    </font>
    <font>
      <sz val="11"/>
      <color theme="1"/>
      <name val="Times New Roman"/>
      <family val="1"/>
    </font>
    <font>
      <i/>
      <sz val="11"/>
      <color rgb="FF0000FF"/>
      <name val="Times New Roman"/>
      <family val="1"/>
    </font>
    <font>
      <sz val="11"/>
      <color rgb="FFFF0000"/>
      <name val="Times New Roman"/>
      <family val="1"/>
    </font>
    <font>
      <b/>
      <sz val="11"/>
      <color theme="1"/>
      <name val="Times New Roman"/>
      <family val="1"/>
    </font>
    <font>
      <sz val="11"/>
      <color indexed="32"/>
      <name val="Calibri"/>
      <family val="2"/>
      <scheme val="minor"/>
    </font>
    <font>
      <sz val="12"/>
      <color indexed="32"/>
      <name val="Times New Roman"/>
      <family val="1"/>
    </font>
    <font>
      <sz val="11"/>
      <color indexed="32"/>
      <name val="Times New Roman"/>
      <family val="1"/>
    </font>
    <font>
      <sz val="11"/>
      <color indexed="32"/>
      <name val="Arial"/>
      <family val="2"/>
    </font>
    <font>
      <sz val="12"/>
      <color indexed="32"/>
      <name val="Arial"/>
      <family val="2"/>
    </font>
    <font>
      <b/>
      <sz val="11"/>
      <color indexed="32"/>
      <name val="Arial"/>
      <family val="2"/>
    </font>
    <font>
      <b/>
      <sz val="11"/>
      <color rgb="FFFF0000"/>
      <name val="Calibri"/>
      <family val="2"/>
      <scheme val="minor"/>
    </font>
    <font>
      <sz val="11"/>
      <color theme="1"/>
      <name val="Arial"/>
      <family val="2"/>
    </font>
    <font>
      <b/>
      <sz val="14"/>
      <color theme="1"/>
      <name val="Calibri"/>
      <family val="2"/>
      <scheme val="minor"/>
    </font>
    <font>
      <i/>
      <sz val="9"/>
      <name val="Arial"/>
      <family val="2"/>
    </font>
    <font>
      <sz val="12"/>
      <name val="Times New Roman"/>
      <family val="1"/>
    </font>
    <font>
      <b/>
      <sz val="11"/>
      <color indexed="32"/>
      <name val="Times New Roman"/>
      <family val="1"/>
    </font>
    <font>
      <i/>
      <sz val="11"/>
      <color indexed="32"/>
      <name val="Times New Roman"/>
      <family val="1"/>
    </font>
    <font>
      <b/>
      <u/>
      <sz val="11"/>
      <color indexed="8"/>
      <name val="Times New Roman"/>
      <family val="1"/>
    </font>
    <font>
      <i/>
      <sz val="11"/>
      <name val="Times New Roman"/>
      <family val="1"/>
    </font>
    <font>
      <b/>
      <sz val="12"/>
      <color rgb="FF000000"/>
      <name val="Times New Roman"/>
      <family val="1"/>
    </font>
    <font>
      <b/>
      <i/>
      <sz val="12"/>
      <name val="Times New Roman"/>
      <family val="1"/>
    </font>
    <font>
      <b/>
      <i/>
      <sz val="12"/>
      <color indexed="8"/>
      <name val="Times New Roman"/>
      <family val="1"/>
    </font>
    <font>
      <b/>
      <sz val="10"/>
      <color indexed="39"/>
      <name val="Times New Roman"/>
      <family val="1"/>
    </font>
    <font>
      <sz val="11"/>
      <color indexed="39"/>
      <name val="Times New Roman"/>
      <family val="1"/>
    </font>
    <font>
      <i/>
      <sz val="11"/>
      <color theme="1"/>
      <name val="Times New Roman"/>
      <family val="1"/>
    </font>
    <font>
      <sz val="12"/>
      <color rgb="FF000000"/>
      <name val="Cambria"/>
      <family val="1"/>
    </font>
    <font>
      <i/>
      <sz val="12"/>
      <color theme="1"/>
      <name val="Arial"/>
      <family val="2"/>
    </font>
    <font>
      <b/>
      <i/>
      <sz val="11"/>
      <color theme="0" tint="-0.34998626667073579"/>
      <name val="Times New Roman"/>
      <family val="1"/>
    </font>
    <font>
      <i/>
      <sz val="11"/>
      <color theme="0" tint="-0.34998626667073579"/>
      <name val="Times New Roman"/>
      <family val="1"/>
    </font>
    <font>
      <sz val="10"/>
      <color theme="0" tint="-0.34998626667073579"/>
      <name val="Times New Roman"/>
      <family val="1"/>
    </font>
    <font>
      <u/>
      <sz val="11"/>
      <color indexed="8"/>
      <name val="Times New Roman"/>
      <family val="1"/>
    </font>
    <font>
      <u/>
      <sz val="12"/>
      <color indexed="12"/>
      <name val="Times New Roman"/>
      <family val="1"/>
    </font>
    <font>
      <b/>
      <i/>
      <sz val="12"/>
      <color theme="1"/>
      <name val="Times New Roman"/>
      <family val="1"/>
    </font>
    <font>
      <sz val="14"/>
      <color indexed="8"/>
      <name val="Times New Roman"/>
      <family val="1"/>
    </font>
    <font>
      <u/>
      <sz val="12"/>
      <color theme="10"/>
      <name val="Times New Roman"/>
      <family val="1"/>
    </font>
    <font>
      <b/>
      <i/>
      <sz val="12"/>
      <color rgb="FF000000"/>
      <name val="Times New Roman"/>
      <family val="1"/>
    </font>
    <font>
      <b/>
      <u/>
      <sz val="12"/>
      <color theme="10"/>
      <name val="Calibri"/>
      <family val="2"/>
    </font>
    <font>
      <b/>
      <u/>
      <sz val="18"/>
      <name val="Arial"/>
      <family val="2"/>
    </font>
    <font>
      <b/>
      <u/>
      <sz val="18"/>
      <color theme="10"/>
      <name val="Calibri"/>
      <family val="2"/>
    </font>
    <font>
      <i/>
      <u/>
      <sz val="12"/>
      <color theme="10"/>
      <name val="Times New Roman"/>
      <family val="1"/>
    </font>
    <font>
      <sz val="11"/>
      <color rgb="FF002060"/>
      <name val="Times New Roman"/>
      <family val="1"/>
    </font>
    <font>
      <i/>
      <u/>
      <sz val="11"/>
      <color theme="10"/>
      <name val="Times New Roman"/>
      <family val="1"/>
    </font>
    <font>
      <b/>
      <sz val="28"/>
      <color theme="1"/>
      <name val="Calibri"/>
      <family val="2"/>
      <scheme val="minor"/>
    </font>
    <font>
      <b/>
      <i/>
      <sz val="11"/>
      <color rgb="FF000000"/>
      <name val="Times New Roman"/>
      <family val="1"/>
    </font>
    <font>
      <b/>
      <sz val="12"/>
      <color indexed="9"/>
      <name val="Times New Roman"/>
      <family val="1"/>
    </font>
    <font>
      <sz val="8"/>
      <color theme="1"/>
      <name val="Times New Roman"/>
      <family val="1"/>
    </font>
    <font>
      <b/>
      <sz val="12"/>
      <color theme="0"/>
      <name val="Times New Roman"/>
      <family val="1"/>
    </font>
    <font>
      <sz val="11"/>
      <color theme="0"/>
      <name val="Times New Roman"/>
      <family val="1"/>
    </font>
    <font>
      <b/>
      <sz val="11"/>
      <color theme="0"/>
      <name val="Times New Roman"/>
      <family val="1"/>
    </font>
    <font>
      <b/>
      <sz val="14"/>
      <color theme="0"/>
      <name val="Times New Roman"/>
      <family val="1"/>
    </font>
    <font>
      <b/>
      <sz val="10"/>
      <color theme="0"/>
      <name val="Times New Roman"/>
      <family val="1"/>
    </font>
    <font>
      <sz val="10"/>
      <color theme="0"/>
      <name val="Times New Roman"/>
      <family val="1"/>
    </font>
    <font>
      <sz val="11"/>
      <color theme="1"/>
      <name val="Aptos"/>
      <family val="2"/>
    </font>
    <font>
      <b/>
      <sz val="16"/>
      <color theme="0"/>
      <name val="Aptos"/>
      <family val="2"/>
    </font>
    <font>
      <b/>
      <sz val="14"/>
      <color theme="0"/>
      <name val="Calibri"/>
      <family val="2"/>
      <scheme val="minor"/>
    </font>
    <font>
      <sz val="11"/>
      <color theme="1"/>
      <name val="Symbol"/>
      <family val="1"/>
      <charset val="2"/>
    </font>
    <font>
      <sz val="7"/>
      <color theme="1"/>
      <name val="Times New Roman"/>
      <family val="1"/>
    </font>
    <font>
      <u/>
      <sz val="11"/>
      <color theme="10"/>
      <name val="Calibri"/>
      <family val="2"/>
    </font>
    <font>
      <vertAlign val="superscript"/>
      <sz val="11"/>
      <color theme="1"/>
      <name val="Aptos"/>
      <family val="2"/>
    </font>
  </fonts>
  <fills count="88">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FFFF99"/>
        <bgColor indexed="64"/>
      </patternFill>
    </fill>
    <fill>
      <patternFill patternType="solid">
        <fgColor indexed="2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5"/>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43"/>
      </patternFill>
    </fill>
    <fill>
      <patternFill patternType="solid">
        <fgColor indexed="53"/>
      </patternFill>
    </fill>
    <fill>
      <patternFill patternType="solid">
        <fgColor indexed="51"/>
      </patternFill>
    </fill>
    <fill>
      <patternFill patternType="solid">
        <fgColor indexed="56"/>
      </patternFill>
    </fill>
    <fill>
      <patternFill patternType="solid">
        <fgColor indexed="54"/>
      </patternFill>
    </fill>
    <fill>
      <patternFill patternType="solid">
        <fgColor indexed="10"/>
      </patternFill>
    </fill>
    <fill>
      <patternFill patternType="solid">
        <fgColor indexed="46"/>
      </patternFill>
    </fill>
    <fill>
      <patternFill patternType="solid">
        <fgColor indexed="9"/>
      </patternFill>
    </fill>
    <fill>
      <patternFill patternType="solid">
        <fgColor indexed="40"/>
      </patternFill>
    </fill>
    <fill>
      <patternFill patternType="solid">
        <fgColor indexed="52"/>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indexed="29"/>
        <bgColor indexed="64"/>
      </patternFill>
    </fill>
    <fill>
      <patternFill patternType="solid">
        <fgColor indexed="13"/>
        <bgColor indexed="64"/>
      </patternFill>
    </fill>
    <fill>
      <patternFill patternType="solid">
        <fgColor indexed="51"/>
        <bgColor indexed="64"/>
      </patternFill>
    </fill>
    <fill>
      <patternFill patternType="solid">
        <fgColor indexed="42"/>
        <bgColor indexed="64"/>
      </patternFill>
    </fill>
    <fill>
      <patternFill patternType="solid">
        <fgColor indexed="41"/>
        <bgColor indexed="64"/>
      </patternFill>
    </fill>
    <fill>
      <patternFill patternType="solid">
        <fgColor indexed="18"/>
        <bgColor indexed="8"/>
      </patternFill>
    </fill>
    <fill>
      <patternFill patternType="solid">
        <fgColor indexed="47"/>
        <bgColor indexed="64"/>
      </patternFill>
    </fill>
    <fill>
      <patternFill patternType="solid">
        <fgColor indexed="45"/>
        <bgColor indexed="64"/>
      </patternFill>
    </fill>
    <fill>
      <patternFill patternType="solid">
        <fgColor rgb="FFF0F0F0"/>
        <bgColor indexed="64"/>
      </patternFill>
    </fill>
    <fill>
      <patternFill patternType="solid">
        <fgColor indexed="51"/>
        <bgColor indexed="8"/>
      </patternFill>
    </fill>
    <fill>
      <patternFill patternType="solid">
        <fgColor rgb="FFCCCCCC"/>
        <bgColor indexed="64"/>
      </patternFill>
    </fill>
    <fill>
      <patternFill patternType="solid">
        <fgColor indexed="15"/>
        <bgColor indexed="64"/>
      </patternFill>
    </fill>
    <fill>
      <patternFill patternType="solid">
        <fgColor indexed="11"/>
        <bgColor indexed="64"/>
      </patternFill>
    </fill>
    <fill>
      <patternFill patternType="solid">
        <fgColor indexed="55"/>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3" tint="-0.499984740745262"/>
        <bgColor indexed="8"/>
      </patternFill>
    </fill>
    <fill>
      <patternFill patternType="solid">
        <fgColor theme="0"/>
        <bgColor indexed="64"/>
      </patternFill>
    </fill>
    <fill>
      <patternFill patternType="solid">
        <fgColor theme="4" tint="-0.249977111117893"/>
        <bgColor indexed="64"/>
      </patternFill>
    </fill>
    <fill>
      <patternFill patternType="solid">
        <fgColor theme="3" tint="-0.249977111117893"/>
        <bgColor indexed="8"/>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39997558519241921"/>
        <bgColor indexed="64"/>
      </patternFill>
    </fill>
    <fill>
      <patternFill patternType="solid">
        <fgColor theme="3" tint="0.39997558519241921"/>
        <bgColor indexed="64"/>
      </patternFill>
    </fill>
    <fill>
      <patternFill patternType="solid">
        <fgColor theme="0" tint="-0.34998626667073579"/>
        <bgColor indexed="64"/>
      </patternFill>
    </fill>
    <fill>
      <patternFill patternType="solid">
        <fgColor theme="3" tint="-0.499984740745262"/>
        <bgColor indexed="64"/>
      </patternFill>
    </fill>
  </fills>
  <borders count="147">
    <border>
      <left/>
      <right/>
      <top/>
      <bottom/>
      <diagonal/>
    </border>
    <border>
      <left/>
      <right/>
      <top/>
      <bottom style="thin">
        <color indexed="64"/>
      </bottom>
      <diagonal/>
    </border>
    <border>
      <left/>
      <right/>
      <top style="double">
        <color indexed="64"/>
      </top>
      <bottom/>
      <diagonal/>
    </border>
    <border>
      <left style="hair">
        <color indexed="64"/>
      </left>
      <right style="hair">
        <color indexed="64"/>
      </right>
      <top style="hair">
        <color indexed="64"/>
      </top>
      <bottom style="hair">
        <color indexed="64"/>
      </bottom>
      <diagonal/>
    </border>
    <border>
      <left style="dashed">
        <color indexed="64"/>
      </left>
      <right/>
      <top style="dashed">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dashed">
        <color indexed="64"/>
      </top>
      <bottom/>
      <diagonal/>
    </border>
    <border>
      <left style="thin">
        <color indexed="9"/>
      </left>
      <right style="thin">
        <color indexed="9"/>
      </right>
      <top style="thin">
        <color indexed="9"/>
      </top>
      <bottom style="thin">
        <color indexed="9"/>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top style="double">
        <color indexed="8"/>
      </top>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right/>
      <top style="thin">
        <color indexed="56"/>
      </top>
      <bottom style="double">
        <color indexed="56"/>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double">
        <color indexed="0"/>
      </top>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hair">
        <color indexed="22"/>
      </top>
      <bottom style="hair">
        <color indexed="22"/>
      </bottom>
      <diagonal/>
    </border>
    <border>
      <left/>
      <right/>
      <top style="dotted">
        <color indexed="22"/>
      </top>
      <bottom style="dotted">
        <color indexed="22"/>
      </bottom>
      <diagonal/>
    </border>
    <border>
      <left/>
      <right/>
      <top/>
      <bottom style="dotted">
        <color indexed="22"/>
      </bottom>
      <diagonal/>
    </border>
    <border>
      <left/>
      <right/>
      <top style="hair">
        <color indexed="22"/>
      </top>
      <bottom/>
      <diagonal/>
    </border>
    <border>
      <left/>
      <right/>
      <top/>
      <bottom style="hair">
        <color indexed="22"/>
      </bottom>
      <diagonal/>
    </border>
    <border>
      <left/>
      <right/>
      <top style="thin">
        <color indexed="64"/>
      </top>
      <bottom style="hair">
        <color indexed="22"/>
      </bottom>
      <diagonal/>
    </border>
    <border>
      <left/>
      <right/>
      <top style="thin">
        <color indexed="64"/>
      </top>
      <bottom style="double">
        <color indexed="64"/>
      </bottom>
      <diagonal/>
    </border>
    <border>
      <left style="hair">
        <color indexed="64"/>
      </left>
      <right style="hair">
        <color indexed="64"/>
      </right>
      <top/>
      <bottom style="hair">
        <color indexed="64"/>
      </bottom>
      <diagonal/>
    </border>
    <border>
      <left style="hair">
        <color indexed="22"/>
      </left>
      <right style="hair">
        <color indexed="22"/>
      </right>
      <top style="hair">
        <color indexed="22"/>
      </top>
      <bottom style="hair">
        <color indexed="22"/>
      </bottom>
      <diagonal/>
    </border>
    <border>
      <left style="thin">
        <color indexed="64"/>
      </left>
      <right/>
      <top style="hair">
        <color indexed="22"/>
      </top>
      <bottom style="hair">
        <color indexed="2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hair">
        <color indexed="22"/>
      </left>
      <right style="hair">
        <color indexed="22"/>
      </right>
      <top/>
      <bottom style="hair">
        <color indexed="22"/>
      </bottom>
      <diagonal/>
    </border>
    <border>
      <left/>
      <right style="hair">
        <color indexed="22"/>
      </right>
      <top style="hair">
        <color indexed="22"/>
      </top>
      <bottom style="hair">
        <color indexed="22"/>
      </bottom>
      <diagonal/>
    </border>
    <border>
      <left style="hair">
        <color indexed="22"/>
      </left>
      <right style="thin">
        <color indexed="64"/>
      </right>
      <top style="thin">
        <color indexed="64"/>
      </top>
      <bottom/>
      <diagonal/>
    </border>
    <border>
      <left style="thin">
        <color indexed="64"/>
      </left>
      <right/>
      <top style="thin">
        <color indexed="64"/>
      </top>
      <bottom style="thin">
        <color indexed="64"/>
      </bottom>
      <diagonal/>
    </border>
    <border>
      <left style="hair">
        <color indexed="22"/>
      </left>
      <right style="thin">
        <color indexed="64"/>
      </right>
      <top style="hair">
        <color indexed="22"/>
      </top>
      <bottom style="hair">
        <color indexed="22"/>
      </bottom>
      <diagonal/>
    </border>
    <border>
      <left style="hair">
        <color indexed="22"/>
      </left>
      <right style="thin">
        <color indexed="64"/>
      </right>
      <top style="hair">
        <color indexed="22"/>
      </top>
      <bottom/>
      <diagonal/>
    </border>
    <border>
      <left style="hair">
        <color indexed="22"/>
      </left>
      <right style="thin">
        <color indexed="64"/>
      </right>
      <top style="hair">
        <color indexed="22"/>
      </top>
      <bottom style="thin">
        <color indexed="64"/>
      </bottom>
      <diagonal/>
    </border>
    <border>
      <left/>
      <right style="hair">
        <color indexed="64"/>
      </right>
      <top style="hair">
        <color indexed="22"/>
      </top>
      <bottom style="hair">
        <color indexed="22"/>
      </bottom>
      <diagonal/>
    </border>
    <border>
      <left style="thin">
        <color indexed="64"/>
      </left>
      <right style="hair">
        <color indexed="22"/>
      </right>
      <top style="hair">
        <color indexed="22"/>
      </top>
      <bottom style="hair">
        <color indexed="22"/>
      </bottom>
      <diagonal/>
    </border>
    <border>
      <left/>
      <right/>
      <top style="hair">
        <color indexed="22"/>
      </top>
      <bottom style="thin">
        <color indexed="64"/>
      </bottom>
      <diagonal/>
    </border>
    <border>
      <left style="thin">
        <color rgb="FFA1AFC9"/>
      </left>
      <right style="thin">
        <color rgb="FFA1AFC9"/>
      </right>
      <top style="thin">
        <color rgb="FFA1AFC9"/>
      </top>
      <bottom style="thin">
        <color rgb="FFA1AFC9"/>
      </bottom>
      <diagonal/>
    </border>
    <border>
      <left style="thin">
        <color rgb="FFA1AFC9"/>
      </left>
      <right/>
      <top style="thin">
        <color rgb="FFA1AFC9"/>
      </top>
      <bottom style="thin">
        <color rgb="FFA1AFC9"/>
      </bottom>
      <diagonal/>
    </border>
    <border>
      <left style="thin">
        <color rgb="FFA1AFC9"/>
      </left>
      <right style="thin">
        <color rgb="FFA1AFC9"/>
      </right>
      <top style="thin">
        <color rgb="FFA1AFC9"/>
      </top>
      <bottom/>
      <diagonal/>
    </border>
    <border>
      <left style="thin">
        <color rgb="FF163861"/>
      </left>
      <right style="thin">
        <color rgb="FF163861"/>
      </right>
      <top style="thin">
        <color rgb="FF163861"/>
      </top>
      <bottom style="thin">
        <color rgb="FF163861"/>
      </bottom>
      <diagonal/>
    </border>
    <border>
      <left style="thin">
        <color rgb="FF163861"/>
      </left>
      <right style="thin">
        <color rgb="FF030404"/>
      </right>
      <top style="thin">
        <color rgb="FF030404"/>
      </top>
      <bottom style="thin">
        <color rgb="FF030404"/>
      </bottom>
      <diagonal/>
    </border>
    <border>
      <left style="thin">
        <color rgb="FF030404"/>
      </left>
      <right style="thin">
        <color rgb="FFFFFFFF"/>
      </right>
      <top style="thin">
        <color rgb="FF163861"/>
      </top>
      <bottom style="thin">
        <color rgb="FF163861"/>
      </bottom>
      <diagonal/>
    </border>
    <border>
      <left style="thin">
        <color rgb="FFFFFFFF"/>
      </left>
      <right style="thin">
        <color rgb="FFFFFFFF"/>
      </right>
      <top style="thin">
        <color rgb="FF163861"/>
      </top>
      <bottom style="thin">
        <color rgb="FF163861"/>
      </bottom>
      <diagonal/>
    </border>
    <border>
      <left style="thin">
        <color rgb="FF163861"/>
      </left>
      <right style="thin">
        <color rgb="FF163861"/>
      </right>
      <top/>
      <bottom style="thin">
        <color rgb="FF163861"/>
      </bottom>
      <diagonal/>
    </border>
    <border>
      <left style="thin">
        <color rgb="FF163861"/>
      </left>
      <right style="thin">
        <color rgb="FF030404"/>
      </right>
      <top/>
      <bottom style="thin">
        <color rgb="FF030404"/>
      </bottom>
      <diagonal/>
    </border>
    <border>
      <left style="thin">
        <color rgb="FF030404"/>
      </left>
      <right style="thin">
        <color rgb="FFFFFFFF"/>
      </right>
      <top/>
      <bottom style="thin">
        <color rgb="FF163861"/>
      </bottom>
      <diagonal/>
    </border>
    <border>
      <left style="thin">
        <color rgb="FFFFFFFF"/>
      </left>
      <right style="thin">
        <color rgb="FFFFFFFF"/>
      </right>
      <top/>
      <bottom style="thin">
        <color rgb="FF163861"/>
      </bottom>
      <diagonal/>
    </border>
    <border>
      <left style="thin">
        <color rgb="FFA1AFC9"/>
      </left>
      <right style="thin">
        <color rgb="FFA1AFC9"/>
      </right>
      <top/>
      <bottom style="thin">
        <color rgb="FFA1AFC9"/>
      </bottom>
      <diagonal/>
    </border>
    <border>
      <left style="thin">
        <color indexed="64"/>
      </left>
      <right style="thin">
        <color rgb="FFA1AFC9"/>
      </right>
      <top style="thin">
        <color indexed="64"/>
      </top>
      <bottom style="thin">
        <color indexed="64"/>
      </bottom>
      <diagonal/>
    </border>
    <border>
      <left style="thin">
        <color rgb="FFA1AFC9"/>
      </left>
      <right style="thin">
        <color rgb="FFA1AFC9"/>
      </right>
      <top style="thin">
        <color indexed="64"/>
      </top>
      <bottom style="thin">
        <color indexed="64"/>
      </bottom>
      <diagonal/>
    </border>
    <border>
      <left style="thin">
        <color rgb="FFA1AFC9"/>
      </left>
      <right style="thin">
        <color indexed="64"/>
      </right>
      <top style="thin">
        <color indexed="64"/>
      </top>
      <bottom style="thin">
        <color indexed="64"/>
      </bottom>
      <diagonal/>
    </border>
    <border>
      <left style="thin">
        <color rgb="FFA1AFC9"/>
      </left>
      <right/>
      <top style="thin">
        <color rgb="FFA1AFC9"/>
      </top>
      <bottom/>
      <diagonal/>
    </border>
    <border>
      <left style="thin">
        <color indexed="64"/>
      </left>
      <right style="thin">
        <color rgb="FFA1AFC9"/>
      </right>
      <top/>
      <bottom style="thin">
        <color rgb="FFA1AFC9"/>
      </bottom>
      <diagonal/>
    </border>
    <border>
      <left style="thin">
        <color rgb="FFA1AFC9"/>
      </left>
      <right style="thin">
        <color indexed="64"/>
      </right>
      <top/>
      <bottom style="thin">
        <color rgb="FFA1AFC9"/>
      </bottom>
      <diagonal/>
    </border>
    <border>
      <left style="thin">
        <color indexed="64"/>
      </left>
      <right style="thin">
        <color rgb="FFA1AFC9"/>
      </right>
      <top style="thin">
        <color rgb="FFA1AFC9"/>
      </top>
      <bottom style="thin">
        <color rgb="FFA1AFC9"/>
      </bottom>
      <diagonal/>
    </border>
    <border>
      <left style="thin">
        <color rgb="FFA1AFC9"/>
      </left>
      <right style="thin">
        <color indexed="64"/>
      </right>
      <top style="thin">
        <color rgb="FFA1AFC9"/>
      </top>
      <bottom style="thin">
        <color rgb="FFA1AFC9"/>
      </bottom>
      <diagonal/>
    </border>
    <border>
      <left style="thin">
        <color indexed="64"/>
      </left>
      <right style="thin">
        <color rgb="FFA1AFC9"/>
      </right>
      <top style="thin">
        <color rgb="FFA1AFC9"/>
      </top>
      <bottom/>
      <diagonal/>
    </border>
    <border>
      <left style="thin">
        <color rgb="FFA1AFC9"/>
      </left>
      <right style="thin">
        <color indexed="64"/>
      </right>
      <top style="thin">
        <color rgb="FFA1AFC9"/>
      </top>
      <bottom/>
      <diagonal/>
    </border>
    <border>
      <left style="thin">
        <color indexed="64"/>
      </left>
      <right/>
      <top style="thin">
        <color indexed="64"/>
      </top>
      <bottom style="thin">
        <color rgb="FFA1AFC9"/>
      </bottom>
      <diagonal/>
    </border>
    <border>
      <left/>
      <right style="thin">
        <color indexed="64"/>
      </right>
      <top style="thin">
        <color indexed="64"/>
      </top>
      <bottom style="thin">
        <color rgb="FFA1AFC9"/>
      </bottom>
      <diagonal/>
    </border>
    <border>
      <left style="thin">
        <color indexed="64"/>
      </left>
      <right style="thin">
        <color rgb="FFA1AFC9"/>
      </right>
      <top style="thin">
        <color rgb="FFA1AFC9"/>
      </top>
      <bottom style="thin">
        <color indexed="64"/>
      </bottom>
      <diagonal/>
    </border>
    <border>
      <left style="thin">
        <color rgb="FFA1AFC9"/>
      </left>
      <right style="thin">
        <color indexed="64"/>
      </right>
      <top style="thin">
        <color rgb="FFA1AFC9"/>
      </top>
      <bottom style="thin">
        <color indexed="64"/>
      </bottom>
      <diagonal/>
    </border>
    <border>
      <left style="hair">
        <color indexed="22"/>
      </left>
      <right style="hair">
        <color indexed="22"/>
      </right>
      <top style="hair">
        <color indexed="22"/>
      </top>
      <bottom/>
      <diagonal/>
    </border>
    <border>
      <left style="hair">
        <color indexed="22"/>
      </left>
      <right style="hair">
        <color indexed="22"/>
      </right>
      <top style="thin">
        <color indexed="64"/>
      </top>
      <bottom style="hair">
        <color indexed="22"/>
      </bottom>
      <diagonal/>
    </border>
    <border>
      <left style="thin">
        <color indexed="64"/>
      </left>
      <right style="thin">
        <color indexed="9"/>
      </right>
      <top style="thin">
        <color indexed="64"/>
      </top>
      <bottom style="thin">
        <color indexed="9"/>
      </bottom>
      <diagonal/>
    </border>
    <border>
      <left style="thin">
        <color indexed="9"/>
      </left>
      <right style="thin">
        <color indexed="9"/>
      </right>
      <top style="thin">
        <color indexed="64"/>
      </top>
      <bottom style="thin">
        <color indexed="9"/>
      </bottom>
      <diagonal/>
    </border>
    <border>
      <left style="thin">
        <color indexed="9"/>
      </left>
      <right style="thin">
        <color indexed="64"/>
      </right>
      <top style="thin">
        <color indexed="64"/>
      </top>
      <bottom style="thin">
        <color indexed="9"/>
      </bottom>
      <diagonal/>
    </border>
    <border>
      <left/>
      <right/>
      <top style="thin">
        <color indexed="64"/>
      </top>
      <bottom style="dotted">
        <color indexed="22"/>
      </bottom>
      <diagonal/>
    </border>
    <border>
      <left/>
      <right/>
      <top style="dotted">
        <color indexed="22"/>
      </top>
      <bottom style="thin">
        <color indexed="64"/>
      </bottom>
      <diagonal/>
    </border>
    <border>
      <left style="hair">
        <color indexed="22"/>
      </left>
      <right style="hair">
        <color indexed="22"/>
      </right>
      <top style="hair">
        <color indexed="22"/>
      </top>
      <bottom style="thin">
        <color indexed="64"/>
      </bottom>
      <diagonal/>
    </border>
    <border>
      <left style="hair">
        <color indexed="22"/>
      </left>
      <right/>
      <top style="thin">
        <color indexed="64"/>
      </top>
      <bottom/>
      <diagonal/>
    </border>
    <border>
      <left style="hair">
        <color indexed="22"/>
      </left>
      <right style="hair">
        <color indexed="22"/>
      </right>
      <top style="thin">
        <color indexed="64"/>
      </top>
      <bottom/>
      <diagonal/>
    </border>
    <border>
      <left/>
      <right/>
      <top style="thin">
        <color indexed="64"/>
      </top>
      <bottom style="medium">
        <color indexed="64"/>
      </bottom>
      <diagonal/>
    </border>
    <border>
      <left/>
      <right style="thin">
        <color indexed="9"/>
      </right>
      <top style="thin">
        <color indexed="9"/>
      </top>
      <bottom/>
      <diagonal/>
    </border>
    <border>
      <left style="hair">
        <color indexed="22"/>
      </left>
      <right style="hair">
        <color indexed="22"/>
      </right>
      <top style="thin">
        <color indexed="64"/>
      </top>
      <bottom style="thin">
        <color indexed="64"/>
      </bottom>
      <diagonal/>
    </border>
    <border>
      <left/>
      <right style="hair">
        <color indexed="22"/>
      </right>
      <top style="thin">
        <color indexed="64"/>
      </top>
      <bottom style="hair">
        <color indexed="22"/>
      </bottom>
      <diagonal/>
    </border>
    <border>
      <left/>
      <right style="hair">
        <color indexed="22"/>
      </right>
      <top style="hair">
        <color indexed="22"/>
      </top>
      <bottom style="thin">
        <color indexed="64"/>
      </bottom>
      <diagonal/>
    </border>
    <border>
      <left style="thin">
        <color indexed="64"/>
      </left>
      <right/>
      <top style="hair">
        <color indexed="22"/>
      </top>
      <bottom style="thin">
        <color indexed="64"/>
      </bottom>
      <diagonal/>
    </border>
    <border>
      <left style="thin">
        <color indexed="64"/>
      </left>
      <right/>
      <top style="thin">
        <color indexed="64"/>
      </top>
      <bottom style="hair">
        <color indexed="22"/>
      </bottom>
      <diagonal/>
    </border>
    <border>
      <left/>
      <right style="thin">
        <color indexed="64"/>
      </right>
      <top style="thin">
        <color indexed="64"/>
      </top>
      <bottom style="hair">
        <color indexed="22"/>
      </bottom>
      <diagonal/>
    </border>
    <border>
      <left/>
      <right style="thin">
        <color indexed="64"/>
      </right>
      <top style="hair">
        <color indexed="22"/>
      </top>
      <bottom style="hair">
        <color indexed="22"/>
      </bottom>
      <diagonal/>
    </border>
    <border>
      <left/>
      <right style="hair">
        <color indexed="22"/>
      </right>
      <top style="hair">
        <color indexed="22"/>
      </top>
      <bottom/>
      <diagonal/>
    </border>
    <border>
      <left style="thin">
        <color indexed="64"/>
      </left>
      <right style="hair">
        <color indexed="22"/>
      </right>
      <top style="thin">
        <color indexed="64"/>
      </top>
      <bottom style="hair">
        <color indexed="22"/>
      </bottom>
      <diagonal/>
    </border>
    <border>
      <left style="thin">
        <color indexed="64"/>
      </left>
      <right style="hair">
        <color indexed="22"/>
      </right>
      <top style="hair">
        <color indexed="22"/>
      </top>
      <bottom/>
      <diagonal/>
    </border>
    <border>
      <left style="thin">
        <color indexed="64"/>
      </left>
      <right style="hair">
        <color indexed="22"/>
      </right>
      <top style="hair">
        <color indexed="22"/>
      </top>
      <bottom style="thin">
        <color indexed="64"/>
      </bottom>
      <diagonal/>
    </border>
    <border>
      <left/>
      <right style="thin">
        <color indexed="64"/>
      </right>
      <top style="hair">
        <color indexed="22"/>
      </top>
      <bottom/>
      <diagonal/>
    </border>
    <border>
      <left style="thin">
        <color indexed="64"/>
      </left>
      <right style="hair">
        <color indexed="22"/>
      </right>
      <top/>
      <bottom style="hair">
        <color indexed="22"/>
      </bottom>
      <diagonal/>
    </border>
    <border>
      <left style="thin">
        <color indexed="64"/>
      </left>
      <right/>
      <top style="hair">
        <color indexed="22"/>
      </top>
      <bottom/>
      <diagonal/>
    </border>
    <border>
      <left/>
      <right style="hair">
        <color indexed="22"/>
      </right>
      <top style="thin">
        <color indexed="64"/>
      </top>
      <bottom/>
      <diagonal/>
    </border>
    <border>
      <left style="hair">
        <color indexed="22"/>
      </left>
      <right/>
      <top style="thin">
        <color indexed="64"/>
      </top>
      <bottom style="hair">
        <color indexed="22"/>
      </bottom>
      <diagonal/>
    </border>
    <border>
      <left style="hair">
        <color indexed="22"/>
      </left>
      <right/>
      <top style="hair">
        <color indexed="22"/>
      </top>
      <bottom style="hair">
        <color indexed="22"/>
      </bottom>
      <diagonal/>
    </border>
    <border>
      <left style="hair">
        <color indexed="22"/>
      </left>
      <right/>
      <top style="hair">
        <color indexed="22"/>
      </top>
      <bottom/>
      <diagonal/>
    </border>
    <border>
      <left style="hair">
        <color indexed="22"/>
      </left>
      <right/>
      <top style="hair">
        <color indexed="22"/>
      </top>
      <bottom style="thin">
        <color indexed="64"/>
      </bottom>
      <diagonal/>
    </border>
    <border>
      <left style="thin">
        <color indexed="64"/>
      </left>
      <right style="hair">
        <color indexed="22"/>
      </right>
      <top style="thin">
        <color indexed="64"/>
      </top>
      <bottom style="thin">
        <color indexed="64"/>
      </bottom>
      <diagonal/>
    </border>
    <border>
      <left style="hair">
        <color indexed="22"/>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hair">
        <color indexed="22"/>
      </top>
      <bottom style="thin">
        <color indexed="64"/>
      </bottom>
      <diagonal/>
    </border>
    <border>
      <left/>
      <right/>
      <top style="dotted">
        <color indexed="22"/>
      </top>
      <bottom/>
      <diagonal/>
    </border>
    <border>
      <left style="thin">
        <color rgb="FF000000"/>
      </left>
      <right style="thin">
        <color rgb="FF000000"/>
      </right>
      <top style="thin">
        <color rgb="FF000000"/>
      </top>
      <bottom style="thin">
        <color rgb="FF000000"/>
      </bottom>
      <diagonal/>
    </border>
    <border>
      <left/>
      <right style="thin">
        <color indexed="9"/>
      </right>
      <top style="thin">
        <color indexed="64"/>
      </top>
      <bottom style="thin">
        <color indexed="9"/>
      </bottom>
      <diagonal/>
    </border>
    <border>
      <left/>
      <right/>
      <top/>
      <bottom style="medium">
        <color indexed="64"/>
      </bottom>
      <diagonal/>
    </border>
    <border>
      <left style="thin">
        <color indexed="64"/>
      </left>
      <right style="thin">
        <color indexed="64"/>
      </right>
      <top/>
      <bottom/>
      <diagonal/>
    </border>
    <border>
      <left/>
      <right style="hair">
        <color indexed="22"/>
      </right>
      <top style="thin">
        <color indexed="64"/>
      </top>
      <bottom style="thin">
        <color indexed="64"/>
      </bottom>
      <diagonal/>
    </border>
    <border>
      <left/>
      <right style="hair">
        <color indexed="22"/>
      </right>
      <top/>
      <bottom style="hair">
        <color indexed="22"/>
      </bottom>
      <diagonal/>
    </border>
    <border>
      <left style="thin">
        <color indexed="64"/>
      </left>
      <right style="thin">
        <color indexed="64"/>
      </right>
      <top/>
      <bottom style="hair">
        <color indexed="22"/>
      </bottom>
      <diagonal/>
    </border>
    <border>
      <left style="thin">
        <color indexed="64"/>
      </left>
      <right style="thin">
        <color indexed="64"/>
      </right>
      <top style="hair">
        <color indexed="22"/>
      </top>
      <bottom style="hair">
        <color indexed="22"/>
      </bottom>
      <diagonal/>
    </border>
    <border>
      <left style="thin">
        <color indexed="64"/>
      </left>
      <right style="thin">
        <color indexed="64"/>
      </right>
      <top style="hair">
        <color indexed="22"/>
      </top>
      <bottom/>
      <diagonal/>
    </border>
    <border>
      <left style="thin">
        <color indexed="64"/>
      </left>
      <right style="thin">
        <color indexed="64"/>
      </right>
      <top style="hair">
        <color indexed="22"/>
      </top>
      <bottom style="thin">
        <color indexed="64"/>
      </bottom>
      <diagonal/>
    </border>
    <border>
      <left style="thin">
        <color indexed="64"/>
      </left>
      <right style="thin">
        <color indexed="64"/>
      </right>
      <top style="thin">
        <color indexed="64"/>
      </top>
      <bottom style="hair">
        <color indexed="22"/>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33112">
    <xf numFmtId="0" fontId="0" fillId="0" borderId="0"/>
    <xf numFmtId="44" fontId="4" fillId="0" borderId="0" applyFont="0" applyFill="0" applyBorder="0" applyAlignment="0" applyProtection="0"/>
    <xf numFmtId="0" fontId="5" fillId="0" borderId="1">
      <alignment horizontal="left"/>
    </xf>
    <xf numFmtId="49" fontId="4" fillId="0" borderId="2" applyFont="0" applyFill="0" applyBorder="0" applyAlignment="0" applyProtection="0">
      <alignment horizontal="right"/>
    </xf>
    <xf numFmtId="43" fontId="3"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10" fillId="0" borderId="0" applyNumberFormat="0" applyFill="0" applyBorder="0" applyAlignment="0" applyProtection="0">
      <alignment vertical="top"/>
      <protection locked="0"/>
    </xf>
    <xf numFmtId="0" fontId="2" fillId="0" borderId="0"/>
    <xf numFmtId="9" fontId="3" fillId="0" borderId="0" applyFont="0" applyFill="0" applyBorder="0" applyAlignment="0" applyProtection="0"/>
    <xf numFmtId="9" fontId="2" fillId="0" borderId="0" applyFont="0" applyFill="0" applyBorder="0" applyAlignment="0" applyProtection="0"/>
    <xf numFmtId="0" fontId="9" fillId="4" borderId="3" applyNumberFormat="0" applyAlignment="0" applyProtection="0">
      <alignment horizontal="center" vertical="top"/>
    </xf>
    <xf numFmtId="0" fontId="6" fillId="3" borderId="4" applyNumberFormat="0" applyFont="0" applyFill="0" applyAlignment="0"/>
    <xf numFmtId="0" fontId="17" fillId="0" borderId="0"/>
    <xf numFmtId="0" fontId="18" fillId="0" borderId="0" applyNumberFormat="0" applyFill="0" applyBorder="0" applyAlignment="0" applyProtection="0"/>
    <xf numFmtId="0" fontId="19" fillId="0" borderId="14" applyNumberFormat="0" applyFill="0" applyAlignment="0" applyProtection="0"/>
    <xf numFmtId="0" fontId="20" fillId="0" borderId="15" applyNumberFormat="0" applyFill="0" applyAlignment="0" applyProtection="0"/>
    <xf numFmtId="0" fontId="21" fillId="0" borderId="16" applyNumberFormat="0" applyFill="0" applyAlignment="0" applyProtection="0"/>
    <xf numFmtId="0" fontId="21" fillId="0" borderId="0" applyNumberFormat="0" applyFill="0" applyBorder="0" applyAlignment="0" applyProtection="0"/>
    <xf numFmtId="0" fontId="22" fillId="6" borderId="0" applyNumberFormat="0" applyBorder="0" applyAlignment="0" applyProtection="0"/>
    <xf numFmtId="0" fontId="23" fillId="7" borderId="0" applyNumberFormat="0" applyBorder="0" applyAlignment="0" applyProtection="0"/>
    <xf numFmtId="0" fontId="24" fillId="8" borderId="0" applyNumberFormat="0" applyBorder="0" applyAlignment="0" applyProtection="0"/>
    <xf numFmtId="0" fontId="25" fillId="9" borderId="17" applyNumberFormat="0" applyAlignment="0" applyProtection="0"/>
    <xf numFmtId="0" fontId="26" fillId="10" borderId="18" applyNumberFormat="0" applyAlignment="0" applyProtection="0"/>
    <xf numFmtId="0" fontId="27" fillId="10" borderId="17" applyNumberFormat="0" applyAlignment="0" applyProtection="0"/>
    <xf numFmtId="0" fontId="28" fillId="0" borderId="19" applyNumberFormat="0" applyFill="0" applyAlignment="0" applyProtection="0"/>
    <xf numFmtId="0" fontId="11" fillId="0" borderId="22" applyNumberFormat="0" applyFill="0" applyAlignment="0" applyProtection="0"/>
    <xf numFmtId="0" fontId="31" fillId="13" borderId="0" applyNumberFormat="0" applyBorder="0" applyAlignment="0" applyProtection="0"/>
    <xf numFmtId="0" fontId="8" fillId="14" borderId="0" applyNumberFormat="0" applyBorder="0" applyAlignment="0" applyProtection="0"/>
    <xf numFmtId="0" fontId="8"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31" fillId="28"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31" fillId="36" borderId="0" applyNumberFormat="0" applyBorder="0" applyAlignment="0" applyProtection="0"/>
    <xf numFmtId="43" fontId="8" fillId="0" borderId="0" applyFont="0" applyFill="0" applyBorder="0" applyAlignment="0" applyProtection="0"/>
    <xf numFmtId="9" fontId="8" fillId="0" borderId="0" applyFont="0" applyFill="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3" fontId="32" fillId="0" borderId="0" applyFont="0" applyFill="0" applyBorder="0" applyAlignment="0" applyProtection="0"/>
    <xf numFmtId="0" fontId="32" fillId="0" borderId="0" applyFont="0" applyFill="0" applyBorder="0" applyAlignment="0" applyProtection="0"/>
    <xf numFmtId="167" fontId="32" fillId="0" borderId="0" applyFont="0" applyFill="0" applyBorder="0" applyAlignment="0" applyProtection="0"/>
    <xf numFmtId="2" fontId="32"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2" fillId="0" borderId="24" applyNumberFormat="0" applyFont="0" applyFill="0" applyAlignment="0" applyProtection="0"/>
    <xf numFmtId="0" fontId="2" fillId="0" borderId="0"/>
    <xf numFmtId="43" fontId="2" fillId="0" borderId="0" applyFont="0" applyFill="0" applyBorder="0" applyAlignment="0" applyProtection="0"/>
    <xf numFmtId="3" fontId="3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9" fontId="2" fillId="0" borderId="0" applyFont="0" applyFill="0" applyBorder="0" applyAlignment="0" applyProtection="0"/>
    <xf numFmtId="0" fontId="32" fillId="0" borderId="24" applyNumberFormat="0" applyFont="0" applyFill="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33" fillId="0" borderId="0" applyNumberFormat="0" applyFill="0" applyBorder="0" applyAlignment="0" applyProtection="0"/>
    <xf numFmtId="168" fontId="34" fillId="0" borderId="0" applyNumberFormat="0" applyFill="0" applyBorder="0" applyAlignment="0" applyProtection="0"/>
    <xf numFmtId="168" fontId="8" fillId="0" borderId="0"/>
    <xf numFmtId="168" fontId="8" fillId="0" borderId="0"/>
    <xf numFmtId="168" fontId="32" fillId="0" borderId="0" applyFont="0" applyFill="0" applyBorder="0" applyAlignment="0" applyProtection="0"/>
    <xf numFmtId="168" fontId="2" fillId="0" borderId="0"/>
    <xf numFmtId="168" fontId="35" fillId="0" borderId="0" applyNumberFormat="0" applyFill="0" applyBorder="0" applyAlignment="0" applyProtection="0">
      <alignment vertical="top"/>
      <protection locked="0"/>
    </xf>
    <xf numFmtId="168" fontId="32" fillId="0" borderId="24" applyNumberFormat="0" applyFont="0" applyFill="0" applyAlignment="0" applyProtection="0"/>
    <xf numFmtId="168" fontId="8" fillId="0" borderId="0"/>
    <xf numFmtId="168" fontId="2" fillId="0" borderId="0"/>
    <xf numFmtId="0" fontId="8" fillId="0" borderId="0"/>
    <xf numFmtId="0" fontId="8" fillId="0" borderId="0"/>
    <xf numFmtId="0" fontId="8" fillId="0" borderId="0"/>
    <xf numFmtId="0" fontId="8" fillId="0" borderId="0"/>
    <xf numFmtId="168" fontId="2" fillId="0" borderId="0"/>
    <xf numFmtId="168"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8" fillId="0" borderId="0"/>
    <xf numFmtId="0" fontId="8" fillId="0" borderId="0"/>
    <xf numFmtId="44" fontId="2" fillId="0" borderId="0" applyFont="0" applyFill="0" applyBorder="0" applyAlignment="0" applyProtection="0"/>
    <xf numFmtId="0" fontId="8" fillId="0" borderId="0"/>
    <xf numFmtId="0" fontId="8" fillId="0" borderId="0"/>
    <xf numFmtId="0" fontId="2" fillId="0" borderId="0"/>
    <xf numFmtId="9" fontId="2" fillId="0" borderId="0" applyFont="0" applyFill="0" applyBorder="0" applyAlignment="0" applyProtection="0"/>
    <xf numFmtId="0" fontId="2" fillId="0" borderId="0"/>
    <xf numFmtId="0" fontId="8" fillId="0" borderId="0"/>
    <xf numFmtId="0" fontId="36" fillId="0" borderId="0"/>
    <xf numFmtId="0" fontId="36" fillId="0" borderId="0"/>
    <xf numFmtId="44" fontId="2" fillId="0" borderId="0" applyFont="0" applyFill="0" applyBorder="0" applyAlignment="0" applyProtection="0"/>
    <xf numFmtId="0" fontId="34" fillId="0" borderId="0" applyNumberFormat="0" applyFill="0" applyBorder="0" applyAlignment="0" applyProtection="0"/>
    <xf numFmtId="43" fontId="2" fillId="0" borderId="0" applyFont="0" applyFill="0" applyBorder="0" applyAlignment="0" applyProtection="0"/>
    <xf numFmtId="2" fontId="32" fillId="0" borderId="0" applyFont="0" applyFill="0" applyBorder="0" applyAlignment="0" applyProtection="0"/>
    <xf numFmtId="43" fontId="2" fillId="0" borderId="0" applyFont="0" applyFill="0" applyBorder="0" applyAlignment="0" applyProtection="0"/>
    <xf numFmtId="0" fontId="32" fillId="0" borderId="24" applyNumberFormat="0" applyFont="0" applyFill="0" applyAlignment="0" applyProtection="0"/>
    <xf numFmtId="0" fontId="2" fillId="0" borderId="0"/>
    <xf numFmtId="0" fontId="33" fillId="0" borderId="0" applyNumberFormat="0" applyFill="0" applyBorder="0" applyAlignment="0" applyProtection="0"/>
    <xf numFmtId="0" fontId="32" fillId="0" borderId="0" applyFont="0" applyFill="0" applyBorder="0" applyAlignment="0" applyProtection="0"/>
    <xf numFmtId="44" fontId="2" fillId="0" borderId="0" applyFont="0" applyFill="0" applyBorder="0" applyAlignment="0" applyProtection="0"/>
    <xf numFmtId="0" fontId="39" fillId="0" borderId="16" applyNumberFormat="0" applyFill="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3" fontId="32" fillId="0" borderId="0" applyFont="0" applyFill="0" applyBorder="0" applyAlignment="0" applyProtection="0"/>
    <xf numFmtId="0" fontId="38" fillId="0" borderId="0" applyNumberFormat="0" applyFill="0" applyBorder="0" applyAlignment="0" applyProtection="0"/>
    <xf numFmtId="167" fontId="32" fillId="0" borderId="0" applyFont="0" applyFill="0" applyBorder="0" applyAlignment="0" applyProtection="0"/>
    <xf numFmtId="0" fontId="36" fillId="0" borderId="0"/>
    <xf numFmtId="0" fontId="36" fillId="0" borderId="0"/>
    <xf numFmtId="0" fontId="2" fillId="0" borderId="0"/>
    <xf numFmtId="0" fontId="2" fillId="0" borderId="0"/>
    <xf numFmtId="41" fontId="37" fillId="0" borderId="0"/>
    <xf numFmtId="37" fontId="36"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168"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0" fontId="32" fillId="0" borderId="24" applyNumberFormat="0" applyFont="0" applyFill="0" applyAlignment="0" applyProtection="0"/>
    <xf numFmtId="43" fontId="2" fillId="0" borderId="0" applyFont="0" applyFill="0" applyBorder="0" applyAlignment="0" applyProtection="0"/>
    <xf numFmtId="9" fontId="2"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2" fillId="11" borderId="20" applyNumberFormat="0" applyAlignment="0" applyProtection="0"/>
    <xf numFmtId="0" fontId="29" fillId="0" borderId="0" applyNumberFormat="0" applyFill="0" applyBorder="0" applyAlignment="0" applyProtection="0"/>
    <xf numFmtId="0" fontId="30" fillId="0" borderId="0" applyNumberFormat="0" applyFill="0" applyBorder="0" applyAlignment="0" applyProtection="0"/>
    <xf numFmtId="0" fontId="8" fillId="19" borderId="0" applyNumberFormat="0" applyBorder="0" applyAlignment="0" applyProtection="0"/>
    <xf numFmtId="0" fontId="31" fillId="29" borderId="0" applyNumberFormat="0" applyBorder="0" applyAlignment="0" applyProtection="0"/>
    <xf numFmtId="0" fontId="8" fillId="30" borderId="0" applyNumberFormat="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0" fontId="52" fillId="50" borderId="1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0"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3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70" fontId="50" fillId="0" borderId="0"/>
    <xf numFmtId="170" fontId="5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33" fillId="0" borderId="0" applyNumberFormat="0" applyFill="0" applyBorder="0" applyAlignment="0" applyProtection="0"/>
    <xf numFmtId="168"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53"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168"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54"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42"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56" fillId="0" borderId="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25" fillId="43" borderId="17" applyNumberFormat="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7"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8" fillId="0" borderId="0"/>
    <xf numFmtId="0" fontId="40" fillId="0" borderId="0"/>
    <xf numFmtId="0" fontId="40" fillId="0" borderId="0"/>
    <xf numFmtId="0" fontId="4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applyNumberFormat="0" applyFill="0" applyBorder="0" applyProtection="0">
      <alignment vertical="top" wrapText="1"/>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0" fillId="0" borderId="0"/>
    <xf numFmtId="0" fontId="50"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2" fillId="0" borderId="0"/>
    <xf numFmtId="0" fontId="40" fillId="0" borderId="0"/>
    <xf numFmtId="0" fontId="2" fillId="0" borderId="0"/>
    <xf numFmtId="0" fontId="2" fillId="0" borderId="0"/>
    <xf numFmtId="0" fontId="2" fillId="0" borderId="0"/>
    <xf numFmtId="0" fontId="36" fillId="0" borderId="0"/>
    <xf numFmtId="0" fontId="2" fillId="0" borderId="0"/>
    <xf numFmtId="0" fontId="2" fillId="0" borderId="0"/>
    <xf numFmtId="0" fontId="1" fillId="0" borderId="0"/>
    <xf numFmtId="0" fontId="2" fillId="0" borderId="0"/>
    <xf numFmtId="0" fontId="44" fillId="0" borderId="0" applyNumberFormat="0" applyFill="0" applyBorder="0" applyProtection="0">
      <alignment vertical="top" wrapText="1"/>
    </xf>
    <xf numFmtId="0" fontId="44" fillId="0" borderId="0" applyNumberFormat="0" applyFill="0" applyBorder="0" applyProtection="0">
      <alignment vertical="top" wrapText="1"/>
    </xf>
    <xf numFmtId="0" fontId="44" fillId="0" borderId="0" applyNumberFormat="0" applyFill="0" applyBorder="0" applyProtection="0">
      <alignment vertical="top" wrapText="1"/>
    </xf>
    <xf numFmtId="0" fontId="2" fillId="0" borderId="0" applyFill="0"/>
    <xf numFmtId="0" fontId="40" fillId="0" borderId="0"/>
    <xf numFmtId="168"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xf numFmtId="0" fontId="8" fillId="0" borderId="0"/>
    <xf numFmtId="0" fontId="40" fillId="0" borderId="0"/>
    <xf numFmtId="0" fontId="2" fillId="0" borderId="0"/>
    <xf numFmtId="0" fontId="40" fillId="0" borderId="0"/>
    <xf numFmtId="0" fontId="8" fillId="0" borderId="0"/>
    <xf numFmtId="0" fontId="40" fillId="0" borderId="0"/>
    <xf numFmtId="168" fontId="2" fillId="0" borderId="0"/>
    <xf numFmtId="0" fontId="40" fillId="0" borderId="0"/>
    <xf numFmtId="0" fontId="2" fillId="0" borderId="0"/>
    <xf numFmtId="0" fontId="40" fillId="0" borderId="0"/>
    <xf numFmtId="0" fontId="40"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0" fontId="26" fillId="50" borderId="18"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xf numFmtId="9" fontId="50"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50" fillId="0" borderId="0"/>
    <xf numFmtId="0" fontId="49" fillId="0" borderId="0" applyNumberForma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32" fillId="0" borderId="24" applyNumberFormat="0" applyFon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36"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33" borderId="0" applyNumberFormat="0" applyBorder="0" applyAlignment="0" applyProtection="0"/>
    <xf numFmtId="0" fontId="23" fillId="7" borderId="0" applyNumberFormat="0" applyBorder="0" applyAlignment="0" applyProtection="0"/>
    <xf numFmtId="0" fontId="27" fillId="10" borderId="17" applyNumberFormat="0" applyAlignment="0" applyProtection="0"/>
    <xf numFmtId="43" fontId="8" fillId="0" borderId="0" applyFont="0" applyFill="0" applyBorder="0" applyAlignment="0" applyProtection="0"/>
    <xf numFmtId="44" fontId="8" fillId="0" borderId="0" applyFont="0" applyFill="0" applyBorder="0" applyAlignment="0" applyProtection="0"/>
    <xf numFmtId="0" fontId="22" fillId="6" borderId="0" applyNumberFormat="0" applyBorder="0" applyAlignment="0" applyProtection="0"/>
    <xf numFmtId="0" fontId="19" fillId="0" borderId="14" applyNumberFormat="0" applyFill="0" applyAlignment="0" applyProtection="0"/>
    <xf numFmtId="0" fontId="20" fillId="0" borderId="15" applyNumberFormat="0" applyFill="0" applyAlignment="0" applyProtection="0"/>
    <xf numFmtId="0" fontId="21" fillId="0" borderId="16" applyNumberFormat="0" applyFill="0" applyAlignment="0" applyProtection="0"/>
    <xf numFmtId="0" fontId="21" fillId="0" borderId="0" applyNumberFormat="0" applyFill="0" applyBorder="0" applyAlignment="0" applyProtection="0"/>
    <xf numFmtId="0" fontId="25" fillId="9" borderId="17" applyNumberFormat="0" applyAlignment="0" applyProtection="0"/>
    <xf numFmtId="0" fontId="28" fillId="0" borderId="19" applyNumberFormat="0" applyFill="0" applyAlignment="0" applyProtection="0"/>
    <xf numFmtId="0" fontId="24" fillId="8" borderId="0" applyNumberFormat="0" applyBorder="0" applyAlignment="0" applyProtection="0"/>
    <xf numFmtId="0" fontId="8" fillId="0" borderId="0"/>
    <xf numFmtId="0" fontId="8" fillId="12" borderId="21" applyNumberFormat="0" applyFont="0" applyAlignment="0" applyProtection="0"/>
    <xf numFmtId="0" fontId="26" fillId="10" borderId="18" applyNumberFormat="0" applyAlignment="0" applyProtection="0"/>
    <xf numFmtId="9" fontId="8" fillId="0" borderId="0" applyFont="0" applyFill="0" applyBorder="0" applyAlignment="0" applyProtection="0"/>
    <xf numFmtId="0" fontId="18" fillId="0" borderId="0" applyNumberFormat="0" applyFill="0" applyBorder="0" applyAlignment="0" applyProtection="0"/>
    <xf numFmtId="0" fontId="11" fillId="0" borderId="22"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2" fillId="0" borderId="0"/>
    <xf numFmtId="0" fontId="2" fillId="0" borderId="0"/>
    <xf numFmtId="0" fontId="8" fillId="0" borderId="0"/>
    <xf numFmtId="0" fontId="2" fillId="0" borderId="0"/>
    <xf numFmtId="0" fontId="2" fillId="0" borderId="0"/>
    <xf numFmtId="0" fontId="2" fillId="0" borderId="0"/>
    <xf numFmtId="9" fontId="2" fillId="0" borderId="0" applyFont="0" applyFill="0" applyBorder="0" applyAlignment="0" applyProtection="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42" borderId="0" applyNumberFormat="0" applyBorder="0" applyAlignment="0" applyProtection="0"/>
    <xf numFmtId="168" fontId="33" fillId="0" borderId="0" applyNumberFormat="0" applyFill="0" applyBorder="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0" fontId="46" fillId="0" borderId="25" applyNumberFormat="0" applyFill="0" applyAlignment="0" applyProtection="0"/>
    <xf numFmtId="168" fontId="34" fillId="0" borderId="0" applyNumberFormat="0" applyFill="0" applyBorder="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27" applyNumberFormat="0" applyFill="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25" fillId="43" borderId="17" applyNumberFormat="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43" fillId="0" borderId="28" applyNumberFormat="0" applyFill="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2"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2" fillId="0" borderId="0"/>
    <xf numFmtId="168" fontId="2" fillId="0" borderId="0"/>
    <xf numFmtId="168" fontId="2"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8" fontId="33" fillId="0" borderId="0" applyNumberForma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 fillId="0" borderId="0"/>
    <xf numFmtId="168" fontId="2" fillId="0" borderId="0"/>
    <xf numFmtId="0" fontId="8" fillId="0" borderId="0"/>
    <xf numFmtId="0" fontId="39" fillId="0" borderId="16"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2" fillId="0" borderId="0" applyFon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168" fontId="34" fillId="0" borderId="0" applyNumberFormat="0" applyFill="0" applyBorder="0" applyAlignment="0" applyProtection="0"/>
    <xf numFmtId="0" fontId="8" fillId="0" borderId="0"/>
    <xf numFmtId="0" fontId="8" fillId="0" borderId="0"/>
    <xf numFmtId="0" fontId="8" fillId="0" borderId="0"/>
    <xf numFmtId="0" fontId="8" fillId="0" borderId="0"/>
    <xf numFmtId="168" fontId="2" fillId="0" borderId="0"/>
    <xf numFmtId="9" fontId="2" fillId="0" borderId="0" applyFont="0" applyFill="0" applyBorder="0" applyAlignment="0" applyProtection="0"/>
    <xf numFmtId="168" fontId="32" fillId="0" borderId="24" applyNumberFormat="0" applyFont="0" applyFill="0" applyAlignment="0" applyProtection="0"/>
    <xf numFmtId="43" fontId="2" fillId="0" borderId="0" applyFont="0" applyFill="0" applyBorder="0" applyAlignment="0" applyProtection="0"/>
    <xf numFmtId="0" fontId="8" fillId="0" borderId="0"/>
    <xf numFmtId="168" fontId="2" fillId="0" borderId="0"/>
    <xf numFmtId="0" fontId="8" fillId="41"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0" fontId="8" fillId="39" borderId="0" applyNumberFormat="0" applyBorder="0" applyAlignment="0" applyProtection="0"/>
    <xf numFmtId="44" fontId="8" fillId="0" borderId="0" applyFont="0" applyFill="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0" borderId="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2" borderId="21" applyNumberFormat="0" applyFont="0" applyAlignment="0" applyProtection="0"/>
    <xf numFmtId="0" fontId="8" fillId="42" borderId="0" applyNumberFormat="0" applyBorder="0" applyAlignment="0" applyProtection="0"/>
    <xf numFmtId="9"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42" borderId="0" applyNumberFormat="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0" borderId="0"/>
    <xf numFmtId="0" fontId="8" fillId="40" borderId="0" applyNumberFormat="0" applyBorder="0" applyAlignment="0" applyProtection="0"/>
    <xf numFmtId="0" fontId="8" fillId="12" borderId="21" applyNumberFormat="0" applyFont="0" applyAlignment="0" applyProtection="0"/>
    <xf numFmtId="0" fontId="8" fillId="43"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40" borderId="0" applyNumberFormat="0" applyBorder="0" applyAlignment="0" applyProtection="0"/>
    <xf numFmtId="0" fontId="8" fillId="0" borderId="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19" fillId="0" borderId="14"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11" fillId="0" borderId="22" applyNumberFormat="0" applyFill="0" applyAlignment="0" applyProtection="0"/>
    <xf numFmtId="0" fontId="20" fillId="0" borderId="15" applyNumberFormat="0" applyFill="0" applyAlignment="0" applyProtection="0"/>
    <xf numFmtId="43" fontId="8" fillId="0" borderId="0" applyFont="0" applyFill="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2" borderId="0" applyNumberFormat="0" applyBorder="0" applyAlignment="0" applyProtection="0"/>
    <xf numFmtId="44" fontId="8" fillId="0" borderId="0" applyFont="0" applyFill="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0" borderId="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43" borderId="0" applyNumberFormat="0" applyBorder="0" applyAlignment="0" applyProtection="0"/>
    <xf numFmtId="0" fontId="8" fillId="0" borderId="0"/>
    <xf numFmtId="168" fontId="8" fillId="0" borderId="0"/>
    <xf numFmtId="0" fontId="8" fillId="0" borderId="0"/>
    <xf numFmtId="168" fontId="8" fillId="0" borderId="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4"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5" borderId="0" applyNumberFormat="0" applyBorder="0" applyAlignment="0" applyProtection="0"/>
    <xf numFmtId="0" fontId="8" fillId="39"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26"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16" borderId="0" applyNumberFormat="0" applyBorder="0" applyAlignment="0" applyProtection="0"/>
    <xf numFmtId="0" fontId="31" fillId="42" borderId="0" applyNumberFormat="0" applyBorder="0" applyAlignment="0" applyProtection="0"/>
    <xf numFmtId="0" fontId="31" fillId="20" borderId="0" applyNumberFormat="0" applyBorder="0" applyAlignment="0" applyProtection="0"/>
    <xf numFmtId="0" fontId="31" fillId="44" borderId="0" applyNumberFormat="0" applyBorder="0" applyAlignment="0" applyProtection="0"/>
    <xf numFmtId="0" fontId="31" fillId="24" borderId="0" applyNumberFormat="0" applyBorder="0" applyAlignment="0" applyProtection="0"/>
    <xf numFmtId="0" fontId="31" fillId="45" borderId="0" applyNumberFormat="0" applyBorder="0" applyAlignment="0" applyProtection="0"/>
    <xf numFmtId="0" fontId="31" fillId="28" borderId="0" applyNumberFormat="0" applyBorder="0" applyAlignment="0" applyProtection="0"/>
    <xf numFmtId="0" fontId="31" fillId="38" borderId="0" applyNumberFormat="0" applyBorder="0" applyAlignment="0" applyProtection="0"/>
    <xf numFmtId="0" fontId="31" fillId="32" borderId="0" applyNumberFormat="0" applyBorder="0" applyAlignment="0" applyProtection="0"/>
    <xf numFmtId="0" fontId="31" fillId="42" borderId="0" applyNumberFormat="0" applyBorder="0" applyAlignment="0" applyProtection="0"/>
    <xf numFmtId="0" fontId="31" fillId="36" borderId="0" applyNumberFormat="0" applyBorder="0" applyAlignment="0" applyProtection="0"/>
    <xf numFmtId="0" fontId="31" fillId="39"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31" fillId="17" borderId="0" applyNumberFormat="0" applyBorder="0" applyAlignment="0" applyProtection="0"/>
    <xf numFmtId="0" fontId="31" fillId="44"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0" fontId="31" fillId="25" borderId="0" applyNumberFormat="0" applyBorder="0" applyAlignment="0" applyProtection="0"/>
    <xf numFmtId="0" fontId="31" fillId="47" borderId="0" applyNumberFormat="0" applyBorder="0" applyAlignment="0" applyProtection="0"/>
    <xf numFmtId="0" fontId="31" fillId="33" borderId="0" applyNumberFormat="0" applyBorder="0" applyAlignment="0" applyProtection="0"/>
    <xf numFmtId="0" fontId="31" fillId="48" borderId="0" applyNumberFormat="0" applyBorder="0" applyAlignment="0" applyProtection="0"/>
    <xf numFmtId="0" fontId="23" fillId="7" borderId="0" applyNumberFormat="0" applyBorder="0" applyAlignment="0" applyProtection="0"/>
    <xf numFmtId="0" fontId="23" fillId="49" borderId="0" applyNumberFormat="0" applyBorder="0" applyAlignment="0" applyProtection="0"/>
    <xf numFmtId="0" fontId="27" fillId="10" borderId="17" applyNumberFormat="0" applyAlignment="0" applyProtection="0"/>
    <xf numFmtId="0" fontId="52" fillId="50" borderId="1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50" fillId="0" borderId="0"/>
    <xf numFmtId="43" fontId="2" fillId="0" borderId="0" applyFont="0" applyFill="0" applyBorder="0" applyAlignment="0" applyProtection="0"/>
    <xf numFmtId="169" fontId="50" fillId="0" borderId="0"/>
    <xf numFmtId="44" fontId="2" fillId="0" borderId="0" applyFont="0" applyFill="0" applyBorder="0" applyAlignment="0" applyProtection="0"/>
    <xf numFmtId="170" fontId="50" fillId="0" borderId="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50"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6" borderId="0" applyNumberFormat="0" applyBorder="0" applyAlignment="0" applyProtection="0"/>
    <xf numFmtId="0" fontId="22" fillId="42" borderId="0" applyNumberFormat="0" applyBorder="0" applyAlignment="0" applyProtection="0"/>
    <xf numFmtId="0" fontId="53" fillId="0" borderId="25" applyNumberFormat="0" applyFill="0" applyAlignment="0" applyProtection="0"/>
    <xf numFmtId="0" fontId="46" fillId="0" borderId="25" applyNumberFormat="0" applyFill="0" applyAlignment="0" applyProtection="0"/>
    <xf numFmtId="0" fontId="19" fillId="0" borderId="14" applyNumberFormat="0" applyFill="0" applyAlignment="0" applyProtection="0"/>
    <xf numFmtId="0" fontId="46" fillId="0" borderId="25" applyNumberFormat="0" applyFill="0" applyAlignment="0" applyProtection="0"/>
    <xf numFmtId="0" fontId="54" fillId="0" borderId="26" applyNumberFormat="0" applyFill="0" applyAlignment="0" applyProtection="0"/>
    <xf numFmtId="0" fontId="47" fillId="0" borderId="26" applyNumberFormat="0" applyFill="0" applyAlignment="0" applyProtection="0"/>
    <xf numFmtId="0" fontId="20" fillId="0" borderId="15" applyNumberFormat="0" applyFill="0" applyAlignment="0" applyProtection="0"/>
    <xf numFmtId="0" fontId="47" fillId="0" borderId="26"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48" fillId="0" borderId="27" applyNumberFormat="0" applyFill="0" applyAlignment="0" applyProtection="0"/>
    <xf numFmtId="0" fontId="21" fillId="0" borderId="16" applyNumberFormat="0" applyFill="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48" fillId="0" borderId="0" applyNumberFormat="0" applyFill="0" applyBorder="0" applyAlignment="0" applyProtection="0"/>
    <xf numFmtId="0" fontId="21" fillId="0" borderId="0" applyNumberFormat="0" applyFill="0" applyBorder="0" applyAlignment="0" applyProtection="0"/>
    <xf numFmtId="0" fontId="25" fillId="9" borderId="17" applyNumberFormat="0" applyAlignment="0" applyProtection="0"/>
    <xf numFmtId="0" fontId="25" fillId="43" borderId="17" applyNumberFormat="0" applyAlignment="0" applyProtection="0"/>
    <xf numFmtId="0" fontId="43" fillId="0" borderId="28" applyNumberFormat="0" applyFill="0" applyAlignment="0" applyProtection="0"/>
    <xf numFmtId="0" fontId="57" fillId="0" borderId="28" applyNumberFormat="0" applyFill="0" applyAlignment="0" applyProtection="0"/>
    <xf numFmtId="0" fontId="43" fillId="0" borderId="28" applyNumberFormat="0" applyFill="0" applyAlignment="0" applyProtection="0"/>
    <xf numFmtId="0" fontId="28" fillId="0" borderId="19" applyNumberFormat="0" applyFill="0" applyAlignment="0" applyProtection="0"/>
    <xf numFmtId="0" fontId="24" fillId="8" borderId="0" applyNumberFormat="0" applyBorder="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4" fillId="0" borderId="0" applyNumberFormat="0" applyFill="0" applyBorder="0" applyProtection="0">
      <alignment vertical="top" wrapText="1"/>
    </xf>
    <xf numFmtId="0" fontId="8" fillId="0" borderId="0"/>
    <xf numFmtId="0" fontId="50" fillId="0" borderId="0"/>
    <xf numFmtId="0" fontId="8" fillId="0" borderId="0"/>
    <xf numFmtId="0" fontId="2" fillId="0" borderId="0"/>
    <xf numFmtId="0" fontId="2" fillId="0" borderId="0"/>
    <xf numFmtId="0" fontId="2" fillId="0" borderId="0"/>
    <xf numFmtId="0" fontId="2" fillId="0" borderId="0"/>
    <xf numFmtId="0" fontId="44" fillId="0" borderId="0" applyNumberFormat="0" applyFill="0" applyBorder="0" applyProtection="0">
      <alignment vertical="top" wrapText="1"/>
    </xf>
    <xf numFmtId="0" fontId="50" fillId="0" borderId="0"/>
    <xf numFmtId="0" fontId="44" fillId="0" borderId="0" applyNumberFormat="0" applyFill="0" applyBorder="0" applyProtection="0">
      <alignment vertical="top" wrapText="1"/>
    </xf>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2" fillId="0" borderId="0"/>
    <xf numFmtId="0" fontId="2"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2" fillId="0" borderId="0"/>
    <xf numFmtId="0" fontId="2"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10" borderId="18" applyNumberFormat="0" applyAlignment="0" applyProtection="0"/>
    <xf numFmtId="0" fontId="26" fillId="50" borderId="18" applyNumberFormat="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0"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xf numFmtId="9" fontId="2" fillId="0" borderId="0" applyFon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49" fillId="0" borderId="0" applyNumberFormat="0" applyFill="0" applyBorder="0" applyAlignment="0" applyProtection="0"/>
    <xf numFmtId="0" fontId="18" fillId="0" borderId="0" applyNumberFormat="0" applyFill="0" applyBorder="0" applyAlignment="0" applyProtection="0"/>
    <xf numFmtId="0" fontId="11" fillId="0" borderId="22" applyNumberFormat="0" applyFill="0" applyAlignment="0" applyProtection="0"/>
    <xf numFmtId="0" fontId="11" fillId="0" borderId="29" applyNumberFormat="0" applyFill="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31" fillId="42"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38" borderId="0" applyNumberFormat="0" applyBorder="0" applyAlignment="0" applyProtection="0"/>
    <xf numFmtId="0" fontId="31" fillId="42" borderId="0" applyNumberFormat="0" applyBorder="0" applyAlignment="0" applyProtection="0"/>
    <xf numFmtId="0" fontId="31" fillId="39" borderId="0" applyNumberFormat="0" applyBorder="0" applyAlignment="0" applyProtection="0"/>
    <xf numFmtId="0" fontId="31" fillId="46" borderId="0" applyNumberFormat="0" applyBorder="0" applyAlignment="0" applyProtection="0"/>
    <xf numFmtId="0" fontId="31" fillId="44" borderId="0" applyNumberFormat="0" applyBorder="0" applyAlignment="0" applyProtection="0"/>
    <xf numFmtId="0" fontId="31" fillId="45"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23" fillId="49" borderId="0" applyNumberFormat="0" applyBorder="0" applyAlignment="0" applyProtection="0"/>
    <xf numFmtId="0" fontId="52" fillId="50" borderId="1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42" borderId="0" applyNumberFormat="0" applyBorder="0" applyAlignment="0" applyProtection="0"/>
    <xf numFmtId="0" fontId="46" fillId="0" borderId="25" applyNumberFormat="0" applyFill="0" applyAlignment="0" applyProtection="0"/>
    <xf numFmtId="0" fontId="53" fillId="0" borderId="25" applyNumberFormat="0" applyFill="0" applyAlignment="0" applyProtection="0"/>
    <xf numFmtId="0" fontId="53" fillId="0" borderId="25" applyNumberFormat="0" applyFill="0" applyAlignment="0" applyProtection="0"/>
    <xf numFmtId="0" fontId="53" fillId="0" borderId="25" applyNumberFormat="0" applyFill="0" applyAlignment="0" applyProtection="0"/>
    <xf numFmtId="0" fontId="47"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54" fillId="0" borderId="26" applyNumberFormat="0" applyFill="0" applyAlignment="0" applyProtection="0"/>
    <xf numFmtId="0" fontId="48" fillId="0" borderId="27" applyNumberFormat="0" applyFill="0" applyAlignment="0" applyProtection="0"/>
    <xf numFmtId="0" fontId="55" fillId="0" borderId="27" applyNumberFormat="0" applyFill="0" applyAlignment="0" applyProtection="0"/>
    <xf numFmtId="0" fontId="55" fillId="0" borderId="27" applyNumberFormat="0" applyFill="0" applyAlignment="0" applyProtection="0"/>
    <xf numFmtId="0" fontId="48"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5" fillId="43" borderId="17" applyNumberFormat="0" applyAlignment="0" applyProtection="0"/>
    <xf numFmtId="0" fontId="43" fillId="0" borderId="28" applyNumberFormat="0" applyFill="0" applyAlignment="0" applyProtection="0"/>
    <xf numFmtId="0" fontId="57" fillId="0" borderId="28" applyNumberFormat="0" applyFill="0" applyAlignment="0" applyProtection="0"/>
    <xf numFmtId="0" fontId="57" fillId="0" borderId="28" applyNumberFormat="0" applyFill="0" applyAlignment="0" applyProtection="0"/>
    <xf numFmtId="0" fontId="58" fillId="8"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1" fillId="12" borderId="21" applyNumberFormat="0" applyFont="0" applyAlignment="0" applyProtection="0"/>
    <xf numFmtId="0" fontId="26" fillId="50" borderId="1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44" fontId="8" fillId="0" borderId="0" applyFont="0" applyFill="0" applyBorder="0" applyAlignment="0" applyProtection="0"/>
    <xf numFmtId="43" fontId="8" fillId="0" borderId="0" applyFont="0" applyFill="0" applyBorder="0" applyAlignment="0" applyProtection="0"/>
    <xf numFmtId="0" fontId="8" fillId="35"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30" borderId="0" applyNumberFormat="0" applyBorder="0" applyAlignment="0" applyProtection="0"/>
    <xf numFmtId="0" fontId="8" fillId="26" borderId="0" applyNumberFormat="0" applyBorder="0" applyAlignment="0" applyProtection="0"/>
    <xf numFmtId="0" fontId="8" fillId="22" borderId="0" applyNumberFormat="0" applyBorder="0" applyAlignment="0" applyProtection="0"/>
    <xf numFmtId="0" fontId="8" fillId="18" borderId="0" applyNumberFormat="0" applyBorder="0" applyAlignment="0" applyProtection="0"/>
    <xf numFmtId="0" fontId="8" fillId="14" borderId="0" applyNumberFormat="0" applyBorder="0" applyAlignment="0" applyProtection="0"/>
    <xf numFmtId="0" fontId="8" fillId="34"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3"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5" fontId="2" fillId="0" borderId="0" applyFont="0" applyFill="0" applyBorder="0" applyAlignment="0" applyProtection="0"/>
    <xf numFmtId="0" fontId="2" fillId="0" borderId="0" applyFont="0" applyFill="0" applyBorder="0" applyAlignment="0" applyProtection="0"/>
    <xf numFmtId="2" fontId="2" fillId="0" borderId="0" applyFont="0" applyFill="0" applyBorder="0" applyAlignment="0" applyProtection="0"/>
    <xf numFmtId="0" fontId="8" fillId="0" borderId="0"/>
    <xf numFmtId="0" fontId="8" fillId="0" borderId="0"/>
    <xf numFmtId="0" fontId="8" fillId="0" borderId="0"/>
    <xf numFmtId="0" fontId="2" fillId="0" borderId="0"/>
    <xf numFmtId="0" fontId="2" fillId="0" borderId="0">
      <alignment vertical="top"/>
    </xf>
    <xf numFmtId="168" fontId="8" fillId="0" borderId="0"/>
    <xf numFmtId="0" fontId="8" fillId="0" borderId="0"/>
    <xf numFmtId="168" fontId="8" fillId="0" borderId="0"/>
    <xf numFmtId="168" fontId="8" fillId="0" borderId="0"/>
    <xf numFmtId="0" fontId="2" fillId="0" borderId="0">
      <alignment vertical="top"/>
    </xf>
    <xf numFmtId="0" fontId="8" fillId="0" borderId="0"/>
    <xf numFmtId="0" fontId="8" fillId="0" borderId="0"/>
    <xf numFmtId="0" fontId="8" fillId="0" borderId="0"/>
    <xf numFmtId="0" fontId="2" fillId="0" borderId="0"/>
    <xf numFmtId="0"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4" fontId="51" fillId="43" borderId="30" applyNumberFormat="0" applyProtection="0">
      <alignment vertical="center"/>
    </xf>
    <xf numFmtId="4" fontId="60" fillId="43" borderId="30" applyNumberFormat="0" applyProtection="0">
      <alignment vertical="center"/>
    </xf>
    <xf numFmtId="4" fontId="51" fillId="43" borderId="30" applyNumberFormat="0" applyProtection="0">
      <alignment horizontal="left" vertical="center" indent="1"/>
    </xf>
    <xf numFmtId="0" fontId="51" fillId="43" borderId="30" applyNumberFormat="0" applyProtection="0">
      <alignment horizontal="left" vertical="top" indent="1"/>
    </xf>
    <xf numFmtId="4" fontId="51" fillId="51" borderId="0" applyNumberFormat="0" applyProtection="0">
      <alignment horizontal="left" vertical="center" indent="1"/>
    </xf>
    <xf numFmtId="4" fontId="45" fillId="38" borderId="30" applyNumberFormat="0" applyProtection="0">
      <alignment horizontal="right" vertical="center"/>
    </xf>
    <xf numFmtId="4" fontId="45" fillId="39" borderId="30" applyNumberFormat="0" applyProtection="0">
      <alignment horizontal="right" vertical="center"/>
    </xf>
    <xf numFmtId="4" fontId="45" fillId="48" borderId="30" applyNumberFormat="0" applyProtection="0">
      <alignment horizontal="right" vertical="center"/>
    </xf>
    <xf numFmtId="4" fontId="45" fillId="45" borderId="30" applyNumberFormat="0" applyProtection="0">
      <alignment horizontal="right" vertical="center"/>
    </xf>
    <xf numFmtId="4" fontId="45" fillId="52" borderId="30" applyNumberFormat="0" applyProtection="0">
      <alignment horizontal="right" vertical="center"/>
    </xf>
    <xf numFmtId="4" fontId="45" fillId="44" borderId="30" applyNumberFormat="0" applyProtection="0">
      <alignment horizontal="right" vertical="center"/>
    </xf>
    <xf numFmtId="4" fontId="45" fillId="53" borderId="30" applyNumberFormat="0" applyProtection="0">
      <alignment horizontal="right" vertical="center"/>
    </xf>
    <xf numFmtId="4" fontId="45" fillId="54" borderId="30" applyNumberFormat="0" applyProtection="0">
      <alignment horizontal="right" vertical="center"/>
    </xf>
    <xf numFmtId="4" fontId="45" fillId="55" borderId="30" applyNumberFormat="0" applyProtection="0">
      <alignment horizontal="right" vertical="center"/>
    </xf>
    <xf numFmtId="4" fontId="51" fillId="56" borderId="31" applyNumberFormat="0" applyProtection="0">
      <alignment horizontal="left" vertical="center" indent="1"/>
    </xf>
    <xf numFmtId="4" fontId="45" fillId="57" borderId="0" applyNumberFormat="0" applyProtection="0">
      <alignment horizontal="left" vertical="center" indent="1"/>
    </xf>
    <xf numFmtId="4" fontId="61" fillId="47" borderId="0" applyNumberFormat="0" applyProtection="0">
      <alignment horizontal="left" vertical="center" indent="1"/>
    </xf>
    <xf numFmtId="4" fontId="45" fillId="51" borderId="30" applyNumberFormat="0" applyProtection="0">
      <alignment horizontal="right" vertical="center"/>
    </xf>
    <xf numFmtId="4" fontId="45" fillId="57" borderId="0" applyNumberFormat="0" applyProtection="0">
      <alignment horizontal="left" vertical="center" indent="1"/>
    </xf>
    <xf numFmtId="4" fontId="45" fillId="51" borderId="0" applyNumberFormat="0" applyProtection="0">
      <alignment horizontal="left" vertical="center" indent="1"/>
    </xf>
    <xf numFmtId="0" fontId="2" fillId="47" borderId="30" applyNumberFormat="0" applyProtection="0">
      <alignment horizontal="left" vertical="center" indent="1"/>
    </xf>
    <xf numFmtId="0" fontId="2" fillId="47" borderId="30" applyNumberFormat="0" applyProtection="0">
      <alignment horizontal="left" vertical="top" indent="1"/>
    </xf>
    <xf numFmtId="0" fontId="2" fillId="51" borderId="30" applyNumberFormat="0" applyProtection="0">
      <alignment horizontal="left" vertical="center" indent="1"/>
    </xf>
    <xf numFmtId="0" fontId="2" fillId="51" borderId="30" applyNumberFormat="0" applyProtection="0">
      <alignment horizontal="left" vertical="top" indent="1"/>
    </xf>
    <xf numFmtId="0" fontId="2" fillId="37" borderId="30" applyNumberFormat="0" applyProtection="0">
      <alignment horizontal="left" vertical="center" indent="1"/>
    </xf>
    <xf numFmtId="0" fontId="2" fillId="37" borderId="30" applyNumberFormat="0" applyProtection="0">
      <alignment horizontal="left" vertical="top" indent="1"/>
    </xf>
    <xf numFmtId="0" fontId="2" fillId="57" borderId="30" applyNumberFormat="0" applyProtection="0">
      <alignment horizontal="left" vertical="center" indent="1"/>
    </xf>
    <xf numFmtId="0" fontId="2" fillId="57" borderId="30" applyNumberFormat="0" applyProtection="0">
      <alignment horizontal="left" vertical="top" indent="1"/>
    </xf>
    <xf numFmtId="0" fontId="2" fillId="50" borderId="23" applyNumberFormat="0">
      <protection locked="0"/>
    </xf>
    <xf numFmtId="4" fontId="45" fillId="40" borderId="30" applyNumberFormat="0" applyProtection="0">
      <alignment vertical="center"/>
    </xf>
    <xf numFmtId="4" fontId="62" fillId="40" borderId="30" applyNumberFormat="0" applyProtection="0">
      <alignment vertical="center"/>
    </xf>
    <xf numFmtId="4" fontId="45" fillId="40" borderId="30" applyNumberFormat="0" applyProtection="0">
      <alignment horizontal="left" vertical="center" indent="1"/>
    </xf>
    <xf numFmtId="0" fontId="45" fillId="40" borderId="30" applyNumberFormat="0" applyProtection="0">
      <alignment horizontal="left" vertical="top" indent="1"/>
    </xf>
    <xf numFmtId="4" fontId="45" fillId="57" borderId="30" applyNumberFormat="0" applyProtection="0">
      <alignment horizontal="right" vertical="center"/>
    </xf>
    <xf numFmtId="4" fontId="62" fillId="57" borderId="30" applyNumberFormat="0" applyProtection="0">
      <alignment horizontal="right" vertical="center"/>
    </xf>
    <xf numFmtId="4" fontId="45" fillId="51" borderId="30" applyNumberFormat="0" applyProtection="0">
      <alignment horizontal="left" vertical="center" indent="1"/>
    </xf>
    <xf numFmtId="0" fontId="45" fillId="51" borderId="30" applyNumberFormat="0" applyProtection="0">
      <alignment horizontal="left" vertical="top" indent="1"/>
    </xf>
    <xf numFmtId="4" fontId="63" fillId="58" borderId="0" applyNumberFormat="0" applyProtection="0">
      <alignment horizontal="left" vertical="center" indent="1"/>
    </xf>
    <xf numFmtId="4" fontId="41" fillId="57" borderId="30" applyNumberFormat="0" applyProtection="0">
      <alignment horizontal="right" vertical="center"/>
    </xf>
    <xf numFmtId="0" fontId="49" fillId="0" borderId="0" applyNumberForma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2" borderId="21" applyNumberFormat="0" applyFont="0" applyAlignment="0" applyProtection="0"/>
    <xf numFmtId="0" fontId="32" fillId="0" borderId="0" applyFont="0" applyFill="0" applyBorder="0" applyAlignment="0" applyProtection="0"/>
    <xf numFmtId="2" fontId="32" fillId="0" borderId="0" applyFont="0" applyFill="0" applyBorder="0" applyAlignment="0" applyProtection="0"/>
    <xf numFmtId="167" fontId="32" fillId="0" borderId="0" applyFont="0" applyFill="0" applyBorder="0" applyAlignment="0" applyProtection="0"/>
    <xf numFmtId="0" fontId="33" fillId="0" borderId="0" applyNumberFormat="0" applyFill="0" applyBorder="0" applyAlignment="0" applyProtection="0"/>
    <xf numFmtId="0" fontId="8" fillId="0" borderId="0"/>
    <xf numFmtId="44" fontId="2" fillId="0" borderId="0" applyFont="0" applyFill="0" applyBorder="0" applyAlignment="0" applyProtection="0"/>
    <xf numFmtId="9" fontId="2" fillId="0" borderId="0" applyFont="0" applyFill="0" applyBorder="0" applyAlignment="0" applyProtection="0"/>
    <xf numFmtId="3" fontId="32" fillId="0" borderId="0" applyFont="0" applyFill="0" applyBorder="0" applyAlignment="0" applyProtection="0"/>
    <xf numFmtId="0" fontId="34" fillId="0" borderId="0" applyNumberFormat="0" applyFill="0" applyBorder="0" applyAlignment="0" applyProtection="0"/>
    <xf numFmtId="0" fontId="32" fillId="0" borderId="24" applyNumberFormat="0" applyFon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3" fontId="32" fillId="0" borderId="0" applyFont="0" applyFill="0" applyBorder="0" applyAlignment="0" applyProtection="0"/>
    <xf numFmtId="44" fontId="2" fillId="0" borderId="0" applyFont="0" applyFill="0" applyBorder="0" applyAlignment="0" applyProtection="0"/>
    <xf numFmtId="170" fontId="50" fillId="0" borderId="0"/>
    <xf numFmtId="44" fontId="2" fillId="0" borderId="0" applyFont="0" applyFill="0" applyBorder="0" applyAlignment="0" applyProtection="0"/>
    <xf numFmtId="167" fontId="32" fillId="0" borderId="0" applyFont="0" applyFill="0" applyBorder="0" applyAlignment="0" applyProtection="0"/>
    <xf numFmtId="0" fontId="32" fillId="0" borderId="0" applyFont="0" applyFill="0" applyBorder="0" applyAlignment="0" applyProtection="0"/>
    <xf numFmtId="2" fontId="32" fillId="0" borderId="0" applyFont="0" applyFill="0" applyBorder="0" applyAlignment="0" applyProtection="0"/>
    <xf numFmtId="0" fontId="46" fillId="0" borderId="25" applyNumberFormat="0" applyFill="0" applyAlignment="0" applyProtection="0"/>
    <xf numFmtId="0" fontId="47" fillId="0" borderId="26" applyNumberFormat="0" applyFill="0" applyAlignment="0" applyProtection="0"/>
    <xf numFmtId="0" fontId="42" fillId="0" borderId="27" applyNumberFormat="0" applyFill="0" applyAlignment="0" applyProtection="0"/>
    <xf numFmtId="0" fontId="40" fillId="0" borderId="0"/>
    <xf numFmtId="0" fontId="2" fillId="0" borderId="0"/>
    <xf numFmtId="0" fontId="1" fillId="0" borderId="0"/>
    <xf numFmtId="0" fontId="40" fillId="0" borderId="0"/>
    <xf numFmtId="0" fontId="40" fillId="0" borderId="0"/>
    <xf numFmtId="0" fontId="40" fillId="0" borderId="0"/>
    <xf numFmtId="0" fontId="40" fillId="0" borderId="0"/>
    <xf numFmtId="0" fontId="2" fillId="0" borderId="0"/>
    <xf numFmtId="9" fontId="2" fillId="0" borderId="0" applyFont="0" applyFill="0" applyBorder="0" applyAlignment="0" applyProtection="0"/>
    <xf numFmtId="9" fontId="50" fillId="0" borderId="0"/>
    <xf numFmtId="9" fontId="2" fillId="0" borderId="0" applyFont="0" applyFill="0" applyBorder="0" applyAlignment="0" applyProtection="0"/>
    <xf numFmtId="9" fontId="1" fillId="0" borderId="0" applyFont="0" applyFill="0" applyBorder="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9" applyNumberFormat="0" applyFill="0" applyAlignment="0" applyProtection="0"/>
    <xf numFmtId="0" fontId="11" fillId="0" borderId="22" applyNumberFormat="0" applyFill="0" applyAlignment="0" applyProtection="0"/>
    <xf numFmtId="44" fontId="2" fillId="0" borderId="0" applyFont="0" applyFill="0" applyBorder="0" applyAlignment="0" applyProtection="0"/>
    <xf numFmtId="43" fontId="2" fillId="0" borderId="0" applyFont="0" applyFill="0" applyBorder="0" applyAlignment="0" applyProtection="0"/>
    <xf numFmtId="0" fontId="8" fillId="0" borderId="0"/>
    <xf numFmtId="168" fontId="2" fillId="0" borderId="0"/>
    <xf numFmtId="0" fontId="8" fillId="0" borderId="0"/>
    <xf numFmtId="0" fontId="8" fillId="12" borderId="21" applyNumberFormat="0" applyFont="0" applyAlignment="0" applyProtection="0"/>
    <xf numFmtId="9" fontId="8" fillId="0" borderId="0" applyFont="0" applyFill="0" applyBorder="0" applyAlignment="0" applyProtection="0"/>
    <xf numFmtId="0" fontId="2"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14" borderId="0" applyNumberFormat="0" applyBorder="0" applyAlignment="0" applyProtection="0"/>
    <xf numFmtId="0" fontId="8" fillId="15" borderId="0" applyNumberFormat="0" applyBorder="0" applyAlignment="0" applyProtection="0"/>
    <xf numFmtId="0" fontId="2" fillId="0" borderId="0"/>
    <xf numFmtId="0" fontId="2" fillId="0" borderId="0"/>
    <xf numFmtId="0" fontId="8" fillId="18" borderId="0" applyNumberFormat="0" applyBorder="0" applyAlignment="0" applyProtection="0"/>
    <xf numFmtId="0" fontId="2" fillId="0" borderId="0"/>
    <xf numFmtId="0" fontId="2" fillId="0" borderId="0"/>
    <xf numFmtId="0" fontId="8" fillId="22" borderId="0" applyNumberFormat="0" applyBorder="0" applyAlignment="0" applyProtection="0"/>
    <xf numFmtId="0" fontId="8" fillId="23" borderId="0" applyNumberFormat="0" applyBorder="0" applyAlignment="0" applyProtection="0"/>
    <xf numFmtId="0" fontId="2" fillId="0" borderId="0"/>
    <xf numFmtId="0" fontId="2" fillId="0" borderId="0"/>
    <xf numFmtId="0" fontId="8" fillId="26" borderId="0" applyNumberFormat="0" applyBorder="0" applyAlignment="0" applyProtection="0"/>
    <xf numFmtId="0" fontId="8" fillId="27" borderId="0" applyNumberFormat="0" applyBorder="0" applyAlignment="0" applyProtection="0"/>
    <xf numFmtId="0" fontId="2" fillId="0" borderId="0"/>
    <xf numFmtId="0" fontId="8" fillId="31" borderId="0" applyNumberFormat="0" applyBorder="0" applyAlignment="0" applyProtection="0"/>
    <xf numFmtId="0" fontId="2" fillId="0" borderId="0"/>
    <xf numFmtId="0" fontId="2" fillId="0" borderId="0"/>
    <xf numFmtId="0" fontId="8" fillId="34" borderId="0" applyNumberFormat="0" applyBorder="0" applyAlignment="0" applyProtection="0"/>
    <xf numFmtId="0" fontId="8" fillId="35" borderId="0" applyNumberFormat="0" applyBorder="0" applyAlignment="0" applyProtection="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19" borderId="0" applyNumberFormat="0" applyBorder="0" applyAlignment="0" applyProtection="0"/>
    <xf numFmtId="0" fontId="2" fillId="0" borderId="0"/>
    <xf numFmtId="0" fontId="8" fillId="3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2" fillId="0" borderId="0"/>
    <xf numFmtId="0" fontId="2" fillId="0" borderId="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168"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2" fillId="0" borderId="0"/>
    <xf numFmtId="0" fontId="8" fillId="0" borderId="0"/>
    <xf numFmtId="0" fontId="8" fillId="41"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0" fontId="8" fillId="39" borderId="0" applyNumberFormat="0" applyBorder="0" applyAlignment="0" applyProtection="0"/>
    <xf numFmtId="44" fontId="8" fillId="0" borderId="0" applyFont="0" applyFill="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0" borderId="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2" borderId="21" applyNumberFormat="0" applyFont="0" applyAlignment="0" applyProtection="0"/>
    <xf numFmtId="0" fontId="8" fillId="42" borderId="0" applyNumberFormat="0" applyBorder="0" applyAlignment="0" applyProtection="0"/>
    <xf numFmtId="9"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42" borderId="0" applyNumberFormat="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9"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0" borderId="0"/>
    <xf numFmtId="0" fontId="8" fillId="40" borderId="0" applyNumberFormat="0" applyBorder="0" applyAlignment="0" applyProtection="0"/>
    <xf numFmtId="0" fontId="8" fillId="12" borderId="21" applyNumberFormat="0" applyFont="0" applyAlignment="0" applyProtection="0"/>
    <xf numFmtId="0" fontId="8" fillId="43"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40" borderId="0" applyNumberFormat="0" applyBorder="0" applyAlignment="0" applyProtection="0"/>
    <xf numFmtId="0" fontId="8" fillId="0" borderId="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43"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40" borderId="0" applyNumberFormat="0" applyBorder="0" applyAlignment="0" applyProtection="0"/>
    <xf numFmtId="44" fontId="8" fillId="0" borderId="0" applyFont="0" applyFill="0" applyBorder="0" applyAlignment="0" applyProtection="0"/>
    <xf numFmtId="0" fontId="8" fillId="42"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43" fontId="8" fillId="0" borderId="0" applyFont="0" applyFill="0" applyBorder="0" applyAlignment="0" applyProtection="0"/>
    <xf numFmtId="0" fontId="8" fillId="42" borderId="0" applyNumberFormat="0" applyBorder="0" applyAlignment="0" applyProtection="0"/>
    <xf numFmtId="44" fontId="8" fillId="0" borderId="0" applyFont="0" applyFill="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0" borderId="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43" borderId="0" applyNumberFormat="0" applyBorder="0" applyAlignment="0" applyProtection="0"/>
    <xf numFmtId="0" fontId="8" fillId="0" borderId="0"/>
    <xf numFmtId="168" fontId="8" fillId="0" borderId="0"/>
    <xf numFmtId="0" fontId="8" fillId="0" borderId="0"/>
    <xf numFmtId="168" fontId="8" fillId="0" borderId="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41" borderId="0" applyNumberFormat="0" applyBorder="0" applyAlignment="0" applyProtection="0"/>
    <xf numFmtId="0" fontId="8" fillId="22"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4"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15"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1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18"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15"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5" borderId="0" applyNumberFormat="0" applyBorder="0" applyAlignment="0" applyProtection="0"/>
    <xf numFmtId="0" fontId="8" fillId="39" borderId="0" applyNumberFormat="0" applyBorder="0" applyAlignment="0" applyProtection="0"/>
    <xf numFmtId="0" fontId="8" fillId="2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18"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26"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26"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3"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1" borderId="0" applyNumberFormat="0" applyBorder="0" applyAlignment="0" applyProtection="0"/>
    <xf numFmtId="0" fontId="8" fillId="19"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14"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3"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23" borderId="0" applyNumberFormat="0" applyBorder="0" applyAlignment="0" applyProtection="0"/>
    <xf numFmtId="0" fontId="8" fillId="4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37"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2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27"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31"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8" fillId="0" borderId="0" applyFont="0" applyFill="0" applyBorder="0" applyAlignment="0" applyProtection="0"/>
    <xf numFmtId="0" fontId="2"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7"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41"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3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38"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2"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8" fillId="4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44" fontId="8" fillId="0" borderId="0" applyFont="0" applyFill="0" applyBorder="0" applyAlignment="0" applyProtection="0"/>
    <xf numFmtId="43" fontId="8" fillId="0" borderId="0" applyFont="0" applyFill="0" applyBorder="0" applyAlignment="0" applyProtection="0"/>
    <xf numFmtId="0" fontId="8" fillId="35" borderId="0" applyNumberFormat="0" applyBorder="0" applyAlignment="0" applyProtection="0"/>
    <xf numFmtId="0" fontId="8" fillId="31" borderId="0" applyNumberFormat="0" applyBorder="0" applyAlignment="0" applyProtection="0"/>
    <xf numFmtId="0" fontId="8" fillId="27" borderId="0" applyNumberFormat="0" applyBorder="0" applyAlignment="0" applyProtection="0"/>
    <xf numFmtId="0" fontId="8" fillId="23" borderId="0" applyNumberFormat="0" applyBorder="0" applyAlignment="0" applyProtection="0"/>
    <xf numFmtId="0" fontId="8" fillId="19" borderId="0" applyNumberFormat="0" applyBorder="0" applyAlignment="0" applyProtection="0"/>
    <xf numFmtId="0" fontId="8" fillId="15" borderId="0" applyNumberFormat="0" applyBorder="0" applyAlignment="0" applyProtection="0"/>
    <xf numFmtId="0" fontId="8" fillId="30" borderId="0" applyNumberFormat="0" applyBorder="0" applyAlignment="0" applyProtection="0"/>
    <xf numFmtId="0" fontId="8" fillId="26" borderId="0" applyNumberFormat="0" applyBorder="0" applyAlignment="0" applyProtection="0"/>
    <xf numFmtId="0" fontId="8" fillId="22" borderId="0" applyNumberFormat="0" applyBorder="0" applyAlignment="0" applyProtection="0"/>
    <xf numFmtId="0" fontId="8" fillId="18" borderId="0" applyNumberFormat="0" applyBorder="0" applyAlignment="0" applyProtection="0"/>
    <xf numFmtId="0" fontId="8" fillId="14" borderId="0" applyNumberFormat="0" applyBorder="0" applyAlignment="0" applyProtection="0"/>
    <xf numFmtId="0" fontId="8" fillId="34" borderId="0" applyNumberFormat="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0" fontId="8" fillId="14"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0" fontId="8" fillId="18" borderId="0" applyNumberFormat="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0" fontId="8" fillId="0" borderId="0"/>
    <xf numFmtId="168" fontId="8" fillId="0" borderId="0"/>
    <xf numFmtId="0" fontId="8" fillId="0" borderId="0"/>
    <xf numFmtId="168"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0" borderId="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0" fontId="8" fillId="0" borderId="0"/>
    <xf numFmtId="0" fontId="8" fillId="0" borderId="0"/>
    <xf numFmtId="0" fontId="8" fillId="0" borderId="0"/>
    <xf numFmtId="168" fontId="8" fillId="0" borderId="0"/>
    <xf numFmtId="0"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12" borderId="21" applyNumberFormat="0" applyFont="0" applyAlignment="0" applyProtection="0"/>
    <xf numFmtId="0" fontId="8" fillId="12" borderId="2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9" fontId="8" fillId="0" borderId="0" applyFont="0" applyFill="0" applyBorder="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12" borderId="21" applyNumberFormat="0" applyFont="0" applyAlignment="0" applyProtection="0"/>
    <xf numFmtId="0" fontId="8" fillId="14" borderId="0" applyNumberFormat="0" applyBorder="0" applyAlignment="0" applyProtection="0"/>
    <xf numFmtId="0" fontId="8" fillId="15"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30" borderId="0" applyNumberFormat="0" applyBorder="0" applyAlignment="0" applyProtection="0"/>
    <xf numFmtId="0" fontId="8" fillId="31"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4" borderId="0" applyNumberFormat="0" applyBorder="0" applyAlignment="0" applyProtection="0"/>
    <xf numFmtId="0" fontId="8" fillId="18" borderId="0" applyNumberFormat="0" applyBorder="0" applyAlignment="0" applyProtection="0"/>
    <xf numFmtId="0" fontId="8" fillId="22" borderId="0" applyNumberFormat="0" applyBorder="0" applyAlignment="0" applyProtection="0"/>
    <xf numFmtId="0" fontId="8" fillId="26" borderId="0" applyNumberFormat="0" applyBorder="0" applyAlignment="0" applyProtection="0"/>
    <xf numFmtId="0" fontId="8" fillId="30" borderId="0" applyNumberFormat="0" applyBorder="0" applyAlignment="0" applyProtection="0"/>
    <xf numFmtId="0" fontId="8" fillId="34" borderId="0" applyNumberFormat="0" applyBorder="0" applyAlignment="0" applyProtection="0"/>
    <xf numFmtId="0" fontId="8" fillId="15" borderId="0" applyNumberFormat="0" applyBorder="0" applyAlignment="0" applyProtection="0"/>
    <xf numFmtId="0" fontId="8" fillId="19" borderId="0" applyNumberFormat="0" applyBorder="0" applyAlignment="0" applyProtection="0"/>
    <xf numFmtId="0" fontId="8" fillId="23" borderId="0" applyNumberFormat="0" applyBorder="0" applyAlignment="0" applyProtection="0"/>
    <xf numFmtId="0" fontId="8" fillId="27" borderId="0" applyNumberFormat="0" applyBorder="0" applyAlignment="0" applyProtection="0"/>
    <xf numFmtId="0" fontId="8" fillId="31" borderId="0" applyNumberFormat="0" applyBorder="0" applyAlignment="0" applyProtection="0"/>
    <xf numFmtId="0" fontId="8" fillId="35" borderId="0" applyNumberFormat="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8" fillId="0" borderId="0"/>
    <xf numFmtId="0" fontId="8" fillId="12" borderId="21" applyNumberFormat="0" applyFont="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12" borderId="21" applyNumberFormat="0" applyFont="0" applyAlignment="0" applyProtection="0"/>
    <xf numFmtId="0" fontId="2" fillId="0" borderId="0"/>
    <xf numFmtId="0" fontId="8" fillId="0" borderId="0"/>
    <xf numFmtId="0" fontId="2"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2" fillId="0" borderId="0"/>
    <xf numFmtId="0" fontId="8" fillId="0" borderId="0"/>
    <xf numFmtId="0" fontId="8" fillId="0" borderId="0"/>
    <xf numFmtId="0" fontId="8" fillId="12" borderId="21" applyNumberFormat="0" applyFont="0" applyAlignment="0" applyProtection="0"/>
    <xf numFmtId="9" fontId="8"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40" fillId="0" borderId="0"/>
    <xf numFmtId="43" fontId="1" fillId="0" borderId="0" applyFont="0" applyFill="0" applyBorder="0" applyAlignment="0" applyProtection="0"/>
    <xf numFmtId="0" fontId="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43" fontId="2" fillId="0" borderId="0" applyFont="0" applyFill="0" applyBorder="0" applyAlignment="0" applyProtection="0"/>
    <xf numFmtId="0" fontId="8" fillId="0" borderId="0"/>
    <xf numFmtId="0" fontId="8" fillId="0" borderId="0"/>
    <xf numFmtId="0" fontId="8" fillId="0" borderId="0"/>
    <xf numFmtId="0" fontId="8" fillId="0" borderId="0"/>
    <xf numFmtId="37" fontId="40"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36" fillId="0" borderId="0"/>
    <xf numFmtId="0" fontId="8" fillId="0" borderId="0"/>
    <xf numFmtId="0" fontId="8" fillId="0" borderId="0"/>
    <xf numFmtId="0" fontId="8" fillId="0" borderId="0"/>
    <xf numFmtId="0" fontId="8" fillId="0" borderId="0"/>
    <xf numFmtId="168" fontId="8" fillId="0" borderId="0"/>
    <xf numFmtId="0" fontId="36" fillId="0" borderId="0"/>
    <xf numFmtId="44"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168" fontId="8" fillId="0" borderId="0"/>
    <xf numFmtId="168"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8" fontId="8" fillId="0" borderId="0"/>
    <xf numFmtId="0" fontId="8" fillId="0" borderId="0"/>
    <xf numFmtId="0" fontId="8" fillId="0" borderId="0"/>
    <xf numFmtId="0" fontId="8" fillId="0" borderId="0"/>
    <xf numFmtId="0" fontId="8" fillId="0" borderId="0"/>
    <xf numFmtId="168" fontId="8" fillId="0" borderId="0"/>
    <xf numFmtId="9" fontId="8" fillId="0" borderId="0" applyFont="0" applyFill="0" applyBorder="0" applyAlignment="0" applyProtection="0"/>
    <xf numFmtId="43" fontId="8" fillId="0" borderId="0" applyFont="0" applyFill="0" applyBorder="0" applyAlignment="0" applyProtection="0"/>
    <xf numFmtId="0" fontId="2" fillId="0" borderId="0"/>
    <xf numFmtId="0" fontId="12" fillId="11" borderId="20" applyNumberFormat="0" applyAlignment="0" applyProtection="0"/>
    <xf numFmtId="0" fontId="29" fillId="0" borderId="0" applyNumberFormat="0" applyFill="0" applyBorder="0" applyAlignment="0" applyProtection="0"/>
    <xf numFmtId="0" fontId="8" fillId="12" borderId="21" applyNumberFormat="0" applyFont="0" applyAlignment="0" applyProtection="0"/>
    <xf numFmtId="0" fontId="30" fillId="0" borderId="0" applyNumberFormat="0" applyFill="0" applyBorder="0" applyAlignment="0" applyProtection="0"/>
    <xf numFmtId="0" fontId="31" fillId="29" borderId="0" applyNumberFormat="0" applyBorder="0" applyAlignment="0" applyProtection="0"/>
    <xf numFmtId="37" fontId="36" fillId="0" borderId="0"/>
    <xf numFmtId="0" fontId="36" fillId="0" borderId="0"/>
    <xf numFmtId="0" fontId="36" fillId="0" borderId="0"/>
    <xf numFmtId="0" fontId="36" fillId="0" borderId="0"/>
    <xf numFmtId="0" fontId="36" fillId="0" borderId="0"/>
    <xf numFmtId="0" fontId="65" fillId="0" borderId="0"/>
    <xf numFmtId="0" fontId="65" fillId="0" borderId="0"/>
    <xf numFmtId="0" fontId="66" fillId="0" borderId="14" applyNumberFormat="0" applyFill="0" applyAlignment="0" applyProtection="0"/>
    <xf numFmtId="0" fontId="67" fillId="0" borderId="15" applyNumberFormat="0" applyFill="0" applyAlignment="0" applyProtection="0"/>
    <xf numFmtId="0" fontId="68" fillId="0" borderId="16" applyNumberFormat="0" applyFill="0" applyAlignment="0" applyProtection="0"/>
    <xf numFmtId="0" fontId="68" fillId="0" borderId="0" applyNumberFormat="0" applyFill="0" applyBorder="0" applyAlignment="0" applyProtection="0"/>
    <xf numFmtId="0" fontId="69" fillId="6" borderId="0" applyNumberFormat="0" applyBorder="0" applyAlignment="0" applyProtection="0"/>
    <xf numFmtId="0" fontId="70" fillId="7" borderId="0" applyNumberFormat="0" applyBorder="0" applyAlignment="0" applyProtection="0"/>
    <xf numFmtId="0" fontId="71" fillId="8" borderId="0" applyNumberFormat="0" applyBorder="0" applyAlignment="0" applyProtection="0"/>
    <xf numFmtId="0" fontId="72" fillId="9" borderId="17" applyNumberFormat="0" applyAlignment="0" applyProtection="0"/>
    <xf numFmtId="0" fontId="73" fillId="10" borderId="18" applyNumberFormat="0" applyAlignment="0" applyProtection="0"/>
    <xf numFmtId="0" fontId="74" fillId="10" borderId="17" applyNumberFormat="0" applyAlignment="0" applyProtection="0"/>
    <xf numFmtId="0" fontId="75" fillId="0" borderId="19" applyNumberFormat="0" applyFill="0" applyAlignment="0" applyProtection="0"/>
    <xf numFmtId="0" fontId="76" fillId="11" borderId="20" applyNumberFormat="0" applyAlignment="0" applyProtection="0"/>
    <xf numFmtId="0" fontId="77" fillId="0" borderId="0" applyNumberFormat="0" applyFill="0" applyBorder="0" applyAlignment="0" applyProtection="0"/>
    <xf numFmtId="0" fontId="65" fillId="12" borderId="21" applyNumberFormat="0" applyFont="0" applyAlignment="0" applyProtection="0"/>
    <xf numFmtId="0" fontId="78" fillId="0" borderId="0" applyNumberFormat="0" applyFill="0" applyBorder="0" applyAlignment="0" applyProtection="0"/>
    <xf numFmtId="0" fontId="79" fillId="0" borderId="22" applyNumberFormat="0" applyFill="0" applyAlignment="0" applyProtection="0"/>
    <xf numFmtId="0" fontId="80" fillId="13" borderId="0" applyNumberFormat="0" applyBorder="0" applyAlignment="0" applyProtection="0"/>
    <xf numFmtId="0" fontId="65" fillId="14" borderId="0" applyNumberFormat="0" applyBorder="0" applyAlignment="0" applyProtection="0"/>
    <xf numFmtId="0" fontId="65" fillId="15"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65" fillId="18" borderId="0" applyNumberFormat="0" applyBorder="0" applyAlignment="0" applyProtection="0"/>
    <xf numFmtId="0" fontId="65" fillId="19"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65" fillId="22" borderId="0" applyNumberFormat="0" applyBorder="0" applyAlignment="0" applyProtection="0"/>
    <xf numFmtId="0" fontId="65" fillId="23"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65" fillId="26" borderId="0" applyNumberFormat="0" applyBorder="0" applyAlignment="0" applyProtection="0"/>
    <xf numFmtId="0" fontId="65" fillId="27"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65" fillId="30" borderId="0" applyNumberFormat="0" applyBorder="0" applyAlignment="0" applyProtection="0"/>
    <xf numFmtId="0" fontId="65" fillId="31"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65" fillId="34" borderId="0" applyNumberFormat="0" applyBorder="0" applyAlignment="0" applyProtection="0"/>
    <xf numFmtId="0" fontId="65" fillId="35" borderId="0" applyNumberFormat="0" applyBorder="0" applyAlignment="0" applyProtection="0"/>
    <xf numFmtId="0" fontId="80" fillId="36" borderId="0" applyNumberFormat="0" applyBorder="0" applyAlignment="0" applyProtection="0"/>
    <xf numFmtId="44" fontId="65" fillId="0" borderId="0" applyFont="0" applyFill="0" applyBorder="0" applyAlignment="0" applyProtection="0"/>
    <xf numFmtId="43" fontId="65" fillId="0" borderId="0" applyFont="0" applyFill="0" applyBorder="0" applyAlignment="0" applyProtection="0"/>
    <xf numFmtId="0" fontId="2" fillId="0" borderId="0">
      <alignment vertical="top"/>
    </xf>
    <xf numFmtId="4" fontId="2" fillId="0" borderId="0" applyFont="0" applyFill="0" applyBorder="0" applyAlignment="0" applyProtection="0"/>
    <xf numFmtId="7" fontId="2" fillId="0" borderId="0" applyFont="0" applyFill="0" applyBorder="0" applyAlignment="0" applyProtection="0"/>
    <xf numFmtId="0" fontId="81" fillId="0" borderId="0" applyNumberFormat="0" applyFont="0" applyFill="0" applyAlignment="0" applyProtection="0"/>
    <xf numFmtId="0" fontId="64" fillId="0" borderId="0" applyNumberFormat="0" applyFont="0" applyFill="0" applyAlignment="0" applyProtection="0"/>
    <xf numFmtId="0" fontId="2" fillId="0" borderId="32" applyNumberFormat="0" applyFont="0" applyBorder="0" applyAlignment="0" applyProtection="0"/>
    <xf numFmtId="0" fontId="2" fillId="0" borderId="0">
      <alignment vertical="top"/>
    </xf>
    <xf numFmtId="0" fontId="2" fillId="0" borderId="0">
      <alignment vertical="top"/>
    </xf>
    <xf numFmtId="44" fontId="65" fillId="0" borderId="0" applyFont="0" applyFill="0" applyBorder="0" applyAlignment="0" applyProtection="0"/>
    <xf numFmtId="9" fontId="65" fillId="0" borderId="0" applyFont="0" applyFill="0" applyBorder="0" applyAlignment="0" applyProtection="0"/>
    <xf numFmtId="0" fontId="35" fillId="0" borderId="0" applyNumberFormat="0" applyFill="0" applyBorder="0" applyAlignment="0" applyProtection="0">
      <alignment vertical="top"/>
      <protection locked="0"/>
    </xf>
    <xf numFmtId="43" fontId="2" fillId="0" borderId="0" applyFont="0" applyFill="0" applyBorder="0" applyAlignment="0" applyProtection="0"/>
    <xf numFmtId="0" fontId="82" fillId="0" borderId="0" applyNumberFormat="0" applyFill="0" applyBorder="0" applyAlignment="0" applyProtection="0"/>
    <xf numFmtId="43" fontId="8" fillId="0" borderId="0" applyFont="0" applyFill="0" applyBorder="0" applyAlignment="0" applyProtection="0"/>
    <xf numFmtId="0" fontId="18" fillId="0" borderId="0" applyNumberFormat="0" applyFill="0" applyBorder="0" applyAlignment="0" applyProtection="0"/>
    <xf numFmtId="0" fontId="83" fillId="0" borderId="0"/>
    <xf numFmtId="0" fontId="84" fillId="8"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36" borderId="0" applyNumberFormat="0" applyBorder="0" applyAlignment="0" applyProtection="0"/>
    <xf numFmtId="44" fontId="8" fillId="0" borderId="0" applyFont="0" applyFill="0" applyBorder="0" applyAlignment="0" applyProtection="0"/>
    <xf numFmtId="0" fontId="116" fillId="0" borderId="0"/>
  </cellStyleXfs>
  <cellXfs count="1870">
    <xf numFmtId="0" fontId="0" fillId="0" borderId="0" xfId="0"/>
    <xf numFmtId="0" fontId="11" fillId="0" borderId="0" xfId="0" applyFont="1"/>
    <xf numFmtId="0" fontId="0" fillId="0" borderId="0" xfId="0" applyAlignment="1">
      <alignment wrapText="1"/>
    </xf>
    <xf numFmtId="43" fontId="8" fillId="0" borderId="0" xfId="4" applyFont="1" applyProtection="1"/>
    <xf numFmtId="172" fontId="0" fillId="0" borderId="0" xfId="0" applyNumberFormat="1"/>
    <xf numFmtId="0" fontId="2" fillId="0" borderId="0" xfId="6628"/>
    <xf numFmtId="172" fontId="2" fillId="0" borderId="0" xfId="6628" applyNumberFormat="1"/>
    <xf numFmtId="0" fontId="85" fillId="0" borderId="0" xfId="6628" applyFont="1"/>
    <xf numFmtId="0" fontId="86" fillId="0" borderId="0" xfId="6628" applyFont="1"/>
    <xf numFmtId="0" fontId="87" fillId="0" borderId="0" xfId="6628" applyFont="1"/>
    <xf numFmtId="0" fontId="91" fillId="0" borderId="0" xfId="0" applyFont="1" applyAlignment="1">
      <alignment vertical="center"/>
    </xf>
    <xf numFmtId="0" fontId="95" fillId="0" borderId="0" xfId="8" applyFont="1"/>
    <xf numFmtId="0" fontId="94" fillId="0" borderId="0" xfId="8" applyFont="1"/>
    <xf numFmtId="9" fontId="94" fillId="0" borderId="0" xfId="10" applyFont="1" applyProtection="1"/>
    <xf numFmtId="172" fontId="93" fillId="0" borderId="0" xfId="6628" applyNumberFormat="1" applyFont="1"/>
    <xf numFmtId="174" fontId="2" fillId="0" borderId="0" xfId="6628" applyNumberFormat="1"/>
    <xf numFmtId="172" fontId="2" fillId="0" borderId="1" xfId="6628" applyNumberFormat="1" applyBorder="1"/>
    <xf numFmtId="172" fontId="95" fillId="0" borderId="0" xfId="6628" applyNumberFormat="1" applyFont="1"/>
    <xf numFmtId="0" fontId="87" fillId="0" borderId="0" xfId="0" applyFont="1"/>
    <xf numFmtId="0" fontId="86" fillId="0" borderId="0" xfId="0" applyFont="1"/>
    <xf numFmtId="0" fontId="88" fillId="64" borderId="0" xfId="0" applyFont="1" applyFill="1"/>
    <xf numFmtId="0" fontId="99" fillId="64" borderId="0" xfId="0" quotePrefix="1" applyFont="1" applyFill="1"/>
    <xf numFmtId="0" fontId="15" fillId="0" borderId="0" xfId="6628" applyFont="1"/>
    <xf numFmtId="0" fontId="98" fillId="5" borderId="0" xfId="6628" applyFont="1" applyFill="1"/>
    <xf numFmtId="0" fontId="64" fillId="5" borderId="0" xfId="6628" applyFont="1" applyFill="1"/>
    <xf numFmtId="0" fontId="14" fillId="0" borderId="0" xfId="8" applyFont="1" applyAlignment="1">
      <alignment horizontal="center"/>
    </xf>
    <xf numFmtId="0" fontId="15" fillId="5" borderId="0" xfId="6628" applyFont="1" applyFill="1"/>
    <xf numFmtId="44" fontId="95" fillId="0" borderId="0" xfId="8" applyNumberFormat="1" applyFont="1"/>
    <xf numFmtId="173" fontId="95" fillId="0" borderId="0" xfId="8" applyNumberFormat="1" applyFont="1"/>
    <xf numFmtId="0" fontId="103" fillId="0" borderId="0" xfId="0" applyFont="1"/>
    <xf numFmtId="0" fontId="92" fillId="0" borderId="0" xfId="0" applyFont="1"/>
    <xf numFmtId="0" fontId="92" fillId="0" borderId="0" xfId="0" applyFont="1" applyAlignment="1">
      <alignment horizontal="center"/>
    </xf>
    <xf numFmtId="0" fontId="91" fillId="0" borderId="0" xfId="0" applyFont="1"/>
    <xf numFmtId="174" fontId="92" fillId="0" borderId="0" xfId="0" applyNumberFormat="1" applyFont="1" applyAlignment="1">
      <alignment horizontal="center"/>
    </xf>
    <xf numFmtId="0" fontId="94" fillId="0" borderId="0" xfId="6628" applyFont="1"/>
    <xf numFmtId="0" fontId="104" fillId="5" borderId="0" xfId="0" applyFont="1" applyFill="1"/>
    <xf numFmtId="0" fontId="92" fillId="5" borderId="0" xfId="0" applyFont="1" applyFill="1"/>
    <xf numFmtId="0" fontId="94" fillId="0" borderId="0" xfId="0" applyFont="1"/>
    <xf numFmtId="0" fontId="100" fillId="0" borderId="0" xfId="0" applyFont="1"/>
    <xf numFmtId="0" fontId="91" fillId="3" borderId="0" xfId="0" applyFont="1" applyFill="1"/>
    <xf numFmtId="0" fontId="91" fillId="0" borderId="0" xfId="0" applyFont="1" applyAlignment="1">
      <alignment horizontal="center"/>
    </xf>
    <xf numFmtId="0" fontId="91" fillId="0" borderId="0" xfId="0" applyFont="1" applyAlignment="1">
      <alignment wrapText="1"/>
    </xf>
    <xf numFmtId="0" fontId="91" fillId="0" borderId="0" xfId="0" applyFont="1" applyAlignment="1">
      <alignment horizontal="left" wrapText="1"/>
    </xf>
    <xf numFmtId="8" fontId="91" fillId="3" borderId="0" xfId="0" applyNumberFormat="1" applyFont="1" applyFill="1"/>
    <xf numFmtId="0" fontId="92" fillId="3" borderId="0" xfId="0" applyFont="1" applyFill="1"/>
    <xf numFmtId="6" fontId="92" fillId="0" borderId="0" xfId="0" applyNumberFormat="1" applyFont="1" applyAlignment="1">
      <alignment horizontal="center" wrapText="1"/>
    </xf>
    <xf numFmtId="0" fontId="92" fillId="0" borderId="0" xfId="0" applyFont="1" applyAlignment="1">
      <alignment horizontal="center" wrapText="1"/>
    </xf>
    <xf numFmtId="8" fontId="91" fillId="0" borderId="0" xfId="0" applyNumberFormat="1" applyFont="1"/>
    <xf numFmtId="172" fontId="91" fillId="0" borderId="0" xfId="0" applyNumberFormat="1" applyFont="1"/>
    <xf numFmtId="172" fontId="91" fillId="0" borderId="0" xfId="0" applyNumberFormat="1" applyFont="1" applyAlignment="1">
      <alignment horizontal="center"/>
    </xf>
    <xf numFmtId="165" fontId="91" fillId="0" borderId="0" xfId="0" applyNumberFormat="1" applyFont="1" applyAlignment="1">
      <alignment horizontal="center"/>
    </xf>
    <xf numFmtId="172" fontId="91" fillId="0" borderId="0" xfId="0" applyNumberFormat="1" applyFont="1" applyAlignment="1">
      <alignment horizontal="center" vertical="top"/>
    </xf>
    <xf numFmtId="174" fontId="91" fillId="0" borderId="0" xfId="0" applyNumberFormat="1" applyFont="1"/>
    <xf numFmtId="0" fontId="92" fillId="0" borderId="1" xfId="0" applyFont="1" applyBorder="1" applyAlignment="1">
      <alignment horizontal="center"/>
    </xf>
    <xf numFmtId="165" fontId="91" fillId="0" borderId="0" xfId="0" applyNumberFormat="1" applyFont="1"/>
    <xf numFmtId="165" fontId="91" fillId="0" borderId="0" xfId="0" applyNumberFormat="1" applyFont="1" applyAlignment="1">
      <alignment horizontal="center" vertical="top"/>
    </xf>
    <xf numFmtId="5" fontId="91" fillId="0" borderId="0" xfId="0" applyNumberFormat="1" applyFont="1"/>
    <xf numFmtId="7" fontId="91" fillId="0" borderId="0" xfId="0" applyNumberFormat="1" applyFont="1"/>
    <xf numFmtId="0" fontId="91" fillId="0" borderId="1" xfId="0" applyFont="1" applyBorder="1"/>
    <xf numFmtId="0" fontId="91" fillId="0" borderId="0" xfId="0" applyFont="1" applyAlignment="1">
      <alignment horizontal="left" indent="1"/>
    </xf>
    <xf numFmtId="0" fontId="92" fillId="0" borderId="0" xfId="0" applyFont="1" applyAlignment="1">
      <alignment horizontal="right"/>
    </xf>
    <xf numFmtId="0" fontId="100" fillId="0" borderId="0" xfId="7" applyFont="1" applyFill="1" applyBorder="1" applyAlignment="1" applyProtection="1">
      <alignment horizontal="right" wrapText="1" indent="1"/>
    </xf>
    <xf numFmtId="0" fontId="100" fillId="0" borderId="0" xfId="7" applyFont="1" applyBorder="1" applyAlignment="1" applyProtection="1">
      <alignment horizontal="right" wrapText="1" indent="1"/>
    </xf>
    <xf numFmtId="0" fontId="91" fillId="3" borderId="1" xfId="0" applyFont="1" applyFill="1" applyBorder="1"/>
    <xf numFmtId="0" fontId="91" fillId="3" borderId="41" xfId="0" applyFont="1" applyFill="1" applyBorder="1"/>
    <xf numFmtId="164" fontId="91" fillId="3" borderId="41" xfId="0" applyNumberFormat="1" applyFont="1" applyFill="1" applyBorder="1" applyAlignment="1">
      <alignment horizontal="center" vertical="top"/>
    </xf>
    <xf numFmtId="0" fontId="91" fillId="0" borderId="41" xfId="0" applyFont="1" applyBorder="1"/>
    <xf numFmtId="0" fontId="92" fillId="3" borderId="0" xfId="0" applyFont="1" applyFill="1" applyAlignment="1">
      <alignment horizontal="right"/>
    </xf>
    <xf numFmtId="0" fontId="92" fillId="3" borderId="0" xfId="0" applyFont="1" applyFill="1" applyAlignment="1">
      <alignment horizontal="center"/>
    </xf>
    <xf numFmtId="0" fontId="92" fillId="0" borderId="1" xfId="0" applyFont="1" applyBorder="1" applyAlignment="1">
      <alignment horizontal="right"/>
    </xf>
    <xf numFmtId="9" fontId="91" fillId="3" borderId="0" xfId="9" applyFont="1" applyFill="1" applyBorder="1" applyAlignment="1">
      <alignment horizontal="center" vertical="top"/>
    </xf>
    <xf numFmtId="0" fontId="100" fillId="0" borderId="0" xfId="7" applyFont="1" applyFill="1" applyBorder="1" applyAlignment="1" applyProtection="1">
      <alignment horizontal="right" wrapText="1"/>
    </xf>
    <xf numFmtId="0" fontId="102" fillId="0" borderId="0" xfId="0" applyFont="1"/>
    <xf numFmtId="0" fontId="100" fillId="0" borderId="0" xfId="7" applyFont="1" applyBorder="1" applyAlignment="1" applyProtection="1">
      <alignment horizontal="right" wrapText="1"/>
    </xf>
    <xf numFmtId="0" fontId="105" fillId="0" borderId="0" xfId="0" applyFont="1"/>
    <xf numFmtId="44" fontId="92" fillId="0" borderId="0" xfId="6" applyFont="1" applyAlignment="1" applyProtection="1">
      <alignment horizontal="center"/>
    </xf>
    <xf numFmtId="0" fontId="92" fillId="0" borderId="0" xfId="8" applyFont="1" applyAlignment="1">
      <alignment horizontal="center"/>
    </xf>
    <xf numFmtId="44" fontId="94" fillId="0" borderId="0" xfId="6" applyFont="1" applyBorder="1" applyProtection="1"/>
    <xf numFmtId="0" fontId="91" fillId="0" borderId="0" xfId="0" quotePrefix="1" applyFont="1"/>
    <xf numFmtId="10" fontId="91" fillId="0" borderId="7" xfId="9" applyNumberFormat="1" applyFont="1" applyFill="1" applyBorder="1" applyAlignment="1">
      <alignment horizontal="left" vertical="top"/>
    </xf>
    <xf numFmtId="10" fontId="91" fillId="0" borderId="0" xfId="9" applyNumberFormat="1" applyFont="1" applyFill="1" applyBorder="1" applyAlignment="1">
      <alignment horizontal="left" vertical="top"/>
    </xf>
    <xf numFmtId="0" fontId="92" fillId="0" borderId="0" xfId="0" applyFont="1" applyAlignment="1">
      <alignment horizontal="left"/>
    </xf>
    <xf numFmtId="164" fontId="92" fillId="0" borderId="0" xfId="0" applyNumberFormat="1" applyFont="1" applyAlignment="1">
      <alignment horizontal="center"/>
    </xf>
    <xf numFmtId="0" fontId="91" fillId="3" borderId="0" xfId="0" applyFont="1" applyFill="1" applyAlignment="1">
      <alignment horizontal="center" vertical="top"/>
    </xf>
    <xf numFmtId="0" fontId="91" fillId="0" borderId="0" xfId="0" applyFont="1" applyAlignment="1">
      <alignment horizontal="left"/>
    </xf>
    <xf numFmtId="0" fontId="91" fillId="3" borderId="0" xfId="0" applyFont="1" applyFill="1" applyAlignment="1">
      <alignment horizontal="center"/>
    </xf>
    <xf numFmtId="164" fontId="91" fillId="0" borderId="0" xfId="0" applyNumberFormat="1" applyFont="1" applyAlignment="1">
      <alignment horizontal="center" vertical="top"/>
    </xf>
    <xf numFmtId="172" fontId="91" fillId="0" borderId="0" xfId="0" applyNumberFormat="1" applyFont="1" applyAlignment="1">
      <alignment horizontal="right" vertical="top"/>
    </xf>
    <xf numFmtId="0" fontId="91" fillId="3" borderId="7" xfId="0" applyFont="1" applyFill="1" applyBorder="1"/>
    <xf numFmtId="164" fontId="91" fillId="0" borderId="0" xfId="0" applyNumberFormat="1" applyFont="1" applyAlignment="1">
      <alignment horizontal="center"/>
    </xf>
    <xf numFmtId="1" fontId="92" fillId="0" borderId="0" xfId="0" applyNumberFormat="1" applyFont="1" applyAlignment="1">
      <alignment horizontal="center"/>
    </xf>
    <xf numFmtId="1" fontId="92" fillId="0" borderId="0" xfId="0" applyNumberFormat="1" applyFont="1" applyAlignment="1">
      <alignment horizontal="left"/>
    </xf>
    <xf numFmtId="174" fontId="91" fillId="0" borderId="0" xfId="0" applyNumberFormat="1" applyFont="1" applyAlignment="1">
      <alignment horizontal="center"/>
    </xf>
    <xf numFmtId="172" fontId="91" fillId="0" borderId="1" xfId="0" applyNumberFormat="1" applyFont="1" applyBorder="1" applyAlignment="1">
      <alignment horizontal="center"/>
    </xf>
    <xf numFmtId="0" fontId="91" fillId="0" borderId="0" xfId="0" applyFont="1" applyProtection="1">
      <protection hidden="1"/>
    </xf>
    <xf numFmtId="1" fontId="92" fillId="0" borderId="0" xfId="0" applyNumberFormat="1" applyFont="1" applyAlignment="1" applyProtection="1">
      <alignment horizontal="center"/>
      <protection hidden="1"/>
    </xf>
    <xf numFmtId="172" fontId="91" fillId="0" borderId="0" xfId="0" applyNumberFormat="1" applyFont="1" applyAlignment="1" applyProtection="1">
      <alignment horizontal="center"/>
      <protection hidden="1"/>
    </xf>
    <xf numFmtId="0" fontId="95" fillId="0" borderId="0" xfId="0" applyFont="1"/>
    <xf numFmtId="0" fontId="92" fillId="0" borderId="0" xfId="8" applyFont="1" applyAlignment="1">
      <alignment horizontal="left"/>
    </xf>
    <xf numFmtId="0" fontId="91" fillId="0" borderId="0" xfId="0" applyFont="1" applyAlignment="1">
      <alignment horizontal="center" wrapText="1"/>
    </xf>
    <xf numFmtId="0" fontId="110" fillId="0" borderId="0" xfId="0" applyFont="1"/>
    <xf numFmtId="0" fontId="16" fillId="5" borderId="0" xfId="0" applyFont="1" applyFill="1"/>
    <xf numFmtId="0" fontId="106" fillId="3" borderId="0" xfId="0" applyFont="1" applyFill="1"/>
    <xf numFmtId="172" fontId="91" fillId="3" borderId="0" xfId="13330" applyNumberFormat="1" applyFont="1" applyFill="1" applyBorder="1" applyAlignment="1">
      <alignment horizontal="center" vertical="top"/>
    </xf>
    <xf numFmtId="0" fontId="91" fillId="0" borderId="51" xfId="0" applyFont="1" applyBorder="1"/>
    <xf numFmtId="172" fontId="92" fillId="3" borderId="51" xfId="0" applyNumberFormat="1" applyFont="1" applyFill="1" applyBorder="1" applyAlignment="1">
      <alignment horizontal="center"/>
    </xf>
    <xf numFmtId="0" fontId="92" fillId="0" borderId="51" xfId="0" applyFont="1" applyBorder="1"/>
    <xf numFmtId="1" fontId="92" fillId="0" borderId="51" xfId="0" applyNumberFormat="1" applyFont="1" applyBorder="1" applyAlignment="1">
      <alignment horizontal="center"/>
    </xf>
    <xf numFmtId="0" fontId="111" fillId="0" borderId="0" xfId="0" applyFont="1" applyAlignment="1">
      <alignment horizontal="center"/>
    </xf>
    <xf numFmtId="174" fontId="91" fillId="0" borderId="0" xfId="0" applyNumberFormat="1" applyFont="1" applyAlignment="1">
      <alignment horizontal="right"/>
    </xf>
    <xf numFmtId="174" fontId="91" fillId="0" borderId="0" xfId="0" applyNumberFormat="1" applyFont="1" applyAlignment="1" applyProtection="1">
      <alignment horizontal="right"/>
      <protection hidden="1"/>
    </xf>
    <xf numFmtId="174" fontId="92" fillId="0" borderId="0" xfId="0" applyNumberFormat="1" applyFont="1" applyAlignment="1" applyProtection="1">
      <alignment horizontal="right"/>
      <protection hidden="1"/>
    </xf>
    <xf numFmtId="174" fontId="92" fillId="0" borderId="0" xfId="0" applyNumberFormat="1" applyFont="1" applyAlignment="1">
      <alignment horizontal="right"/>
    </xf>
    <xf numFmtId="174" fontId="105" fillId="0" borderId="0" xfId="0" applyNumberFormat="1" applyFont="1" applyAlignment="1">
      <alignment horizontal="right"/>
    </xf>
    <xf numFmtId="174" fontId="101" fillId="4" borderId="3" xfId="11" applyNumberFormat="1" applyFont="1" applyAlignment="1" applyProtection="1">
      <alignment horizontal="right"/>
      <protection locked="0"/>
    </xf>
    <xf numFmtId="174" fontId="91" fillId="3" borderId="0" xfId="0" applyNumberFormat="1" applyFont="1" applyFill="1" applyAlignment="1">
      <alignment horizontal="right"/>
    </xf>
    <xf numFmtId="174" fontId="91" fillId="0" borderId="1" xfId="0" applyNumberFormat="1" applyFont="1" applyBorder="1" applyAlignment="1">
      <alignment horizontal="right"/>
    </xf>
    <xf numFmtId="172" fontId="91" fillId="0" borderId="0" xfId="0" applyNumberFormat="1" applyFont="1" applyAlignment="1">
      <alignment horizontal="right"/>
    </xf>
    <xf numFmtId="172" fontId="91" fillId="0" borderId="1" xfId="0" applyNumberFormat="1" applyFont="1" applyBorder="1" applyAlignment="1">
      <alignment horizontal="right"/>
    </xf>
    <xf numFmtId="172" fontId="91" fillId="0" borderId="0" xfId="0" applyNumberFormat="1" applyFont="1" applyAlignment="1" applyProtection="1">
      <alignment horizontal="center" vertical="top"/>
      <protection locked="0"/>
    </xf>
    <xf numFmtId="186" fontId="91" fillId="0" borderId="0" xfId="7" applyNumberFormat="1" applyFont="1" applyFill="1" applyBorder="1" applyAlignment="1" applyProtection="1">
      <alignment horizontal="center" wrapText="1"/>
    </xf>
    <xf numFmtId="0" fontId="91" fillId="0" borderId="0" xfId="7" applyFont="1" applyFill="1" applyBorder="1" applyAlignment="1" applyProtection="1">
      <alignment horizontal="left" wrapText="1"/>
    </xf>
    <xf numFmtId="0" fontId="91" fillId="3" borderId="51" xfId="0" applyFont="1" applyFill="1" applyBorder="1"/>
    <xf numFmtId="172" fontId="91" fillId="0" borderId="0" xfId="0" quotePrefix="1" applyNumberFormat="1" applyFont="1"/>
    <xf numFmtId="0" fontId="96" fillId="4" borderId="3" xfId="11" applyFont="1" applyAlignment="1" applyProtection="1">
      <protection locked="0"/>
    </xf>
    <xf numFmtId="1" fontId="96" fillId="2" borderId="3" xfId="0" applyNumberFormat="1" applyFont="1" applyFill="1" applyBorder="1" applyAlignment="1" applyProtection="1">
      <alignment horizontal="center"/>
      <protection locked="0"/>
    </xf>
    <xf numFmtId="172" fontId="96" fillId="4" borderId="49" xfId="11" applyNumberFormat="1" applyFont="1" applyBorder="1" applyAlignment="1" applyProtection="1">
      <alignment horizontal="center"/>
      <protection locked="0"/>
    </xf>
    <xf numFmtId="172" fontId="96" fillId="4" borderId="49" xfId="11" applyNumberFormat="1" applyFont="1" applyBorder="1" applyAlignment="1" applyProtection="1">
      <alignment horizontal="center" vertical="top"/>
      <protection locked="0"/>
    </xf>
    <xf numFmtId="182" fontId="96" fillId="4" borderId="49" xfId="11" applyNumberFormat="1" applyFont="1" applyBorder="1" applyAlignment="1" applyProtection="1">
      <alignment horizontal="center" vertical="top"/>
      <protection locked="0"/>
    </xf>
    <xf numFmtId="0" fontId="96" fillId="4" borderId="49" xfId="11" applyFont="1" applyBorder="1" applyAlignment="1" applyProtection="1">
      <protection locked="0"/>
    </xf>
    <xf numFmtId="1" fontId="96" fillId="4" borderId="49" xfId="11" applyNumberFormat="1" applyFont="1" applyBorder="1" applyAlignment="1" applyProtection="1">
      <alignment horizontal="center"/>
      <protection locked="0"/>
    </xf>
    <xf numFmtId="0" fontId="91" fillId="0" borderId="1" xfId="0" applyFont="1" applyBorder="1" applyAlignment="1">
      <alignment horizontal="center" wrapText="1"/>
    </xf>
    <xf numFmtId="172" fontId="96" fillId="4" borderId="49" xfId="11" applyNumberFormat="1" applyFont="1" applyBorder="1" applyAlignment="1" applyProtection="1">
      <alignment horizontal="right"/>
      <protection locked="0"/>
    </xf>
    <xf numFmtId="172" fontId="96" fillId="4" borderId="3" xfId="11" applyNumberFormat="1" applyFont="1" applyAlignment="1" applyProtection="1">
      <alignment horizontal="right"/>
      <protection locked="0"/>
    </xf>
    <xf numFmtId="172" fontId="92" fillId="5" borderId="0" xfId="0" applyNumberFormat="1" applyFont="1" applyFill="1" applyAlignment="1">
      <alignment horizontal="center"/>
    </xf>
    <xf numFmtId="172" fontId="91" fillId="3" borderId="0" xfId="0" applyNumberFormat="1" applyFont="1" applyFill="1"/>
    <xf numFmtId="172" fontId="89" fillId="0" borderId="46" xfId="0" applyNumberFormat="1" applyFont="1" applyBorder="1" applyAlignment="1">
      <alignment horizontal="center"/>
    </xf>
    <xf numFmtId="172" fontId="89" fillId="0" borderId="59" xfId="0" applyNumberFormat="1" applyFont="1" applyBorder="1" applyAlignment="1">
      <alignment horizontal="center"/>
    </xf>
    <xf numFmtId="0" fontId="92" fillId="0" borderId="51" xfId="0" applyFont="1" applyBorder="1" applyAlignment="1">
      <alignment horizontal="center"/>
    </xf>
    <xf numFmtId="0" fontId="105" fillId="3" borderId="0" xfId="0" applyFont="1" applyFill="1"/>
    <xf numFmtId="172" fontId="89" fillId="0" borderId="46" xfId="0" applyNumberFormat="1" applyFont="1" applyBorder="1" applyAlignment="1">
      <alignment horizontal="left"/>
    </xf>
    <xf numFmtId="172" fontId="89" fillId="0" borderId="59" xfId="0" applyNumberFormat="1" applyFont="1" applyBorder="1" applyAlignment="1">
      <alignment horizontal="left"/>
    </xf>
    <xf numFmtId="172" fontId="91" fillId="0" borderId="0" xfId="0" applyNumberFormat="1" applyFont="1" applyAlignment="1">
      <alignment horizontal="left"/>
    </xf>
    <xf numFmtId="0" fontId="92" fillId="3" borderId="51" xfId="0" applyFont="1" applyFill="1" applyBorder="1"/>
    <xf numFmtId="165" fontId="91" fillId="0" borderId="0" xfId="11" applyNumberFormat="1" applyFont="1" applyFill="1" applyBorder="1" applyAlignment="1" applyProtection="1">
      <alignment horizontal="center" vertical="top"/>
    </xf>
    <xf numFmtId="0" fontId="104" fillId="0" borderId="1" xfId="0" applyFont="1" applyBorder="1"/>
    <xf numFmtId="172" fontId="91" fillId="0" borderId="1" xfId="0" applyNumberFormat="1" applyFont="1" applyBorder="1" applyAlignment="1">
      <alignment horizontal="center" vertical="top"/>
    </xf>
    <xf numFmtId="0" fontId="104" fillId="0" borderId="51" xfId="0" applyFont="1" applyBorder="1"/>
    <xf numFmtId="174" fontId="92" fillId="0" borderId="51" xfId="0" applyNumberFormat="1" applyFont="1" applyBorder="1" applyAlignment="1">
      <alignment horizontal="right"/>
    </xf>
    <xf numFmtId="172" fontId="91" fillId="0" borderId="0" xfId="0" applyNumberFormat="1" applyFont="1" applyAlignment="1" applyProtection="1">
      <alignment horizontal="left"/>
      <protection hidden="1"/>
    </xf>
    <xf numFmtId="177" fontId="91" fillId="0" borderId="0" xfId="0" applyNumberFormat="1" applyFont="1" applyAlignment="1">
      <alignment horizontal="center"/>
    </xf>
    <xf numFmtId="188" fontId="92" fillId="0" borderId="0" xfId="0" applyNumberFormat="1" applyFont="1" applyAlignment="1">
      <alignment horizontal="center"/>
    </xf>
    <xf numFmtId="172" fontId="92" fillId="3" borderId="0" xfId="0" applyNumberFormat="1" applyFont="1" applyFill="1" applyAlignment="1">
      <alignment horizontal="center"/>
    </xf>
    <xf numFmtId="9" fontId="91" fillId="3" borderId="0" xfId="13330" applyFont="1" applyFill="1" applyBorder="1" applyAlignment="1">
      <alignment horizontal="center" vertical="top"/>
    </xf>
    <xf numFmtId="0" fontId="106" fillId="0" borderId="0" xfId="0" applyFont="1"/>
    <xf numFmtId="0" fontId="96" fillId="4" borderId="60" xfId="11" applyFont="1" applyBorder="1" applyAlignment="1" applyProtection="1">
      <protection locked="0"/>
    </xf>
    <xf numFmtId="1" fontId="96" fillId="4" borderId="60" xfId="11" applyNumberFormat="1" applyFont="1" applyBorder="1" applyAlignment="1" applyProtection="1">
      <alignment horizontal="center"/>
      <protection locked="0"/>
    </xf>
    <xf numFmtId="182" fontId="96" fillId="4" borderId="60" xfId="11" applyNumberFormat="1" applyFont="1" applyBorder="1" applyAlignment="1" applyProtection="1">
      <alignment horizontal="center"/>
      <protection locked="0"/>
    </xf>
    <xf numFmtId="0" fontId="96" fillId="4" borderId="48" xfId="11" applyFont="1" applyBorder="1" applyAlignment="1" applyProtection="1">
      <protection locked="0"/>
    </xf>
    <xf numFmtId="1" fontId="96" fillId="2" borderId="48" xfId="0" applyNumberFormat="1" applyFont="1" applyFill="1" applyBorder="1" applyAlignment="1" applyProtection="1">
      <alignment horizontal="center"/>
      <protection locked="0"/>
    </xf>
    <xf numFmtId="182" fontId="96" fillId="4" borderId="48" xfId="11" applyNumberFormat="1" applyFont="1" applyBorder="1" applyAlignment="1" applyProtection="1">
      <alignment horizontal="center"/>
      <protection locked="0"/>
    </xf>
    <xf numFmtId="1" fontId="96" fillId="4" borderId="49" xfId="11" applyNumberFormat="1" applyFont="1" applyBorder="1" applyAlignment="1" applyProtection="1">
      <alignment horizontal="left"/>
      <protection locked="0"/>
    </xf>
    <xf numFmtId="174" fontId="96" fillId="4" borderId="49" xfId="11" applyNumberFormat="1" applyFont="1" applyBorder="1" applyAlignment="1" applyProtection="1">
      <alignment horizontal="center"/>
      <protection locked="0"/>
    </xf>
    <xf numFmtId="172" fontId="104" fillId="0" borderId="0" xfId="0" applyNumberFormat="1" applyFont="1" applyAlignment="1">
      <alignment horizontal="center"/>
    </xf>
    <xf numFmtId="172" fontId="89" fillId="0" borderId="0" xfId="0" applyNumberFormat="1" applyFont="1" applyAlignment="1">
      <alignment horizontal="center"/>
    </xf>
    <xf numFmtId="0" fontId="104" fillId="0" borderId="0" xfId="0" applyFont="1" applyAlignment="1">
      <alignment horizontal="left" indent="1"/>
    </xf>
    <xf numFmtId="0" fontId="116" fillId="0" borderId="0" xfId="33111" applyAlignment="1">
      <alignment horizontal="left" vertical="top"/>
    </xf>
    <xf numFmtId="0" fontId="87" fillId="0" borderId="0" xfId="33111" applyFont="1" applyAlignment="1">
      <alignment horizontal="left" vertical="top"/>
    </xf>
    <xf numFmtId="0" fontId="86" fillId="0" borderId="0" xfId="33111" applyFont="1" applyAlignment="1">
      <alignment horizontal="left" vertical="top"/>
    </xf>
    <xf numFmtId="0" fontId="88" fillId="64" borderId="0" xfId="33111" applyFont="1" applyFill="1" applyAlignment="1">
      <alignment horizontal="left" vertical="top"/>
    </xf>
    <xf numFmtId="0" fontId="64" fillId="5" borderId="0" xfId="33111" applyFont="1" applyFill="1" applyAlignment="1">
      <alignment horizontal="left" vertical="top"/>
    </xf>
    <xf numFmtId="0" fontId="91" fillId="0" borderId="51" xfId="33111" applyFont="1" applyBorder="1" applyAlignment="1">
      <alignment horizontal="left" vertical="top" wrapText="1"/>
    </xf>
    <xf numFmtId="0" fontId="91" fillId="0" borderId="1" xfId="33111" applyFont="1" applyBorder="1" applyAlignment="1">
      <alignment horizontal="left" vertical="top" wrapText="1"/>
    </xf>
    <xf numFmtId="0" fontId="118" fillId="0" borderId="0" xfId="33111" applyFont="1" applyAlignment="1">
      <alignment vertical="top" wrapText="1"/>
    </xf>
    <xf numFmtId="172" fontId="91" fillId="0" borderId="51" xfId="33111" applyNumberFormat="1" applyFont="1" applyBorder="1" applyAlignment="1">
      <alignment vertical="top" wrapText="1"/>
    </xf>
    <xf numFmtId="0" fontId="91" fillId="67" borderId="70" xfId="33111" applyFont="1" applyFill="1" applyBorder="1" applyAlignment="1">
      <alignment vertical="center" wrapText="1"/>
    </xf>
    <xf numFmtId="172" fontId="91" fillId="67" borderId="70" xfId="33111" applyNumberFormat="1" applyFont="1" applyFill="1" applyBorder="1" applyAlignment="1">
      <alignment vertical="center" wrapText="1"/>
    </xf>
    <xf numFmtId="172" fontId="91" fillId="67" borderId="72" xfId="33111" applyNumberFormat="1" applyFont="1" applyFill="1" applyBorder="1" applyAlignment="1">
      <alignment vertical="center" wrapText="1"/>
    </xf>
    <xf numFmtId="0" fontId="91" fillId="0" borderId="77" xfId="33111" applyFont="1" applyBorder="1" applyAlignment="1">
      <alignment horizontal="left" vertical="top" wrapText="1"/>
    </xf>
    <xf numFmtId="0" fontId="91" fillId="0" borderId="78" xfId="33111" applyFont="1" applyBorder="1" applyAlignment="1">
      <alignment vertical="top" wrapText="1"/>
    </xf>
    <xf numFmtId="0" fontId="91" fillId="0" borderId="73" xfId="33111" applyFont="1" applyBorder="1" applyAlignment="1">
      <alignment horizontal="left" vertical="top" wrapText="1"/>
    </xf>
    <xf numFmtId="0" fontId="91" fillId="0" borderId="74" xfId="33111" applyFont="1" applyBorder="1" applyAlignment="1">
      <alignment vertical="top" wrapText="1"/>
    </xf>
    <xf numFmtId="0" fontId="64" fillId="61" borderId="71" xfId="33111" applyFont="1" applyFill="1" applyBorder="1" applyAlignment="1">
      <alignment horizontal="left" vertical="top" wrapText="1"/>
    </xf>
    <xf numFmtId="0" fontId="91" fillId="67" borderId="81" xfId="33111" applyFont="1" applyFill="1" applyBorder="1" applyAlignment="1">
      <alignment vertical="center" wrapText="1"/>
    </xf>
    <xf numFmtId="0" fontId="64" fillId="61" borderId="82" xfId="33111" applyFont="1" applyFill="1" applyBorder="1" applyAlignment="1">
      <alignment horizontal="center" vertical="top" wrapText="1"/>
    </xf>
    <xf numFmtId="0" fontId="64" fillId="61" borderId="83" xfId="33111" applyFont="1" applyFill="1" applyBorder="1" applyAlignment="1">
      <alignment horizontal="center" vertical="top" wrapText="1"/>
    </xf>
    <xf numFmtId="181" fontId="91" fillId="67" borderId="70" xfId="33111" applyNumberFormat="1" applyFont="1" applyFill="1" applyBorder="1" applyAlignment="1">
      <alignment vertical="center" wrapText="1"/>
    </xf>
    <xf numFmtId="0" fontId="117" fillId="0" borderId="0" xfId="33111" applyFont="1" applyAlignment="1">
      <alignment horizontal="left" vertical="top" wrapText="1"/>
    </xf>
    <xf numFmtId="0" fontId="120" fillId="0" borderId="0" xfId="33111" applyFont="1" applyAlignment="1">
      <alignment horizontal="left" vertical="top"/>
    </xf>
    <xf numFmtId="0" fontId="94" fillId="0" borderId="0" xfId="8" applyFont="1" applyAlignment="1">
      <alignment horizontal="center"/>
    </xf>
    <xf numFmtId="175" fontId="91" fillId="0" borderId="0" xfId="0" applyNumberFormat="1" applyFont="1"/>
    <xf numFmtId="0" fontId="92" fillId="0" borderId="71" xfId="33111" applyFont="1" applyBorder="1" applyAlignment="1">
      <alignment horizontal="left" vertical="center" wrapText="1"/>
    </xf>
    <xf numFmtId="0" fontId="91" fillId="0" borderId="71" xfId="33111" applyFont="1" applyBorder="1" applyAlignment="1">
      <alignment horizontal="left" vertical="center" wrapText="1"/>
    </xf>
    <xf numFmtId="0" fontId="91" fillId="0" borderId="85" xfId="33111" applyFont="1" applyBorder="1" applyAlignment="1">
      <alignment horizontal="left" vertical="center" wrapText="1"/>
    </xf>
    <xf numFmtId="0" fontId="91" fillId="67" borderId="86" xfId="33111" applyFont="1" applyFill="1" applyBorder="1" applyAlignment="1">
      <alignment vertical="center" wrapText="1"/>
    </xf>
    <xf numFmtId="0" fontId="91" fillId="67" borderId="88" xfId="33111" applyFont="1" applyFill="1" applyBorder="1" applyAlignment="1">
      <alignment vertical="center" wrapText="1"/>
    </xf>
    <xf numFmtId="0" fontId="91" fillId="67" borderId="90" xfId="33111" applyFont="1" applyFill="1" applyBorder="1" applyAlignment="1">
      <alignment vertical="center" wrapText="1"/>
    </xf>
    <xf numFmtId="0" fontId="91" fillId="0" borderId="53" xfId="33111" applyFont="1" applyBorder="1" applyAlignment="1">
      <alignment vertical="top" wrapText="1"/>
    </xf>
    <xf numFmtId="0" fontId="116" fillId="0" borderId="1" xfId="33111" applyBorder="1" applyAlignment="1">
      <alignment horizontal="left" vertical="top"/>
    </xf>
    <xf numFmtId="0" fontId="91" fillId="0" borderId="10" xfId="33111" quotePrefix="1" applyFont="1" applyBorder="1" applyAlignment="1">
      <alignment vertical="top" wrapText="1"/>
    </xf>
    <xf numFmtId="172" fontId="91" fillId="0" borderId="1" xfId="33111" quotePrefix="1" applyNumberFormat="1" applyFont="1" applyBorder="1" applyAlignment="1">
      <alignment vertical="top" wrapText="1"/>
    </xf>
    <xf numFmtId="174" fontId="96" fillId="4" borderId="3" xfId="11" applyNumberFormat="1" applyFont="1" applyAlignment="1" applyProtection="1">
      <alignment horizontal="right"/>
      <protection locked="0"/>
    </xf>
    <xf numFmtId="172" fontId="96" fillId="0" borderId="0" xfId="0" applyNumberFormat="1" applyFont="1" applyAlignment="1">
      <alignment horizontal="right"/>
    </xf>
    <xf numFmtId="172" fontId="96" fillId="0" borderId="0" xfId="0" applyNumberFormat="1" applyFont="1"/>
    <xf numFmtId="10" fontId="122" fillId="0" borderId="0" xfId="8" applyNumberFormat="1" applyFont="1" applyAlignment="1">
      <alignment horizontal="center"/>
    </xf>
    <xf numFmtId="0" fontId="121" fillId="0" borderId="0" xfId="0" applyFont="1"/>
    <xf numFmtId="0" fontId="92" fillId="0" borderId="0" xfId="0" applyFont="1" applyAlignment="1">
      <alignment horizontal="center" vertical="top"/>
    </xf>
    <xf numFmtId="0" fontId="107" fillId="0" borderId="51" xfId="0" applyFont="1" applyBorder="1" applyAlignment="1">
      <alignment horizontal="center" vertical="top"/>
    </xf>
    <xf numFmtId="0" fontId="104" fillId="0" borderId="1" xfId="0" applyFont="1" applyBorder="1" applyAlignment="1">
      <alignment horizontal="center" vertical="top"/>
    </xf>
    <xf numFmtId="174" fontId="91" fillId="0" borderId="0" xfId="0" applyNumberFormat="1" applyFont="1" applyAlignment="1">
      <alignment horizontal="center" vertical="top"/>
    </xf>
    <xf numFmtId="0" fontId="96" fillId="0" borderId="0" xfId="0" applyFont="1"/>
    <xf numFmtId="175" fontId="96" fillId="0" borderId="0" xfId="0" applyNumberFormat="1" applyFont="1"/>
    <xf numFmtId="0" fontId="91" fillId="0" borderId="0" xfId="0" applyFont="1" applyAlignment="1">
      <alignment horizontal="center" vertical="top"/>
    </xf>
    <xf numFmtId="0" fontId="96" fillId="2" borderId="45" xfId="0" applyFont="1" applyFill="1" applyBorder="1" applyProtection="1">
      <protection locked="0"/>
    </xf>
    <xf numFmtId="0" fontId="96" fillId="2" borderId="49" xfId="0" applyFont="1" applyFill="1" applyBorder="1" applyAlignment="1" applyProtection="1">
      <alignment horizontal="center"/>
      <protection locked="0"/>
    </xf>
    <xf numFmtId="0" fontId="96" fillId="2" borderId="49" xfId="0" applyFont="1" applyFill="1" applyBorder="1" applyAlignment="1" applyProtection="1">
      <alignment horizontal="center" vertical="center"/>
      <protection locked="0"/>
    </xf>
    <xf numFmtId="172" fontId="96" fillId="2" borderId="64" xfId="0" applyNumberFormat="1" applyFont="1" applyFill="1" applyBorder="1" applyAlignment="1" applyProtection="1">
      <alignment horizontal="center" vertical="center"/>
      <protection locked="0"/>
    </xf>
    <xf numFmtId="172" fontId="96" fillId="2" borderId="41" xfId="0" applyNumberFormat="1" applyFont="1" applyFill="1" applyBorder="1" applyProtection="1">
      <protection locked="0"/>
    </xf>
    <xf numFmtId="0" fontId="96" fillId="2" borderId="41" xfId="0" applyFont="1" applyFill="1" applyBorder="1" applyAlignment="1" applyProtection="1">
      <alignment vertical="center"/>
      <protection locked="0"/>
    </xf>
    <xf numFmtId="172" fontId="96" fillId="2" borderId="44" xfId="0" applyNumberFormat="1" applyFont="1" applyFill="1" applyBorder="1" applyProtection="1">
      <protection locked="0"/>
    </xf>
    <xf numFmtId="0" fontId="91" fillId="0" borderId="59" xfId="0" applyFont="1" applyBorder="1" applyAlignment="1">
      <alignment horizontal="center" vertical="top"/>
    </xf>
    <xf numFmtId="0" fontId="112" fillId="0" borderId="0" xfId="0" applyFont="1" applyAlignment="1">
      <alignment horizontal="center" vertical="top"/>
    </xf>
    <xf numFmtId="174" fontId="96" fillId="2" borderId="51" xfId="33110" applyNumberFormat="1" applyFont="1" applyFill="1" applyBorder="1" applyProtection="1">
      <protection locked="0"/>
    </xf>
    <xf numFmtId="172" fontId="96" fillId="2" borderId="41" xfId="33110" applyNumberFormat="1" applyFont="1" applyFill="1" applyBorder="1" applyProtection="1">
      <protection locked="0"/>
    </xf>
    <xf numFmtId="172" fontId="91" fillId="2" borderId="1" xfId="33110" applyNumberFormat="1" applyFont="1" applyFill="1" applyBorder="1" applyProtection="1">
      <protection locked="0"/>
    </xf>
    <xf numFmtId="0" fontId="96" fillId="2" borderId="88" xfId="33111" applyFont="1" applyFill="1" applyBorder="1" applyAlignment="1" applyProtection="1">
      <alignment horizontal="right" vertical="center" wrapText="1"/>
      <protection locked="0"/>
    </xf>
    <xf numFmtId="192" fontId="96" fillId="2" borderId="88" xfId="33111" applyNumberFormat="1" applyFont="1" applyFill="1" applyBorder="1" applyAlignment="1" applyProtection="1">
      <alignment horizontal="right" vertical="center" wrapText="1"/>
      <protection locked="0"/>
    </xf>
    <xf numFmtId="181" fontId="91" fillId="2" borderId="89" xfId="33111" applyNumberFormat="1" applyFont="1" applyFill="1" applyBorder="1" applyAlignment="1" applyProtection="1">
      <alignment vertical="center" wrapText="1"/>
      <protection locked="0"/>
    </xf>
    <xf numFmtId="172" fontId="90" fillId="2" borderId="89" xfId="33111" applyNumberFormat="1" applyFont="1" applyFill="1" applyBorder="1" applyAlignment="1" applyProtection="1">
      <alignment vertical="center" wrapText="1"/>
      <protection locked="0"/>
    </xf>
    <xf numFmtId="172" fontId="96" fillId="2" borderId="88" xfId="33111" applyNumberFormat="1" applyFont="1" applyFill="1" applyBorder="1" applyAlignment="1" applyProtection="1">
      <alignment horizontal="right" vertical="center" wrapText="1"/>
      <protection locked="0"/>
    </xf>
    <xf numFmtId="0" fontId="96" fillId="2" borderId="88" xfId="33111" applyFont="1" applyFill="1" applyBorder="1" applyAlignment="1" applyProtection="1">
      <alignment vertical="center" wrapText="1"/>
      <protection locked="0"/>
    </xf>
    <xf numFmtId="190" fontId="96" fillId="2" borderId="88" xfId="33111" applyNumberFormat="1" applyFont="1" applyFill="1" applyBorder="1" applyAlignment="1" applyProtection="1">
      <alignment vertical="center" wrapText="1"/>
      <protection locked="0"/>
    </xf>
    <xf numFmtId="0" fontId="96" fillId="2" borderId="94" xfId="33111" applyFont="1" applyFill="1" applyBorder="1" applyAlignment="1" applyProtection="1">
      <alignment vertical="center" wrapText="1"/>
      <protection locked="0"/>
    </xf>
    <xf numFmtId="172" fontId="90" fillId="2" borderId="91" xfId="33111" applyNumberFormat="1" applyFont="1" applyFill="1" applyBorder="1" applyAlignment="1" applyProtection="1">
      <alignment vertical="center" wrapText="1"/>
      <protection locked="0"/>
    </xf>
    <xf numFmtId="0" fontId="96" fillId="2" borderId="68" xfId="33111" applyFont="1" applyFill="1" applyBorder="1" applyAlignment="1" applyProtection="1">
      <alignment horizontal="right" vertical="center" wrapText="1"/>
      <protection locked="0"/>
    </xf>
    <xf numFmtId="192" fontId="96" fillId="2" borderId="68" xfId="33111" applyNumberFormat="1" applyFont="1" applyFill="1" applyBorder="1" applyAlignment="1" applyProtection="1">
      <alignment horizontal="right" vertical="center" wrapText="1"/>
      <protection locked="0"/>
    </xf>
    <xf numFmtId="0" fontId="96" fillId="2" borderId="94" xfId="33111" applyFont="1" applyFill="1" applyBorder="1" applyAlignment="1" applyProtection="1">
      <alignment horizontal="right" vertical="center" wrapText="1"/>
      <protection locked="0"/>
    </xf>
    <xf numFmtId="173" fontId="96" fillId="2" borderId="88" xfId="33111" applyNumberFormat="1" applyFont="1" applyFill="1" applyBorder="1" applyAlignment="1" applyProtection="1">
      <alignment horizontal="right" vertical="center" wrapText="1"/>
      <protection locked="0"/>
    </xf>
    <xf numFmtId="173" fontId="96" fillId="2" borderId="94" xfId="33111" applyNumberFormat="1" applyFont="1" applyFill="1" applyBorder="1" applyAlignment="1" applyProtection="1">
      <alignment horizontal="right" vertical="center" wrapText="1"/>
      <protection locked="0"/>
    </xf>
    <xf numFmtId="172" fontId="96" fillId="2" borderId="68" xfId="33111" applyNumberFormat="1" applyFont="1" applyFill="1" applyBorder="1" applyAlignment="1" applyProtection="1">
      <alignment horizontal="right" vertical="center" wrapText="1"/>
      <protection locked="0"/>
    </xf>
    <xf numFmtId="175" fontId="96" fillId="2" borderId="9" xfId="33111" quotePrefix="1" applyNumberFormat="1" applyFont="1" applyFill="1" applyBorder="1" applyAlignment="1" applyProtection="1">
      <alignment vertical="top" wrapText="1"/>
      <protection locked="0"/>
    </xf>
    <xf numFmtId="172" fontId="96" fillId="2" borderId="49" xfId="0" applyNumberFormat="1" applyFont="1" applyFill="1" applyBorder="1" applyAlignment="1" applyProtection="1">
      <alignment horizontal="right" wrapText="1"/>
      <protection locked="0"/>
    </xf>
    <xf numFmtId="172" fontId="96" fillId="2" borderId="0" xfId="0" applyNumberFormat="1" applyFont="1" applyFill="1" applyAlignment="1" applyProtection="1">
      <alignment horizontal="right" wrapText="1"/>
      <protection locked="0"/>
    </xf>
    <xf numFmtId="172" fontId="96" fillId="2" borderId="0" xfId="0" applyNumberFormat="1" applyFont="1" applyFill="1" applyAlignment="1" applyProtection="1">
      <alignment horizontal="right"/>
      <protection locked="0"/>
    </xf>
    <xf numFmtId="0" fontId="107" fillId="0" borderId="0" xfId="0" applyFont="1" applyAlignment="1">
      <alignment horizontal="center" vertical="top"/>
    </xf>
    <xf numFmtId="172" fontId="91" fillId="0" borderId="0" xfId="11" applyNumberFormat="1" applyFont="1" applyFill="1" applyBorder="1" applyAlignment="1" applyProtection="1">
      <alignment horizontal="center"/>
    </xf>
    <xf numFmtId="172" fontId="91" fillId="0" borderId="0" xfId="11" applyNumberFormat="1" applyFont="1" applyFill="1" applyBorder="1" applyAlignment="1" applyProtection="1">
      <alignment horizontal="center" vertical="top"/>
    </xf>
    <xf numFmtId="182" fontId="91" fillId="0" borderId="0" xfId="11" applyNumberFormat="1" applyFont="1" applyFill="1" applyBorder="1" applyAlignment="1" applyProtection="1">
      <alignment horizontal="center" vertical="top"/>
    </xf>
    <xf numFmtId="0" fontId="104" fillId="0" borderId="0" xfId="0" applyFont="1" applyAlignment="1">
      <alignment horizontal="center" vertical="top"/>
    </xf>
    <xf numFmtId="188" fontId="104" fillId="0" borderId="0" xfId="0" applyNumberFormat="1" applyFont="1" applyAlignment="1">
      <alignment horizontal="center" vertical="top"/>
    </xf>
    <xf numFmtId="0" fontId="90" fillId="0" borderId="0" xfId="0" applyFont="1" applyAlignment="1">
      <alignment horizontal="center" vertical="top"/>
    </xf>
    <xf numFmtId="0" fontId="96" fillId="2" borderId="41" xfId="0" applyFont="1" applyFill="1" applyBorder="1" applyAlignment="1" applyProtection="1">
      <alignment horizontal="center"/>
      <protection locked="0"/>
    </xf>
    <xf numFmtId="49" fontId="96" fillId="2" borderId="41" xfId="0" applyNumberFormat="1" applyFont="1" applyFill="1" applyBorder="1" applyAlignment="1" applyProtection="1">
      <alignment horizontal="center"/>
      <protection locked="0"/>
    </xf>
    <xf numFmtId="0" fontId="101" fillId="2" borderId="49" xfId="0" applyFont="1" applyFill="1" applyBorder="1" applyAlignment="1" applyProtection="1">
      <alignment horizontal="center"/>
      <protection locked="0"/>
    </xf>
    <xf numFmtId="186" fontId="96" fillId="2" borderId="45" xfId="7" applyNumberFormat="1" applyFont="1" applyFill="1" applyBorder="1" applyAlignment="1" applyProtection="1">
      <alignment horizontal="center" wrapText="1"/>
      <protection locked="0"/>
    </xf>
    <xf numFmtId="0" fontId="88" fillId="64" borderId="0" xfId="6628" applyFont="1" applyFill="1"/>
    <xf numFmtId="0" fontId="91" fillId="3" borderId="59" xfId="0" applyFont="1" applyFill="1" applyBorder="1"/>
    <xf numFmtId="0" fontId="91" fillId="0" borderId="0" xfId="0" applyFont="1" applyProtection="1">
      <protection locked="0"/>
    </xf>
    <xf numFmtId="0" fontId="64" fillId="68" borderId="0" xfId="6628" applyFont="1" applyFill="1"/>
    <xf numFmtId="172" fontId="91" fillId="0" borderId="51" xfId="0" applyNumberFormat="1" applyFont="1" applyBorder="1" applyAlignment="1">
      <alignment horizontal="center"/>
    </xf>
    <xf numFmtId="165" fontId="91" fillId="0" borderId="1" xfId="0" applyNumberFormat="1" applyFont="1" applyBorder="1" applyAlignment="1">
      <alignment horizontal="center" vertical="top"/>
    </xf>
    <xf numFmtId="10" fontId="91" fillId="3" borderId="0" xfId="9" applyNumberFormat="1" applyFont="1" applyFill="1" applyBorder="1" applyAlignment="1" applyProtection="1">
      <alignment horizontal="center"/>
    </xf>
    <xf numFmtId="0" fontId="91" fillId="0" borderId="1" xfId="0" applyFont="1" applyBorder="1" applyAlignment="1">
      <alignment horizontal="center"/>
    </xf>
    <xf numFmtId="184" fontId="91" fillId="0" borderId="0" xfId="0" applyNumberFormat="1" applyFont="1" applyAlignment="1">
      <alignment horizontal="center"/>
    </xf>
    <xf numFmtId="172" fontId="92" fillId="0" borderId="0" xfId="0" applyNumberFormat="1" applyFont="1" applyAlignment="1">
      <alignment horizontal="center" wrapText="1"/>
    </xf>
    <xf numFmtId="193" fontId="91" fillId="3" borderId="0" xfId="0" quotePrefix="1" applyNumberFormat="1" applyFont="1" applyFill="1" applyAlignment="1">
      <alignment horizontal="center"/>
    </xf>
    <xf numFmtId="172" fontId="96" fillId="4" borderId="49" xfId="11" applyNumberFormat="1" applyFont="1" applyBorder="1" applyAlignment="1" applyProtection="1">
      <alignment horizontal="right" vertical="top"/>
      <protection locked="0"/>
    </xf>
    <xf numFmtId="172" fontId="96" fillId="2" borderId="49" xfId="11" applyNumberFormat="1" applyFont="1" applyFill="1" applyBorder="1" applyAlignment="1" applyProtection="1">
      <alignment horizontal="right" vertical="top"/>
      <protection locked="0"/>
    </xf>
    <xf numFmtId="0" fontId="91" fillId="0" borderId="1" xfId="0" applyFont="1" applyBorder="1" applyAlignment="1">
      <alignment horizontal="center" vertical="top"/>
    </xf>
    <xf numFmtId="174" fontId="96" fillId="4" borderId="49" xfId="11" applyNumberFormat="1" applyFont="1" applyBorder="1" applyAlignment="1" applyProtection="1">
      <alignment horizontal="right"/>
      <protection locked="0"/>
    </xf>
    <xf numFmtId="0" fontId="97" fillId="0" borderId="0" xfId="8" applyFont="1" applyAlignment="1">
      <alignment horizontal="center"/>
    </xf>
    <xf numFmtId="0" fontId="90" fillId="0" borderId="0" xfId="0" quotePrefix="1" applyFont="1"/>
    <xf numFmtId="0" fontId="92" fillId="0" borderId="0" xfId="0" quotePrefix="1" applyFont="1" applyAlignment="1">
      <alignment horizontal="center"/>
    </xf>
    <xf numFmtId="0" fontId="112" fillId="0" borderId="1" xfId="0" applyFont="1" applyBorder="1"/>
    <xf numFmtId="0" fontId="96" fillId="2" borderId="41" xfId="0" quotePrefix="1" applyFont="1" applyFill="1" applyBorder="1" applyAlignment="1" applyProtection="1">
      <alignment vertical="center"/>
      <protection locked="0"/>
    </xf>
    <xf numFmtId="0" fontId="124" fillId="0" borderId="0" xfId="33111" applyFont="1" applyAlignment="1">
      <alignment horizontal="left" vertical="top"/>
    </xf>
    <xf numFmtId="172" fontId="2" fillId="0" borderId="51" xfId="6628" applyNumberFormat="1" applyBorder="1"/>
    <xf numFmtId="0" fontId="2" fillId="0" borderId="1" xfId="6628" applyBorder="1"/>
    <xf numFmtId="172" fontId="15" fillId="0" borderId="1" xfId="6628" applyNumberFormat="1" applyFont="1" applyBorder="1" applyAlignment="1">
      <alignment horizontal="center"/>
    </xf>
    <xf numFmtId="172" fontId="15" fillId="0" borderId="1" xfId="6628" applyNumberFormat="1" applyFont="1" applyBorder="1"/>
    <xf numFmtId="172" fontId="2" fillId="0" borderId="45" xfId="6628" applyNumberFormat="1" applyBorder="1"/>
    <xf numFmtId="172" fontId="2" fillId="0" borderId="60" xfId="6628" applyNumberFormat="1" applyBorder="1"/>
    <xf numFmtId="172" fontId="2" fillId="0" borderId="41" xfId="6628" applyNumberFormat="1" applyBorder="1"/>
    <xf numFmtId="172" fontId="2" fillId="0" borderId="49" xfId="6628" applyNumberFormat="1" applyBorder="1"/>
    <xf numFmtId="172" fontId="2" fillId="0" borderId="41" xfId="6628" quotePrefix="1" applyNumberFormat="1" applyBorder="1"/>
    <xf numFmtId="172" fontId="2" fillId="0" borderId="0" xfId="6628" quotePrefix="1" applyNumberFormat="1"/>
    <xf numFmtId="172" fontId="2" fillId="0" borderId="0" xfId="6628" applyNumberFormat="1" applyAlignment="1">
      <alignment horizontal="left"/>
    </xf>
    <xf numFmtId="0" fontId="91" fillId="2" borderId="41" xfId="0" applyFont="1" applyFill="1" applyBorder="1" applyProtection="1">
      <protection locked="0"/>
    </xf>
    <xf numFmtId="172" fontId="92" fillId="0" borderId="51" xfId="0" applyNumberFormat="1" applyFont="1" applyBorder="1" applyAlignment="1">
      <alignment horizontal="center" vertical="top"/>
    </xf>
    <xf numFmtId="172" fontId="91" fillId="2" borderId="41" xfId="0" applyNumberFormat="1" applyFont="1" applyFill="1" applyBorder="1" applyProtection="1">
      <protection locked="0"/>
    </xf>
    <xf numFmtId="0" fontId="125" fillId="0" borderId="0" xfId="0" applyFont="1" applyAlignment="1">
      <alignment horizontal="center"/>
    </xf>
    <xf numFmtId="14" fontId="91" fillId="0" borderId="0" xfId="0" applyNumberFormat="1" applyFont="1"/>
    <xf numFmtId="187" fontId="96" fillId="4" borderId="49" xfId="11" applyNumberFormat="1" applyFont="1" applyBorder="1" applyAlignment="1" applyProtection="1">
      <alignment horizontal="center"/>
      <protection locked="0"/>
    </xf>
    <xf numFmtId="174" fontId="91" fillId="0" borderId="51" xfId="0" applyNumberFormat="1" applyFont="1" applyBorder="1" applyAlignment="1">
      <alignment horizontal="right" wrapText="1"/>
    </xf>
    <xf numFmtId="174" fontId="91" fillId="0" borderId="51" xfId="0" applyNumberFormat="1" applyFont="1" applyBorder="1" applyAlignment="1">
      <alignment horizontal="right"/>
    </xf>
    <xf numFmtId="172" fontId="91" fillId="0" borderId="51" xfId="0" applyNumberFormat="1" applyFont="1" applyBorder="1" applyAlignment="1">
      <alignment horizontal="right"/>
    </xf>
    <xf numFmtId="174" fontId="91" fillId="0" borderId="0" xfId="0" quotePrefix="1" applyNumberFormat="1" applyFont="1"/>
    <xf numFmtId="172" fontId="96" fillId="0" borderId="0" xfId="0" applyNumberFormat="1" applyFont="1" applyProtection="1">
      <protection locked="0"/>
    </xf>
    <xf numFmtId="0" fontId="90" fillId="0" borderId="0" xfId="0" applyFont="1" applyProtection="1">
      <protection locked="0"/>
    </xf>
    <xf numFmtId="172" fontId="90" fillId="0" borderId="0" xfId="0" quotePrefix="1" applyNumberFormat="1" applyFont="1"/>
    <xf numFmtId="172" fontId="90" fillId="0" borderId="0" xfId="0" applyNumberFormat="1" applyFont="1"/>
    <xf numFmtId="0" fontId="90" fillId="0" borderId="51" xfId="0" applyFont="1" applyBorder="1" applyProtection="1">
      <protection locked="0"/>
    </xf>
    <xf numFmtId="172" fontId="96" fillId="0" borderId="51" xfId="0" applyNumberFormat="1" applyFont="1" applyBorder="1" applyProtection="1">
      <protection locked="0"/>
    </xf>
    <xf numFmtId="172" fontId="91" fillId="0" borderId="51" xfId="0" applyNumberFormat="1" applyFont="1" applyBorder="1"/>
    <xf numFmtId="172" fontId="90" fillId="0" borderId="97" xfId="0" applyNumberFormat="1" applyFont="1" applyBorder="1"/>
    <xf numFmtId="0" fontId="105" fillId="0" borderId="0" xfId="0" quotePrefix="1" applyFont="1"/>
    <xf numFmtId="0" fontId="91" fillId="69" borderId="0" xfId="0" applyFont="1" applyFill="1"/>
    <xf numFmtId="0" fontId="91" fillId="69" borderId="41" xfId="0" applyFont="1" applyFill="1" applyBorder="1"/>
    <xf numFmtId="0" fontId="2" fillId="0" borderId="0" xfId="6628" quotePrefix="1"/>
    <xf numFmtId="0" fontId="0" fillId="0" borderId="0" xfId="0" applyAlignment="1">
      <alignment horizontal="left" wrapText="1"/>
    </xf>
    <xf numFmtId="175" fontId="91" fillId="3" borderId="0" xfId="13330" applyNumberFormat="1" applyFont="1" applyFill="1" applyBorder="1" applyAlignment="1">
      <alignment horizontal="center" vertical="top"/>
    </xf>
    <xf numFmtId="175" fontId="91" fillId="3" borderId="0" xfId="13330" applyNumberFormat="1" applyFont="1" applyFill="1" applyAlignment="1">
      <alignment horizontal="center" vertical="top"/>
    </xf>
    <xf numFmtId="0" fontId="107" fillId="0" borderId="0" xfId="0" applyFont="1"/>
    <xf numFmtId="0" fontId="127" fillId="0" borderId="41" xfId="7" applyFont="1" applyBorder="1" applyAlignment="1" applyProtection="1">
      <alignment horizontal="left"/>
    </xf>
    <xf numFmtId="0" fontId="107" fillId="0" borderId="41" xfId="0" applyFont="1" applyBorder="1"/>
    <xf numFmtId="0" fontId="0" fillId="0" borderId="41" xfId="0" applyBorder="1"/>
    <xf numFmtId="0" fontId="128" fillId="0" borderId="0" xfId="0" applyFont="1"/>
    <xf numFmtId="0" fontId="129" fillId="0" borderId="0" xfId="0" applyFont="1"/>
    <xf numFmtId="0" fontId="83" fillId="0" borderId="0" xfId="0" applyFont="1"/>
    <xf numFmtId="0" fontId="117" fillId="0" borderId="0" xfId="8" applyFont="1" applyAlignment="1">
      <alignment horizontal="center"/>
    </xf>
    <xf numFmtId="172" fontId="83" fillId="0" borderId="0" xfId="0" applyNumberFormat="1" applyFont="1"/>
    <xf numFmtId="0" fontId="64" fillId="0" borderId="0" xfId="8" applyFont="1" applyAlignment="1">
      <alignment horizontal="center"/>
    </xf>
    <xf numFmtId="0" fontId="107" fillId="0" borderId="0" xfId="0" applyFont="1" applyAlignment="1">
      <alignment horizontal="center"/>
    </xf>
    <xf numFmtId="174" fontId="83" fillId="0" borderId="0" xfId="0" applyNumberFormat="1" applyFont="1"/>
    <xf numFmtId="43" fontId="107" fillId="0" borderId="51" xfId="4" applyFont="1" applyBorder="1" applyProtection="1"/>
    <xf numFmtId="0" fontId="107" fillId="0" borderId="0" xfId="8" applyFont="1" applyAlignment="1">
      <alignment horizontal="right"/>
    </xf>
    <xf numFmtId="43" fontId="107" fillId="0" borderId="0" xfId="4" applyFont="1" applyBorder="1" applyProtection="1"/>
    <xf numFmtId="172" fontId="107" fillId="0" borderId="0" xfId="5" applyNumberFormat="1" applyFont="1" applyBorder="1" applyAlignment="1" applyProtection="1">
      <alignment horizontal="center"/>
    </xf>
    <xf numFmtId="43" fontId="83" fillId="0" borderId="0" xfId="4" applyFont="1" applyProtection="1"/>
    <xf numFmtId="0" fontId="131" fillId="0" borderId="0" xfId="0" applyFont="1"/>
    <xf numFmtId="0" fontId="130" fillId="0" borderId="0" xfId="0" applyFont="1"/>
    <xf numFmtId="0" fontId="132" fillId="0" borderId="0" xfId="0" applyFont="1"/>
    <xf numFmtId="172" fontId="96" fillId="2" borderId="45" xfId="0" applyNumberFormat="1" applyFont="1" applyFill="1" applyBorder="1" applyProtection="1">
      <protection locked="0"/>
    </xf>
    <xf numFmtId="172" fontId="96" fillId="0" borderId="69" xfId="0" applyNumberFormat="1" applyFont="1" applyBorder="1" applyProtection="1">
      <protection locked="0"/>
    </xf>
    <xf numFmtId="0" fontId="96" fillId="0" borderId="45" xfId="0" applyFont="1" applyBorder="1" applyProtection="1">
      <protection locked="0"/>
    </xf>
    <xf numFmtId="174" fontId="96" fillId="0" borderId="45" xfId="0" applyNumberFormat="1" applyFont="1" applyBorder="1" applyProtection="1">
      <protection locked="0"/>
    </xf>
    <xf numFmtId="172" fontId="96" fillId="0" borderId="41" xfId="0" applyNumberFormat="1" applyFont="1" applyBorder="1" applyProtection="1">
      <protection locked="0"/>
    </xf>
    <xf numFmtId="0" fontId="89" fillId="0" borderId="69" xfId="0" applyFont="1" applyBorder="1" applyAlignment="1" applyProtection="1">
      <alignment vertical="center"/>
      <protection locked="0"/>
    </xf>
    <xf numFmtId="174" fontId="90" fillId="0" borderId="49" xfId="0" applyNumberFormat="1" applyFont="1" applyBorder="1"/>
    <xf numFmtId="183" fontId="91" fillId="0" borderId="0" xfId="4" applyNumberFormat="1" applyFont="1" applyFill="1" applyProtection="1"/>
    <xf numFmtId="183" fontId="91" fillId="0" borderId="0" xfId="4" applyNumberFormat="1" applyFont="1" applyProtection="1"/>
    <xf numFmtId="0" fontId="96" fillId="0" borderId="41" xfId="0" applyFont="1" applyBorder="1" applyAlignment="1" applyProtection="1">
      <alignment vertical="center"/>
      <protection locked="0"/>
    </xf>
    <xf numFmtId="0" fontId="91" fillId="0" borderId="45" xfId="0" applyFont="1" applyBorder="1"/>
    <xf numFmtId="0" fontId="0" fillId="0" borderId="45" xfId="0" applyBorder="1"/>
    <xf numFmtId="0" fontId="110" fillId="0" borderId="1" xfId="0" applyFont="1" applyBorder="1"/>
    <xf numFmtId="0" fontId="0" fillId="0" borderId="1" xfId="0" applyBorder="1"/>
    <xf numFmtId="0" fontId="127" fillId="0" borderId="0" xfId="7" applyFont="1" applyBorder="1" applyAlignment="1" applyProtection="1">
      <alignment horizontal="left"/>
    </xf>
    <xf numFmtId="0" fontId="127" fillId="0" borderId="0" xfId="7" applyFont="1" applyBorder="1" applyAlignment="1" applyProtection="1">
      <alignment horizontal="center"/>
    </xf>
    <xf numFmtId="0" fontId="104" fillId="0" borderId="0" xfId="0" applyFont="1"/>
    <xf numFmtId="1" fontId="91" fillId="0" borderId="51" xfId="0" applyNumberFormat="1" applyFont="1" applyBorder="1" applyAlignment="1">
      <alignment horizontal="left"/>
    </xf>
    <xf numFmtId="1" fontId="91" fillId="0" borderId="0" xfId="0" applyNumberFormat="1" applyFont="1" applyAlignment="1">
      <alignment horizontal="left"/>
    </xf>
    <xf numFmtId="5" fontId="91" fillId="0" borderId="0" xfId="0" applyNumberFormat="1" applyFont="1" applyAlignment="1">
      <alignment horizontal="center" vertical="top"/>
    </xf>
    <xf numFmtId="175" fontId="91" fillId="0" borderId="0" xfId="0" applyNumberFormat="1" applyFont="1" applyAlignment="1">
      <alignment horizontal="center" vertical="top"/>
    </xf>
    <xf numFmtId="175" fontId="92" fillId="0" borderId="0" xfId="0" applyNumberFormat="1" applyFont="1" applyAlignment="1">
      <alignment horizontal="center" vertical="top"/>
    </xf>
    <xf numFmtId="165" fontId="92" fillId="0" borderId="0" xfId="0" applyNumberFormat="1" applyFont="1" applyAlignment="1">
      <alignment horizontal="center" vertical="top"/>
    </xf>
    <xf numFmtId="0" fontId="92" fillId="0" borderId="5" xfId="0" applyFont="1" applyBorder="1" applyAlignment="1">
      <alignment horizontal="left"/>
    </xf>
    <xf numFmtId="175" fontId="92" fillId="0" borderId="6" xfId="0" applyNumberFormat="1" applyFont="1" applyBorder="1" applyAlignment="1">
      <alignment horizontal="center"/>
    </xf>
    <xf numFmtId="165" fontId="105" fillId="0" borderId="0" xfId="0" applyNumberFormat="1" applyFont="1" applyAlignment="1">
      <alignment horizontal="center"/>
    </xf>
    <xf numFmtId="165" fontId="106" fillId="0" borderId="0" xfId="0" applyNumberFormat="1" applyFont="1" applyAlignment="1">
      <alignment horizontal="center"/>
    </xf>
    <xf numFmtId="0" fontId="106" fillId="0" borderId="5" xfId="0" applyFont="1" applyBorder="1" applyAlignment="1">
      <alignment horizontal="left"/>
    </xf>
    <xf numFmtId="6" fontId="92" fillId="0" borderId="6" xfId="0" applyNumberFormat="1" applyFont="1" applyBorder="1" applyAlignment="1">
      <alignment horizontal="center"/>
    </xf>
    <xf numFmtId="172" fontId="92" fillId="0" borderId="0" xfId="0" applyNumberFormat="1" applyFont="1" applyAlignment="1">
      <alignment horizontal="center"/>
    </xf>
    <xf numFmtId="180" fontId="92" fillId="0" borderId="0" xfId="0" applyNumberFormat="1" applyFont="1" applyAlignment="1">
      <alignment horizontal="center"/>
    </xf>
    <xf numFmtId="6" fontId="91" fillId="0" borderId="51" xfId="0" applyNumberFormat="1" applyFont="1" applyBorder="1" applyAlignment="1">
      <alignment horizontal="center"/>
    </xf>
    <xf numFmtId="6" fontId="91" fillId="0" borderId="0" xfId="0" applyNumberFormat="1" applyFont="1" applyAlignment="1">
      <alignment horizontal="center"/>
    </xf>
    <xf numFmtId="1" fontId="92" fillId="0" borderId="51" xfId="0" applyNumberFormat="1" applyFont="1" applyBorder="1" applyAlignment="1">
      <alignment horizontal="left"/>
    </xf>
    <xf numFmtId="1" fontId="105" fillId="0" borderId="0" xfId="0" applyNumberFormat="1" applyFont="1" applyAlignment="1">
      <alignment horizontal="left"/>
    </xf>
    <xf numFmtId="1" fontId="91" fillId="0" borderId="0" xfId="0" applyNumberFormat="1" applyFont="1" applyAlignment="1">
      <alignment horizontal="center" vertical="top"/>
    </xf>
    <xf numFmtId="3" fontId="91" fillId="0" borderId="0" xfId="0" applyNumberFormat="1" applyFont="1" applyAlignment="1">
      <alignment horizontal="center" vertical="top"/>
    </xf>
    <xf numFmtId="3" fontId="91" fillId="0" borderId="51" xfId="0" applyNumberFormat="1" applyFont="1" applyBorder="1" applyAlignment="1">
      <alignment horizontal="center" vertical="top"/>
    </xf>
    <xf numFmtId="179" fontId="92" fillId="0" borderId="6" xfId="0" applyNumberFormat="1" applyFont="1" applyBorder="1" applyAlignment="1">
      <alignment horizontal="center"/>
    </xf>
    <xf numFmtId="0" fontId="106" fillId="0" borderId="0" xfId="0" quotePrefix="1" applyFont="1"/>
    <xf numFmtId="6" fontId="105" fillId="0" borderId="0" xfId="0" applyNumberFormat="1" applyFont="1" applyAlignment="1">
      <alignment horizontal="center"/>
    </xf>
    <xf numFmtId="0" fontId="126" fillId="0" borderId="0" xfId="0" applyFont="1"/>
    <xf numFmtId="183" fontId="92" fillId="0" borderId="1" xfId="4" applyNumberFormat="1" applyFont="1" applyFill="1" applyBorder="1"/>
    <xf numFmtId="172" fontId="91" fillId="0" borderId="0" xfId="33110" applyNumberFormat="1" applyFont="1" applyFill="1" applyBorder="1" applyAlignment="1">
      <alignment horizontal="right"/>
    </xf>
    <xf numFmtId="172" fontId="91" fillId="0" borderId="41" xfId="33110" applyNumberFormat="1" applyFont="1" applyFill="1" applyBorder="1" applyAlignment="1">
      <alignment horizontal="right"/>
    </xf>
    <xf numFmtId="174" fontId="107" fillId="0" borderId="41" xfId="0" applyNumberFormat="1" applyFont="1" applyBorder="1"/>
    <xf numFmtId="0" fontId="105" fillId="0" borderId="41" xfId="0" applyFont="1" applyBorder="1"/>
    <xf numFmtId="172" fontId="91" fillId="0" borderId="41" xfId="0" applyNumberFormat="1" applyFont="1" applyBorder="1" applyAlignment="1">
      <alignment horizontal="right" vertical="top"/>
    </xf>
    <xf numFmtId="174" fontId="91" fillId="0" borderId="41" xfId="0" applyNumberFormat="1" applyFont="1" applyBorder="1" applyAlignment="1">
      <alignment horizontal="right" vertical="top"/>
    </xf>
    <xf numFmtId="174" fontId="90" fillId="0" borderId="41" xfId="13330" applyNumberFormat="1" applyFont="1" applyFill="1" applyBorder="1" applyAlignment="1">
      <alignment horizontal="right" vertical="top"/>
    </xf>
    <xf numFmtId="174" fontId="90" fillId="0" borderId="41" xfId="0" applyNumberFormat="1" applyFont="1" applyBorder="1" applyAlignment="1">
      <alignment horizontal="right"/>
    </xf>
    <xf numFmtId="174" fontId="91" fillId="0" borderId="41" xfId="9" applyNumberFormat="1" applyFont="1" applyFill="1" applyBorder="1" applyAlignment="1" applyProtection="1">
      <alignment horizontal="right" vertical="top"/>
    </xf>
    <xf numFmtId="172" fontId="96" fillId="2" borderId="42" xfId="13118" applyNumberFormat="1" applyFont="1" applyFill="1" applyBorder="1" applyProtection="1">
      <protection locked="0"/>
    </xf>
    <xf numFmtId="172" fontId="2" fillId="0" borderId="0" xfId="8" applyNumberFormat="1"/>
    <xf numFmtId="174" fontId="92" fillId="0" borderId="1" xfId="33110" applyNumberFormat="1" applyFont="1" applyFill="1" applyBorder="1"/>
    <xf numFmtId="174" fontId="92" fillId="0" borderId="1" xfId="0" applyNumberFormat="1" applyFont="1" applyBorder="1"/>
    <xf numFmtId="174" fontId="91" fillId="0" borderId="1" xfId="33110" applyNumberFormat="1" applyFont="1" applyFill="1" applyBorder="1" applyAlignment="1">
      <alignment horizontal="right"/>
    </xf>
    <xf numFmtId="174" fontId="91" fillId="0" borderId="1" xfId="33110" applyNumberFormat="1" applyFont="1" applyFill="1" applyBorder="1"/>
    <xf numFmtId="174" fontId="91" fillId="0" borderId="1" xfId="0" applyNumberFormat="1" applyFont="1" applyBorder="1"/>
    <xf numFmtId="175" fontId="91" fillId="2" borderId="0" xfId="0" applyNumberFormat="1" applyFont="1" applyFill="1" applyAlignment="1" applyProtection="1">
      <alignment horizontal="right"/>
      <protection locked="0"/>
    </xf>
    <xf numFmtId="0" fontId="92" fillId="0" borderId="0" xfId="0" applyFont="1" applyAlignment="1">
      <alignment horizontal="left" wrapText="1"/>
    </xf>
    <xf numFmtId="172" fontId="96" fillId="2" borderId="49" xfId="0" applyNumberFormat="1" applyFont="1" applyFill="1" applyBorder="1" applyProtection="1">
      <protection locked="0"/>
    </xf>
    <xf numFmtId="0" fontId="91" fillId="2" borderId="45" xfId="0" applyFont="1" applyFill="1" applyBorder="1" applyProtection="1">
      <protection locked="0"/>
    </xf>
    <xf numFmtId="174" fontId="107" fillId="0" borderId="46" xfId="0" applyNumberFormat="1" applyFont="1" applyBorder="1"/>
    <xf numFmtId="0" fontId="92" fillId="3" borderId="1" xfId="0" applyFont="1" applyFill="1" applyBorder="1"/>
    <xf numFmtId="172" fontId="107" fillId="0" borderId="0" xfId="33110" applyNumberFormat="1" applyFont="1" applyAlignment="1">
      <alignment horizontal="right" vertical="top"/>
    </xf>
    <xf numFmtId="172" fontId="91" fillId="0" borderId="0" xfId="33110" applyNumberFormat="1" applyFont="1" applyAlignment="1">
      <alignment horizontal="right"/>
    </xf>
    <xf numFmtId="0" fontId="89" fillId="0" borderId="69" xfId="0" applyFont="1" applyBorder="1"/>
    <xf numFmtId="172" fontId="96" fillId="0" borderId="69" xfId="0" applyNumberFormat="1" applyFont="1" applyBorder="1"/>
    <xf numFmtId="0" fontId="90" fillId="0" borderId="45" xfId="0" applyFont="1" applyBorder="1" applyAlignment="1">
      <alignment vertical="center"/>
    </xf>
    <xf numFmtId="0" fontId="90" fillId="0" borderId="41" xfId="0" applyFont="1" applyBorder="1" applyAlignment="1">
      <alignment wrapText="1"/>
    </xf>
    <xf numFmtId="174" fontId="90" fillId="0" borderId="41" xfId="0" applyNumberFormat="1" applyFont="1" applyBorder="1"/>
    <xf numFmtId="0" fontId="90" fillId="0" borderId="41" xfId="0" applyFont="1" applyBorder="1"/>
    <xf numFmtId="172" fontId="90" fillId="0" borderId="41" xfId="0" applyNumberFormat="1" applyFont="1" applyBorder="1"/>
    <xf numFmtId="0" fontId="90" fillId="0" borderId="41" xfId="0" applyFont="1" applyBorder="1" applyAlignment="1">
      <alignment vertical="center"/>
    </xf>
    <xf numFmtId="197" fontId="91" fillId="0" borderId="51" xfId="0" applyNumberFormat="1" applyFont="1" applyBorder="1" applyAlignment="1">
      <alignment horizontal="center"/>
    </xf>
    <xf numFmtId="197" fontId="91" fillId="0" borderId="0" xfId="0" applyNumberFormat="1" applyFont="1" applyAlignment="1">
      <alignment horizontal="center"/>
    </xf>
    <xf numFmtId="198" fontId="91" fillId="0" borderId="0" xfId="0" applyNumberFormat="1" applyFont="1" applyAlignment="1">
      <alignment horizontal="center" vertical="top"/>
    </xf>
    <xf numFmtId="198" fontId="91" fillId="0" borderId="51" xfId="0" applyNumberFormat="1" applyFont="1" applyBorder="1" applyAlignment="1">
      <alignment horizontal="center" vertical="top"/>
    </xf>
    <xf numFmtId="199" fontId="91" fillId="0" borderId="0" xfId="0" applyNumberFormat="1" applyFont="1" applyAlignment="1">
      <alignment horizontal="center" vertical="top"/>
    </xf>
    <xf numFmtId="0" fontId="125" fillId="0" borderId="0" xfId="0" applyFont="1" applyAlignment="1">
      <alignment horizontal="left" indent="1"/>
    </xf>
    <xf numFmtId="0" fontId="104" fillId="0" borderId="0" xfId="0" applyFont="1" applyAlignment="1">
      <alignment horizontal="left" vertical="top"/>
    </xf>
    <xf numFmtId="0" fontId="107" fillId="0" borderId="0" xfId="0" applyFont="1" applyAlignment="1">
      <alignment horizontal="left" vertical="top"/>
    </xf>
    <xf numFmtId="174" fontId="91" fillId="0" borderId="0" xfId="33110" applyNumberFormat="1" applyFont="1" applyFill="1" applyProtection="1"/>
    <xf numFmtId="174" fontId="91" fillId="0" borderId="0" xfId="33110" applyNumberFormat="1" applyFont="1" applyProtection="1"/>
    <xf numFmtId="172" fontId="91" fillId="0" borderId="0" xfId="33110" applyNumberFormat="1" applyFont="1" applyFill="1" applyProtection="1"/>
    <xf numFmtId="172" fontId="91" fillId="0" borderId="0" xfId="33110" applyNumberFormat="1" applyFont="1" applyProtection="1"/>
    <xf numFmtId="172" fontId="134" fillId="0" borderId="0" xfId="6628" applyNumberFormat="1" applyFont="1" applyAlignment="1">
      <alignment horizontal="center"/>
    </xf>
    <xf numFmtId="164" fontId="96" fillId="0" borderId="0" xfId="11" applyNumberFormat="1" applyFont="1" applyFill="1" applyBorder="1" applyAlignment="1" applyProtection="1">
      <alignment horizontal="center"/>
      <protection locked="0"/>
    </xf>
    <xf numFmtId="0" fontId="90" fillId="0" borderId="49" xfId="0" applyFont="1" applyBorder="1" applyAlignment="1">
      <alignment horizontal="center" vertical="top"/>
    </xf>
    <xf numFmtId="172" fontId="90" fillId="0" borderId="49" xfId="0" applyNumberFormat="1" applyFont="1" applyBorder="1" applyAlignment="1">
      <alignment horizontal="center" vertical="top"/>
    </xf>
    <xf numFmtId="174" fontId="0" fillId="0" borderId="0" xfId="33110" applyNumberFormat="1" applyFont="1"/>
    <xf numFmtId="174" fontId="0" fillId="0" borderId="0" xfId="0" applyNumberFormat="1"/>
    <xf numFmtId="0" fontId="135" fillId="0" borderId="0" xfId="0" applyFont="1" applyAlignment="1">
      <alignment horizontal="center"/>
    </xf>
    <xf numFmtId="0" fontId="136" fillId="0" borderId="0" xfId="0" applyFont="1"/>
    <xf numFmtId="0" fontId="92" fillId="67" borderId="8" xfId="0" applyFont="1" applyFill="1" applyBorder="1" applyAlignment="1">
      <alignment horizontal="right"/>
    </xf>
    <xf numFmtId="174" fontId="92" fillId="0" borderId="1" xfId="33110" applyNumberFormat="1" applyFont="1" applyFill="1" applyBorder="1" applyAlignment="1">
      <alignment horizontal="right"/>
    </xf>
    <xf numFmtId="0" fontId="91" fillId="0" borderId="0" xfId="0" applyFont="1" applyAlignment="1">
      <alignment horizontal="right"/>
    </xf>
    <xf numFmtId="0" fontId="112" fillId="0" borderId="0" xfId="0" applyFont="1" applyAlignment="1">
      <alignment horizontal="right" vertical="top"/>
    </xf>
    <xf numFmtId="194" fontId="92" fillId="0" borderId="0" xfId="0" applyNumberFormat="1" applyFont="1" applyAlignment="1">
      <alignment horizontal="right"/>
    </xf>
    <xf numFmtId="172" fontId="96" fillId="0" borderId="0" xfId="11" applyNumberFormat="1" applyFont="1" applyFill="1" applyBorder="1" applyAlignment="1" applyProtection="1">
      <alignment horizontal="center"/>
      <protection locked="0"/>
    </xf>
    <xf numFmtId="172" fontId="92" fillId="0" borderId="0" xfId="0" applyNumberFormat="1" applyFont="1" applyAlignment="1">
      <alignment horizontal="right"/>
    </xf>
    <xf numFmtId="165" fontId="91" fillId="0" borderId="0" xfId="0" applyNumberFormat="1" applyFont="1" applyAlignment="1">
      <alignment horizontal="right"/>
    </xf>
    <xf numFmtId="177" fontId="91" fillId="0" borderId="0" xfId="0" applyNumberFormat="1" applyFont="1" applyAlignment="1">
      <alignment horizontal="right"/>
    </xf>
    <xf numFmtId="176" fontId="92" fillId="0" borderId="0" xfId="0" applyNumberFormat="1" applyFont="1" applyAlignment="1">
      <alignment horizontal="right"/>
    </xf>
    <xf numFmtId="181" fontId="101" fillId="4" borderId="49" xfId="11" applyNumberFormat="1" applyFont="1" applyBorder="1" applyAlignment="1" applyProtection="1">
      <alignment horizontal="right"/>
      <protection locked="0"/>
    </xf>
    <xf numFmtId="187" fontId="90" fillId="0" borderId="49" xfId="11" applyNumberFormat="1" applyFont="1" applyFill="1" applyBorder="1" applyAlignment="1" applyProtection="1">
      <alignment horizontal="right"/>
    </xf>
    <xf numFmtId="175" fontId="96" fillId="4" borderId="49" xfId="11" applyNumberFormat="1" applyFont="1" applyBorder="1" applyAlignment="1" applyProtection="1">
      <alignment horizontal="right"/>
      <protection locked="0"/>
    </xf>
    <xf numFmtId="178" fontId="90" fillId="0" borderId="49" xfId="0" applyNumberFormat="1" applyFont="1" applyBorder="1" applyAlignment="1">
      <alignment horizontal="right"/>
    </xf>
    <xf numFmtId="0" fontId="104" fillId="0" borderId="34" xfId="0" applyFont="1" applyBorder="1" applyAlignment="1">
      <alignment horizontal="right" vertical="top"/>
    </xf>
    <xf numFmtId="194" fontId="92" fillId="0" borderId="1" xfId="0" applyNumberFormat="1" applyFont="1" applyBorder="1" applyAlignment="1">
      <alignment horizontal="right"/>
    </xf>
    <xf numFmtId="0" fontId="91" fillId="0" borderId="1" xfId="0" applyFont="1" applyBorder="1" applyAlignment="1">
      <alignment horizontal="right"/>
    </xf>
    <xf numFmtId="0" fontId="92" fillId="0" borderId="44" xfId="0" applyFont="1" applyBorder="1"/>
    <xf numFmtId="0" fontId="91" fillId="0" borderId="44" xfId="0" applyFont="1" applyBorder="1"/>
    <xf numFmtId="174" fontId="91" fillId="0" borderId="44" xfId="0" applyNumberFormat="1" applyFont="1" applyBorder="1" applyAlignment="1">
      <alignment horizontal="right"/>
    </xf>
    <xf numFmtId="177" fontId="92" fillId="0" borderId="44" xfId="0" applyNumberFormat="1" applyFont="1" applyBorder="1" applyAlignment="1">
      <alignment horizontal="right"/>
    </xf>
    <xf numFmtId="177" fontId="92" fillId="0" borderId="44" xfId="0" quotePrefix="1" applyNumberFormat="1" applyFont="1" applyBorder="1" applyAlignment="1">
      <alignment horizontal="right"/>
    </xf>
    <xf numFmtId="0" fontId="92" fillId="0" borderId="46" xfId="0" applyFont="1" applyBorder="1"/>
    <xf numFmtId="0" fontId="91" fillId="0" borderId="46" xfId="0" applyFont="1" applyBorder="1"/>
    <xf numFmtId="174" fontId="91" fillId="0" borderId="46" xfId="0" applyNumberFormat="1" applyFont="1" applyBorder="1" applyAlignment="1">
      <alignment horizontal="right"/>
    </xf>
    <xf numFmtId="177" fontId="92" fillId="0" borderId="46" xfId="0" applyNumberFormat="1" applyFont="1" applyBorder="1" applyAlignment="1">
      <alignment horizontal="right"/>
    </xf>
    <xf numFmtId="174" fontId="90" fillId="0" borderId="45" xfId="0" applyNumberFormat="1" applyFont="1" applyBorder="1"/>
    <xf numFmtId="174" fontId="96" fillId="2" borderId="45" xfId="0" applyNumberFormat="1" applyFont="1" applyFill="1" applyBorder="1" applyProtection="1">
      <protection locked="0"/>
    </xf>
    <xf numFmtId="174" fontId="96" fillId="2" borderId="49" xfId="0" applyNumberFormat="1" applyFont="1" applyFill="1" applyBorder="1" applyProtection="1">
      <protection locked="0"/>
    </xf>
    <xf numFmtId="172" fontId="96" fillId="0" borderId="49" xfId="0" applyNumberFormat="1" applyFont="1" applyBorder="1" applyProtection="1">
      <protection locked="0"/>
    </xf>
    <xf numFmtId="172" fontId="113" fillId="2" borderId="49" xfId="6" applyNumberFormat="1" applyFont="1" applyFill="1" applyBorder="1" applyProtection="1">
      <protection locked="0"/>
    </xf>
    <xf numFmtId="172" fontId="113" fillId="2" borderId="49" xfId="6" applyNumberFormat="1" applyFont="1" applyFill="1" applyBorder="1" applyAlignment="1" applyProtection="1">
      <protection locked="0"/>
    </xf>
    <xf numFmtId="172" fontId="95" fillId="0" borderId="96" xfId="8" applyNumberFormat="1" applyFont="1" applyBorder="1"/>
    <xf numFmtId="172" fontId="113" fillId="2" borderId="96" xfId="6" applyNumberFormat="1" applyFont="1" applyFill="1" applyBorder="1" applyProtection="1">
      <protection locked="0"/>
    </xf>
    <xf numFmtId="172" fontId="114" fillId="0" borderId="0" xfId="8" quotePrefix="1" applyNumberFormat="1" applyFont="1" applyAlignment="1">
      <alignment horizontal="center"/>
    </xf>
    <xf numFmtId="38" fontId="95" fillId="0" borderId="0" xfId="6" applyNumberFormat="1" applyFont="1" applyBorder="1" applyProtection="1"/>
    <xf numFmtId="172" fontId="95" fillId="0" borderId="0" xfId="6" applyNumberFormat="1" applyFont="1" applyBorder="1" applyProtection="1"/>
    <xf numFmtId="172" fontId="94" fillId="0" borderId="0" xfId="10" quotePrefix="1" applyNumberFormat="1" applyFont="1" applyBorder="1" applyAlignment="1" applyProtection="1">
      <alignment horizontal="center"/>
    </xf>
    <xf numFmtId="175" fontId="94" fillId="0" borderId="0" xfId="10" applyNumberFormat="1" applyFont="1" applyBorder="1" applyProtection="1"/>
    <xf numFmtId="44" fontId="95" fillId="0" borderId="0" xfId="6" applyFont="1" applyBorder="1" applyAlignment="1" applyProtection="1"/>
    <xf numFmtId="44" fontId="95" fillId="0" borderId="0" xfId="6" applyFont="1" applyBorder="1" applyAlignment="1" applyProtection="1">
      <alignment horizontal="right"/>
    </xf>
    <xf numFmtId="174" fontId="94" fillId="0" borderId="59" xfId="6" applyNumberFormat="1" applyFont="1" applyBorder="1" applyAlignment="1" applyProtection="1">
      <alignment horizontal="right"/>
    </xf>
    <xf numFmtId="174" fontId="94" fillId="0" borderId="57" xfId="6" applyNumberFormat="1" applyFont="1" applyBorder="1" applyAlignment="1" applyProtection="1">
      <alignment horizontal="right"/>
    </xf>
    <xf numFmtId="172" fontId="113" fillId="2" borderId="103" xfId="6" applyNumberFormat="1" applyFont="1" applyFill="1" applyBorder="1" applyProtection="1">
      <protection locked="0"/>
    </xf>
    <xf numFmtId="174" fontId="95" fillId="0" borderId="49" xfId="8" applyNumberFormat="1" applyFont="1" applyBorder="1"/>
    <xf numFmtId="9" fontId="95" fillId="0" borderId="0" xfId="10" applyFont="1" applyBorder="1" applyProtection="1"/>
    <xf numFmtId="175" fontId="95" fillId="0" borderId="96" xfId="6" applyNumberFormat="1" applyFont="1" applyFill="1" applyBorder="1" applyProtection="1"/>
    <xf numFmtId="175" fontId="95" fillId="0" borderId="49" xfId="6" applyNumberFormat="1" applyFont="1" applyFill="1" applyBorder="1" applyProtection="1"/>
    <xf numFmtId="175" fontId="95" fillId="0" borderId="103" xfId="6" applyNumberFormat="1" applyFont="1" applyFill="1" applyBorder="1" applyProtection="1"/>
    <xf numFmtId="38" fontId="95" fillId="0" borderId="0" xfId="6" applyNumberFormat="1" applyFont="1" applyFill="1" applyBorder="1" applyProtection="1"/>
    <xf numFmtId="9" fontId="95" fillId="0" borderId="0" xfId="9" applyFont="1" applyFill="1" applyBorder="1" applyProtection="1"/>
    <xf numFmtId="44" fontId="95" fillId="0" borderId="0" xfId="6" applyFont="1" applyFill="1" applyBorder="1" applyAlignment="1" applyProtection="1">
      <alignment horizontal="right"/>
    </xf>
    <xf numFmtId="44" fontId="95" fillId="0" borderId="0" xfId="6" applyFont="1" applyFill="1" applyBorder="1" applyAlignment="1" applyProtection="1"/>
    <xf numFmtId="38" fontId="95" fillId="0" borderId="60" xfId="8" applyNumberFormat="1" applyFont="1" applyBorder="1"/>
    <xf numFmtId="175" fontId="95" fillId="0" borderId="60" xfId="9" applyNumberFormat="1" applyFont="1" applyFill="1" applyBorder="1" applyProtection="1"/>
    <xf numFmtId="175" fontId="95" fillId="0" borderId="59" xfId="6" applyNumberFormat="1" applyFont="1" applyFill="1" applyBorder="1" applyProtection="1"/>
    <xf numFmtId="172" fontId="113" fillId="2" borderId="49" xfId="8" applyNumberFormat="1" applyFont="1" applyFill="1" applyBorder="1" applyProtection="1">
      <protection locked="0"/>
    </xf>
    <xf numFmtId="38" fontId="95" fillId="0" borderId="96" xfId="6" applyNumberFormat="1" applyFont="1" applyBorder="1" applyProtection="1"/>
    <xf numFmtId="38" fontId="95" fillId="0" borderId="96" xfId="8" applyNumberFormat="1" applyFont="1" applyBorder="1"/>
    <xf numFmtId="38" fontId="95" fillId="0" borderId="103" xfId="6" applyNumberFormat="1" applyFont="1" applyBorder="1" applyProtection="1"/>
    <xf numFmtId="44" fontId="95" fillId="0" borderId="0" xfId="6" applyFont="1" applyBorder="1" applyProtection="1"/>
    <xf numFmtId="172" fontId="95" fillId="0" borderId="96" xfId="6" applyNumberFormat="1" applyFont="1" applyBorder="1" applyProtection="1"/>
    <xf numFmtId="38" fontId="95" fillId="0" borderId="49" xfId="6" applyNumberFormat="1" applyFont="1" applyFill="1" applyBorder="1" applyProtection="1"/>
    <xf numFmtId="38" fontId="95" fillId="0" borderId="60" xfId="6" applyNumberFormat="1" applyFont="1" applyBorder="1" applyProtection="1"/>
    <xf numFmtId="174" fontId="91" fillId="0" borderId="0" xfId="0" applyNumberFormat="1" applyFont="1" applyAlignment="1">
      <alignment horizontal="right" vertical="top"/>
    </xf>
    <xf numFmtId="0" fontId="107" fillId="0" borderId="0" xfId="0" applyFont="1" applyAlignment="1">
      <alignment horizontal="right" vertical="top"/>
    </xf>
    <xf numFmtId="172" fontId="96" fillId="69" borderId="36" xfId="0" applyNumberFormat="1" applyFont="1" applyFill="1" applyBorder="1" applyAlignment="1" applyProtection="1">
      <alignment horizontal="right" vertical="top"/>
      <protection locked="0"/>
    </xf>
    <xf numFmtId="172" fontId="96" fillId="69" borderId="37" xfId="0" applyNumberFormat="1" applyFont="1" applyFill="1" applyBorder="1" applyAlignment="1" applyProtection="1">
      <alignment horizontal="right" vertical="top"/>
      <protection locked="0"/>
    </xf>
    <xf numFmtId="172" fontId="96" fillId="69" borderId="67" xfId="0" applyNumberFormat="1" applyFont="1" applyFill="1" applyBorder="1" applyAlignment="1" applyProtection="1">
      <alignment horizontal="right" vertical="top"/>
      <protection locked="0"/>
    </xf>
    <xf numFmtId="172" fontId="90" fillId="69" borderId="37" xfId="0" applyNumberFormat="1" applyFont="1" applyFill="1" applyBorder="1" applyAlignment="1" applyProtection="1">
      <alignment horizontal="right" vertical="top"/>
      <protection locked="0"/>
    </xf>
    <xf numFmtId="172" fontId="90" fillId="69" borderId="67" xfId="0" applyNumberFormat="1" applyFont="1" applyFill="1" applyBorder="1" applyAlignment="1" applyProtection="1">
      <alignment horizontal="right" vertical="top"/>
      <protection locked="0"/>
    </xf>
    <xf numFmtId="172" fontId="90" fillId="69" borderId="3" xfId="0" applyNumberFormat="1" applyFont="1" applyFill="1" applyBorder="1" applyAlignment="1" applyProtection="1">
      <alignment horizontal="right" vertical="top"/>
      <protection locked="0"/>
    </xf>
    <xf numFmtId="172" fontId="90" fillId="69" borderId="38" xfId="0" applyNumberFormat="1" applyFont="1" applyFill="1" applyBorder="1" applyAlignment="1" applyProtection="1">
      <alignment horizontal="right" vertical="top"/>
      <protection locked="0"/>
    </xf>
    <xf numFmtId="172" fontId="90" fillId="69" borderId="33" xfId="0" applyNumberFormat="1" applyFont="1" applyFill="1" applyBorder="1" applyAlignment="1" applyProtection="1">
      <alignment horizontal="right" vertical="top"/>
      <protection locked="0"/>
    </xf>
    <xf numFmtId="0" fontId="90" fillId="0" borderId="41" xfId="0" applyFont="1" applyBorder="1" applyAlignment="1">
      <alignment horizontal="right"/>
    </xf>
    <xf numFmtId="172" fontId="90" fillId="0" borderId="41" xfId="9" applyNumberFormat="1" applyFont="1" applyFill="1" applyBorder="1" applyAlignment="1" applyProtection="1">
      <alignment horizontal="right" vertical="top"/>
    </xf>
    <xf numFmtId="172" fontId="91" fillId="0" borderId="1" xfId="0" applyNumberFormat="1" applyFont="1" applyBorder="1" applyAlignment="1">
      <alignment horizontal="right" vertical="top"/>
    </xf>
    <xf numFmtId="172" fontId="91" fillId="3" borderId="1" xfId="0" applyNumberFormat="1" applyFont="1" applyFill="1" applyBorder="1" applyAlignment="1">
      <alignment horizontal="right" vertical="top"/>
    </xf>
    <xf numFmtId="172" fontId="91" fillId="3" borderId="0" xfId="0" applyNumberFormat="1" applyFont="1" applyFill="1" applyAlignment="1">
      <alignment horizontal="right" vertical="top"/>
    </xf>
    <xf numFmtId="165" fontId="91" fillId="0" borderId="0" xfId="0" applyNumberFormat="1" applyFont="1" applyAlignment="1">
      <alignment horizontal="right" vertical="top"/>
    </xf>
    <xf numFmtId="174" fontId="105" fillId="0" borderId="0" xfId="0" applyNumberFormat="1" applyFont="1" applyAlignment="1">
      <alignment horizontal="right" vertical="top"/>
    </xf>
    <xf numFmtId="0" fontId="104" fillId="0" borderId="63" xfId="0" applyFont="1" applyBorder="1" applyAlignment="1">
      <alignment horizontal="center" vertical="top"/>
    </xf>
    <xf numFmtId="0" fontId="107" fillId="0" borderId="59" xfId="0" applyFont="1" applyBorder="1" applyAlignment="1">
      <alignment horizontal="center" vertical="top"/>
    </xf>
    <xf numFmtId="187" fontId="91" fillId="0" borderId="0" xfId="11" applyNumberFormat="1" applyFont="1" applyFill="1" applyBorder="1" applyAlignment="1" applyProtection="1">
      <alignment horizontal="center"/>
      <protection locked="0"/>
    </xf>
    <xf numFmtId="187" fontId="91" fillId="0" borderId="0" xfId="11" applyNumberFormat="1" applyFont="1" applyFill="1" applyBorder="1" applyAlignment="1" applyProtection="1">
      <alignment horizontal="center" wrapText="1"/>
      <protection locked="0"/>
    </xf>
    <xf numFmtId="187" fontId="96" fillId="4" borderId="49" xfId="11" applyNumberFormat="1" applyFont="1" applyBorder="1" applyAlignment="1" applyProtection="1">
      <alignment horizontal="center" wrapText="1"/>
      <protection locked="0"/>
    </xf>
    <xf numFmtId="172" fontId="91" fillId="0" borderId="49" xfId="0" applyNumberFormat="1" applyFont="1" applyBorder="1" applyAlignment="1">
      <alignment horizontal="center" vertical="top"/>
    </xf>
    <xf numFmtId="172" fontId="91" fillId="0" borderId="97" xfId="0" applyNumberFormat="1" applyFont="1" applyBorder="1" applyAlignment="1">
      <alignment horizontal="center" vertical="top"/>
    </xf>
    <xf numFmtId="172" fontId="91" fillId="0" borderId="103" xfId="0" applyNumberFormat="1" applyFont="1" applyBorder="1" applyAlignment="1">
      <alignment horizontal="center" vertical="top"/>
    </xf>
    <xf numFmtId="0" fontId="125" fillId="0" borderId="50" xfId="0" applyFont="1" applyBorder="1" applyAlignment="1">
      <alignment horizontal="left" indent="1"/>
    </xf>
    <xf numFmtId="0" fontId="125" fillId="0" borderId="13" xfId="0" applyFont="1" applyBorder="1" applyAlignment="1">
      <alignment horizontal="left" indent="1"/>
    </xf>
    <xf numFmtId="44" fontId="91" fillId="0" borderId="0" xfId="33110" applyFont="1" applyFill="1" applyBorder="1"/>
    <xf numFmtId="174" fontId="92" fillId="0" borderId="0" xfId="0" applyNumberFormat="1" applyFont="1"/>
    <xf numFmtId="174" fontId="92" fillId="0" borderId="0" xfId="33110" applyNumberFormat="1" applyFont="1" applyFill="1" applyBorder="1"/>
    <xf numFmtId="0" fontId="96" fillId="2" borderId="1" xfId="0" applyFont="1" applyFill="1" applyBorder="1" applyProtection="1">
      <protection locked="0"/>
    </xf>
    <xf numFmtId="0" fontId="96" fillId="2" borderId="51" xfId="0" applyFont="1" applyFill="1" applyBorder="1" applyProtection="1">
      <protection locked="0"/>
    </xf>
    <xf numFmtId="0" fontId="104" fillId="0" borderId="0" xfId="0" applyFont="1" applyAlignment="1">
      <alignment horizontal="right" vertical="top"/>
    </xf>
    <xf numFmtId="172" fontId="90" fillId="0" borderId="46" xfId="0" applyNumberFormat="1" applyFont="1" applyBorder="1" applyAlignment="1">
      <alignment horizontal="right" vertical="top"/>
    </xf>
    <xf numFmtId="0" fontId="92" fillId="0" borderId="41" xfId="0" applyFont="1" applyBorder="1"/>
    <xf numFmtId="0" fontId="91" fillId="0" borderId="44" xfId="0" applyFont="1" applyBorder="1" applyAlignment="1">
      <alignment horizontal="right"/>
    </xf>
    <xf numFmtId="9" fontId="91" fillId="0" borderId="44" xfId="9" applyFont="1" applyFill="1" applyBorder="1" applyAlignment="1">
      <alignment horizontal="right" vertical="top"/>
    </xf>
    <xf numFmtId="174" fontId="91" fillId="0" borderId="46" xfId="0" applyNumberFormat="1" applyFont="1" applyBorder="1" applyAlignment="1">
      <alignment horizontal="right" vertical="top"/>
    </xf>
    <xf numFmtId="172" fontId="91" fillId="0" borderId="46" xfId="0" applyNumberFormat="1" applyFont="1" applyBorder="1" applyAlignment="1">
      <alignment horizontal="right" vertical="top"/>
    </xf>
    <xf numFmtId="0" fontId="91" fillId="3" borderId="1" xfId="0" applyFont="1" applyFill="1" applyBorder="1" applyAlignment="1">
      <alignment wrapText="1"/>
    </xf>
    <xf numFmtId="0" fontId="100" fillId="0" borderId="41" xfId="7" applyFont="1" applyBorder="1" applyAlignment="1" applyProtection="1">
      <alignment horizontal="right" wrapText="1" indent="1"/>
    </xf>
    <xf numFmtId="0" fontId="91" fillId="0" borderId="41" xfId="0" applyFont="1" applyBorder="1" applyAlignment="1">
      <alignment horizontal="right" vertical="top"/>
    </xf>
    <xf numFmtId="172" fontId="92" fillId="0" borderId="41" xfId="0" applyNumberFormat="1" applyFont="1" applyBorder="1" applyAlignment="1">
      <alignment horizontal="right" vertical="top"/>
    </xf>
    <xf numFmtId="0" fontId="91" fillId="0" borderId="1" xfId="0" applyFont="1" applyBorder="1" applyAlignment="1">
      <alignment horizontal="right" vertical="top"/>
    </xf>
    <xf numFmtId="172" fontId="96" fillId="2" borderId="60" xfId="0" applyNumberFormat="1" applyFont="1" applyFill="1" applyBorder="1" applyAlignment="1" applyProtection="1">
      <alignment horizontal="right" vertical="top"/>
      <protection locked="0"/>
    </xf>
    <xf numFmtId="172" fontId="96" fillId="2" borderId="49" xfId="0" applyNumberFormat="1" applyFont="1" applyFill="1" applyBorder="1" applyAlignment="1" applyProtection="1">
      <alignment horizontal="right" vertical="top"/>
      <protection locked="0"/>
    </xf>
    <xf numFmtId="172" fontId="96" fillId="2" borderId="103" xfId="0" applyNumberFormat="1" applyFont="1" applyFill="1" applyBorder="1" applyAlignment="1" applyProtection="1">
      <alignment horizontal="right" vertical="top"/>
      <protection locked="0"/>
    </xf>
    <xf numFmtId="174" fontId="92" fillId="3" borderId="0" xfId="0" applyNumberFormat="1" applyFont="1" applyFill="1" applyAlignment="1">
      <alignment horizontal="right"/>
    </xf>
    <xf numFmtId="0" fontId="100" fillId="0" borderId="46" xfId="7" applyFont="1" applyBorder="1" applyAlignment="1" applyProtection="1">
      <alignment horizontal="right" wrapText="1" indent="1"/>
    </xf>
    <xf numFmtId="0" fontId="107" fillId="0" borderId="46" xfId="0" applyFont="1" applyBorder="1" applyAlignment="1">
      <alignment horizontal="right" vertical="top"/>
    </xf>
    <xf numFmtId="0" fontId="92" fillId="0" borderId="9" xfId="0" applyFont="1" applyBorder="1" applyAlignment="1">
      <alignment horizontal="center"/>
    </xf>
    <xf numFmtId="173" fontId="91" fillId="0" borderId="0" xfId="0" applyNumberFormat="1" applyFont="1" applyAlignment="1">
      <alignment horizontal="right"/>
    </xf>
    <xf numFmtId="165" fontId="92" fillId="0" borderId="0" xfId="0" applyNumberFormat="1" applyFont="1" applyAlignment="1">
      <alignment horizontal="right" vertical="top"/>
    </xf>
    <xf numFmtId="174" fontId="106" fillId="0" borderId="0" xfId="0" applyNumberFormat="1" applyFont="1" applyAlignment="1">
      <alignment horizontal="right"/>
    </xf>
    <xf numFmtId="174" fontId="91" fillId="0" borderId="6" xfId="0" applyNumberFormat="1" applyFont="1" applyBorder="1" applyAlignment="1">
      <alignment horizontal="right"/>
    </xf>
    <xf numFmtId="165" fontId="106" fillId="0" borderId="0" xfId="0" applyNumberFormat="1" applyFont="1" applyAlignment="1">
      <alignment horizontal="right"/>
    </xf>
    <xf numFmtId="172" fontId="92" fillId="0" borderId="51" xfId="0" applyNumberFormat="1" applyFont="1" applyBorder="1" applyAlignment="1">
      <alignment horizontal="right"/>
    </xf>
    <xf numFmtId="196" fontId="92" fillId="0" borderId="51" xfId="0" applyNumberFormat="1" applyFont="1" applyBorder="1" applyAlignment="1">
      <alignment horizontal="right"/>
    </xf>
    <xf numFmtId="180" fontId="92" fillId="0" borderId="0" xfId="0" applyNumberFormat="1" applyFont="1" applyAlignment="1">
      <alignment horizontal="right"/>
    </xf>
    <xf numFmtId="6" fontId="91" fillId="0" borderId="0" xfId="0" applyNumberFormat="1" applyFont="1" applyAlignment="1">
      <alignment horizontal="right"/>
    </xf>
    <xf numFmtId="175" fontId="91" fillId="0" borderId="0" xfId="0" applyNumberFormat="1" applyFont="1" applyAlignment="1">
      <alignment horizontal="right"/>
    </xf>
    <xf numFmtId="177" fontId="91" fillId="0" borderId="0" xfId="0" applyNumberFormat="1" applyFont="1" applyAlignment="1">
      <alignment horizontal="right" vertical="top"/>
    </xf>
    <xf numFmtId="175" fontId="91" fillId="0" borderId="0" xfId="0" applyNumberFormat="1" applyFont="1" applyAlignment="1">
      <alignment horizontal="right" vertical="top"/>
    </xf>
    <xf numFmtId="175" fontId="92" fillId="0" borderId="6" xfId="0" applyNumberFormat="1" applyFont="1" applyBorder="1" applyAlignment="1">
      <alignment horizontal="right"/>
    </xf>
    <xf numFmtId="165" fontId="105" fillId="0" borderId="0" xfId="0" applyNumberFormat="1" applyFont="1" applyAlignment="1">
      <alignment horizontal="right"/>
    </xf>
    <xf numFmtId="179" fontId="92" fillId="0" borderId="6" xfId="0" applyNumberFormat="1" applyFont="1" applyBorder="1" applyAlignment="1">
      <alignment horizontal="right"/>
    </xf>
    <xf numFmtId="180" fontId="106" fillId="0" borderId="0" xfId="0" applyNumberFormat="1" applyFont="1" applyAlignment="1">
      <alignment horizontal="right"/>
    </xf>
    <xf numFmtId="200" fontId="91" fillId="0" borderId="59" xfId="0" applyNumberFormat="1" applyFont="1" applyBorder="1" applyAlignment="1">
      <alignment horizontal="right"/>
    </xf>
    <xf numFmtId="172" fontId="91" fillId="2" borderId="104" xfId="0" applyNumberFormat="1" applyFont="1" applyFill="1" applyBorder="1" applyAlignment="1" applyProtection="1">
      <alignment horizontal="right"/>
      <protection locked="0"/>
    </xf>
    <xf numFmtId="174" fontId="91" fillId="0" borderId="0" xfId="0" applyNumberFormat="1" applyFont="1" applyAlignment="1">
      <alignment horizontal="right" wrapText="1"/>
    </xf>
    <xf numFmtId="172" fontId="96" fillId="2" borderId="96" xfId="0" applyNumberFormat="1" applyFont="1" applyFill="1" applyBorder="1" applyAlignment="1" applyProtection="1">
      <alignment horizontal="right" wrapText="1"/>
      <protection locked="0"/>
    </xf>
    <xf numFmtId="189" fontId="96" fillId="4" borderId="105" xfId="11" applyNumberFormat="1" applyFont="1" applyBorder="1" applyAlignment="1" applyProtection="1">
      <alignment horizontal="center"/>
      <protection locked="0"/>
    </xf>
    <xf numFmtId="172" fontId="96" fillId="2" borderId="97" xfId="0" applyNumberFormat="1" applyFont="1" applyFill="1" applyBorder="1" applyAlignment="1" applyProtection="1">
      <alignment horizontal="right" wrapText="1"/>
      <protection locked="0"/>
    </xf>
    <xf numFmtId="174" fontId="92" fillId="0" borderId="51" xfId="0" applyNumberFormat="1" applyFont="1" applyBorder="1"/>
    <xf numFmtId="174" fontId="96" fillId="2" borderId="49" xfId="0" applyNumberFormat="1" applyFont="1" applyFill="1" applyBorder="1" applyAlignment="1" applyProtection="1">
      <alignment horizontal="right"/>
      <protection locked="0"/>
    </xf>
    <xf numFmtId="172" fontId="96" fillId="2" borderId="49" xfId="0" applyNumberFormat="1" applyFont="1" applyFill="1" applyBorder="1" applyAlignment="1" applyProtection="1">
      <alignment horizontal="right"/>
      <protection locked="0"/>
    </xf>
    <xf numFmtId="172" fontId="96" fillId="2" borderId="103" xfId="0" applyNumberFormat="1" applyFont="1" applyFill="1" applyBorder="1" applyAlignment="1" applyProtection="1">
      <alignment horizontal="right"/>
      <protection locked="0"/>
    </xf>
    <xf numFmtId="0" fontId="91" fillId="3" borderId="69" xfId="0" applyFont="1" applyFill="1" applyBorder="1"/>
    <xf numFmtId="0" fontId="91" fillId="3" borderId="46" xfId="0" applyFont="1" applyFill="1" applyBorder="1"/>
    <xf numFmtId="0" fontId="90" fillId="0" borderId="97" xfId="0" applyFont="1" applyBorder="1" applyAlignment="1">
      <alignment horizontal="center" vertical="top"/>
    </xf>
    <xf numFmtId="175" fontId="92" fillId="0" borderId="0" xfId="0" applyNumberFormat="1" applyFont="1" applyAlignment="1">
      <alignment horizontal="right" vertical="top"/>
    </xf>
    <xf numFmtId="201" fontId="91" fillId="0" borderId="0" xfId="0" applyNumberFormat="1" applyFont="1" applyAlignment="1">
      <alignment horizontal="center"/>
    </xf>
    <xf numFmtId="200" fontId="107" fillId="0" borderId="0" xfId="0" applyNumberFormat="1" applyFont="1" applyAlignment="1">
      <alignment horizontal="right" vertical="top"/>
    </xf>
    <xf numFmtId="174" fontId="107" fillId="0" borderId="46" xfId="0" applyNumberFormat="1" applyFont="1" applyBorder="1" applyAlignment="1">
      <alignment horizontal="center" vertical="top"/>
    </xf>
    <xf numFmtId="174" fontId="107" fillId="0" borderId="41" xfId="0" applyNumberFormat="1" applyFont="1" applyBorder="1" applyAlignment="1">
      <alignment horizontal="center" vertical="top"/>
    </xf>
    <xf numFmtId="172" fontId="107" fillId="0" borderId="46" xfId="0" applyNumberFormat="1" applyFont="1" applyBorder="1" applyAlignment="1">
      <alignment horizontal="right" vertical="top"/>
    </xf>
    <xf numFmtId="174" fontId="107" fillId="0" borderId="41" xfId="0" applyNumberFormat="1" applyFont="1" applyBorder="1" applyAlignment="1">
      <alignment horizontal="right" vertical="top"/>
    </xf>
    <xf numFmtId="172" fontId="107" fillId="0" borderId="41" xfId="0" applyNumberFormat="1" applyFont="1" applyBorder="1" applyAlignment="1">
      <alignment horizontal="right" vertical="top"/>
    </xf>
    <xf numFmtId="0" fontId="107" fillId="3" borderId="41" xfId="0" applyFont="1" applyFill="1" applyBorder="1"/>
    <xf numFmtId="0" fontId="104" fillId="0" borderId="0" xfId="6628" applyFont="1"/>
    <xf numFmtId="0" fontId="91" fillId="0" borderId="69" xfId="0" applyFont="1" applyBorder="1"/>
    <xf numFmtId="172" fontId="91" fillId="3" borderId="103" xfId="13330" applyNumberFormat="1" applyFont="1" applyFill="1" applyBorder="1" applyAlignment="1">
      <alignment horizontal="center" vertical="top"/>
    </xf>
    <xf numFmtId="175" fontId="92" fillId="0" borderId="0" xfId="0" applyNumberFormat="1" applyFont="1" applyAlignment="1">
      <alignment horizontal="center"/>
    </xf>
    <xf numFmtId="174" fontId="96" fillId="2" borderId="0" xfId="0" applyNumberFormat="1" applyFont="1" applyFill="1" applyAlignment="1" applyProtection="1">
      <alignment horizontal="right"/>
      <protection locked="0"/>
    </xf>
    <xf numFmtId="175" fontId="92" fillId="0" borderId="59" xfId="0" applyNumberFormat="1" applyFont="1" applyBorder="1" applyAlignment="1">
      <alignment horizontal="center" vertical="top"/>
    </xf>
    <xf numFmtId="43" fontId="101" fillId="4" borderId="3" xfId="4" applyFont="1" applyFill="1" applyBorder="1" applyAlignment="1" applyProtection="1">
      <alignment horizontal="center"/>
      <protection locked="0"/>
    </xf>
    <xf numFmtId="43" fontId="101" fillId="4" borderId="3" xfId="4" applyFont="1" applyFill="1" applyBorder="1" applyAlignment="1" applyProtection="1">
      <alignment horizontal="right"/>
      <protection locked="0"/>
    </xf>
    <xf numFmtId="172" fontId="91" fillId="0" borderId="0" xfId="0" quotePrefix="1" applyNumberFormat="1" applyFont="1" applyAlignment="1">
      <alignment horizontal="right"/>
    </xf>
    <xf numFmtId="164" fontId="91" fillId="0" borderId="0" xfId="0" applyNumberFormat="1" applyFont="1" applyAlignment="1">
      <alignment horizontal="right"/>
    </xf>
    <xf numFmtId="0" fontId="106" fillId="0" borderId="59" xfId="0" applyFont="1" applyBorder="1" applyAlignment="1">
      <alignment horizontal="left"/>
    </xf>
    <xf numFmtId="174" fontId="92" fillId="0" borderId="59" xfId="0" applyNumberFormat="1" applyFont="1" applyBorder="1" applyAlignment="1">
      <alignment horizontal="center"/>
    </xf>
    <xf numFmtId="175" fontId="92" fillId="0" borderId="59" xfId="0" applyNumberFormat="1" applyFont="1" applyBorder="1" applyAlignment="1">
      <alignment horizontal="center"/>
    </xf>
    <xf numFmtId="165" fontId="91" fillId="0" borderId="0" xfId="0" quotePrefix="1" applyNumberFormat="1" applyFont="1" applyAlignment="1">
      <alignment horizontal="right" vertical="top"/>
    </xf>
    <xf numFmtId="0" fontId="0" fillId="2" borderId="41" xfId="0" applyFill="1" applyBorder="1" applyProtection="1">
      <protection locked="0"/>
    </xf>
    <xf numFmtId="0" fontId="104" fillId="0" borderId="1" xfId="0" applyFont="1" applyBorder="1" applyAlignment="1">
      <alignment horizontal="left"/>
    </xf>
    <xf numFmtId="174" fontId="96" fillId="2" borderId="0" xfId="0" applyNumberFormat="1" applyFont="1" applyFill="1" applyAlignment="1" applyProtection="1">
      <alignment horizontal="right" vertical="top"/>
      <protection locked="0"/>
    </xf>
    <xf numFmtId="172" fontId="96" fillId="2" borderId="41" xfId="0" applyNumberFormat="1" applyFont="1" applyFill="1" applyBorder="1" applyAlignment="1" applyProtection="1">
      <alignment horizontal="right" vertical="top"/>
      <protection locked="0"/>
    </xf>
    <xf numFmtId="174" fontId="96" fillId="4" borderId="41" xfId="11" applyNumberFormat="1" applyFont="1" applyBorder="1" applyAlignment="1" applyProtection="1">
      <alignment horizontal="right" vertical="top"/>
      <protection locked="0"/>
    </xf>
    <xf numFmtId="172" fontId="91" fillId="2" borderId="41" xfId="0" applyNumberFormat="1" applyFont="1" applyFill="1" applyBorder="1" applyAlignment="1" applyProtection="1">
      <alignment horizontal="right" vertical="top"/>
      <protection locked="0"/>
    </xf>
    <xf numFmtId="172" fontId="91" fillId="2" borderId="97" xfId="0" applyNumberFormat="1" applyFont="1" applyFill="1" applyBorder="1" applyAlignment="1" applyProtection="1">
      <alignment horizontal="right"/>
      <protection locked="0"/>
    </xf>
    <xf numFmtId="10" fontId="96" fillId="4" borderId="49" xfId="11" applyNumberFormat="1" applyFont="1" applyBorder="1" applyAlignment="1" applyProtection="1">
      <alignment horizontal="center" vertical="top"/>
      <protection locked="0"/>
    </xf>
    <xf numFmtId="173" fontId="91" fillId="2" borderId="49" xfId="0" applyNumberFormat="1" applyFont="1" applyFill="1" applyBorder="1" applyAlignment="1" applyProtection="1">
      <alignment horizontal="center" vertical="top"/>
      <protection locked="0"/>
    </xf>
    <xf numFmtId="173" fontId="91" fillId="2" borderId="97" xfId="0" applyNumberFormat="1" applyFont="1" applyFill="1" applyBorder="1" applyAlignment="1" applyProtection="1">
      <alignment horizontal="center" vertical="top"/>
      <protection locked="0"/>
    </xf>
    <xf numFmtId="173" fontId="91" fillId="2" borderId="103" xfId="0" applyNumberFormat="1" applyFont="1" applyFill="1" applyBorder="1" applyAlignment="1" applyProtection="1">
      <alignment horizontal="center" vertical="top"/>
      <protection locked="0"/>
    </xf>
    <xf numFmtId="0" fontId="92" fillId="3" borderId="1" xfId="0" applyFont="1" applyFill="1" applyBorder="1" applyAlignment="1">
      <alignment horizontal="right"/>
    </xf>
    <xf numFmtId="0" fontId="92" fillId="3" borderId="1" xfId="0" applyFont="1" applyFill="1" applyBorder="1" applyAlignment="1">
      <alignment horizontal="center"/>
    </xf>
    <xf numFmtId="174" fontId="92" fillId="0" borderId="59" xfId="0" applyNumberFormat="1" applyFont="1" applyBorder="1" applyAlignment="1">
      <alignment horizontal="center" vertical="top"/>
    </xf>
    <xf numFmtId="174" fontId="105" fillId="0" borderId="0" xfId="0" applyNumberFormat="1" applyFont="1" applyAlignment="1">
      <alignment horizontal="center"/>
    </xf>
    <xf numFmtId="175" fontId="106" fillId="0" borderId="0" xfId="0" applyNumberFormat="1" applyFont="1" applyAlignment="1">
      <alignment horizontal="right"/>
    </xf>
    <xf numFmtId="203" fontId="92" fillId="0" borderId="6" xfId="0" applyNumberFormat="1" applyFont="1" applyBorder="1" applyAlignment="1">
      <alignment horizontal="center"/>
    </xf>
    <xf numFmtId="204" fontId="91" fillId="0" borderId="0" xfId="0" applyNumberFormat="1" applyFont="1" applyAlignment="1">
      <alignment horizontal="center"/>
    </xf>
    <xf numFmtId="204" fontId="91" fillId="0" borderId="51" xfId="0" applyNumberFormat="1" applyFont="1" applyBorder="1" applyAlignment="1">
      <alignment horizontal="center"/>
    </xf>
    <xf numFmtId="204" fontId="91" fillId="0" borderId="1" xfId="0" applyNumberFormat="1" applyFont="1" applyBorder="1" applyAlignment="1">
      <alignment horizontal="center"/>
    </xf>
    <xf numFmtId="204" fontId="91" fillId="0" borderId="59" xfId="0" applyNumberFormat="1" applyFont="1" applyBorder="1" applyAlignment="1">
      <alignment horizontal="center"/>
    </xf>
    <xf numFmtId="205" fontId="91" fillId="0" borderId="0" xfId="0" applyNumberFormat="1" applyFont="1" applyAlignment="1">
      <alignment horizontal="center"/>
    </xf>
    <xf numFmtId="194" fontId="92" fillId="63" borderId="59" xfId="0" applyNumberFormat="1" applyFont="1" applyFill="1" applyBorder="1" applyAlignment="1">
      <alignment horizontal="right"/>
    </xf>
    <xf numFmtId="0" fontId="92" fillId="63" borderId="98" xfId="0" applyFont="1" applyFill="1" applyBorder="1" applyAlignment="1">
      <alignment horizontal="right"/>
    </xf>
    <xf numFmtId="0" fontId="92" fillId="63" borderId="99" xfId="0" applyFont="1" applyFill="1" applyBorder="1" applyAlignment="1">
      <alignment horizontal="right"/>
    </xf>
    <xf numFmtId="0" fontId="92" fillId="63" borderId="100" xfId="0" applyFont="1" applyFill="1" applyBorder="1" applyAlignment="1">
      <alignment horizontal="right"/>
    </xf>
    <xf numFmtId="0" fontId="92" fillId="63" borderId="10" xfId="0" applyFont="1" applyFill="1" applyBorder="1" applyAlignment="1">
      <alignment horizontal="right"/>
    </xf>
    <xf numFmtId="0" fontId="92" fillId="63" borderId="1" xfId="0" applyFont="1" applyFill="1" applyBorder="1" applyAlignment="1">
      <alignment horizontal="right"/>
    </xf>
    <xf numFmtId="0" fontId="92" fillId="63" borderId="9" xfId="0" applyFont="1" applyFill="1" applyBorder="1" applyAlignment="1">
      <alignment horizontal="right"/>
    </xf>
    <xf numFmtId="0" fontId="92" fillId="63" borderId="63" xfId="0" applyFont="1" applyFill="1" applyBorder="1" applyAlignment="1">
      <alignment horizontal="center"/>
    </xf>
    <xf numFmtId="174" fontId="92" fillId="0" borderId="46" xfId="0" applyNumberFormat="1" applyFont="1" applyBorder="1" applyAlignment="1">
      <alignment horizontal="right"/>
    </xf>
    <xf numFmtId="206" fontId="104" fillId="0" borderId="0" xfId="33110" applyNumberFormat="1" applyFont="1" applyAlignment="1">
      <alignment horizontal="right" vertical="top"/>
    </xf>
    <xf numFmtId="206" fontId="104" fillId="0" borderId="0" xfId="33110" applyNumberFormat="1" applyFont="1" applyAlignment="1">
      <alignment horizontal="center" vertical="top"/>
    </xf>
    <xf numFmtId="174" fontId="92" fillId="0" borderId="0" xfId="0" applyNumberFormat="1" applyFont="1" applyAlignment="1">
      <alignment horizontal="right" wrapText="1"/>
    </xf>
    <xf numFmtId="0" fontId="92" fillId="63" borderId="10" xfId="0" applyFont="1" applyFill="1" applyBorder="1" applyAlignment="1">
      <alignment horizontal="center"/>
    </xf>
    <xf numFmtId="0" fontId="92" fillId="63" borderId="1" xfId="0" applyFont="1" applyFill="1" applyBorder="1" applyAlignment="1">
      <alignment horizontal="center"/>
    </xf>
    <xf numFmtId="0" fontId="92" fillId="63" borderId="9" xfId="0" applyFont="1" applyFill="1" applyBorder="1" applyAlignment="1">
      <alignment horizontal="center"/>
    </xf>
    <xf numFmtId="0" fontId="92" fillId="63" borderId="53" xfId="0" applyFont="1" applyFill="1" applyBorder="1" applyAlignment="1">
      <alignment horizontal="center"/>
    </xf>
    <xf numFmtId="194" fontId="92" fillId="63" borderId="51" xfId="0" applyNumberFormat="1" applyFont="1" applyFill="1" applyBorder="1" applyAlignment="1">
      <alignment horizontal="center"/>
    </xf>
    <xf numFmtId="194" fontId="92" fillId="63" borderId="52" xfId="0" applyNumberFormat="1" applyFont="1" applyFill="1" applyBorder="1" applyAlignment="1">
      <alignment horizontal="center"/>
    </xf>
    <xf numFmtId="0" fontId="92" fillId="63" borderId="98" xfId="0" applyFont="1" applyFill="1" applyBorder="1" applyAlignment="1">
      <alignment horizontal="center"/>
    </xf>
    <xf numFmtId="0" fontId="92" fillId="63" borderId="99" xfId="0" applyFont="1" applyFill="1" applyBorder="1" applyAlignment="1">
      <alignment horizontal="center"/>
    </xf>
    <xf numFmtId="0" fontId="92" fillId="63" borderId="100" xfId="0" applyFont="1" applyFill="1" applyBorder="1" applyAlignment="1">
      <alignment horizontal="center"/>
    </xf>
    <xf numFmtId="177" fontId="92" fillId="0" borderId="6" xfId="0" applyNumberFormat="1" applyFont="1" applyBorder="1"/>
    <xf numFmtId="0" fontId="92" fillId="0" borderId="6" xfId="0" applyFont="1" applyBorder="1"/>
    <xf numFmtId="177" fontId="92" fillId="0" borderId="6" xfId="0" applyNumberFormat="1" applyFont="1" applyBorder="1" applyAlignment="1">
      <alignment horizontal="center"/>
    </xf>
    <xf numFmtId="0" fontId="104" fillId="63" borderId="39" xfId="0" applyFont="1" applyFill="1" applyBorder="1" applyAlignment="1">
      <alignment horizontal="center" vertical="top"/>
    </xf>
    <xf numFmtId="0" fontId="104" fillId="63" borderId="35" xfId="0" applyFont="1" applyFill="1" applyBorder="1" applyAlignment="1">
      <alignment horizontal="center" vertical="top"/>
    </xf>
    <xf numFmtId="0" fontId="104" fillId="63" borderId="40" xfId="0" applyFont="1" applyFill="1" applyBorder="1" applyAlignment="1">
      <alignment horizontal="center" vertical="top"/>
    </xf>
    <xf numFmtId="0" fontId="107" fillId="63" borderId="54" xfId="0" applyFont="1" applyFill="1" applyBorder="1" applyAlignment="1">
      <alignment horizontal="center" vertical="top"/>
    </xf>
    <xf numFmtId="0" fontId="107" fillId="63" borderId="55" xfId="0" applyFont="1" applyFill="1" applyBorder="1" applyAlignment="1">
      <alignment horizontal="center" vertical="top"/>
    </xf>
    <xf numFmtId="0" fontId="107" fillId="63" borderId="56" xfId="0" applyFont="1" applyFill="1" applyBorder="1" applyAlignment="1">
      <alignment horizontal="center" vertical="top"/>
    </xf>
    <xf numFmtId="0" fontId="102" fillId="70" borderId="0" xfId="33111" applyFont="1" applyFill="1" applyAlignment="1">
      <alignment horizontal="left" vertical="top"/>
    </xf>
    <xf numFmtId="0" fontId="117" fillId="70" borderId="0" xfId="33111" applyFont="1" applyFill="1" applyAlignment="1">
      <alignment horizontal="left" vertical="top" wrapText="1"/>
    </xf>
    <xf numFmtId="166" fontId="117" fillId="0" borderId="0" xfId="8" applyNumberFormat="1" applyFont="1" applyAlignment="1">
      <alignment horizontal="center"/>
    </xf>
    <xf numFmtId="43" fontId="91" fillId="0" borderId="0" xfId="4" applyFont="1" applyFill="1" applyProtection="1"/>
    <xf numFmtId="0" fontId="104" fillId="0" borderId="51" xfId="8" applyFont="1" applyBorder="1" applyAlignment="1">
      <alignment horizontal="left"/>
    </xf>
    <xf numFmtId="175" fontId="92" fillId="0" borderId="0" xfId="0" applyNumberFormat="1" applyFont="1" applyAlignment="1">
      <alignment horizontal="right"/>
    </xf>
    <xf numFmtId="194" fontId="92" fillId="63" borderId="59" xfId="0" applyNumberFormat="1" applyFont="1" applyFill="1" applyBorder="1" applyAlignment="1">
      <alignment horizontal="center"/>
    </xf>
    <xf numFmtId="194" fontId="92" fillId="63" borderId="57" xfId="0" applyNumberFormat="1" applyFont="1" applyFill="1" applyBorder="1" applyAlignment="1">
      <alignment horizontal="center"/>
    </xf>
    <xf numFmtId="0" fontId="107" fillId="63" borderId="34" xfId="0" applyFont="1" applyFill="1" applyBorder="1" applyAlignment="1">
      <alignment horizontal="center" vertical="top"/>
    </xf>
    <xf numFmtId="0" fontId="104" fillId="63" borderId="34" xfId="0" applyFont="1" applyFill="1" applyBorder="1" applyAlignment="1">
      <alignment horizontal="center" vertical="top"/>
    </xf>
    <xf numFmtId="174" fontId="95" fillId="2" borderId="49" xfId="6" applyNumberFormat="1" applyFont="1" applyFill="1" applyBorder="1" applyProtection="1">
      <protection locked="0"/>
    </xf>
    <xf numFmtId="172" fontId="91" fillId="0" borderId="49" xfId="0" applyNumberFormat="1" applyFont="1" applyBorder="1" applyAlignment="1">
      <alignment horizontal="right" vertical="top"/>
    </xf>
    <xf numFmtId="164" fontId="96" fillId="4" borderId="49" xfId="11" applyNumberFormat="1" applyFont="1" applyBorder="1" applyAlignment="1" applyProtection="1">
      <alignment horizontal="center" vertical="top"/>
      <protection locked="0"/>
    </xf>
    <xf numFmtId="174" fontId="91" fillId="0" borderId="1" xfId="0" applyNumberFormat="1" applyFont="1" applyBorder="1" applyAlignment="1">
      <alignment horizontal="right" vertical="top"/>
    </xf>
    <xf numFmtId="174" fontId="91" fillId="0" borderId="0" xfId="0" applyNumberFormat="1" applyFont="1" applyAlignment="1">
      <alignment horizontal="right" vertical="top" wrapText="1"/>
    </xf>
    <xf numFmtId="174" fontId="91" fillId="0" borderId="0" xfId="0" quotePrefix="1" applyNumberFormat="1" applyFont="1" applyAlignment="1">
      <alignment horizontal="right" vertical="top"/>
    </xf>
    <xf numFmtId="0" fontId="92" fillId="67" borderId="107" xfId="0" applyFont="1" applyFill="1" applyBorder="1" applyAlignment="1">
      <alignment horizontal="right"/>
    </xf>
    <xf numFmtId="174" fontId="91" fillId="2" borderId="41" xfId="0" applyNumberFormat="1" applyFont="1" applyFill="1" applyBorder="1" applyAlignment="1" applyProtection="1">
      <alignment horizontal="right" vertical="top"/>
      <protection locked="0"/>
    </xf>
    <xf numFmtId="209" fontId="91" fillId="0" borderId="1" xfId="33110" applyNumberFormat="1" applyFont="1" applyFill="1" applyBorder="1"/>
    <xf numFmtId="209" fontId="91" fillId="0" borderId="41" xfId="33110" applyNumberFormat="1" applyFont="1" applyFill="1" applyBorder="1"/>
    <xf numFmtId="209" fontId="91" fillId="0" borderId="46" xfId="33110" applyNumberFormat="1" applyFont="1" applyFill="1" applyBorder="1"/>
    <xf numFmtId="174" fontId="96" fillId="4" borderId="49" xfId="11" applyNumberFormat="1" applyFont="1" applyBorder="1" applyAlignment="1" applyProtection="1">
      <alignment horizontal="center" vertical="top"/>
      <protection locked="0"/>
    </xf>
    <xf numFmtId="175" fontId="96" fillId="4" borderId="49" xfId="11" applyNumberFormat="1" applyFont="1" applyBorder="1" applyAlignment="1" applyProtection="1">
      <alignment horizontal="center" vertical="top"/>
      <protection locked="0"/>
    </xf>
    <xf numFmtId="174" fontId="96" fillId="2" borderId="49" xfId="11" applyNumberFormat="1" applyFont="1" applyFill="1" applyBorder="1" applyAlignment="1" applyProtection="1">
      <alignment horizontal="center" vertical="top"/>
      <protection locked="0"/>
    </xf>
    <xf numFmtId="187" fontId="96" fillId="4" borderId="3" xfId="11" applyNumberFormat="1" applyFont="1" applyAlignment="1" applyProtection="1">
      <alignment horizontal="right"/>
      <protection locked="0"/>
    </xf>
    <xf numFmtId="210" fontId="96" fillId="4" borderId="49" xfId="11" applyNumberFormat="1" applyFont="1" applyBorder="1" applyAlignment="1" applyProtection="1">
      <alignment horizontal="center"/>
      <protection locked="0"/>
    </xf>
    <xf numFmtId="210" fontId="96" fillId="4" borderId="60" xfId="11" applyNumberFormat="1" applyFont="1" applyBorder="1" applyAlignment="1" applyProtection="1">
      <alignment horizontal="center"/>
      <protection locked="0"/>
    </xf>
    <xf numFmtId="189" fontId="96" fillId="4" borderId="3" xfId="11" applyNumberFormat="1" applyFont="1" applyAlignment="1" applyProtection="1">
      <alignment horizontal="center"/>
      <protection locked="0"/>
    </xf>
    <xf numFmtId="211" fontId="96" fillId="4" borderId="3" xfId="11" applyNumberFormat="1" applyFont="1" applyAlignment="1" applyProtection="1">
      <alignment horizontal="center"/>
      <protection locked="0"/>
    </xf>
    <xf numFmtId="212" fontId="96" fillId="4" borderId="3" xfId="11" applyNumberFormat="1" applyFont="1" applyAlignment="1" applyProtection="1">
      <alignment horizontal="center"/>
      <protection locked="0"/>
    </xf>
    <xf numFmtId="213" fontId="96" fillId="4" borderId="3" xfId="11" applyNumberFormat="1" applyFont="1" applyAlignment="1" applyProtection="1">
      <alignment horizontal="center"/>
      <protection locked="0"/>
    </xf>
    <xf numFmtId="174" fontId="92" fillId="0" borderId="59" xfId="0" applyNumberFormat="1" applyFont="1" applyBorder="1" applyAlignment="1">
      <alignment horizontal="right"/>
    </xf>
    <xf numFmtId="172" fontId="90" fillId="0" borderId="97" xfId="0" applyNumberFormat="1" applyFont="1" applyBorder="1" applyAlignment="1">
      <alignment horizontal="right" vertical="top"/>
    </xf>
    <xf numFmtId="172" fontId="90" fillId="0" borderId="49" xfId="0" applyNumberFormat="1" applyFont="1" applyBorder="1" applyAlignment="1">
      <alignment horizontal="right" vertical="top"/>
    </xf>
    <xf numFmtId="172" fontId="96" fillId="2" borderId="0" xfId="0" applyNumberFormat="1" applyFont="1" applyFill="1" applyAlignment="1" applyProtection="1">
      <alignment horizontal="right" vertical="top"/>
      <protection locked="0"/>
    </xf>
    <xf numFmtId="172" fontId="92" fillId="3" borderId="103" xfId="13330" applyNumberFormat="1" applyFont="1" applyFill="1" applyBorder="1" applyAlignment="1">
      <alignment horizontal="right" vertical="top"/>
    </xf>
    <xf numFmtId="172" fontId="96" fillId="2" borderId="97" xfId="0" applyNumberFormat="1" applyFont="1" applyFill="1" applyBorder="1" applyAlignment="1" applyProtection="1">
      <alignment horizontal="right" vertical="top"/>
      <protection locked="0"/>
    </xf>
    <xf numFmtId="9" fontId="101" fillId="2" borderId="49" xfId="9" applyFont="1" applyFill="1" applyBorder="1" applyAlignment="1" applyProtection="1">
      <alignment horizontal="right" vertical="top"/>
      <protection locked="0"/>
    </xf>
    <xf numFmtId="0" fontId="91" fillId="0" borderId="49" xfId="0" applyFont="1" applyBorder="1"/>
    <xf numFmtId="172" fontId="113" fillId="2" borderId="97" xfId="6" applyNumberFormat="1" applyFont="1" applyFill="1" applyBorder="1" applyProtection="1">
      <protection locked="0"/>
    </xf>
    <xf numFmtId="174" fontId="113" fillId="2" borderId="60" xfId="6" quotePrefix="1" applyNumberFormat="1" applyFont="1" applyFill="1" applyBorder="1" applyProtection="1">
      <protection locked="0"/>
    </xf>
    <xf numFmtId="174" fontId="113" fillId="2" borderId="60" xfId="6" applyNumberFormat="1" applyFont="1" applyFill="1" applyBorder="1" applyProtection="1">
      <protection locked="0"/>
    </xf>
    <xf numFmtId="0" fontId="91" fillId="2" borderId="97" xfId="0" applyFont="1" applyFill="1" applyBorder="1" applyAlignment="1">
      <alignment horizontal="center" vertical="top"/>
    </xf>
    <xf numFmtId="0" fontId="91" fillId="2" borderId="49" xfId="0" applyFont="1" applyFill="1" applyBorder="1" applyAlignment="1">
      <alignment horizontal="center" vertical="top"/>
    </xf>
    <xf numFmtId="0" fontId="91" fillId="2" borderId="103" xfId="0" applyFont="1" applyFill="1" applyBorder="1" applyAlignment="1">
      <alignment horizontal="center" vertical="top"/>
    </xf>
    <xf numFmtId="172" fontId="91" fillId="2" borderId="49" xfId="0" applyNumberFormat="1" applyFont="1" applyFill="1" applyBorder="1" applyAlignment="1">
      <alignment horizontal="center" vertical="top"/>
    </xf>
    <xf numFmtId="0" fontId="96" fillId="2" borderId="49" xfId="0" applyFont="1" applyFill="1" applyBorder="1" applyProtection="1">
      <protection locked="0"/>
    </xf>
    <xf numFmtId="175" fontId="96" fillId="2" borderId="49" xfId="0" applyNumberFormat="1" applyFont="1" applyFill="1" applyBorder="1" applyProtection="1">
      <protection locked="0"/>
    </xf>
    <xf numFmtId="0" fontId="96" fillId="2" borderId="103" xfId="0" applyFont="1" applyFill="1" applyBorder="1" applyProtection="1">
      <protection locked="0"/>
    </xf>
    <xf numFmtId="175" fontId="96" fillId="2" borderId="103" xfId="0" applyNumberFormat="1" applyFont="1" applyFill="1" applyBorder="1" applyProtection="1">
      <protection locked="0"/>
    </xf>
    <xf numFmtId="174" fontId="96" fillId="2" borderId="97" xfId="0" applyNumberFormat="1" applyFont="1" applyFill="1" applyBorder="1" applyProtection="1">
      <protection locked="0"/>
    </xf>
    <xf numFmtId="0" fontId="92" fillId="0" borderId="59" xfId="0" applyFont="1" applyBorder="1"/>
    <xf numFmtId="0" fontId="91" fillId="0" borderId="53" xfId="0" applyFont="1" applyBorder="1" applyAlignment="1">
      <alignment horizontal="left" indent="1"/>
    </xf>
    <xf numFmtId="0" fontId="125" fillId="0" borderId="112" xfId="0" applyFont="1" applyBorder="1" applyAlignment="1">
      <alignment horizontal="left" indent="1"/>
    </xf>
    <xf numFmtId="173" fontId="96" fillId="2" borderId="114" xfId="0" applyNumberFormat="1" applyFont="1" applyFill="1" applyBorder="1" applyAlignment="1" applyProtection="1">
      <alignment horizontal="center"/>
      <protection locked="0"/>
    </xf>
    <xf numFmtId="172" fontId="91" fillId="0" borderId="44" xfId="0" applyNumberFormat="1" applyFont="1" applyBorder="1"/>
    <xf numFmtId="174" fontId="90" fillId="0" borderId="61" xfId="0" applyNumberFormat="1" applyFont="1" applyBorder="1"/>
    <xf numFmtId="172" fontId="96" fillId="2" borderId="61" xfId="0" applyNumberFormat="1" applyFont="1" applyFill="1" applyBorder="1" applyProtection="1">
      <protection locked="0"/>
    </xf>
    <xf numFmtId="172" fontId="96" fillId="0" borderId="61" xfId="0" applyNumberFormat="1" applyFont="1" applyBorder="1" applyProtection="1">
      <protection locked="0"/>
    </xf>
    <xf numFmtId="172" fontId="90" fillId="0" borderId="109" xfId="0" applyNumberFormat="1" applyFont="1" applyBorder="1"/>
    <xf numFmtId="0" fontId="94" fillId="0" borderId="59" xfId="8" applyFont="1" applyBorder="1"/>
    <xf numFmtId="174" fontId="94" fillId="0" borderId="59" xfId="6" applyNumberFormat="1" applyFont="1" applyBorder="1" applyProtection="1"/>
    <xf numFmtId="175" fontId="95" fillId="0" borderId="60" xfId="6" applyNumberFormat="1" applyFont="1" applyFill="1" applyBorder="1" applyProtection="1"/>
    <xf numFmtId="0" fontId="125" fillId="0" borderId="0" xfId="0" applyFont="1" applyAlignment="1">
      <alignment horizontal="left" vertical="center" indent="1"/>
    </xf>
    <xf numFmtId="172" fontId="101" fillId="4" borderId="49" xfId="11" applyNumberFormat="1" applyFont="1" applyBorder="1" applyAlignment="1" applyProtection="1">
      <alignment horizontal="center" vertical="top"/>
      <protection locked="0"/>
    </xf>
    <xf numFmtId="174" fontId="101" fillId="4" borderId="49" xfId="11" applyNumberFormat="1" applyFont="1" applyBorder="1" applyAlignment="1" applyProtection="1">
      <alignment horizontal="center" vertical="top"/>
      <protection locked="0"/>
    </xf>
    <xf numFmtId="173" fontId="101" fillId="4" borderId="49" xfId="11" applyNumberFormat="1" applyFont="1" applyBorder="1" applyAlignment="1" applyProtection="1">
      <alignment horizontal="center" vertical="top"/>
      <protection locked="0"/>
    </xf>
    <xf numFmtId="208" fontId="101" fillId="4" borderId="49" xfId="11" applyNumberFormat="1" applyFont="1" applyBorder="1" applyAlignment="1" applyProtection="1">
      <alignment horizontal="center" vertical="top"/>
      <protection locked="0"/>
    </xf>
    <xf numFmtId="187" fontId="101" fillId="4" borderId="49" xfId="11" applyNumberFormat="1" applyFont="1" applyBorder="1" applyAlignment="1" applyProtection="1">
      <alignment horizontal="center" vertical="top"/>
      <protection locked="0"/>
    </xf>
    <xf numFmtId="172" fontId="96" fillId="0" borderId="115" xfId="0" applyNumberFormat="1" applyFont="1" applyBorder="1" applyProtection="1">
      <protection locked="0"/>
    </xf>
    <xf numFmtId="172" fontId="96" fillId="0" borderId="96" xfId="0" applyNumberFormat="1" applyFont="1" applyBorder="1" applyProtection="1">
      <protection locked="0"/>
    </xf>
    <xf numFmtId="172" fontId="96" fillId="2" borderId="109" xfId="0" applyNumberFormat="1" applyFont="1" applyFill="1" applyBorder="1" applyProtection="1">
      <protection locked="0"/>
    </xf>
    <xf numFmtId="172" fontId="96" fillId="2" borderId="97" xfId="0" applyNumberFormat="1" applyFont="1" applyFill="1" applyBorder="1" applyProtection="1">
      <protection locked="0"/>
    </xf>
    <xf numFmtId="172" fontId="90" fillId="0" borderId="115" xfId="0" applyNumberFormat="1" applyFont="1" applyBorder="1" applyProtection="1">
      <protection locked="0"/>
    </xf>
    <xf numFmtId="172" fontId="90" fillId="0" borderId="96" xfId="0" applyNumberFormat="1" applyFont="1" applyBorder="1" applyProtection="1">
      <protection locked="0"/>
    </xf>
    <xf numFmtId="174" fontId="96" fillId="2" borderId="109" xfId="0" applyNumberFormat="1" applyFont="1" applyFill="1" applyBorder="1" applyProtection="1">
      <protection locked="0"/>
    </xf>
    <xf numFmtId="195" fontId="96" fillId="2" borderId="69" xfId="0" applyNumberFormat="1" applyFont="1" applyFill="1" applyBorder="1" applyProtection="1">
      <protection locked="0"/>
    </xf>
    <xf numFmtId="172" fontId="91" fillId="0" borderId="69" xfId="0" applyNumberFormat="1" applyFont="1" applyBorder="1"/>
    <xf numFmtId="0" fontId="111" fillId="0" borderId="0" xfId="0" applyFont="1" applyAlignment="1">
      <alignment horizontal="center" vertical="center"/>
    </xf>
    <xf numFmtId="172" fontId="91" fillId="2" borderId="97" xfId="0" applyNumberFormat="1" applyFont="1" applyFill="1" applyBorder="1" applyAlignment="1">
      <alignment horizontal="center" vertical="top"/>
    </xf>
    <xf numFmtId="0" fontId="125" fillId="0" borderId="0" xfId="0" applyFont="1" applyAlignment="1">
      <alignment horizontal="center" vertical="center"/>
    </xf>
    <xf numFmtId="0" fontId="96" fillId="2" borderId="60" xfId="0" applyFont="1" applyFill="1" applyBorder="1" applyAlignment="1" applyProtection="1">
      <alignment horizontal="center" vertical="center"/>
      <protection locked="0"/>
    </xf>
    <xf numFmtId="172" fontId="96" fillId="2" borderId="62" xfId="0" applyNumberFormat="1" applyFont="1" applyFill="1" applyBorder="1" applyAlignment="1" applyProtection="1">
      <alignment horizontal="center" vertical="center"/>
      <protection locked="0"/>
    </xf>
    <xf numFmtId="172" fontId="96" fillId="2" borderId="65" xfId="0" applyNumberFormat="1" applyFont="1" applyFill="1" applyBorder="1" applyAlignment="1" applyProtection="1">
      <alignment horizontal="center" vertical="center"/>
      <protection locked="0"/>
    </xf>
    <xf numFmtId="172" fontId="96" fillId="2" borderId="66" xfId="0" applyNumberFormat="1" applyFont="1" applyFill="1" applyBorder="1" applyAlignment="1" applyProtection="1">
      <alignment horizontal="center" vertical="center"/>
      <protection locked="0"/>
    </xf>
    <xf numFmtId="0" fontId="92" fillId="0" borderId="5" xfId="0" applyFont="1" applyBorder="1"/>
    <xf numFmtId="174" fontId="92" fillId="0" borderId="6" xfId="0" applyNumberFormat="1" applyFont="1" applyBorder="1" applyAlignment="1">
      <alignment horizontal="right"/>
    </xf>
    <xf numFmtId="0" fontId="96" fillId="0" borderId="44" xfId="0" applyFont="1" applyBorder="1" applyAlignment="1" applyProtection="1">
      <alignment vertical="center"/>
      <protection locked="0"/>
    </xf>
    <xf numFmtId="172" fontId="96" fillId="0" borderId="44" xfId="0" applyNumberFormat="1" applyFont="1" applyBorder="1" applyProtection="1">
      <protection locked="0"/>
    </xf>
    <xf numFmtId="0" fontId="90" fillId="0" borderId="44" xfId="0" applyFont="1" applyBorder="1" applyAlignment="1" applyProtection="1">
      <alignment vertical="center"/>
      <protection locked="0"/>
    </xf>
    <xf numFmtId="174" fontId="96" fillId="2" borderId="116" xfId="0" applyNumberFormat="1" applyFont="1" applyFill="1" applyBorder="1" applyProtection="1">
      <protection locked="0"/>
    </xf>
    <xf numFmtId="172" fontId="96" fillId="2" borderId="68" xfId="0" applyNumberFormat="1" applyFont="1" applyFill="1" applyBorder="1" applyProtection="1">
      <protection locked="0"/>
    </xf>
    <xf numFmtId="172" fontId="96" fillId="0" borderId="68" xfId="0" applyNumberFormat="1" applyFont="1" applyBorder="1" applyProtection="1">
      <protection locked="0"/>
    </xf>
    <xf numFmtId="172" fontId="96" fillId="0" borderId="117" xfId="0" applyNumberFormat="1" applyFont="1" applyBorder="1" applyProtection="1">
      <protection locked="0"/>
    </xf>
    <xf numFmtId="172" fontId="96" fillId="2" borderId="116" xfId="0" applyNumberFormat="1" applyFont="1" applyFill="1" applyBorder="1" applyProtection="1">
      <protection locked="0"/>
    </xf>
    <xf numFmtId="0" fontId="91" fillId="2" borderId="41" xfId="0" quotePrefix="1" applyFont="1" applyFill="1" applyBorder="1" applyProtection="1">
      <protection locked="0"/>
    </xf>
    <xf numFmtId="0" fontId="92" fillId="0" borderId="51" xfId="0" applyFont="1" applyBorder="1" applyAlignment="1">
      <alignment horizontal="left" wrapText="1"/>
    </xf>
    <xf numFmtId="172" fontId="92" fillId="0" borderId="51" xfId="0" quotePrefix="1" applyNumberFormat="1" applyFont="1" applyBorder="1" applyAlignment="1">
      <alignment horizontal="right"/>
    </xf>
    <xf numFmtId="0" fontId="96" fillId="2" borderId="44" xfId="0" applyFont="1" applyFill="1" applyBorder="1" applyAlignment="1" applyProtection="1">
      <alignment horizontal="center"/>
      <protection locked="0"/>
    </xf>
    <xf numFmtId="49" fontId="96" fillId="2" borderId="44" xfId="0" applyNumberFormat="1" applyFont="1" applyFill="1" applyBorder="1" applyAlignment="1" applyProtection="1">
      <alignment horizontal="center"/>
      <protection locked="0"/>
    </xf>
    <xf numFmtId="173" fontId="96" fillId="2" borderId="119" xfId="0" applyNumberFormat="1" applyFont="1" applyFill="1" applyBorder="1" applyAlignment="1" applyProtection="1">
      <alignment horizontal="center"/>
      <protection locked="0"/>
    </xf>
    <xf numFmtId="172" fontId="91" fillId="3" borderId="51" xfId="0" applyNumberFormat="1" applyFont="1" applyFill="1" applyBorder="1"/>
    <xf numFmtId="193" fontId="91" fillId="3" borderId="51" xfId="0" quotePrefix="1" applyNumberFormat="1" applyFont="1" applyFill="1" applyBorder="1" applyAlignment="1">
      <alignment horizontal="center"/>
    </xf>
    <xf numFmtId="0" fontId="125" fillId="0" borderId="111" xfId="0" applyFont="1" applyBorder="1" applyAlignment="1">
      <alignment horizontal="left" indent="1"/>
    </xf>
    <xf numFmtId="0" fontId="91" fillId="2" borderId="41" xfId="0" applyFont="1" applyFill="1" applyBorder="1" applyAlignment="1" applyProtection="1">
      <alignment wrapText="1"/>
      <protection locked="0"/>
    </xf>
    <xf numFmtId="0" fontId="96" fillId="2" borderId="116" xfId="0" applyFont="1" applyFill="1" applyBorder="1" applyAlignment="1" applyProtection="1">
      <alignment horizontal="center" vertical="center"/>
      <protection locked="0"/>
    </xf>
    <xf numFmtId="0" fontId="96" fillId="2" borderId="97" xfId="0" applyFont="1" applyFill="1" applyBorder="1" applyAlignment="1" applyProtection="1">
      <alignment horizontal="center" vertical="center"/>
      <protection locked="0"/>
    </xf>
    <xf numFmtId="0" fontId="96" fillId="2" borderId="120" xfId="0" applyFont="1" applyFill="1" applyBorder="1" applyAlignment="1" applyProtection="1">
      <alignment horizontal="center" vertical="center"/>
      <protection locked="0"/>
    </xf>
    <xf numFmtId="0" fontId="96" fillId="2" borderId="68" xfId="0" applyFont="1" applyFill="1" applyBorder="1" applyAlignment="1" applyProtection="1">
      <alignment horizontal="center" vertical="center"/>
      <protection locked="0"/>
    </xf>
    <xf numFmtId="0" fontId="96" fillId="2" borderId="118" xfId="0" applyFont="1" applyFill="1" applyBorder="1" applyAlignment="1" applyProtection="1">
      <alignment horizontal="center" vertical="center"/>
      <protection locked="0"/>
    </xf>
    <xf numFmtId="0" fontId="96" fillId="2" borderId="103" xfId="0" applyFont="1" applyFill="1" applyBorder="1" applyAlignment="1" applyProtection="1">
      <alignment horizontal="center" vertical="center"/>
      <protection locked="0"/>
    </xf>
    <xf numFmtId="0" fontId="91" fillId="0" borderId="0" xfId="0" applyFont="1" applyAlignment="1">
      <alignment horizontal="right" vertical="top"/>
    </xf>
    <xf numFmtId="172" fontId="92" fillId="0" borderId="0" xfId="0" applyNumberFormat="1" applyFont="1" applyAlignment="1">
      <alignment horizontal="right" vertical="top"/>
    </xf>
    <xf numFmtId="0" fontId="140" fillId="2" borderId="97" xfId="0" applyFont="1" applyFill="1" applyBorder="1" applyProtection="1">
      <protection locked="0"/>
    </xf>
    <xf numFmtId="174" fontId="96" fillId="4" borderId="49" xfId="11" applyNumberFormat="1" applyFont="1" applyBorder="1" applyAlignment="1" applyProtection="1">
      <alignment horizontal="right" vertical="center"/>
      <protection locked="0"/>
    </xf>
    <xf numFmtId="214" fontId="91" fillId="0" borderId="0" xfId="0" applyNumberFormat="1" applyFont="1"/>
    <xf numFmtId="172" fontId="91" fillId="2" borderId="0" xfId="0" applyNumberFormat="1" applyFont="1" applyFill="1" applyAlignment="1">
      <alignment horizontal="right" vertical="top"/>
    </xf>
    <xf numFmtId="0" fontId="105" fillId="2" borderId="41" xfId="0" applyFont="1" applyFill="1" applyBorder="1" applyProtection="1">
      <protection locked="0"/>
    </xf>
    <xf numFmtId="183" fontId="92" fillId="0" borderId="0" xfId="4" applyNumberFormat="1" applyFont="1" applyFill="1" applyBorder="1" applyAlignment="1" applyProtection="1">
      <alignment horizontal="center"/>
      <protection locked="0"/>
    </xf>
    <xf numFmtId="183" fontId="92" fillId="0" borderId="51" xfId="4" applyNumberFormat="1" applyFont="1" applyFill="1" applyBorder="1" applyAlignment="1" applyProtection="1">
      <alignment horizontal="center"/>
      <protection locked="0"/>
    </xf>
    <xf numFmtId="175" fontId="96" fillId="69" borderId="49" xfId="11" applyNumberFormat="1" applyFont="1" applyFill="1" applyBorder="1" applyAlignment="1" applyProtection="1">
      <alignment horizontal="right"/>
      <protection locked="0"/>
    </xf>
    <xf numFmtId="174" fontId="101" fillId="2" borderId="97" xfId="0" applyNumberFormat="1" applyFont="1" applyFill="1" applyBorder="1" applyAlignment="1" applyProtection="1">
      <alignment horizontal="right" wrapText="1"/>
      <protection locked="0"/>
    </xf>
    <xf numFmtId="174" fontId="91" fillId="0" borderId="0" xfId="0" quotePrefix="1" applyNumberFormat="1" applyFont="1" applyAlignment="1">
      <alignment horizontal="right"/>
    </xf>
    <xf numFmtId="189" fontId="91" fillId="0" borderId="0" xfId="0" applyNumberFormat="1" applyFont="1" applyAlignment="1">
      <alignment horizontal="center" vertical="top"/>
    </xf>
    <xf numFmtId="0" fontId="125" fillId="0" borderId="121" xfId="0" applyFont="1" applyBorder="1" applyAlignment="1">
      <alignment horizontal="left" indent="1"/>
    </xf>
    <xf numFmtId="0" fontId="0" fillId="62" borderId="0" xfId="0" applyFill="1"/>
    <xf numFmtId="164" fontId="96" fillId="2" borderId="49" xfId="11" applyNumberFormat="1" applyFont="1" applyFill="1" applyBorder="1" applyAlignment="1" applyProtection="1">
      <alignment horizontal="center" vertical="top"/>
      <protection locked="0"/>
    </xf>
    <xf numFmtId="189" fontId="96" fillId="4" borderId="60" xfId="11" applyNumberFormat="1" applyFont="1" applyBorder="1" applyAlignment="1" applyProtection="1">
      <alignment horizontal="center" vertical="top"/>
      <protection locked="0"/>
    </xf>
    <xf numFmtId="0" fontId="91" fillId="3" borderId="1" xfId="0" applyFont="1" applyFill="1" applyBorder="1" applyAlignment="1">
      <alignment vertical="center" wrapText="1"/>
    </xf>
    <xf numFmtId="0" fontId="91" fillId="3" borderId="1" xfId="0" applyFont="1" applyFill="1" applyBorder="1" applyAlignment="1">
      <alignment vertical="center"/>
    </xf>
    <xf numFmtId="0" fontId="91" fillId="3" borderId="1" xfId="0" applyFont="1" applyFill="1" applyBorder="1" applyAlignment="1">
      <alignment horizontal="center" vertical="top"/>
    </xf>
    <xf numFmtId="0" fontId="130" fillId="2" borderId="0" xfId="0" applyFont="1" applyFill="1"/>
    <xf numFmtId="0" fontId="11" fillId="2" borderId="0" xfId="0" applyFont="1" applyFill="1"/>
    <xf numFmtId="0" fontId="11" fillId="0" borderId="1" xfId="0" applyFont="1" applyBorder="1"/>
    <xf numFmtId="0" fontId="130" fillId="0" borderId="1" xfId="0" applyFont="1" applyBorder="1"/>
    <xf numFmtId="0" fontId="83" fillId="0" borderId="1" xfId="0" applyFont="1" applyBorder="1"/>
    <xf numFmtId="0" fontId="11" fillId="0" borderId="1" xfId="0" applyFont="1" applyBorder="1" applyAlignment="1">
      <alignment horizontal="right"/>
    </xf>
    <xf numFmtId="174" fontId="83" fillId="0" borderId="0" xfId="0" applyNumberFormat="1" applyFont="1" applyAlignment="1">
      <alignment horizontal="right"/>
    </xf>
    <xf numFmtId="0" fontId="130" fillId="62" borderId="0" xfId="0" applyFont="1" applyFill="1"/>
    <xf numFmtId="0" fontId="83" fillId="62" borderId="0" xfId="0" applyFont="1" applyFill="1"/>
    <xf numFmtId="0" fontId="130" fillId="63" borderId="0" xfId="0" applyFont="1" applyFill="1"/>
    <xf numFmtId="0" fontId="83" fillId="63" borderId="0" xfId="0" applyFont="1" applyFill="1"/>
    <xf numFmtId="0" fontId="0" fillId="63" borderId="0" xfId="0" applyFill="1"/>
    <xf numFmtId="0" fontId="130" fillId="65" borderId="1" xfId="0" applyFont="1" applyFill="1" applyBorder="1"/>
    <xf numFmtId="0" fontId="83" fillId="65" borderId="1" xfId="0" applyFont="1" applyFill="1" applyBorder="1"/>
    <xf numFmtId="0" fontId="0" fillId="65" borderId="1" xfId="0" applyFill="1" applyBorder="1"/>
    <xf numFmtId="0" fontId="130" fillId="61" borderId="1" xfId="0" applyFont="1" applyFill="1" applyBorder="1"/>
    <xf numFmtId="0" fontId="83" fillId="61" borderId="1" xfId="0" applyFont="1" applyFill="1" applyBorder="1"/>
    <xf numFmtId="0" fontId="0" fillId="61" borderId="1" xfId="0" applyFill="1" applyBorder="1"/>
    <xf numFmtId="174" fontId="83" fillId="69" borderId="0" xfId="0" applyNumberFormat="1" applyFont="1" applyFill="1"/>
    <xf numFmtId="172" fontId="83" fillId="69" borderId="0" xfId="0" applyNumberFormat="1" applyFont="1" applyFill="1"/>
    <xf numFmtId="0" fontId="83" fillId="69" borderId="0" xfId="0" applyFont="1" applyFill="1"/>
    <xf numFmtId="172" fontId="83" fillId="69" borderId="0" xfId="0" applyNumberFormat="1" applyFont="1" applyFill="1" applyAlignment="1">
      <alignment horizontal="right"/>
    </xf>
    <xf numFmtId="174" fontId="0" fillId="62" borderId="0" xfId="0" applyNumberFormat="1" applyFill="1"/>
    <xf numFmtId="172" fontId="0" fillId="62" borderId="0" xfId="0" applyNumberFormat="1" applyFill="1"/>
    <xf numFmtId="174" fontId="83" fillId="62" borderId="0" xfId="0" applyNumberFormat="1" applyFont="1" applyFill="1" applyAlignment="1">
      <alignment horizontal="right"/>
    </xf>
    <xf numFmtId="0" fontId="0" fillId="62" borderId="0" xfId="0" applyFill="1" applyAlignment="1">
      <alignment horizontal="right"/>
    </xf>
    <xf numFmtId="0" fontId="130" fillId="69" borderId="0" xfId="0" applyFont="1" applyFill="1"/>
    <xf numFmtId="0" fontId="0" fillId="69" borderId="0" xfId="0" applyFill="1"/>
    <xf numFmtId="0" fontId="0" fillId="2" borderId="0" xfId="0" applyFill="1"/>
    <xf numFmtId="0" fontId="83" fillId="62" borderId="41" xfId="0" applyFont="1" applyFill="1" applyBorder="1"/>
    <xf numFmtId="172" fontId="0" fillId="62" borderId="41" xfId="0" applyNumberFormat="1" applyFill="1" applyBorder="1"/>
    <xf numFmtId="174" fontId="83" fillId="0" borderId="41" xfId="0" applyNumberFormat="1" applyFont="1" applyBorder="1" applyAlignment="1">
      <alignment horizontal="right"/>
    </xf>
    <xf numFmtId="0" fontId="130" fillId="0" borderId="41" xfId="0" applyFont="1" applyBorder="1"/>
    <xf numFmtId="0" fontId="83" fillId="65" borderId="0" xfId="0" applyFont="1" applyFill="1"/>
    <xf numFmtId="0" fontId="0" fillId="65" borderId="0" xfId="0" applyFill="1"/>
    <xf numFmtId="0" fontId="11" fillId="0" borderId="0" xfId="0" applyFont="1" applyAlignment="1">
      <alignment horizontal="right"/>
    </xf>
    <xf numFmtId="172" fontId="107" fillId="2" borderId="49" xfId="8" applyNumberFormat="1" applyFont="1" applyFill="1" applyBorder="1" applyAlignment="1">
      <alignment horizontal="right"/>
    </xf>
    <xf numFmtId="172" fontId="107" fillId="0" borderId="49" xfId="8" applyNumberFormat="1" applyFont="1" applyBorder="1" applyAlignment="1">
      <alignment horizontal="right"/>
    </xf>
    <xf numFmtId="0" fontId="0" fillId="0" borderId="59" xfId="0" applyBorder="1"/>
    <xf numFmtId="172" fontId="0" fillId="0" borderId="51" xfId="0" applyNumberFormat="1" applyBorder="1"/>
    <xf numFmtId="0" fontId="139" fillId="67" borderId="0" xfId="0" applyFont="1" applyFill="1"/>
    <xf numFmtId="172" fontId="139" fillId="2" borderId="97" xfId="0" applyNumberFormat="1" applyFont="1" applyFill="1" applyBorder="1"/>
    <xf numFmtId="172" fontId="139" fillId="0" borderId="0" xfId="0" applyNumberFormat="1" applyFont="1"/>
    <xf numFmtId="172" fontId="139" fillId="2" borderId="49" xfId="0" applyNumberFormat="1" applyFont="1" applyFill="1" applyBorder="1"/>
    <xf numFmtId="172" fontId="139" fillId="2" borderId="96" xfId="0" applyNumberFormat="1" applyFont="1" applyFill="1" applyBorder="1"/>
    <xf numFmtId="172" fontId="139" fillId="67" borderId="51" xfId="0" applyNumberFormat="1" applyFont="1" applyFill="1" applyBorder="1"/>
    <xf numFmtId="172" fontId="139" fillId="0" borderId="51" xfId="0" applyNumberFormat="1" applyFont="1" applyBorder="1"/>
    <xf numFmtId="172" fontId="107" fillId="2" borderId="96" xfId="8" applyNumberFormat="1" applyFont="1" applyFill="1" applyBorder="1" applyAlignment="1">
      <alignment horizontal="right"/>
    </xf>
    <xf numFmtId="172" fontId="107" fillId="0" borderId="96" xfId="8" applyNumberFormat="1" applyFont="1" applyBorder="1" applyAlignment="1">
      <alignment horizontal="right"/>
    </xf>
    <xf numFmtId="0" fontId="11" fillId="0" borderId="51" xfId="0" applyFont="1" applyBorder="1"/>
    <xf numFmtId="0" fontId="11" fillId="0" borderId="59" xfId="0" applyFont="1" applyBorder="1" applyAlignment="1">
      <alignment horizontal="right"/>
    </xf>
    <xf numFmtId="172" fontId="139" fillId="67" borderId="97" xfId="0" applyNumberFormat="1" applyFont="1" applyFill="1" applyBorder="1"/>
    <xf numFmtId="172" fontId="139" fillId="67" borderId="49" xfId="0" applyNumberFormat="1" applyFont="1" applyFill="1" applyBorder="1"/>
    <xf numFmtId="172" fontId="139" fillId="67" borderId="96" xfId="0" applyNumberFormat="1" applyFont="1" applyFill="1" applyBorder="1"/>
    <xf numFmtId="172" fontId="107" fillId="0" borderId="51" xfId="8" applyNumberFormat="1" applyFont="1" applyBorder="1" applyAlignment="1">
      <alignment horizontal="right"/>
    </xf>
    <xf numFmtId="0" fontId="139" fillId="0" borderId="97" xfId="0" applyFont="1" applyBorder="1" applyAlignment="1">
      <alignment horizontal="right"/>
    </xf>
    <xf numFmtId="43" fontId="107" fillId="0" borderId="1" xfId="4" applyFont="1" applyBorder="1" applyProtection="1"/>
    <xf numFmtId="0" fontId="83" fillId="62" borderId="96" xfId="0" applyFont="1" applyFill="1" applyBorder="1"/>
    <xf numFmtId="0" fontId="83" fillId="62" borderId="60" xfId="0" applyFont="1" applyFill="1" applyBorder="1"/>
    <xf numFmtId="0" fontId="0" fillId="0" borderId="51" xfId="0" applyBorder="1"/>
    <xf numFmtId="0" fontId="11" fillId="65" borderId="1" xfId="0" applyFont="1" applyFill="1" applyBorder="1"/>
    <xf numFmtId="43" fontId="107" fillId="65" borderId="1" xfId="4" applyFont="1" applyFill="1" applyBorder="1" applyProtection="1"/>
    <xf numFmtId="0" fontId="11" fillId="61" borderId="1" xfId="0" applyFont="1" applyFill="1" applyBorder="1"/>
    <xf numFmtId="172" fontId="0" fillId="61" borderId="1" xfId="0" applyNumberFormat="1" applyFill="1" applyBorder="1"/>
    <xf numFmtId="43" fontId="107" fillId="61" borderId="1" xfId="4" applyFont="1" applyFill="1" applyBorder="1" applyProtection="1"/>
    <xf numFmtId="0" fontId="11" fillId="71" borderId="1" xfId="0" applyFont="1" applyFill="1" applyBorder="1"/>
    <xf numFmtId="0" fontId="0" fillId="71" borderId="1" xfId="0" applyFill="1" applyBorder="1"/>
    <xf numFmtId="172" fontId="139" fillId="0" borderId="97" xfId="0" applyNumberFormat="1" applyFont="1" applyBorder="1"/>
    <xf numFmtId="172" fontId="139" fillId="0" borderId="49" xfId="0" applyNumberFormat="1" applyFont="1" applyBorder="1"/>
    <xf numFmtId="172" fontId="139" fillId="0" borderId="96" xfId="0" applyNumberFormat="1" applyFont="1" applyBorder="1"/>
    <xf numFmtId="172" fontId="139" fillId="0" borderId="97" xfId="0" applyNumberFormat="1" applyFont="1" applyBorder="1" applyAlignment="1">
      <alignment horizontal="right"/>
    </xf>
    <xf numFmtId="174" fontId="139" fillId="0" borderId="97" xfId="0" applyNumberFormat="1" applyFont="1" applyBorder="1" applyAlignment="1">
      <alignment horizontal="right"/>
    </xf>
    <xf numFmtId="174" fontId="107" fillId="0" borderId="51" xfId="8" applyNumberFormat="1" applyFont="1" applyBorder="1" applyAlignment="1">
      <alignment horizontal="right"/>
    </xf>
    <xf numFmtId="174" fontId="107" fillId="0" borderId="49" xfId="8" applyNumberFormat="1" applyFont="1" applyBorder="1" applyAlignment="1">
      <alignment horizontal="right"/>
    </xf>
    <xf numFmtId="174" fontId="104" fillId="0" borderId="51" xfId="8" applyNumberFormat="1" applyFont="1" applyBorder="1" applyAlignment="1">
      <alignment horizontal="right"/>
    </xf>
    <xf numFmtId="174" fontId="139" fillId="0" borderId="0" xfId="0" applyNumberFormat="1" applyFont="1"/>
    <xf numFmtId="174" fontId="139" fillId="0" borderId="51" xfId="0" applyNumberFormat="1" applyFont="1" applyBorder="1"/>
    <xf numFmtId="174" fontId="139" fillId="67" borderId="51" xfId="0" applyNumberFormat="1" applyFont="1" applyFill="1" applyBorder="1"/>
    <xf numFmtId="174" fontId="142" fillId="0" borderId="51" xfId="0" applyNumberFormat="1" applyFont="1" applyBorder="1"/>
    <xf numFmtId="175" fontId="83" fillId="62" borderId="41" xfId="0" applyNumberFormat="1" applyFont="1" applyFill="1" applyBorder="1"/>
    <xf numFmtId="175" fontId="11" fillId="63" borderId="0" xfId="0" applyNumberFormat="1" applyFont="1" applyFill="1" applyAlignment="1">
      <alignment horizontal="right"/>
    </xf>
    <xf numFmtId="175" fontId="11" fillId="0" borderId="0" xfId="0" applyNumberFormat="1" applyFont="1" applyAlignment="1">
      <alignment horizontal="right"/>
    </xf>
    <xf numFmtId="175" fontId="0" fillId="0" borderId="59" xfId="0" applyNumberFormat="1" applyBorder="1"/>
    <xf numFmtId="0" fontId="143" fillId="2" borderId="0" xfId="0" applyFont="1" applyFill="1"/>
    <xf numFmtId="0" fontId="143" fillId="0" borderId="0" xfId="0" applyFont="1"/>
    <xf numFmtId="172" fontId="144" fillId="2" borderId="49" xfId="8" applyNumberFormat="1" applyFont="1" applyFill="1" applyBorder="1" applyAlignment="1">
      <alignment horizontal="right"/>
    </xf>
    <xf numFmtId="172" fontId="144" fillId="2" borderId="96" xfId="8" applyNumberFormat="1" applyFont="1" applyFill="1" applyBorder="1" applyAlignment="1">
      <alignment horizontal="right"/>
    </xf>
    <xf numFmtId="0" fontId="11" fillId="59" borderId="0" xfId="0" applyFont="1" applyFill="1"/>
    <xf numFmtId="175" fontId="11" fillId="0" borderId="59" xfId="0" applyNumberFormat="1" applyFont="1" applyBorder="1"/>
    <xf numFmtId="0" fontId="11" fillId="67" borderId="1" xfId="0" applyFont="1" applyFill="1" applyBorder="1"/>
    <xf numFmtId="0" fontId="0" fillId="67" borderId="1" xfId="0" applyFill="1" applyBorder="1"/>
    <xf numFmtId="174" fontId="139" fillId="0" borderId="97" xfId="0" applyNumberFormat="1" applyFont="1" applyBorder="1"/>
    <xf numFmtId="174" fontId="139" fillId="67" borderId="97" xfId="0" applyNumberFormat="1" applyFont="1" applyFill="1" applyBorder="1"/>
    <xf numFmtId="0" fontId="118" fillId="0" borderId="0" xfId="0" applyFont="1" applyAlignment="1">
      <alignment horizontal="left"/>
    </xf>
    <xf numFmtId="0" fontId="16" fillId="0" borderId="0" xfId="0" applyFont="1" applyAlignment="1">
      <alignment horizontal="center"/>
    </xf>
    <xf numFmtId="0" fontId="118" fillId="0" borderId="0" xfId="0" applyFont="1" applyAlignment="1">
      <alignment horizontal="center"/>
    </xf>
    <xf numFmtId="0" fontId="118" fillId="0" borderId="0" xfId="0" applyFont="1"/>
    <xf numFmtId="0" fontId="16" fillId="0" borderId="1" xfId="0" applyFont="1" applyBorder="1" applyAlignment="1">
      <alignment horizontal="center"/>
    </xf>
    <xf numFmtId="0" fontId="4" fillId="0" borderId="0" xfId="0" applyFont="1" applyAlignment="1">
      <alignment horizontal="center"/>
    </xf>
    <xf numFmtId="0" fontId="146" fillId="2" borderId="34" xfId="0" applyFont="1" applyFill="1" applyBorder="1" applyAlignment="1">
      <alignment horizontal="center"/>
    </xf>
    <xf numFmtId="0" fontId="147" fillId="2" borderId="34" xfId="0" applyFont="1" applyFill="1" applyBorder="1" applyAlignment="1">
      <alignment horizontal="center" vertical="center"/>
    </xf>
    <xf numFmtId="0" fontId="117" fillId="0" borderId="0" xfId="0" applyFont="1" applyAlignment="1">
      <alignment horizontal="center" vertical="center"/>
    </xf>
    <xf numFmtId="0" fontId="118" fillId="0" borderId="1" xfId="0" applyFont="1" applyBorder="1" applyAlignment="1">
      <alignment horizontal="center"/>
    </xf>
    <xf numFmtId="0" fontId="118" fillId="0" borderId="1" xfId="0" applyFont="1" applyBorder="1"/>
    <xf numFmtId="0" fontId="117" fillId="0" borderId="1" xfId="0" applyFont="1" applyBorder="1" applyAlignment="1">
      <alignment horizontal="center" vertical="center"/>
    </xf>
    <xf numFmtId="172" fontId="16" fillId="62" borderId="34" xfId="0" applyNumberFormat="1" applyFont="1" applyFill="1" applyBorder="1" applyAlignment="1">
      <alignment horizontal="center"/>
    </xf>
    <xf numFmtId="175" fontId="118" fillId="0" borderId="0" xfId="0" applyNumberFormat="1" applyFont="1" applyAlignment="1">
      <alignment horizontal="center"/>
    </xf>
    <xf numFmtId="0" fontId="16" fillId="0" borderId="1" xfId="0" applyFont="1" applyBorder="1" applyAlignment="1">
      <alignment horizontal="left"/>
    </xf>
    <xf numFmtId="0" fontId="11" fillId="0" borderId="1" xfId="0" applyFont="1" applyBorder="1" applyAlignment="1">
      <alignment horizontal="center"/>
    </xf>
    <xf numFmtId="0" fontId="16" fillId="0" borderId="0" xfId="0" applyFont="1"/>
    <xf numFmtId="0" fontId="16" fillId="2" borderId="49" xfId="0" applyFont="1" applyFill="1" applyBorder="1" applyAlignment="1">
      <alignment horizontal="center"/>
    </xf>
    <xf numFmtId="0" fontId="14" fillId="0" borderId="0" xfId="0" applyFont="1" applyAlignment="1">
      <alignment horizontal="center"/>
    </xf>
    <xf numFmtId="172" fontId="148" fillId="0" borderId="0" xfId="0" applyNumberFormat="1" applyFont="1" applyAlignment="1">
      <alignment horizontal="center"/>
    </xf>
    <xf numFmtId="174" fontId="11" fillId="0" borderId="122" xfId="0" applyNumberFormat="1" applyFont="1" applyBorder="1"/>
    <xf numFmtId="0" fontId="0" fillId="2" borderId="0" xfId="0" applyFill="1" applyAlignment="1">
      <alignment horizontal="center"/>
    </xf>
    <xf numFmtId="0" fontId="0" fillId="2" borderId="51" xfId="0" applyFill="1" applyBorder="1" applyAlignment="1">
      <alignment horizontal="center"/>
    </xf>
    <xf numFmtId="172" fontId="144" fillId="0" borderId="49" xfId="8" applyNumberFormat="1" applyFont="1" applyBorder="1" applyAlignment="1">
      <alignment horizontal="right"/>
    </xf>
    <xf numFmtId="172" fontId="144" fillId="0" borderId="96" xfId="8" applyNumberFormat="1" applyFont="1" applyBorder="1" applyAlignment="1">
      <alignment horizontal="right"/>
    </xf>
    <xf numFmtId="172" fontId="144" fillId="0" borderId="108" xfId="8" applyNumberFormat="1" applyFont="1" applyBorder="1" applyAlignment="1">
      <alignment horizontal="right"/>
    </xf>
    <xf numFmtId="172" fontId="144" fillId="0" borderId="97" xfId="8" applyNumberFormat="1" applyFont="1" applyBorder="1" applyAlignment="1">
      <alignment horizontal="right"/>
    </xf>
    <xf numFmtId="172" fontId="144" fillId="0" borderId="103" xfId="8" applyNumberFormat="1" applyFont="1" applyBorder="1" applyAlignment="1">
      <alignment horizontal="right"/>
    </xf>
    <xf numFmtId="172" fontId="144" fillId="0" borderId="123" xfId="8" applyNumberFormat="1" applyFont="1" applyBorder="1" applyAlignment="1">
      <alignment horizontal="right"/>
    </xf>
    <xf numFmtId="172" fontId="144" fillId="0" borderId="124" xfId="8" applyNumberFormat="1" applyFont="1" applyBorder="1" applyAlignment="1">
      <alignment horizontal="right"/>
    </xf>
    <xf numFmtId="172" fontId="144" fillId="0" borderId="125" xfId="8" applyNumberFormat="1" applyFont="1" applyBorder="1" applyAlignment="1">
      <alignment horizontal="right"/>
    </xf>
    <xf numFmtId="172" fontId="144" fillId="0" borderId="126" xfId="8" applyNumberFormat="1" applyFont="1" applyBorder="1" applyAlignment="1">
      <alignment horizontal="right"/>
    </xf>
    <xf numFmtId="172" fontId="107" fillId="0" borderId="68" xfId="8" applyNumberFormat="1" applyFont="1" applyBorder="1" applyAlignment="1">
      <alignment horizontal="right"/>
    </xf>
    <xf numFmtId="172" fontId="107" fillId="0" borderId="118" xfId="8" applyNumberFormat="1" applyFont="1" applyBorder="1" applyAlignment="1">
      <alignment horizontal="right"/>
    </xf>
    <xf numFmtId="172" fontId="144" fillId="0" borderId="128" xfId="8" applyNumberFormat="1" applyFont="1" applyBorder="1" applyAlignment="1">
      <alignment horizontal="right"/>
    </xf>
    <xf numFmtId="172" fontId="107" fillId="0" borderId="127" xfId="8" applyNumberFormat="1" applyFont="1" applyBorder="1" applyAlignment="1">
      <alignment horizontal="right"/>
    </xf>
    <xf numFmtId="0" fontId="11" fillId="0" borderId="0" xfId="0" applyFont="1" applyAlignment="1">
      <alignment horizontal="center"/>
    </xf>
    <xf numFmtId="0" fontId="149" fillId="0" borderId="0" xfId="0" applyFont="1" applyAlignment="1">
      <alignment horizontal="center"/>
    </xf>
    <xf numFmtId="0" fontId="0" fillId="2" borderId="41" xfId="0" applyFill="1" applyBorder="1" applyAlignment="1">
      <alignment horizontal="center"/>
    </xf>
    <xf numFmtId="172" fontId="0" fillId="0" borderId="41" xfId="0" applyNumberFormat="1" applyBorder="1"/>
    <xf numFmtId="175" fontId="16" fillId="0" borderId="0" xfId="0" applyNumberFormat="1" applyFont="1" applyAlignment="1">
      <alignment horizontal="center"/>
    </xf>
    <xf numFmtId="172" fontId="16" fillId="0" borderId="0" xfId="0" applyNumberFormat="1" applyFont="1" applyAlignment="1">
      <alignment horizontal="center"/>
    </xf>
    <xf numFmtId="175" fontId="16" fillId="0" borderId="0" xfId="0" applyNumberFormat="1" applyFont="1" applyAlignment="1">
      <alignment horizontal="left"/>
    </xf>
    <xf numFmtId="0" fontId="16" fillId="0" borderId="1" xfId="0" applyFont="1" applyBorder="1"/>
    <xf numFmtId="0" fontId="150" fillId="0" borderId="0" xfId="0" applyFont="1"/>
    <xf numFmtId="175" fontId="150" fillId="0" borderId="0" xfId="0" applyNumberFormat="1" applyFont="1" applyAlignment="1">
      <alignment horizontal="center"/>
    </xf>
    <xf numFmtId="175" fontId="118" fillId="0" borderId="51" xfId="0" applyNumberFormat="1" applyFont="1" applyBorder="1" applyAlignment="1">
      <alignment horizontal="center"/>
    </xf>
    <xf numFmtId="0" fontId="151" fillId="61" borderId="0" xfId="0" applyFont="1" applyFill="1" applyAlignment="1">
      <alignment horizontal="center"/>
    </xf>
    <xf numFmtId="0" fontId="151" fillId="60" borderId="0" xfId="0" applyFont="1" applyFill="1" applyAlignment="1">
      <alignment horizontal="center"/>
    </xf>
    <xf numFmtId="174" fontId="0" fillId="67" borderId="0" xfId="0" applyNumberFormat="1" applyFill="1"/>
    <xf numFmtId="172" fontId="0" fillId="67" borderId="41" xfId="0" applyNumberFormat="1" applyFill="1" applyBorder="1"/>
    <xf numFmtId="0" fontId="152" fillId="0" borderId="0" xfId="0" applyFont="1"/>
    <xf numFmtId="172" fontId="153" fillId="0" borderId="97" xfId="8" applyNumberFormat="1" applyFont="1" applyBorder="1" applyAlignment="1">
      <alignment horizontal="right"/>
    </xf>
    <xf numFmtId="172" fontId="153" fillId="0" borderId="123" xfId="8" applyNumberFormat="1" applyFont="1" applyBorder="1" applyAlignment="1">
      <alignment horizontal="right"/>
    </xf>
    <xf numFmtId="172" fontId="153" fillId="0" borderId="49" xfId="8" applyNumberFormat="1" applyFont="1" applyBorder="1" applyAlignment="1">
      <alignment horizontal="right"/>
    </xf>
    <xf numFmtId="172" fontId="153" fillId="0" borderId="124" xfId="8" applyNumberFormat="1" applyFont="1" applyBorder="1" applyAlignment="1">
      <alignment horizontal="right"/>
    </xf>
    <xf numFmtId="172" fontId="153" fillId="0" borderId="96" xfId="8" applyNumberFormat="1" applyFont="1" applyBorder="1" applyAlignment="1">
      <alignment horizontal="right"/>
    </xf>
    <xf numFmtId="172" fontId="153" fillId="0" borderId="125" xfId="8" applyNumberFormat="1" applyFont="1" applyBorder="1" applyAlignment="1">
      <alignment horizontal="right"/>
    </xf>
    <xf numFmtId="172" fontId="153" fillId="0" borderId="103" xfId="8" applyNumberFormat="1" applyFont="1" applyBorder="1" applyAlignment="1">
      <alignment horizontal="right"/>
    </xf>
    <xf numFmtId="172" fontId="153" fillId="0" borderId="126" xfId="8" applyNumberFormat="1" applyFont="1" applyBorder="1" applyAlignment="1">
      <alignment horizontal="right"/>
    </xf>
    <xf numFmtId="172" fontId="107" fillId="0" borderId="120" xfId="8" applyNumberFormat="1" applyFont="1" applyBorder="1" applyAlignment="1">
      <alignment horizontal="right"/>
    </xf>
    <xf numFmtId="175" fontId="139" fillId="0" borderId="0" xfId="0" applyNumberFormat="1" applyFont="1" applyAlignment="1">
      <alignment horizontal="center"/>
    </xf>
    <xf numFmtId="0" fontId="139" fillId="0" borderId="0" xfId="0" applyFont="1"/>
    <xf numFmtId="174" fontId="153" fillId="0" borderId="0" xfId="0" applyNumberFormat="1" applyFont="1" applyAlignment="1">
      <alignment horizontal="right"/>
    </xf>
    <xf numFmtId="175" fontId="153" fillId="0" borderId="0" xfId="0" applyNumberFormat="1" applyFont="1" applyAlignment="1">
      <alignment horizontal="right"/>
    </xf>
    <xf numFmtId="172" fontId="83" fillId="59" borderId="60" xfId="0" applyNumberFormat="1" applyFont="1" applyFill="1" applyBorder="1"/>
    <xf numFmtId="172" fontId="83" fillId="59" borderId="96" xfId="0" applyNumberFormat="1" applyFont="1" applyFill="1" applyBorder="1"/>
    <xf numFmtId="0" fontId="16" fillId="2" borderId="0" xfId="0" applyFont="1" applyFill="1" applyAlignment="1">
      <alignment horizontal="center"/>
    </xf>
    <xf numFmtId="0" fontId="0" fillId="59" borderId="0" xfId="0" applyFill="1"/>
    <xf numFmtId="9" fontId="0" fillId="0" borderId="0" xfId="0" applyNumberFormat="1"/>
    <xf numFmtId="9" fontId="0" fillId="2" borderId="0" xfId="0" applyNumberFormat="1" applyFill="1"/>
    <xf numFmtId="0" fontId="0" fillId="0" borderId="0" xfId="0" applyAlignment="1">
      <alignment horizontal="left"/>
    </xf>
    <xf numFmtId="172" fontId="154" fillId="2" borderId="49" xfId="9" applyNumberFormat="1" applyFont="1" applyFill="1" applyBorder="1" applyAlignment="1" applyProtection="1">
      <alignment horizontal="right" vertical="top"/>
      <protection locked="0"/>
    </xf>
    <xf numFmtId="172" fontId="154" fillId="2" borderId="96" xfId="9" applyNumberFormat="1" applyFont="1" applyFill="1" applyBorder="1" applyAlignment="1" applyProtection="1">
      <alignment horizontal="right" vertical="top"/>
      <protection locked="0"/>
    </xf>
    <xf numFmtId="0" fontId="0" fillId="63" borderId="41" xfId="0" applyFill="1" applyBorder="1"/>
    <xf numFmtId="0" fontId="0" fillId="63" borderId="51" xfId="0" applyFill="1" applyBorder="1"/>
    <xf numFmtId="174" fontId="0" fillId="63" borderId="0" xfId="0" applyNumberFormat="1" applyFill="1"/>
    <xf numFmtId="172" fontId="0" fillId="63" borderId="41" xfId="0" applyNumberFormat="1" applyFill="1" applyBorder="1"/>
    <xf numFmtId="174" fontId="11" fillId="63" borderId="122" xfId="0" applyNumberFormat="1" applyFont="1" applyFill="1" applyBorder="1"/>
    <xf numFmtId="172" fontId="91" fillId="0" borderId="0" xfId="9" applyNumberFormat="1" applyFont="1" applyFill="1" applyBorder="1" applyAlignment="1" applyProtection="1">
      <alignment horizontal="center" vertical="top"/>
    </xf>
    <xf numFmtId="174" fontId="91" fillId="0" borderId="0" xfId="9" applyNumberFormat="1" applyFont="1" applyFill="1" applyBorder="1" applyAlignment="1" applyProtection="1">
      <alignment vertical="top"/>
    </xf>
    <xf numFmtId="172" fontId="145" fillId="2" borderId="49" xfId="9" applyNumberFormat="1" applyFont="1" applyFill="1" applyBorder="1" applyAlignment="1" applyProtection="1">
      <alignment horizontal="right" vertical="top"/>
      <protection locked="0"/>
    </xf>
    <xf numFmtId="189" fontId="91" fillId="0" borderId="0" xfId="9" applyNumberFormat="1" applyFont="1" applyFill="1" applyBorder="1" applyAlignment="1" applyProtection="1">
      <alignment horizontal="center" vertical="top"/>
    </xf>
    <xf numFmtId="172" fontId="91" fillId="0" borderId="51" xfId="9" applyNumberFormat="1" applyFont="1" applyFill="1" applyBorder="1" applyAlignment="1" applyProtection="1">
      <alignment horizontal="center" vertical="top"/>
    </xf>
    <xf numFmtId="174" fontId="91" fillId="0" borderId="51" xfId="9" applyNumberFormat="1" applyFont="1" applyFill="1" applyBorder="1" applyAlignment="1" applyProtection="1">
      <alignment vertical="top"/>
    </xf>
    <xf numFmtId="174" fontId="91" fillId="0" borderId="0" xfId="9" applyNumberFormat="1" applyFont="1" applyFill="1" applyBorder="1" applyAlignment="1" applyProtection="1">
      <alignment horizontal="right" vertical="top"/>
    </xf>
    <xf numFmtId="174" fontId="91" fillId="0" borderId="51" xfId="0" applyNumberFormat="1" applyFont="1" applyBorder="1"/>
    <xf numFmtId="164" fontId="105" fillId="0" borderId="0" xfId="0" applyNumberFormat="1" applyFont="1" applyAlignment="1">
      <alignment horizontal="center" vertical="top"/>
    </xf>
    <xf numFmtId="194" fontId="92" fillId="63" borderId="57" xfId="0" applyNumberFormat="1" applyFont="1" applyFill="1" applyBorder="1" applyAlignment="1">
      <alignment horizontal="right"/>
    </xf>
    <xf numFmtId="174" fontId="92" fillId="0" borderId="59" xfId="0" applyNumberFormat="1" applyFont="1" applyBorder="1" applyAlignment="1">
      <alignment horizontal="right" vertical="top"/>
    </xf>
    <xf numFmtId="5" fontId="92" fillId="0" borderId="59" xfId="0" applyNumberFormat="1" applyFont="1" applyBorder="1" applyAlignment="1">
      <alignment horizontal="center" vertical="top"/>
    </xf>
    <xf numFmtId="1" fontId="91" fillId="0" borderId="59" xfId="0" applyNumberFormat="1" applyFont="1" applyBorder="1" applyAlignment="1">
      <alignment horizontal="left"/>
    </xf>
    <xf numFmtId="172" fontId="91" fillId="0" borderId="59" xfId="0" applyNumberFormat="1" applyFont="1" applyBorder="1" applyAlignment="1">
      <alignment horizontal="center"/>
    </xf>
    <xf numFmtId="177" fontId="91" fillId="0" borderId="51" xfId="0" applyNumberFormat="1" applyFont="1" applyBorder="1" applyAlignment="1">
      <alignment horizontal="left"/>
    </xf>
    <xf numFmtId="177" fontId="91" fillId="0" borderId="51" xfId="0" applyNumberFormat="1" applyFont="1" applyBorder="1" applyAlignment="1">
      <alignment horizontal="right" vertical="top"/>
    </xf>
    <xf numFmtId="174" fontId="91" fillId="0" borderId="51" xfId="0" applyNumberFormat="1" applyFont="1" applyBorder="1" applyAlignment="1">
      <alignment horizontal="right" vertical="top"/>
    </xf>
    <xf numFmtId="175" fontId="92" fillId="0" borderId="59" xfId="0" applyNumberFormat="1" applyFont="1" applyBorder="1" applyAlignment="1">
      <alignment horizontal="right" vertical="top"/>
    </xf>
    <xf numFmtId="172" fontId="92" fillId="3" borderId="51" xfId="0" applyNumberFormat="1" applyFont="1" applyFill="1" applyBorder="1" applyAlignment="1">
      <alignment horizontal="right"/>
    </xf>
    <xf numFmtId="172" fontId="92" fillId="0" borderId="51" xfId="0" applyNumberFormat="1" applyFont="1" applyBorder="1" applyAlignment="1">
      <alignment horizontal="center"/>
    </xf>
    <xf numFmtId="0" fontId="107" fillId="0" borderId="51" xfId="0" applyFont="1" applyBorder="1" applyAlignment="1">
      <alignment horizontal="right" vertical="top"/>
    </xf>
    <xf numFmtId="0" fontId="104" fillId="0" borderId="51" xfId="0" applyFont="1" applyBorder="1" applyAlignment="1">
      <alignment horizontal="right" vertical="top"/>
    </xf>
    <xf numFmtId="0" fontId="91" fillId="69" borderId="51" xfId="0" applyFont="1" applyFill="1" applyBorder="1"/>
    <xf numFmtId="200" fontId="91" fillId="0" borderId="57" xfId="0" applyNumberFormat="1" applyFont="1" applyBorder="1" applyAlignment="1">
      <alignment horizontal="right"/>
    </xf>
    <xf numFmtId="172" fontId="92" fillId="5" borderId="51" xfId="0" applyNumberFormat="1" applyFont="1" applyFill="1" applyBorder="1" applyAlignment="1">
      <alignment horizontal="center"/>
    </xf>
    <xf numFmtId="164" fontId="91" fillId="3" borderId="59" xfId="0" applyNumberFormat="1" applyFont="1" applyFill="1" applyBorder="1" applyAlignment="1">
      <alignment horizontal="center" vertical="top"/>
    </xf>
    <xf numFmtId="0" fontId="92" fillId="3" borderId="51" xfId="0" applyFont="1" applyFill="1" applyBorder="1" applyAlignment="1">
      <alignment horizontal="center"/>
    </xf>
    <xf numFmtId="0" fontId="89" fillId="0" borderId="51" xfId="0" applyFont="1" applyBorder="1"/>
    <xf numFmtId="183" fontId="91" fillId="0" borderId="51" xfId="13118" applyNumberFormat="1" applyFont="1" applyFill="1" applyBorder="1" applyProtection="1"/>
    <xf numFmtId="174" fontId="92" fillId="0" borderId="51" xfId="13118" applyNumberFormat="1" applyFont="1" applyFill="1" applyBorder="1" applyProtection="1"/>
    <xf numFmtId="0" fontId="104" fillId="0" borderId="34" xfId="0" applyFont="1" applyBorder="1" applyAlignment="1">
      <alignment horizontal="center" vertical="top"/>
    </xf>
    <xf numFmtId="0" fontId="107" fillId="0" borderId="34" xfId="0" applyFont="1" applyBorder="1" applyAlignment="1">
      <alignment horizontal="center" vertical="top"/>
    </xf>
    <xf numFmtId="172" fontId="107" fillId="0" borderId="51" xfId="5" applyNumberFormat="1" applyFont="1" applyBorder="1" applyAlignment="1" applyProtection="1">
      <alignment horizontal="center"/>
    </xf>
    <xf numFmtId="43" fontId="83" fillId="0" borderId="51" xfId="4" applyFont="1" applyBorder="1" applyProtection="1"/>
    <xf numFmtId="0" fontId="83" fillId="0" borderId="51" xfId="0" applyFont="1" applyBorder="1"/>
    <xf numFmtId="43" fontId="8" fillId="0" borderId="0" xfId="4" applyFont="1"/>
    <xf numFmtId="189" fontId="0" fillId="0" borderId="0" xfId="0" applyNumberFormat="1"/>
    <xf numFmtId="0" fontId="11" fillId="0" borderId="1" xfId="0" quotePrefix="1" applyFont="1" applyBorder="1" applyAlignment="1">
      <alignment horizontal="right"/>
    </xf>
    <xf numFmtId="0" fontId="83" fillId="67" borderId="0" xfId="0" applyFont="1" applyFill="1"/>
    <xf numFmtId="0" fontId="83" fillId="67" borderId="41" xfId="0" applyFont="1" applyFill="1" applyBorder="1"/>
    <xf numFmtId="0" fontId="91" fillId="0" borderId="0" xfId="0" quotePrefix="1" applyFont="1" applyAlignment="1">
      <alignment horizontal="right" vertical="top"/>
    </xf>
    <xf numFmtId="174" fontId="11" fillId="2" borderId="0" xfId="0" applyNumberFormat="1" applyFont="1" applyFill="1"/>
    <xf numFmtId="174" fontId="0" fillId="0" borderId="0" xfId="0" quotePrefix="1" applyNumberFormat="1"/>
    <xf numFmtId="175" fontId="143" fillId="2" borderId="0" xfId="0" applyNumberFormat="1" applyFont="1" applyFill="1"/>
    <xf numFmtId="38" fontId="95" fillId="0" borderId="0" xfId="8" applyNumberFormat="1" applyFont="1"/>
    <xf numFmtId="174" fontId="157" fillId="0" borderId="0" xfId="0" applyNumberFormat="1" applyFont="1" applyAlignment="1">
      <alignment horizontal="right"/>
    </xf>
    <xf numFmtId="174" fontId="105" fillId="0" borderId="0" xfId="0" applyNumberFormat="1" applyFont="1"/>
    <xf numFmtId="175" fontId="95" fillId="0" borderId="0" xfId="8" applyNumberFormat="1" applyFont="1"/>
    <xf numFmtId="172" fontId="104" fillId="0" borderId="51" xfId="0" applyNumberFormat="1" applyFont="1" applyBorder="1" applyAlignment="1">
      <alignment horizontal="right"/>
    </xf>
    <xf numFmtId="174" fontId="159" fillId="0" borderId="51" xfId="0" applyNumberFormat="1" applyFont="1" applyBorder="1" applyAlignment="1">
      <alignment horizontal="right"/>
    </xf>
    <xf numFmtId="174" fontId="160" fillId="0" borderId="51" xfId="0" applyNumberFormat="1" applyFont="1" applyBorder="1"/>
    <xf numFmtId="174" fontId="92" fillId="0" borderId="59" xfId="0" applyNumberFormat="1" applyFont="1" applyBorder="1"/>
    <xf numFmtId="172" fontId="113" fillId="2" borderId="96" xfId="8" applyNumberFormat="1" applyFont="1" applyFill="1" applyBorder="1" applyProtection="1">
      <protection locked="0"/>
    </xf>
    <xf numFmtId="172" fontId="95" fillId="0" borderId="0" xfId="8" applyNumberFormat="1" applyFont="1"/>
    <xf numFmtId="0" fontId="94" fillId="0" borderId="0" xfId="8" applyFont="1" applyAlignment="1">
      <alignment horizontal="center" wrapText="1"/>
    </xf>
    <xf numFmtId="0" fontId="94" fillId="0" borderId="0" xfId="8" quotePrefix="1" applyFont="1" applyAlignment="1">
      <alignment horizontal="center" wrapText="1"/>
    </xf>
    <xf numFmtId="172" fontId="95" fillId="0" borderId="0" xfId="6" applyNumberFormat="1" applyFont="1" applyFill="1" applyBorder="1" applyAlignment="1" applyProtection="1">
      <alignment horizontal="center"/>
    </xf>
    <xf numFmtId="14" fontId="95" fillId="0" borderId="0" xfId="6" applyNumberFormat="1" applyFont="1" applyFill="1" applyBorder="1" applyAlignment="1" applyProtection="1">
      <alignment horizontal="center"/>
    </xf>
    <xf numFmtId="0" fontId="11" fillId="0" borderId="1" xfId="0" applyFont="1" applyBorder="1" applyAlignment="1">
      <alignment horizontal="right" wrapText="1"/>
    </xf>
    <xf numFmtId="0" fontId="83" fillId="0" borderId="41" xfId="0" applyFont="1" applyBorder="1"/>
    <xf numFmtId="0" fontId="83" fillId="0" borderId="69" xfId="0" applyFont="1" applyBorder="1"/>
    <xf numFmtId="172" fontId="0" fillId="0" borderId="69" xfId="0" applyNumberFormat="1" applyBorder="1"/>
    <xf numFmtId="172" fontId="0" fillId="62" borderId="69" xfId="0" applyNumberFormat="1" applyFill="1" applyBorder="1"/>
    <xf numFmtId="189" fontId="0" fillId="0" borderId="1" xfId="0" applyNumberFormat="1" applyBorder="1"/>
    <xf numFmtId="0" fontId="96" fillId="2" borderId="42" xfId="0" quotePrefix="1" applyFont="1" applyFill="1" applyBorder="1" applyProtection="1">
      <protection locked="0"/>
    </xf>
    <xf numFmtId="0" fontId="96" fillId="2" borderId="101" xfId="0" applyFont="1" applyFill="1" applyBorder="1" applyProtection="1">
      <protection locked="0"/>
    </xf>
    <xf numFmtId="0" fontId="96" fillId="2" borderId="42" xfId="0" applyFont="1" applyFill="1" applyBorder="1" applyProtection="1">
      <protection locked="0"/>
    </xf>
    <xf numFmtId="187" fontId="0" fillId="0" borderId="0" xfId="0" applyNumberFormat="1"/>
    <xf numFmtId="8" fontId="0" fillId="0" borderId="0" xfId="0" applyNumberFormat="1"/>
    <xf numFmtId="0" fontId="0" fillId="0" borderId="0" xfId="0" quotePrefix="1"/>
    <xf numFmtId="172" fontId="2" fillId="66" borderId="0" xfId="6628" applyNumberFormat="1" applyFill="1"/>
    <xf numFmtId="0" fontId="107" fillId="0" borderId="49" xfId="0" applyFont="1" applyBorder="1" applyAlignment="1">
      <alignment horizontal="center"/>
    </xf>
    <xf numFmtId="0" fontId="115" fillId="2" borderId="49" xfId="0" applyFont="1" applyFill="1" applyBorder="1" applyAlignment="1" applyProtection="1">
      <alignment horizontal="center"/>
      <protection locked="0"/>
    </xf>
    <xf numFmtId="0" fontId="96" fillId="2" borderId="131" xfId="0" applyFont="1" applyFill="1" applyBorder="1" applyProtection="1">
      <protection locked="0"/>
    </xf>
    <xf numFmtId="172" fontId="96" fillId="2" borderId="43" xfId="13118" applyNumberFormat="1" applyFont="1" applyFill="1" applyBorder="1" applyProtection="1">
      <protection locked="0"/>
    </xf>
    <xf numFmtId="174" fontId="96" fillId="2" borderId="42" xfId="13118" applyNumberFormat="1" applyFont="1" applyFill="1" applyBorder="1" applyProtection="1">
      <protection locked="0"/>
    </xf>
    <xf numFmtId="0" fontId="158" fillId="0" borderId="0" xfId="0" applyFont="1"/>
    <xf numFmtId="172" fontId="104" fillId="0" borderId="0" xfId="0" applyNumberFormat="1" applyFont="1" applyAlignment="1">
      <alignment horizontal="right"/>
    </xf>
    <xf numFmtId="174" fontId="159" fillId="0" borderId="0" xfId="0" applyNumberFormat="1" applyFont="1" applyAlignment="1">
      <alignment horizontal="right"/>
    </xf>
    <xf numFmtId="174" fontId="160" fillId="0" borderId="0" xfId="0" applyNumberFormat="1" applyFont="1"/>
    <xf numFmtId="172" fontId="91" fillId="0" borderId="0" xfId="0" quotePrefix="1" applyNumberFormat="1" applyFont="1" applyAlignment="1">
      <alignment horizontal="right" vertical="top"/>
    </xf>
    <xf numFmtId="0" fontId="91" fillId="3" borderId="44" xfId="0" applyFont="1" applyFill="1" applyBorder="1"/>
    <xf numFmtId="172" fontId="91" fillId="0" borderId="97" xfId="9" applyNumberFormat="1" applyFont="1" applyFill="1" applyBorder="1" applyAlignment="1" applyProtection="1">
      <alignment horizontal="center" vertical="top"/>
    </xf>
    <xf numFmtId="172" fontId="91" fillId="0" borderId="97" xfId="9" applyNumberFormat="1" applyFont="1" applyFill="1" applyBorder="1" applyAlignment="1" applyProtection="1">
      <alignment horizontal="right" vertical="top"/>
    </xf>
    <xf numFmtId="0" fontId="92" fillId="0" borderId="0" xfId="0" applyFont="1" applyProtection="1">
      <protection locked="0"/>
    </xf>
    <xf numFmtId="195" fontId="162" fillId="2" borderId="41" xfId="0" applyNumberFormat="1" applyFont="1" applyFill="1" applyBorder="1" applyProtection="1">
      <protection locked="0"/>
    </xf>
    <xf numFmtId="0" fontId="105" fillId="0" borderId="0" xfId="0" applyFont="1" applyAlignment="1">
      <alignment horizontal="left"/>
    </xf>
    <xf numFmtId="0" fontId="105" fillId="72" borderId="0" xfId="0" applyFont="1" applyFill="1" applyAlignment="1">
      <alignment horizontal="left"/>
    </xf>
    <xf numFmtId="174" fontId="91" fillId="72" borderId="0" xfId="0" applyNumberFormat="1" applyFont="1" applyFill="1" applyAlignment="1">
      <alignment horizontal="center"/>
    </xf>
    <xf numFmtId="174" fontId="92" fillId="72" borderId="0" xfId="0" applyNumberFormat="1" applyFont="1" applyFill="1" applyAlignment="1">
      <alignment horizontal="center"/>
    </xf>
    <xf numFmtId="0" fontId="132" fillId="0" borderId="0" xfId="0" applyFont="1" applyAlignment="1">
      <alignment horizontal="left"/>
    </xf>
    <xf numFmtId="215" fontId="92" fillId="0" borderId="6" xfId="0" applyNumberFormat="1" applyFont="1" applyBorder="1" applyAlignment="1">
      <alignment horizontal="right"/>
    </xf>
    <xf numFmtId="0" fontId="91" fillId="0" borderId="6" xfId="0" applyFont="1" applyBorder="1"/>
    <xf numFmtId="195" fontId="91" fillId="0" borderId="0" xfId="0" applyNumberFormat="1" applyFont="1" applyAlignment="1">
      <alignment horizontal="right"/>
    </xf>
    <xf numFmtId="174" fontId="96" fillId="0" borderId="0" xfId="0" applyNumberFormat="1" applyFont="1" applyAlignment="1" applyProtection="1">
      <alignment horizontal="right"/>
      <protection locked="0"/>
    </xf>
    <xf numFmtId="174" fontId="90" fillId="0" borderId="0" xfId="0" applyNumberFormat="1" applyFont="1" applyAlignment="1" applyProtection="1">
      <alignment horizontal="right"/>
      <protection locked="0"/>
    </xf>
    <xf numFmtId="174" fontId="90" fillId="0" borderId="51" xfId="0" applyNumberFormat="1" applyFont="1" applyBorder="1" applyAlignment="1" applyProtection="1">
      <alignment horizontal="right"/>
      <protection locked="0"/>
    </xf>
    <xf numFmtId="174" fontId="96" fillId="2" borderId="51" xfId="0" applyNumberFormat="1" applyFont="1" applyFill="1" applyBorder="1" applyAlignment="1" applyProtection="1">
      <alignment horizontal="right"/>
      <protection locked="0"/>
    </xf>
    <xf numFmtId="174" fontId="15" fillId="0" borderId="51" xfId="6628" applyNumberFormat="1" applyFont="1" applyBorder="1"/>
    <xf numFmtId="172" fontId="15" fillId="0" borderId="0" xfId="6628" applyNumberFormat="1" applyFont="1" applyAlignment="1">
      <alignment horizontal="left"/>
    </xf>
    <xf numFmtId="172" fontId="15" fillId="0" borderId="0" xfId="6628" applyNumberFormat="1" applyFont="1"/>
    <xf numFmtId="174" fontId="2" fillId="2" borderId="0" xfId="6628" applyNumberFormat="1" applyFill="1"/>
    <xf numFmtId="194" fontId="92" fillId="63" borderId="63" xfId="0" applyNumberFormat="1" applyFont="1" applyFill="1" applyBorder="1" applyAlignment="1">
      <alignment horizontal="right"/>
    </xf>
    <xf numFmtId="0" fontId="164" fillId="0" borderId="132" xfId="0" applyFont="1" applyBorder="1" applyAlignment="1">
      <alignment vertical="center" wrapText="1"/>
    </xf>
    <xf numFmtId="0" fontId="164" fillId="0" borderId="0" xfId="0" applyFont="1" applyAlignment="1">
      <alignment vertical="center" wrapText="1"/>
    </xf>
    <xf numFmtId="189" fontId="96" fillId="2" borderId="0" xfId="0" applyNumberFormat="1" applyFont="1" applyFill="1" applyAlignment="1" applyProtection="1">
      <alignment horizontal="right"/>
      <protection locked="0"/>
    </xf>
    <xf numFmtId="172" fontId="90" fillId="0" borderId="0" xfId="0" applyNumberFormat="1" applyFont="1" applyAlignment="1" applyProtection="1">
      <alignment horizontal="right"/>
      <protection locked="0"/>
    </xf>
    <xf numFmtId="0" fontId="165" fillId="0" borderId="0" xfId="0" applyFont="1"/>
    <xf numFmtId="173" fontId="107" fillId="0" borderId="0" xfId="0" applyNumberFormat="1" applyFont="1" applyAlignment="1">
      <alignment horizontal="right" vertical="top"/>
    </xf>
    <xf numFmtId="164" fontId="107" fillId="0" borderId="0" xfId="0" applyNumberFormat="1" applyFont="1" applyAlignment="1">
      <alignment horizontal="center"/>
    </xf>
    <xf numFmtId="0" fontId="107" fillId="0" borderId="51" xfId="0" applyFont="1" applyBorder="1"/>
    <xf numFmtId="202" fontId="107" fillId="0" borderId="51" xfId="0" applyNumberFormat="1" applyFont="1" applyBorder="1"/>
    <xf numFmtId="202" fontId="104" fillId="0" borderId="51" xfId="0" applyNumberFormat="1" applyFont="1" applyBorder="1"/>
    <xf numFmtId="173" fontId="104" fillId="0" borderId="51" xfId="0" applyNumberFormat="1" applyFont="1" applyBorder="1" applyAlignment="1">
      <alignment horizontal="right" vertical="top"/>
    </xf>
    <xf numFmtId="0" fontId="102" fillId="0" borderId="1" xfId="0" applyFont="1" applyBorder="1"/>
    <xf numFmtId="218" fontId="101" fillId="4" borderId="49" xfId="11" applyNumberFormat="1" applyFont="1" applyBorder="1" applyAlignment="1" applyProtection="1">
      <alignment horizontal="right"/>
      <protection locked="0"/>
    </xf>
    <xf numFmtId="0" fontId="105" fillId="66" borderId="0" xfId="0" applyFont="1" applyFill="1" applyAlignment="1">
      <alignment horizontal="left"/>
    </xf>
    <xf numFmtId="174" fontId="91" fillId="66" borderId="0" xfId="0" applyNumberFormat="1" applyFont="1" applyFill="1" applyAlignment="1">
      <alignment horizontal="center"/>
    </xf>
    <xf numFmtId="174" fontId="168" fillId="0" borderId="0" xfId="8" applyNumberFormat="1" applyFont="1"/>
    <xf numFmtId="174" fontId="168" fillId="0" borderId="0" xfId="10" applyNumberFormat="1" applyFont="1" applyProtection="1"/>
    <xf numFmtId="174" fontId="104" fillId="0" borderId="51" xfId="0" applyNumberFormat="1" applyFont="1" applyBorder="1"/>
    <xf numFmtId="174" fontId="107" fillId="0" borderId="51" xfId="0" applyNumberFormat="1" applyFont="1" applyBorder="1"/>
    <xf numFmtId="182" fontId="92" fillId="0" borderId="51" xfId="0" applyNumberFormat="1" applyFont="1" applyBorder="1" applyAlignment="1">
      <alignment horizontal="center" vertical="top"/>
    </xf>
    <xf numFmtId="174" fontId="90" fillId="2" borderId="49" xfId="11" applyNumberFormat="1" applyFont="1" applyFill="1" applyBorder="1" applyAlignment="1" applyProtection="1">
      <alignment horizontal="right" vertical="center"/>
      <protection locked="0"/>
    </xf>
    <xf numFmtId="172" fontId="90" fillId="2" borderId="49" xfId="11" applyNumberFormat="1" applyFont="1" applyFill="1" applyBorder="1" applyAlignment="1" applyProtection="1">
      <alignment horizontal="right" vertical="top"/>
      <protection locked="0"/>
    </xf>
    <xf numFmtId="172" fontId="162" fillId="2" borderId="49" xfId="11" applyNumberFormat="1" applyFont="1" applyFill="1" applyBorder="1" applyAlignment="1" applyProtection="1">
      <alignment horizontal="right" vertical="top"/>
      <protection locked="0"/>
    </xf>
    <xf numFmtId="0" fontId="89" fillId="0" borderId="0" xfId="0" applyFont="1"/>
    <xf numFmtId="183" fontId="91" fillId="0" borderId="0" xfId="13118" applyNumberFormat="1" applyFont="1" applyFill="1" applyBorder="1" applyProtection="1"/>
    <xf numFmtId="174" fontId="92" fillId="0" borderId="0" xfId="13118" applyNumberFormat="1" applyFont="1" applyFill="1" applyBorder="1" applyProtection="1"/>
    <xf numFmtId="209" fontId="91" fillId="0" borderId="0" xfId="33110" applyNumberFormat="1" applyFont="1" applyFill="1" applyBorder="1"/>
    <xf numFmtId="183" fontId="92" fillId="0" borderId="0" xfId="4" applyNumberFormat="1" applyFont="1" applyFill="1" applyBorder="1"/>
    <xf numFmtId="183" fontId="92" fillId="0" borderId="0" xfId="4" applyNumberFormat="1" applyFont="1" applyFill="1" applyBorder="1" applyAlignment="1">
      <alignment horizontal="center"/>
    </xf>
    <xf numFmtId="209" fontId="91" fillId="0" borderId="51" xfId="33110" applyNumberFormat="1" applyFont="1" applyFill="1" applyBorder="1"/>
    <xf numFmtId="183" fontId="92" fillId="0" borderId="51" xfId="4" applyNumberFormat="1" applyFont="1" applyFill="1" applyBorder="1"/>
    <xf numFmtId="183" fontId="92" fillId="0" borderId="51" xfId="4" applyNumberFormat="1" applyFont="1" applyFill="1" applyBorder="1" applyAlignment="1">
      <alignment horizontal="center"/>
    </xf>
    <xf numFmtId="172" fontId="101" fillId="2" borderId="49" xfId="9" applyNumberFormat="1" applyFont="1" applyFill="1" applyBorder="1" applyAlignment="1" applyProtection="1">
      <alignment horizontal="right" vertical="top"/>
      <protection locked="0"/>
    </xf>
    <xf numFmtId="185" fontId="94" fillId="63" borderId="58" xfId="6628" applyNumberFormat="1" applyFont="1" applyFill="1" applyBorder="1" applyAlignment="1">
      <alignment horizontal="center"/>
    </xf>
    <xf numFmtId="185" fontId="94" fillId="63" borderId="12" xfId="6628" applyNumberFormat="1" applyFont="1" applyFill="1" applyBorder="1" applyAlignment="1">
      <alignment horizontal="center"/>
    </xf>
    <xf numFmtId="172" fontId="122" fillId="0" borderId="0" xfId="6628" applyNumberFormat="1" applyFont="1" applyAlignment="1">
      <alignment horizontal="center"/>
    </xf>
    <xf numFmtId="174" fontId="162" fillId="2" borderId="49" xfId="0" applyNumberFormat="1" applyFont="1" applyFill="1" applyBorder="1" applyAlignment="1" applyProtection="1">
      <alignment horizontal="right" vertical="top"/>
      <protection locked="0"/>
    </xf>
    <xf numFmtId="172" fontId="2" fillId="0" borderId="0" xfId="6628" applyNumberFormat="1" applyProtection="1">
      <protection locked="0"/>
    </xf>
    <xf numFmtId="0" fontId="2" fillId="0" borderId="0" xfId="6628" applyProtection="1">
      <protection locked="0"/>
    </xf>
    <xf numFmtId="173" fontId="96" fillId="2" borderId="130" xfId="0" applyNumberFormat="1" applyFont="1" applyFill="1" applyBorder="1" applyAlignment="1" applyProtection="1">
      <alignment horizontal="center"/>
      <protection locked="0"/>
    </xf>
    <xf numFmtId="0" fontId="133" fillId="0" borderId="0" xfId="0" applyFont="1" applyAlignment="1">
      <alignment horizontal="center" vertical="center"/>
    </xf>
    <xf numFmtId="0" fontId="91" fillId="61" borderId="41" xfId="0" applyFont="1" applyFill="1" applyBorder="1"/>
    <xf numFmtId="0" fontId="0" fillId="61" borderId="41" xfId="0" applyFill="1" applyBorder="1"/>
    <xf numFmtId="0" fontId="104" fillId="61" borderId="41" xfId="0" applyFont="1" applyFill="1" applyBorder="1"/>
    <xf numFmtId="0" fontId="171" fillId="0" borderId="0" xfId="0" applyFont="1" applyAlignment="1">
      <alignment horizontal="center"/>
    </xf>
    <xf numFmtId="0" fontId="104" fillId="0" borderId="0" xfId="0" applyFont="1" applyAlignment="1">
      <alignment horizontal="center"/>
    </xf>
    <xf numFmtId="0" fontId="104" fillId="0" borderId="1" xfId="0" applyFont="1" applyBorder="1" applyAlignment="1">
      <alignment horizontal="center"/>
    </xf>
    <xf numFmtId="175" fontId="101" fillId="0" borderId="0" xfId="0" applyNumberFormat="1" applyFont="1" applyAlignment="1" applyProtection="1">
      <alignment horizontal="center"/>
      <protection locked="0"/>
    </xf>
    <xf numFmtId="0" fontId="92" fillId="0" borderId="1" xfId="0" applyFont="1" applyBorder="1" applyProtection="1">
      <protection locked="0"/>
    </xf>
    <xf numFmtId="0" fontId="0" fillId="0" borderId="0" xfId="0" applyProtection="1">
      <protection locked="0"/>
    </xf>
    <xf numFmtId="5" fontId="105" fillId="0" borderId="0" xfId="0" applyNumberFormat="1" applyFont="1" applyAlignment="1">
      <alignment horizontal="center" vertical="top"/>
    </xf>
    <xf numFmtId="175" fontId="105" fillId="0" borderId="0" xfId="0" applyNumberFormat="1" applyFont="1" applyAlignment="1">
      <alignment horizontal="center" vertical="top"/>
    </xf>
    <xf numFmtId="0" fontId="92" fillId="0" borderId="106" xfId="0" applyFont="1" applyBorder="1"/>
    <xf numFmtId="0" fontId="91" fillId="3" borderId="51" xfId="0" applyFont="1" applyFill="1" applyBorder="1" applyProtection="1">
      <protection locked="0"/>
    </xf>
    <xf numFmtId="172" fontId="91" fillId="3" borderId="51" xfId="0" applyNumberFormat="1" applyFont="1" applyFill="1" applyBorder="1" applyProtection="1">
      <protection locked="0"/>
    </xf>
    <xf numFmtId="193" fontId="91" fillId="3" borderId="51" xfId="0" quotePrefix="1" applyNumberFormat="1" applyFont="1" applyFill="1" applyBorder="1" applyAlignment="1" applyProtection="1">
      <alignment horizontal="center"/>
      <protection locked="0"/>
    </xf>
    <xf numFmtId="172" fontId="91" fillId="0" borderId="0" xfId="0" applyNumberFormat="1" applyFont="1" applyProtection="1">
      <protection locked="0"/>
    </xf>
    <xf numFmtId="0" fontId="105" fillId="3" borderId="0" xfId="0" applyFont="1" applyFill="1" applyProtection="1">
      <protection locked="0"/>
    </xf>
    <xf numFmtId="0" fontId="91" fillId="3" borderId="0" xfId="0" applyFont="1" applyFill="1" applyProtection="1">
      <protection locked="0"/>
    </xf>
    <xf numFmtId="0" fontId="91" fillId="2" borderId="0" xfId="0" applyFont="1" applyFill="1" applyProtection="1">
      <protection locked="0"/>
    </xf>
    <xf numFmtId="174" fontId="91" fillId="0" borderId="0" xfId="0" applyNumberFormat="1" applyFont="1" applyAlignment="1" applyProtection="1">
      <alignment horizontal="right" vertical="top"/>
      <protection locked="0"/>
    </xf>
    <xf numFmtId="172" fontId="91" fillId="0" borderId="49" xfId="0" quotePrefix="1" applyNumberFormat="1" applyFont="1" applyBorder="1" applyAlignment="1">
      <alignment horizontal="right" vertical="top"/>
    </xf>
    <xf numFmtId="182" fontId="106" fillId="0" borderId="51" xfId="0" applyNumberFormat="1" applyFont="1" applyBorder="1" applyAlignment="1">
      <alignment horizontal="center" vertical="top"/>
    </xf>
    <xf numFmtId="182" fontId="106" fillId="0" borderId="0" xfId="0" applyNumberFormat="1" applyFont="1" applyAlignment="1">
      <alignment horizontal="center" vertical="top"/>
    </xf>
    <xf numFmtId="189" fontId="161" fillId="2" borderId="0" xfId="8" applyNumberFormat="1" applyFont="1" applyFill="1" applyProtection="1">
      <protection locked="0"/>
    </xf>
    <xf numFmtId="174" fontId="91" fillId="0" borderId="0" xfId="0" applyNumberFormat="1" applyFont="1" applyAlignment="1" applyProtection="1">
      <alignment horizontal="right"/>
      <protection locked="0"/>
    </xf>
    <xf numFmtId="172" fontId="91" fillId="0" borderId="0" xfId="0" applyNumberFormat="1" applyFont="1" applyAlignment="1" applyProtection="1">
      <alignment horizontal="right"/>
      <protection locked="0"/>
    </xf>
    <xf numFmtId="0" fontId="96" fillId="0" borderId="0" xfId="0" applyFont="1" applyAlignment="1" applyProtection="1">
      <alignment horizontal="left"/>
      <protection locked="0"/>
    </xf>
    <xf numFmtId="0" fontId="96" fillId="0" borderId="0" xfId="0" applyFont="1" applyAlignment="1" applyProtection="1">
      <alignment horizontal="center"/>
      <protection locked="0"/>
    </xf>
    <xf numFmtId="1" fontId="96" fillId="0" borderId="0" xfId="0" applyNumberFormat="1" applyFont="1" applyAlignment="1" applyProtection="1">
      <alignment horizontal="right"/>
      <protection locked="0"/>
    </xf>
    <xf numFmtId="1" fontId="96" fillId="0" borderId="0" xfId="0" applyNumberFormat="1" applyFont="1" applyAlignment="1" applyProtection="1">
      <alignment horizontal="center"/>
      <protection locked="0"/>
    </xf>
    <xf numFmtId="174" fontId="96" fillId="0" borderId="0" xfId="0" applyNumberFormat="1" applyFont="1" applyAlignment="1" applyProtection="1">
      <alignment horizontal="center"/>
      <protection locked="0"/>
    </xf>
    <xf numFmtId="0" fontId="96" fillId="0" borderId="0" xfId="0" applyFont="1" applyProtection="1">
      <protection locked="0"/>
    </xf>
    <xf numFmtId="1" fontId="92" fillId="3" borderId="0" xfId="11" applyNumberFormat="1" applyFont="1" applyFill="1" applyBorder="1" applyAlignment="1" applyProtection="1">
      <alignment horizontal="center"/>
      <protection locked="0"/>
    </xf>
    <xf numFmtId="164" fontId="92" fillId="3" borderId="0" xfId="11" applyNumberFormat="1" applyFont="1" applyFill="1" applyBorder="1" applyAlignment="1" applyProtection="1">
      <alignment horizontal="center"/>
      <protection locked="0"/>
    </xf>
    <xf numFmtId="174" fontId="96" fillId="0" borderId="0" xfId="0" applyNumberFormat="1" applyFont="1" applyProtection="1">
      <protection locked="0"/>
    </xf>
    <xf numFmtId="172" fontId="96" fillId="0" borderId="0" xfId="11" applyNumberFormat="1" applyFont="1" applyFill="1" applyBorder="1" applyAlignment="1" applyProtection="1">
      <alignment horizontal="right"/>
      <protection locked="0"/>
    </xf>
    <xf numFmtId="182" fontId="96" fillId="0" borderId="0" xfId="11" applyNumberFormat="1" applyFont="1" applyFill="1" applyBorder="1" applyAlignment="1" applyProtection="1">
      <alignment horizontal="center"/>
      <protection locked="0"/>
    </xf>
    <xf numFmtId="182" fontId="96" fillId="0" borderId="0" xfId="0" applyNumberFormat="1" applyFont="1" applyAlignment="1" applyProtection="1">
      <alignment horizontal="center"/>
      <protection locked="0"/>
    </xf>
    <xf numFmtId="1" fontId="91" fillId="0" borderId="0" xfId="0" applyNumberFormat="1" applyFont="1" applyAlignment="1" applyProtection="1">
      <alignment horizontal="center"/>
      <protection locked="0"/>
    </xf>
    <xf numFmtId="182" fontId="91" fillId="0" borderId="0" xfId="0" applyNumberFormat="1" applyFont="1" applyAlignment="1" applyProtection="1">
      <alignment horizontal="center"/>
      <protection locked="0"/>
    </xf>
    <xf numFmtId="0" fontId="92" fillId="0" borderId="51" xfId="0" applyFont="1" applyBorder="1" applyProtection="1">
      <protection locked="0"/>
    </xf>
    <xf numFmtId="0" fontId="91" fillId="0" borderId="51" xfId="0" applyFont="1" applyBorder="1" applyProtection="1">
      <protection locked="0"/>
    </xf>
    <xf numFmtId="182" fontId="91" fillId="0" borderId="51" xfId="0" applyNumberFormat="1" applyFont="1" applyBorder="1" applyAlignment="1" applyProtection="1">
      <alignment horizontal="center"/>
      <protection locked="0"/>
    </xf>
    <xf numFmtId="172" fontId="92" fillId="0" borderId="51" xfId="0" applyNumberFormat="1" applyFont="1" applyBorder="1" applyAlignment="1" applyProtection="1">
      <alignment horizontal="center" vertical="top"/>
      <protection locked="0"/>
    </xf>
    <xf numFmtId="0" fontId="91" fillId="0" borderId="1" xfId="0" applyFont="1" applyBorder="1" applyProtection="1">
      <protection locked="0"/>
    </xf>
    <xf numFmtId="182" fontId="91" fillId="0" borderId="1" xfId="0" applyNumberFormat="1" applyFont="1" applyBorder="1" applyAlignment="1" applyProtection="1">
      <alignment horizontal="center"/>
      <protection locked="0"/>
    </xf>
    <xf numFmtId="164" fontId="91" fillId="0" borderId="1" xfId="0" applyNumberFormat="1" applyFont="1" applyBorder="1" applyAlignment="1" applyProtection="1">
      <alignment horizontal="center"/>
      <protection locked="0"/>
    </xf>
    <xf numFmtId="172" fontId="91" fillId="0" borderId="1" xfId="0" applyNumberFormat="1" applyFont="1" applyBorder="1" applyAlignment="1" applyProtection="1">
      <alignment horizontal="center" vertical="top"/>
      <protection locked="0"/>
    </xf>
    <xf numFmtId="182" fontId="91" fillId="0" borderId="0" xfId="0" applyNumberFormat="1" applyFont="1" applyProtection="1">
      <protection locked="0"/>
    </xf>
    <xf numFmtId="182" fontId="91" fillId="0" borderId="51" xfId="0" applyNumberFormat="1" applyFont="1" applyBorder="1" applyProtection="1">
      <protection locked="0"/>
    </xf>
    <xf numFmtId="172" fontId="92" fillId="0" borderId="51" xfId="0" applyNumberFormat="1" applyFont="1" applyBorder="1" applyAlignment="1" applyProtection="1">
      <alignment horizontal="center"/>
      <protection locked="0"/>
    </xf>
    <xf numFmtId="173" fontId="92" fillId="0" borderId="51" xfId="0" applyNumberFormat="1" applyFont="1" applyBorder="1" applyAlignment="1" applyProtection="1">
      <alignment horizontal="center"/>
      <protection locked="0"/>
    </xf>
    <xf numFmtId="173" fontId="92" fillId="0" borderId="51" xfId="0" applyNumberFormat="1" applyFont="1" applyBorder="1" applyAlignment="1" applyProtection="1">
      <alignment horizontal="center" vertical="top"/>
      <protection locked="0"/>
    </xf>
    <xf numFmtId="0" fontId="104" fillId="0" borderId="1" xfId="0" applyFont="1" applyBorder="1" applyProtection="1">
      <protection locked="0"/>
    </xf>
    <xf numFmtId="174" fontId="92" fillId="3" borderId="0" xfId="9" applyNumberFormat="1" applyFont="1" applyFill="1" applyBorder="1" applyAlignment="1" applyProtection="1">
      <alignment horizontal="center" vertical="top"/>
      <protection locked="0"/>
    </xf>
    <xf numFmtId="10" fontId="91" fillId="3" borderId="0" xfId="9" applyNumberFormat="1" applyFont="1" applyFill="1" applyBorder="1" applyAlignment="1" applyProtection="1">
      <alignment horizontal="center" vertical="top"/>
      <protection locked="0"/>
    </xf>
    <xf numFmtId="10" fontId="91" fillId="3" borderId="0" xfId="9" quotePrefix="1" applyNumberFormat="1" applyFont="1" applyFill="1" applyBorder="1" applyAlignment="1" applyProtection="1">
      <alignment horizontal="center" vertical="top"/>
      <protection locked="0"/>
    </xf>
    <xf numFmtId="0" fontId="172" fillId="0" borderId="0" xfId="0" applyFont="1"/>
    <xf numFmtId="0" fontId="172" fillId="0" borderId="51" xfId="0" applyFont="1" applyBorder="1"/>
    <xf numFmtId="174" fontId="92" fillId="0" borderId="0" xfId="0" applyNumberFormat="1" applyFont="1" applyAlignment="1" applyProtection="1">
      <alignment horizontal="center"/>
      <protection locked="0"/>
    </xf>
    <xf numFmtId="6" fontId="91" fillId="0" borderId="0" xfId="0" applyNumberFormat="1" applyFont="1" applyAlignment="1" applyProtection="1">
      <alignment horizontal="center"/>
      <protection locked="0"/>
    </xf>
    <xf numFmtId="174" fontId="91" fillId="0" borderId="0" xfId="0" applyNumberFormat="1" applyFont="1" applyAlignment="1" applyProtection="1">
      <alignment horizontal="center"/>
      <protection locked="0"/>
    </xf>
    <xf numFmtId="174" fontId="90" fillId="0" borderId="0" xfId="0" applyNumberFormat="1" applyFont="1" applyAlignment="1" applyProtection="1">
      <alignment horizontal="center"/>
      <protection locked="0"/>
    </xf>
    <xf numFmtId="8" fontId="92" fillId="0" borderId="0" xfId="0" applyNumberFormat="1" applyFont="1" applyProtection="1">
      <protection locked="0"/>
    </xf>
    <xf numFmtId="172" fontId="96" fillId="0" borderId="0" xfId="0" applyNumberFormat="1" applyFont="1" applyAlignment="1" applyProtection="1">
      <alignment horizontal="right"/>
      <protection locked="0"/>
    </xf>
    <xf numFmtId="172" fontId="90" fillId="0" borderId="0" xfId="0" applyNumberFormat="1" applyFont="1" applyProtection="1">
      <protection locked="0"/>
    </xf>
    <xf numFmtId="0" fontId="91" fillId="0" borderId="0" xfId="0" quotePrefix="1" applyFont="1" applyProtection="1">
      <protection locked="0"/>
    </xf>
    <xf numFmtId="172" fontId="91" fillId="0" borderId="0" xfId="0" applyNumberFormat="1" applyFont="1" applyAlignment="1" applyProtection="1">
      <alignment horizontal="right" wrapText="1"/>
      <protection locked="0"/>
    </xf>
    <xf numFmtId="0" fontId="91" fillId="0" borderId="51" xfId="0" quotePrefix="1" applyFont="1" applyBorder="1" applyProtection="1">
      <protection locked="0"/>
    </xf>
    <xf numFmtId="172" fontId="91" fillId="0" borderId="51" xfId="0" applyNumberFormat="1" applyFont="1" applyBorder="1" applyAlignment="1" applyProtection="1">
      <alignment horizontal="right" wrapText="1"/>
      <protection locked="0"/>
    </xf>
    <xf numFmtId="0" fontId="169" fillId="0" borderId="0" xfId="0" applyFont="1" applyAlignment="1">
      <alignment horizontal="left"/>
    </xf>
    <xf numFmtId="174" fontId="92" fillId="0" borderId="59" xfId="0" applyNumberFormat="1" applyFont="1" applyBorder="1" applyAlignment="1">
      <alignment horizontal="right" wrapText="1"/>
    </xf>
    <xf numFmtId="0" fontId="162" fillId="2" borderId="41" xfId="0" applyFont="1" applyFill="1" applyBorder="1" applyProtection="1">
      <protection locked="0"/>
    </xf>
    <xf numFmtId="172" fontId="91" fillId="3" borderId="41" xfId="9" applyNumberFormat="1" applyFont="1" applyFill="1" applyBorder="1" applyAlignment="1" applyProtection="1">
      <alignment horizontal="center" vertical="top"/>
      <protection locked="0"/>
    </xf>
    <xf numFmtId="187" fontId="91" fillId="3" borderId="41" xfId="0" applyNumberFormat="1" applyFont="1" applyFill="1" applyBorder="1" applyAlignment="1" applyProtection="1">
      <alignment horizontal="center" vertical="top"/>
      <protection locked="0"/>
    </xf>
    <xf numFmtId="174" fontId="91" fillId="3" borderId="41" xfId="0" applyNumberFormat="1" applyFont="1" applyFill="1" applyBorder="1" applyAlignment="1" applyProtection="1">
      <alignment horizontal="center"/>
      <protection locked="0"/>
    </xf>
    <xf numFmtId="174" fontId="90" fillId="0" borderId="51" xfId="4" applyNumberFormat="1" applyFont="1" applyFill="1" applyBorder="1" applyAlignment="1" applyProtection="1">
      <alignment horizontal="center"/>
      <protection locked="0"/>
    </xf>
    <xf numFmtId="174" fontId="90" fillId="0" borderId="0" xfId="4" applyNumberFormat="1" applyFont="1" applyFill="1" applyBorder="1" applyAlignment="1" applyProtection="1">
      <alignment horizontal="center"/>
      <protection locked="0"/>
    </xf>
    <xf numFmtId="0" fontId="105" fillId="0" borderId="0" xfId="0" quotePrefix="1" applyFont="1" applyAlignment="1">
      <alignment horizontal="center"/>
    </xf>
    <xf numFmtId="172" fontId="162" fillId="2" borderId="49" xfId="0" applyNumberFormat="1" applyFont="1" applyFill="1" applyBorder="1" applyAlignment="1" applyProtection="1">
      <alignment horizontal="center"/>
      <protection locked="0"/>
    </xf>
    <xf numFmtId="172" fontId="162" fillId="2" borderId="49" xfId="0" applyNumberFormat="1" applyFont="1" applyFill="1" applyBorder="1" applyAlignment="1" applyProtection="1">
      <alignment horizontal="center" vertical="top"/>
      <protection locked="0"/>
    </xf>
    <xf numFmtId="164" fontId="92" fillId="0" borderId="0" xfId="0" applyNumberFormat="1" applyFont="1" applyAlignment="1" applyProtection="1">
      <alignment horizontal="left"/>
      <protection locked="0"/>
    </xf>
    <xf numFmtId="172" fontId="91" fillId="0" borderId="46" xfId="0" applyNumberFormat="1" applyFont="1" applyBorder="1" applyProtection="1">
      <protection locked="0"/>
    </xf>
    <xf numFmtId="172" fontId="91" fillId="0" borderId="41" xfId="0" applyNumberFormat="1" applyFont="1" applyBorder="1" applyProtection="1">
      <protection locked="0"/>
    </xf>
    <xf numFmtId="174" fontId="91" fillId="0" borderId="46" xfId="0" applyNumberFormat="1" applyFont="1" applyBorder="1" applyProtection="1">
      <protection locked="0"/>
    </xf>
    <xf numFmtId="172" fontId="91" fillId="0" borderId="44" xfId="0" applyNumberFormat="1" applyFont="1" applyBorder="1" applyProtection="1">
      <protection locked="0"/>
    </xf>
    <xf numFmtId="174" fontId="91" fillId="0" borderId="41" xfId="0" applyNumberFormat="1" applyFont="1" applyBorder="1" applyProtection="1">
      <protection locked="0"/>
    </xf>
    <xf numFmtId="174" fontId="90" fillId="0" borderId="51" xfId="0" applyNumberFormat="1" applyFont="1" applyBorder="1" applyProtection="1">
      <protection locked="0"/>
    </xf>
    <xf numFmtId="172" fontId="90" fillId="0" borderId="41" xfId="0" applyNumberFormat="1" applyFont="1" applyBorder="1" applyProtection="1">
      <protection locked="0"/>
    </xf>
    <xf numFmtId="172" fontId="90" fillId="0" borderId="1" xfId="0" applyNumberFormat="1" applyFont="1" applyBorder="1" applyProtection="1">
      <protection locked="0"/>
    </xf>
    <xf numFmtId="174" fontId="91" fillId="0" borderId="97" xfId="0" applyNumberFormat="1" applyFont="1" applyBorder="1" applyAlignment="1" applyProtection="1">
      <alignment horizontal="right" vertical="top"/>
      <protection locked="0"/>
    </xf>
    <xf numFmtId="174" fontId="91" fillId="0" borderId="49" xfId="0" applyNumberFormat="1" applyFont="1" applyBorder="1" applyAlignment="1" applyProtection="1">
      <alignment horizontal="right" vertical="top"/>
      <protection locked="0"/>
    </xf>
    <xf numFmtId="174" fontId="91" fillId="0" borderId="103" xfId="0" applyNumberFormat="1" applyFont="1" applyBorder="1" applyAlignment="1" applyProtection="1">
      <alignment horizontal="right" vertical="top"/>
      <protection locked="0"/>
    </xf>
    <xf numFmtId="174" fontId="91" fillId="0" borderId="0" xfId="0" applyNumberFormat="1" applyFont="1" applyAlignment="1" applyProtection="1">
      <alignment horizontal="center" vertical="top"/>
      <protection locked="0"/>
    </xf>
    <xf numFmtId="0" fontId="91" fillId="0" borderId="0" xfId="7" applyFont="1" applyFill="1" applyBorder="1" applyAlignment="1" applyProtection="1">
      <alignment horizontal="left" wrapText="1"/>
      <protection locked="0"/>
    </xf>
    <xf numFmtId="0" fontId="116" fillId="0" borderId="0" xfId="33111" applyAlignment="1" applyProtection="1">
      <alignment horizontal="left" vertical="top"/>
      <protection locked="0"/>
    </xf>
    <xf numFmtId="0" fontId="92" fillId="63" borderId="1" xfId="0" applyFont="1" applyFill="1" applyBorder="1" applyAlignment="1" applyProtection="1">
      <alignment horizontal="center"/>
      <protection locked="0"/>
    </xf>
    <xf numFmtId="0" fontId="92" fillId="63" borderId="9" xfId="0" applyFont="1" applyFill="1" applyBorder="1" applyAlignment="1" applyProtection="1">
      <alignment horizontal="center"/>
      <protection locked="0"/>
    </xf>
    <xf numFmtId="0" fontId="107" fillId="63" borderId="54" xfId="0" applyFont="1" applyFill="1" applyBorder="1" applyAlignment="1" applyProtection="1">
      <alignment horizontal="center" vertical="top"/>
      <protection locked="0"/>
    </xf>
    <xf numFmtId="0" fontId="107" fillId="63" borderId="55" xfId="0" applyFont="1" applyFill="1" applyBorder="1" applyAlignment="1" applyProtection="1">
      <alignment horizontal="center" vertical="top"/>
      <protection locked="0"/>
    </xf>
    <xf numFmtId="0" fontId="107" fillId="63" borderId="56" xfId="0" applyFont="1" applyFill="1" applyBorder="1" applyAlignment="1" applyProtection="1">
      <alignment horizontal="center" vertical="top"/>
      <protection locked="0"/>
    </xf>
    <xf numFmtId="0" fontId="104" fillId="63" borderId="39" xfId="0" applyFont="1" applyFill="1" applyBorder="1" applyAlignment="1" applyProtection="1">
      <alignment horizontal="center" vertical="top"/>
      <protection locked="0"/>
    </xf>
    <xf numFmtId="0" fontId="104" fillId="63" borderId="35" xfId="0" applyFont="1" applyFill="1" applyBorder="1" applyAlignment="1" applyProtection="1">
      <alignment horizontal="center" vertical="top"/>
      <protection locked="0"/>
    </xf>
    <xf numFmtId="0" fontId="104" fillId="63" borderId="40" xfId="0" applyFont="1" applyFill="1" applyBorder="1" applyAlignment="1" applyProtection="1">
      <alignment horizontal="center" vertical="top"/>
      <protection locked="0"/>
    </xf>
    <xf numFmtId="0" fontId="119" fillId="0" borderId="49" xfId="33111" applyFont="1" applyBorder="1" applyAlignment="1" applyProtection="1">
      <alignment horizontal="center" vertical="top"/>
      <protection locked="0"/>
    </xf>
    <xf numFmtId="172" fontId="119" fillId="0" borderId="49" xfId="33111" applyNumberFormat="1" applyFont="1" applyBorder="1" applyAlignment="1" applyProtection="1">
      <alignment horizontal="center" vertical="top"/>
      <protection locked="0"/>
    </xf>
    <xf numFmtId="0" fontId="117" fillId="70" borderId="0" xfId="33111" applyFont="1" applyFill="1" applyAlignment="1" applyProtection="1">
      <alignment horizontal="left" vertical="top" wrapText="1"/>
      <protection locked="0"/>
    </xf>
    <xf numFmtId="0" fontId="64" fillId="61" borderId="84" xfId="33111" applyFont="1" applyFill="1" applyBorder="1" applyAlignment="1" applyProtection="1">
      <alignment horizontal="center" vertical="top" wrapText="1"/>
      <protection locked="0"/>
    </xf>
    <xf numFmtId="0" fontId="91" fillId="0" borderId="87" xfId="33111" applyFont="1" applyBorder="1" applyAlignment="1" applyProtection="1">
      <alignment vertical="center" wrapText="1"/>
      <protection locked="0"/>
    </xf>
    <xf numFmtId="0" fontId="91" fillId="0" borderId="11" xfId="33111" applyFont="1" applyBorder="1" applyAlignment="1" applyProtection="1">
      <alignment horizontal="left" vertical="center"/>
      <protection locked="0"/>
    </xf>
    <xf numFmtId="0" fontId="91" fillId="0" borderId="89" xfId="33111" applyFont="1" applyBorder="1" applyAlignment="1" applyProtection="1">
      <alignment horizontal="right" vertical="center" wrapText="1"/>
      <protection locked="0"/>
    </xf>
    <xf numFmtId="0" fontId="91" fillId="0" borderId="89" xfId="33111" applyFont="1" applyBorder="1" applyAlignment="1" applyProtection="1">
      <alignment vertical="center" wrapText="1"/>
      <protection locked="0"/>
    </xf>
    <xf numFmtId="0" fontId="91" fillId="0" borderId="88" xfId="33111" applyFont="1" applyBorder="1" applyAlignment="1" applyProtection="1">
      <alignment horizontal="right" vertical="center" wrapText="1"/>
      <protection locked="0"/>
    </xf>
    <xf numFmtId="0" fontId="91" fillId="0" borderId="64" xfId="33111" applyFont="1" applyBorder="1" applyAlignment="1" applyProtection="1">
      <alignment horizontal="left" vertical="center"/>
      <protection locked="0"/>
    </xf>
    <xf numFmtId="0" fontId="91" fillId="0" borderId="68" xfId="33111" applyFont="1" applyBorder="1" applyAlignment="1" applyProtection="1">
      <alignment horizontal="right" vertical="center" wrapText="1"/>
      <protection locked="0"/>
    </xf>
    <xf numFmtId="0" fontId="91" fillId="0" borderId="64" xfId="33111" applyFont="1" applyBorder="1" applyAlignment="1" applyProtection="1">
      <alignment horizontal="right" vertical="center" wrapText="1"/>
      <protection locked="0"/>
    </xf>
    <xf numFmtId="172" fontId="91" fillId="0" borderId="64" xfId="33111" applyNumberFormat="1" applyFont="1" applyBorder="1" applyAlignment="1" applyProtection="1">
      <alignment horizontal="right" vertical="center"/>
      <protection locked="0"/>
    </xf>
    <xf numFmtId="172" fontId="91" fillId="0" borderId="89" xfId="33111" applyNumberFormat="1" applyFont="1" applyBorder="1" applyAlignment="1" applyProtection="1">
      <alignment vertical="center" wrapText="1"/>
      <protection locked="0"/>
    </xf>
    <xf numFmtId="0" fontId="96" fillId="0" borderId="88" xfId="33111" applyFont="1" applyBorder="1" applyAlignment="1" applyProtection="1">
      <alignment horizontal="right" vertical="center" wrapText="1"/>
      <protection locked="0"/>
    </xf>
    <xf numFmtId="181" fontId="91" fillId="0" borderId="89" xfId="33111" applyNumberFormat="1" applyFont="1" applyBorder="1" applyAlignment="1" applyProtection="1">
      <alignment horizontal="right" vertical="center" wrapText="1"/>
      <protection locked="0"/>
    </xf>
    <xf numFmtId="172" fontId="91" fillId="0" borderId="88" xfId="33111" applyNumberFormat="1" applyFont="1" applyBorder="1" applyAlignment="1" applyProtection="1">
      <alignment horizontal="right" vertical="center" wrapText="1"/>
      <protection locked="0"/>
    </xf>
    <xf numFmtId="172" fontId="91" fillId="0" borderId="89" xfId="33111" applyNumberFormat="1" applyFont="1" applyBorder="1" applyAlignment="1" applyProtection="1">
      <alignment horizontal="right" vertical="center" wrapText="1"/>
      <protection locked="0"/>
    </xf>
    <xf numFmtId="172" fontId="90" fillId="0" borderId="89" xfId="33111" quotePrefix="1" applyNumberFormat="1" applyFont="1" applyBorder="1" applyAlignment="1" applyProtection="1">
      <alignment vertical="center" wrapText="1"/>
      <protection locked="0"/>
    </xf>
    <xf numFmtId="172" fontId="91" fillId="0" borderId="95" xfId="33111" applyNumberFormat="1" applyFont="1" applyBorder="1" applyAlignment="1" applyProtection="1">
      <alignment horizontal="right" vertical="center" wrapText="1"/>
      <protection locked="0"/>
    </xf>
    <xf numFmtId="0" fontId="91" fillId="0" borderId="52" xfId="33111" applyFont="1" applyBorder="1" applyAlignment="1" applyProtection="1">
      <alignment vertical="top" wrapText="1"/>
      <protection locked="0"/>
    </xf>
    <xf numFmtId="0" fontId="91" fillId="0" borderId="51" xfId="33111" applyFont="1" applyBorder="1" applyAlignment="1" applyProtection="1">
      <alignment vertical="top" wrapText="1"/>
      <protection locked="0"/>
    </xf>
    <xf numFmtId="172" fontId="91" fillId="0" borderId="51" xfId="33111" applyNumberFormat="1" applyFont="1" applyBorder="1" applyAlignment="1" applyProtection="1">
      <alignment horizontal="right" vertical="top" wrapText="1"/>
      <protection locked="0"/>
    </xf>
    <xf numFmtId="0" fontId="91" fillId="0" borderId="51" xfId="33111" applyFont="1" applyBorder="1" applyAlignment="1" applyProtection="1">
      <alignment horizontal="right" vertical="top" wrapText="1"/>
      <protection locked="0"/>
    </xf>
    <xf numFmtId="0" fontId="91" fillId="0" borderId="1" xfId="33111" applyFont="1" applyBorder="1" applyAlignment="1" applyProtection="1">
      <alignment vertical="top" wrapText="1"/>
      <protection locked="0"/>
    </xf>
    <xf numFmtId="172" fontId="91" fillId="0" borderId="1" xfId="33111" applyNumberFormat="1" applyFont="1" applyBorder="1" applyAlignment="1" applyProtection="1">
      <alignment horizontal="right" vertical="top" wrapText="1"/>
      <protection locked="0"/>
    </xf>
    <xf numFmtId="0" fontId="91" fillId="0" borderId="1" xfId="33111" applyFont="1" applyBorder="1" applyAlignment="1" applyProtection="1">
      <alignment horizontal="right" vertical="top" wrapText="1"/>
      <protection locked="0"/>
    </xf>
    <xf numFmtId="0" fontId="118" fillId="0" borderId="0" xfId="33111" applyFont="1" applyAlignment="1" applyProtection="1">
      <alignment vertical="top" wrapText="1"/>
      <protection locked="0"/>
    </xf>
    <xf numFmtId="181" fontId="89" fillId="0" borderId="79" xfId="33111" applyNumberFormat="1" applyFont="1" applyBorder="1" applyAlignment="1" applyProtection="1">
      <alignment horizontal="right" vertical="top" wrapText="1"/>
      <protection locked="0"/>
    </xf>
    <xf numFmtId="0" fontId="89" fillId="0" borderId="80" xfId="33111" applyFont="1" applyBorder="1" applyAlignment="1" applyProtection="1">
      <alignment horizontal="left" vertical="top" wrapText="1"/>
      <protection locked="0"/>
    </xf>
    <xf numFmtId="191" fontId="90" fillId="0" borderId="75" xfId="33111" applyNumberFormat="1" applyFont="1" applyBorder="1" applyAlignment="1" applyProtection="1">
      <alignment horizontal="right" vertical="top" wrapText="1"/>
      <protection locked="0"/>
    </xf>
    <xf numFmtId="0" fontId="90" fillId="0" borderId="76" xfId="33111" applyFont="1" applyBorder="1" applyAlignment="1" applyProtection="1">
      <alignment horizontal="left" vertical="top" wrapText="1"/>
      <protection locked="0"/>
    </xf>
    <xf numFmtId="187" fontId="124" fillId="2" borderId="0" xfId="33111" applyNumberFormat="1" applyFont="1" applyFill="1" applyAlignment="1" applyProtection="1">
      <alignment horizontal="right" vertical="top"/>
      <protection locked="0"/>
    </xf>
    <xf numFmtId="0" fontId="124" fillId="0" borderId="0" xfId="33111" applyFont="1" applyAlignment="1" applyProtection="1">
      <alignment horizontal="left" vertical="top"/>
      <protection locked="0"/>
    </xf>
    <xf numFmtId="174" fontId="124" fillId="0" borderId="0" xfId="33111" applyNumberFormat="1" applyFont="1" applyAlignment="1" applyProtection="1">
      <alignment horizontal="right" vertical="top"/>
      <protection locked="0"/>
    </xf>
    <xf numFmtId="0" fontId="124" fillId="0" borderId="0" xfId="33111" quotePrefix="1" applyFont="1" applyAlignment="1" applyProtection="1">
      <alignment horizontal="left" vertical="top"/>
      <protection locked="0"/>
    </xf>
    <xf numFmtId="174" fontId="116" fillId="0" borderId="0" xfId="33111" applyNumberFormat="1" applyAlignment="1" applyProtection="1">
      <alignment horizontal="right" vertical="top"/>
      <protection locked="0"/>
    </xf>
    <xf numFmtId="207" fontId="92" fillId="0" borderId="41" xfId="0" applyNumberFormat="1" applyFont="1" applyBorder="1" applyAlignment="1">
      <alignment horizontal="right" vertical="top"/>
    </xf>
    <xf numFmtId="172" fontId="89" fillId="0" borderId="46" xfId="0" applyNumberFormat="1" applyFont="1" applyBorder="1" applyAlignment="1">
      <alignment horizontal="right" vertical="top"/>
    </xf>
    <xf numFmtId="0" fontId="92" fillId="3" borderId="41" xfId="0" applyFont="1" applyFill="1" applyBorder="1"/>
    <xf numFmtId="172" fontId="91" fillId="3" borderId="41" xfId="0" applyNumberFormat="1" applyFont="1" applyFill="1" applyBorder="1" applyAlignment="1">
      <alignment horizontal="right" vertical="top"/>
    </xf>
    <xf numFmtId="172" fontId="92" fillId="0" borderId="51" xfId="0" applyNumberFormat="1" applyFont="1" applyBorder="1" applyAlignment="1">
      <alignment horizontal="right" vertical="top"/>
    </xf>
    <xf numFmtId="219" fontId="90" fillId="0" borderId="49" xfId="11" applyNumberFormat="1" applyFont="1" applyFill="1" applyBorder="1" applyAlignment="1" applyProtection="1">
      <alignment horizontal="right"/>
    </xf>
    <xf numFmtId="172" fontId="162" fillId="2" borderId="0" xfId="0" applyNumberFormat="1" applyFont="1" applyFill="1" applyProtection="1">
      <protection locked="0"/>
    </xf>
    <xf numFmtId="0" fontId="170" fillId="61" borderId="41" xfId="7" applyFont="1" applyFill="1" applyBorder="1" applyAlignment="1" applyProtection="1">
      <alignment horizontal="left" vertical="center"/>
    </xf>
    <xf numFmtId="0" fontId="170" fillId="0" borderId="41" xfId="7" applyFont="1" applyBorder="1" applyAlignment="1" applyProtection="1">
      <alignment horizontal="left" vertical="center"/>
    </xf>
    <xf numFmtId="0" fontId="170" fillId="0" borderId="41" xfId="7" applyFont="1" applyBorder="1" applyAlignment="1" applyProtection="1">
      <alignment horizontal="left" vertical="center" wrapText="1"/>
    </xf>
    <xf numFmtId="0" fontId="173" fillId="0" borderId="41" xfId="7" applyFont="1" applyBorder="1" applyAlignment="1" applyProtection="1"/>
    <xf numFmtId="174" fontId="90" fillId="0" borderId="41" xfId="9" applyNumberFormat="1" applyFont="1" applyFill="1" applyBorder="1" applyAlignment="1" applyProtection="1">
      <alignment horizontal="right" vertical="top"/>
      <protection locked="0"/>
    </xf>
    <xf numFmtId="174" fontId="90" fillId="0" borderId="41" xfId="9" applyNumberFormat="1" applyFont="1" applyFill="1" applyBorder="1" applyAlignment="1" applyProtection="1">
      <alignment horizontal="right" vertical="top"/>
    </xf>
    <xf numFmtId="174" fontId="91" fillId="0" borderId="41" xfId="9" applyNumberFormat="1" applyFont="1" applyFill="1" applyBorder="1" applyAlignment="1" applyProtection="1">
      <alignment horizontal="right" vertical="top"/>
      <protection locked="0"/>
    </xf>
    <xf numFmtId="172" fontId="90" fillId="0" borderId="44" xfId="13330" applyNumberFormat="1" applyFont="1" applyFill="1" applyBorder="1" applyAlignment="1">
      <alignment horizontal="right" vertical="top"/>
    </xf>
    <xf numFmtId="172" fontId="90" fillId="0" borderId="45" xfId="9" applyNumberFormat="1" applyFont="1" applyFill="1" applyBorder="1" applyAlignment="1" applyProtection="1">
      <alignment horizontal="right" vertical="top"/>
    </xf>
    <xf numFmtId="9" fontId="90" fillId="0" borderId="41" xfId="9" applyFont="1" applyFill="1" applyBorder="1" applyAlignment="1" applyProtection="1">
      <alignment horizontal="right" vertical="top"/>
      <protection locked="0"/>
    </xf>
    <xf numFmtId="172" fontId="96" fillId="0" borderId="41" xfId="9" applyNumberFormat="1" applyFont="1" applyFill="1" applyBorder="1" applyAlignment="1" applyProtection="1">
      <alignment horizontal="right" vertical="top"/>
      <protection locked="0"/>
    </xf>
    <xf numFmtId="0" fontId="174" fillId="0" borderId="51" xfId="0" applyFont="1" applyBorder="1"/>
    <xf numFmtId="172" fontId="113" fillId="69" borderId="49" xfId="6" applyNumberFormat="1" applyFont="1" applyFill="1" applyBorder="1" applyProtection="1">
      <protection locked="0"/>
    </xf>
    <xf numFmtId="172" fontId="96" fillId="69" borderId="68" xfId="0" applyNumberFormat="1" applyFont="1" applyFill="1" applyBorder="1" applyAlignment="1" applyProtection="1">
      <alignment horizontal="right"/>
      <protection locked="0"/>
    </xf>
    <xf numFmtId="172" fontId="96" fillId="69" borderId="61" xfId="0" applyNumberFormat="1" applyFont="1" applyFill="1" applyBorder="1" applyAlignment="1" applyProtection="1">
      <alignment horizontal="right"/>
      <protection locked="0"/>
    </xf>
    <xf numFmtId="172" fontId="96" fillId="69" borderId="49" xfId="0" applyNumberFormat="1" applyFont="1" applyFill="1" applyBorder="1" applyAlignment="1" applyProtection="1">
      <alignment horizontal="right"/>
      <protection locked="0"/>
    </xf>
    <xf numFmtId="172" fontId="96" fillId="69" borderId="118" xfId="0" applyNumberFormat="1" applyFont="1" applyFill="1" applyBorder="1" applyAlignment="1" applyProtection="1">
      <alignment horizontal="right"/>
      <protection locked="0"/>
    </xf>
    <xf numFmtId="172" fontId="96" fillId="69" borderId="115" xfId="0" applyNumberFormat="1" applyFont="1" applyFill="1" applyBorder="1" applyAlignment="1" applyProtection="1">
      <alignment horizontal="right"/>
      <protection locked="0"/>
    </xf>
    <xf numFmtId="172" fontId="96" fillId="69" borderId="96" xfId="0" applyNumberFormat="1" applyFont="1" applyFill="1" applyBorder="1" applyAlignment="1" applyProtection="1">
      <alignment horizontal="right"/>
      <protection locked="0"/>
    </xf>
    <xf numFmtId="172" fontId="96" fillId="69" borderId="44" xfId="0" applyNumberFormat="1" applyFont="1" applyFill="1" applyBorder="1" applyProtection="1">
      <protection locked="0"/>
    </xf>
    <xf numFmtId="0" fontId="140" fillId="2" borderId="41" xfId="0" applyFont="1" applyFill="1" applyBorder="1" applyProtection="1">
      <protection locked="0"/>
    </xf>
    <xf numFmtId="0" fontId="140" fillId="2" borderId="44" xfId="0" applyFont="1" applyFill="1" applyBorder="1" applyProtection="1">
      <protection locked="0"/>
    </xf>
    <xf numFmtId="0" fontId="175" fillId="0" borderId="0" xfId="7" applyFont="1" applyAlignment="1" applyProtection="1"/>
    <xf numFmtId="222" fontId="91" fillId="0" borderId="0" xfId="0" applyNumberFormat="1" applyFont="1" applyAlignment="1">
      <alignment horizontal="right"/>
    </xf>
    <xf numFmtId="0" fontId="156" fillId="0" borderId="0" xfId="0" applyFont="1"/>
    <xf numFmtId="189" fontId="83" fillId="2" borderId="0" xfId="0" applyNumberFormat="1" applyFont="1" applyFill="1" applyAlignment="1">
      <alignment horizontal="right"/>
    </xf>
    <xf numFmtId="175" fontId="83" fillId="2" borderId="0" xfId="0" applyNumberFormat="1" applyFont="1" applyFill="1" applyAlignment="1">
      <alignment horizontal="right"/>
    </xf>
    <xf numFmtId="0" fontId="139" fillId="0" borderId="0" xfId="0" applyFont="1" applyAlignment="1">
      <alignment wrapText="1"/>
    </xf>
    <xf numFmtId="0" fontId="91" fillId="3" borderId="0" xfId="0" quotePrefix="1" applyFont="1" applyFill="1"/>
    <xf numFmtId="175" fontId="92" fillId="3" borderId="0" xfId="0" applyNumberFormat="1" applyFont="1" applyFill="1" applyAlignment="1">
      <alignment horizontal="right"/>
    </xf>
    <xf numFmtId="175" fontId="91" fillId="3" borderId="0" xfId="0" applyNumberFormat="1" applyFont="1" applyFill="1" applyAlignment="1">
      <alignment horizontal="right"/>
    </xf>
    <xf numFmtId="172" fontId="91" fillId="0" borderId="0" xfId="0" applyNumberFormat="1" applyFont="1" applyAlignment="1" applyProtection="1">
      <alignment horizontal="center"/>
      <protection locked="0"/>
    </xf>
    <xf numFmtId="173" fontId="92" fillId="0" borderId="0" xfId="0" applyNumberFormat="1" applyFont="1" applyAlignment="1">
      <alignment horizontal="right" vertical="top"/>
    </xf>
    <xf numFmtId="224" fontId="91" fillId="0" borderId="0" xfId="0" applyNumberFormat="1" applyFont="1" applyAlignment="1">
      <alignment horizontal="right"/>
    </xf>
    <xf numFmtId="176" fontId="91" fillId="0" borderId="0" xfId="0" applyNumberFormat="1" applyFont="1" applyAlignment="1">
      <alignment horizontal="right"/>
    </xf>
    <xf numFmtId="189" fontId="96" fillId="4" borderId="49" xfId="11" applyNumberFormat="1" applyFont="1" applyBorder="1" applyAlignment="1" applyProtection="1">
      <alignment horizontal="center"/>
      <protection locked="0"/>
    </xf>
    <xf numFmtId="0" fontId="153" fillId="0" borderId="41" xfId="7" applyFont="1" applyBorder="1" applyAlignment="1" applyProtection="1">
      <alignment horizontal="left" vertical="center"/>
    </xf>
    <xf numFmtId="175" fontId="105" fillId="0" borderId="0" xfId="0" applyNumberFormat="1" applyFont="1"/>
    <xf numFmtId="172" fontId="113" fillId="69" borderId="103" xfId="6" applyNumberFormat="1" applyFont="1" applyFill="1" applyBorder="1" applyProtection="1">
      <protection locked="0"/>
    </xf>
    <xf numFmtId="216" fontId="11" fillId="0" borderId="0" xfId="0" applyNumberFormat="1" applyFont="1" applyAlignment="1">
      <alignment horizontal="right"/>
    </xf>
    <xf numFmtId="217" fontId="11" fillId="0" borderId="0" xfId="0" applyNumberFormat="1" applyFont="1" applyAlignment="1">
      <alignment horizontal="right"/>
    </xf>
    <xf numFmtId="172" fontId="176" fillId="0" borderId="0" xfId="6628" applyNumberFormat="1" applyFont="1"/>
    <xf numFmtId="172" fontId="177" fillId="0" borderId="0" xfId="7" applyNumberFormat="1" applyFont="1" applyAlignment="1" applyProtection="1"/>
    <xf numFmtId="174" fontId="162" fillId="2" borderId="0" xfId="0" applyNumberFormat="1" applyFont="1" applyFill="1" applyProtection="1">
      <protection locked="0"/>
    </xf>
    <xf numFmtId="0" fontId="107" fillId="0" borderId="41" xfId="0" applyFont="1" applyBorder="1" applyAlignment="1">
      <alignment vertical="center"/>
    </xf>
    <xf numFmtId="0" fontId="0" fillId="0" borderId="0" xfId="0" applyAlignment="1">
      <alignment vertical="center"/>
    </xf>
    <xf numFmtId="10" fontId="90" fillId="0" borderId="49" xfId="11" applyNumberFormat="1" applyFont="1" applyFill="1" applyBorder="1" applyAlignment="1" applyProtection="1">
      <alignment horizontal="center" vertical="top"/>
    </xf>
    <xf numFmtId="0" fontId="178" fillId="0" borderId="0" xfId="7" applyFont="1" applyAlignment="1" applyProtection="1"/>
    <xf numFmtId="174" fontId="89" fillId="0" borderId="51" xfId="0" applyNumberFormat="1" applyFont="1" applyBorder="1"/>
    <xf numFmtId="189" fontId="96" fillId="4" borderId="49" xfId="11" applyNumberFormat="1" applyFont="1" applyBorder="1" applyAlignment="1" applyProtection="1">
      <alignment horizontal="center" vertical="top"/>
      <protection locked="0"/>
    </xf>
    <xf numFmtId="172" fontId="96" fillId="2" borderId="96" xfId="0" applyNumberFormat="1" applyFont="1" applyFill="1" applyBorder="1" applyAlignment="1" applyProtection="1">
      <alignment horizontal="right" vertical="top"/>
      <protection locked="0"/>
    </xf>
    <xf numFmtId="0" fontId="92" fillId="67" borderId="5" xfId="0" applyFont="1" applyFill="1" applyBorder="1"/>
    <xf numFmtId="174" fontId="92" fillId="67" borderId="6" xfId="0" applyNumberFormat="1" applyFont="1" applyFill="1" applyBorder="1" applyAlignment="1">
      <alignment horizontal="right"/>
    </xf>
    <xf numFmtId="0" fontId="92" fillId="67" borderId="6" xfId="0" applyFont="1" applyFill="1" applyBorder="1"/>
    <xf numFmtId="202" fontId="92" fillId="0" borderId="0" xfId="0" applyNumberFormat="1" applyFont="1"/>
    <xf numFmtId="172" fontId="95" fillId="0" borderId="1" xfId="6" applyNumberFormat="1" applyFont="1" applyBorder="1" applyProtection="1"/>
    <xf numFmtId="221" fontId="92" fillId="63" borderId="63" xfId="0" applyNumberFormat="1" applyFont="1" applyFill="1" applyBorder="1" applyAlignment="1">
      <alignment horizontal="right"/>
    </xf>
    <xf numFmtId="0" fontId="108" fillId="0" borderId="0" xfId="7" applyFont="1" applyFill="1" applyBorder="1" applyAlignment="1" applyProtection="1">
      <alignment wrapText="1"/>
    </xf>
    <xf numFmtId="164" fontId="91" fillId="0" borderId="1" xfId="0" applyNumberFormat="1" applyFont="1" applyBorder="1" applyAlignment="1">
      <alignment horizontal="center" vertical="top"/>
    </xf>
    <xf numFmtId="0" fontId="104" fillId="0" borderId="44" xfId="0" applyFont="1" applyBorder="1"/>
    <xf numFmtId="0" fontId="100" fillId="0" borderId="44" xfId="7" applyFont="1" applyFill="1" applyBorder="1" applyAlignment="1" applyProtection="1">
      <alignment horizontal="right" wrapText="1" indent="1"/>
    </xf>
    <xf numFmtId="0" fontId="107" fillId="0" borderId="44" xfId="0" applyFont="1" applyBorder="1" applyAlignment="1">
      <alignment horizontal="center" vertical="top"/>
    </xf>
    <xf numFmtId="175" fontId="94" fillId="72" borderId="0" xfId="6" applyNumberFormat="1" applyFont="1" applyFill="1" applyBorder="1" applyProtection="1"/>
    <xf numFmtId="0" fontId="175" fillId="62" borderId="0" xfId="7" applyFont="1" applyFill="1" applyAlignment="1" applyProtection="1"/>
    <xf numFmtId="0" fontId="175" fillId="2" borderId="0" xfId="7" applyFont="1" applyFill="1" applyAlignment="1" applyProtection="1"/>
    <xf numFmtId="0" fontId="107" fillId="0" borderId="0" xfId="0" applyFont="1" applyAlignment="1">
      <alignment horizontal="left"/>
    </xf>
    <xf numFmtId="174" fontId="83" fillId="2" borderId="0" xfId="0" applyNumberFormat="1" applyFont="1" applyFill="1" applyAlignment="1">
      <alignment horizontal="right"/>
    </xf>
    <xf numFmtId="0" fontId="92" fillId="0" borderId="1" xfId="0" applyFont="1" applyBorder="1"/>
    <xf numFmtId="0" fontId="96" fillId="2" borderId="44" xfId="0" applyFont="1" applyFill="1" applyBorder="1" applyProtection="1">
      <protection locked="0"/>
    </xf>
    <xf numFmtId="0" fontId="96" fillId="2" borderId="41" xfId="0" applyFont="1" applyFill="1" applyBorder="1" applyProtection="1">
      <protection locked="0"/>
    </xf>
    <xf numFmtId="0" fontId="64" fillId="5" borderId="0" xfId="0" applyFont="1" applyFill="1"/>
    <xf numFmtId="0" fontId="92" fillId="0" borderId="63" xfId="0" applyFont="1" applyBorder="1" applyAlignment="1">
      <alignment horizontal="center"/>
    </xf>
    <xf numFmtId="0" fontId="130" fillId="0" borderId="0" xfId="0" applyFont="1" applyAlignment="1">
      <alignment horizontal="center"/>
    </xf>
    <xf numFmtId="172" fontId="15" fillId="0" borderId="51" xfId="6628" applyNumberFormat="1" applyFont="1" applyBorder="1" applyAlignment="1">
      <alignment horizontal="center"/>
    </xf>
    <xf numFmtId="0" fontId="130" fillId="60" borderId="1" xfId="0" applyFont="1" applyFill="1" applyBorder="1"/>
    <xf numFmtId="0" fontId="83" fillId="60" borderId="1" xfId="0" applyFont="1" applyFill="1" applyBorder="1"/>
    <xf numFmtId="0" fontId="92" fillId="2" borderId="129" xfId="0" applyFont="1" applyFill="1" applyBorder="1" applyAlignment="1" applyProtection="1">
      <alignment horizontal="left"/>
      <protection locked="0"/>
    </xf>
    <xf numFmtId="165" fontId="90" fillId="0" borderId="49" xfId="11" applyNumberFormat="1" applyFont="1" applyFill="1" applyBorder="1" applyAlignment="1" applyProtection="1">
      <alignment horizontal="center" vertical="top"/>
      <protection locked="0"/>
    </xf>
    <xf numFmtId="174" fontId="0" fillId="67" borderId="41" xfId="0" applyNumberFormat="1" applyFill="1" applyBorder="1"/>
    <xf numFmtId="174" fontId="0" fillId="62" borderId="41" xfId="0" applyNumberFormat="1" applyFill="1" applyBorder="1"/>
    <xf numFmtId="0" fontId="13" fillId="0" borderId="0" xfId="0" applyFont="1"/>
    <xf numFmtId="0" fontId="91" fillId="0" borderId="97" xfId="0" applyFont="1" applyBorder="1"/>
    <xf numFmtId="172" fontId="157" fillId="0" borderId="49" xfId="9" applyNumberFormat="1" applyFont="1" applyFill="1" applyBorder="1" applyAlignment="1" applyProtection="1">
      <alignment horizontal="right" vertical="top"/>
    </xf>
    <xf numFmtId="172" fontId="166" fillId="0" borderId="96" xfId="9" applyNumberFormat="1" applyFont="1" applyFill="1" applyBorder="1" applyAlignment="1" applyProtection="1">
      <alignment horizontal="right" vertical="top"/>
    </xf>
    <xf numFmtId="172" fontId="167" fillId="0" borderId="51" xfId="9" applyNumberFormat="1" applyFont="1" applyFill="1" applyBorder="1" applyAlignment="1" applyProtection="1">
      <alignment vertical="top"/>
    </xf>
    <xf numFmtId="0" fontId="91" fillId="0" borderId="0" xfId="0" quotePrefix="1" applyFont="1" applyAlignment="1">
      <alignment horizontal="center"/>
    </xf>
    <xf numFmtId="0" fontId="105" fillId="0" borderId="46" xfId="0" applyFont="1" applyBorder="1"/>
    <xf numFmtId="0" fontId="91" fillId="0" borderId="46" xfId="0" applyFont="1" applyBorder="1" applyAlignment="1">
      <alignment horizontal="right"/>
    </xf>
    <xf numFmtId="195" fontId="91" fillId="0" borderId="41" xfId="0" applyNumberFormat="1" applyFont="1" applyBorder="1"/>
    <xf numFmtId="195" fontId="91" fillId="0" borderId="69" xfId="0" applyNumberFormat="1" applyFont="1" applyBorder="1"/>
    <xf numFmtId="9" fontId="92" fillId="0" borderId="49" xfId="9" applyFont="1" applyFill="1" applyBorder="1" applyAlignment="1" applyProtection="1">
      <alignment horizontal="center" vertical="top"/>
    </xf>
    <xf numFmtId="0" fontId="91" fillId="0" borderId="46" xfId="0" applyFont="1" applyBorder="1" applyAlignment="1">
      <alignment horizontal="center"/>
    </xf>
    <xf numFmtId="9" fontId="166" fillId="0" borderId="49" xfId="9" applyFont="1" applyFill="1" applyBorder="1" applyAlignment="1" applyProtection="1">
      <alignment horizontal="center" vertical="top"/>
    </xf>
    <xf numFmtId="172" fontId="167" fillId="0" borderId="49" xfId="9" applyNumberFormat="1" applyFont="1" applyFill="1" applyBorder="1" applyAlignment="1" applyProtection="1">
      <alignment horizontal="center" vertical="top"/>
    </xf>
    <xf numFmtId="195" fontId="91" fillId="0" borderId="41" xfId="0" quotePrefix="1" applyNumberFormat="1" applyFont="1" applyBorder="1"/>
    <xf numFmtId="172" fontId="166" fillId="0" borderId="49" xfId="9" applyNumberFormat="1" applyFont="1" applyFill="1" applyBorder="1" applyAlignment="1" applyProtection="1">
      <alignment horizontal="center" vertical="top"/>
    </xf>
    <xf numFmtId="195" fontId="91" fillId="0" borderId="44" xfId="0" applyNumberFormat="1" applyFont="1" applyBorder="1"/>
    <xf numFmtId="9" fontId="166" fillId="0" borderId="96" xfId="9" applyFont="1" applyFill="1" applyBorder="1" applyAlignment="1" applyProtection="1">
      <alignment horizontal="center" vertical="top"/>
    </xf>
    <xf numFmtId="195" fontId="92" fillId="0" borderId="51" xfId="0" applyNumberFormat="1" applyFont="1" applyBorder="1"/>
    <xf numFmtId="172" fontId="167" fillId="0" borderId="51" xfId="9" applyNumberFormat="1" applyFont="1" applyFill="1" applyBorder="1" applyAlignment="1" applyProtection="1">
      <alignment horizontal="center" vertical="top"/>
    </xf>
    <xf numFmtId="195" fontId="91" fillId="0" borderId="51" xfId="0" applyNumberFormat="1" applyFont="1" applyBorder="1"/>
    <xf numFmtId="172" fontId="145" fillId="0" borderId="0" xfId="9" applyNumberFormat="1" applyFont="1" applyFill="1" applyBorder="1" applyAlignment="1" applyProtection="1">
      <alignment horizontal="center" vertical="top"/>
    </xf>
    <xf numFmtId="172" fontId="155" fillId="0" borderId="0" xfId="9" applyNumberFormat="1" applyFont="1" applyFill="1" applyBorder="1" applyAlignment="1" applyProtection="1">
      <alignment horizontal="right" vertical="top"/>
    </xf>
    <xf numFmtId="172" fontId="162" fillId="2" borderId="51" xfId="0" applyNumberFormat="1" applyFont="1" applyFill="1" applyBorder="1" applyAlignment="1" applyProtection="1">
      <alignment horizontal="right"/>
      <protection locked="0"/>
    </xf>
    <xf numFmtId="0" fontId="91" fillId="0" borderId="0" xfId="0" quotePrefix="1" applyFont="1" applyAlignment="1">
      <alignment horizontal="left"/>
    </xf>
    <xf numFmtId="189" fontId="90" fillId="0" borderId="41" xfId="0" applyNumberFormat="1" applyFont="1" applyBorder="1" applyAlignment="1">
      <alignment horizontal="center"/>
    </xf>
    <xf numFmtId="189" fontId="90" fillId="0" borderId="41" xfId="0" quotePrefix="1" applyNumberFormat="1" applyFont="1" applyBorder="1" applyAlignment="1">
      <alignment horizontal="center"/>
    </xf>
    <xf numFmtId="195" fontId="90" fillId="0" borderId="44" xfId="0" applyNumberFormat="1" applyFont="1" applyBorder="1" applyAlignment="1">
      <alignment horizontal="center"/>
    </xf>
    <xf numFmtId="189" fontId="90" fillId="0" borderId="44" xfId="0" quotePrefix="1" applyNumberFormat="1" applyFont="1" applyBorder="1" applyAlignment="1">
      <alignment horizontal="center"/>
    </xf>
    <xf numFmtId="195" fontId="91" fillId="0" borderId="51" xfId="0" applyNumberFormat="1" applyFont="1" applyBorder="1" applyAlignment="1">
      <alignment horizontal="center"/>
    </xf>
    <xf numFmtId="195" fontId="92" fillId="0" borderId="51" xfId="0" applyNumberFormat="1" applyFont="1" applyBorder="1" applyAlignment="1">
      <alignment horizontal="center"/>
    </xf>
    <xf numFmtId="195" fontId="91" fillId="0" borderId="0" xfId="0" applyNumberFormat="1" applyFont="1"/>
    <xf numFmtId="195" fontId="92" fillId="0" borderId="0" xfId="0" applyNumberFormat="1" applyFont="1"/>
    <xf numFmtId="172" fontId="145" fillId="0" borderId="51" xfId="9" applyNumberFormat="1" applyFont="1" applyFill="1" applyBorder="1" applyAlignment="1" applyProtection="1">
      <alignment horizontal="center" vertical="top"/>
    </xf>
    <xf numFmtId="172" fontId="89" fillId="0" borderId="51" xfId="9" applyNumberFormat="1" applyFont="1" applyFill="1" applyBorder="1" applyAlignment="1" applyProtection="1">
      <alignment vertical="top"/>
    </xf>
    <xf numFmtId="172" fontId="89" fillId="0" borderId="0" xfId="9" applyNumberFormat="1" applyFont="1" applyFill="1" applyBorder="1" applyAlignment="1" applyProtection="1">
      <alignment vertical="top"/>
    </xf>
    <xf numFmtId="175" fontId="89" fillId="0" borderId="0" xfId="9" applyNumberFormat="1" applyFont="1" applyFill="1" applyBorder="1" applyAlignment="1" applyProtection="1">
      <alignment vertical="top"/>
    </xf>
    <xf numFmtId="172" fontId="145" fillId="0" borderId="0" xfId="9" applyNumberFormat="1" applyFont="1" applyFill="1" applyBorder="1" applyAlignment="1" applyProtection="1">
      <alignment vertical="top"/>
    </xf>
    <xf numFmtId="9" fontId="92" fillId="0" borderId="0" xfId="9" applyFont="1" applyFill="1" applyBorder="1" applyAlignment="1" applyProtection="1">
      <alignment horizontal="center" vertical="top"/>
    </xf>
    <xf numFmtId="172" fontId="101" fillId="0" borderId="0" xfId="9" applyNumberFormat="1" applyFont="1" applyFill="1" applyBorder="1" applyAlignment="1" applyProtection="1">
      <alignment vertical="top"/>
    </xf>
    <xf numFmtId="0" fontId="180" fillId="0" borderId="0" xfId="7" applyFont="1" applyAlignment="1" applyProtection="1"/>
    <xf numFmtId="174" fontId="92" fillId="0" borderId="0" xfId="9" applyNumberFormat="1" applyFont="1" applyFill="1" applyBorder="1" applyAlignment="1" applyProtection="1">
      <alignment horizontal="center" vertical="top"/>
    </xf>
    <xf numFmtId="174" fontId="90" fillId="0" borderId="0" xfId="9" applyNumberFormat="1" applyFont="1" applyFill="1" applyBorder="1" applyAlignment="1" applyProtection="1">
      <alignment vertical="top"/>
    </xf>
    <xf numFmtId="172" fontId="90" fillId="0" borderId="0" xfId="9" applyNumberFormat="1" applyFont="1" applyFill="1" applyBorder="1" applyAlignment="1" applyProtection="1">
      <alignment vertical="top"/>
    </xf>
    <xf numFmtId="174" fontId="90" fillId="0" borderId="41" xfId="9" applyNumberFormat="1" applyFont="1" applyFill="1" applyBorder="1" applyAlignment="1" applyProtection="1">
      <alignment vertical="top"/>
    </xf>
    <xf numFmtId="195" fontId="111" fillId="0" borderId="0" xfId="0" applyNumberFormat="1" applyFont="1"/>
    <xf numFmtId="174" fontId="91" fillId="0" borderId="41" xfId="0" applyNumberFormat="1" applyFont="1" applyBorder="1"/>
    <xf numFmtId="175" fontId="90" fillId="0" borderId="60" xfId="9" applyNumberFormat="1" applyFont="1" applyFill="1" applyBorder="1" applyAlignment="1" applyProtection="1">
      <alignment horizontal="right" vertical="top"/>
    </xf>
    <xf numFmtId="175" fontId="90" fillId="0" borderId="49" xfId="9" applyNumberFormat="1" applyFont="1" applyFill="1" applyBorder="1" applyAlignment="1" applyProtection="1">
      <alignment horizontal="right" vertical="top"/>
    </xf>
    <xf numFmtId="175" fontId="90" fillId="0" borderId="96" xfId="9" applyNumberFormat="1" applyFont="1" applyFill="1" applyBorder="1" applyAlignment="1" applyProtection="1">
      <alignment horizontal="right" vertical="top"/>
    </xf>
    <xf numFmtId="9" fontId="89" fillId="0" borderId="60" xfId="9" applyFont="1" applyFill="1" applyBorder="1" applyAlignment="1" applyProtection="1">
      <alignment horizontal="center" vertical="top"/>
    </xf>
    <xf numFmtId="9" fontId="89" fillId="0" borderId="49" xfId="9" applyFont="1" applyFill="1" applyBorder="1" applyAlignment="1" applyProtection="1">
      <alignment horizontal="center" vertical="top"/>
    </xf>
    <xf numFmtId="9" fontId="89" fillId="0" borderId="96" xfId="9" applyFont="1" applyFill="1" applyBorder="1" applyAlignment="1" applyProtection="1">
      <alignment horizontal="center" vertical="top"/>
    </xf>
    <xf numFmtId="174" fontId="90" fillId="0" borderId="51" xfId="9" applyNumberFormat="1" applyFont="1" applyFill="1" applyBorder="1" applyAlignment="1" applyProtection="1">
      <alignment vertical="top"/>
    </xf>
    <xf numFmtId="165" fontId="91" fillId="0" borderId="96" xfId="11" applyNumberFormat="1" applyFont="1" applyFill="1" applyBorder="1" applyAlignment="1" applyProtection="1">
      <alignment horizontal="center" vertical="top"/>
    </xf>
    <xf numFmtId="172" fontId="92" fillId="0" borderId="53" xfId="0" quotePrefix="1" applyNumberFormat="1" applyFont="1" applyBorder="1"/>
    <xf numFmtId="172" fontId="92" fillId="0" borderId="51" xfId="6" applyNumberFormat="1" applyFont="1" applyBorder="1" applyAlignment="1" applyProtection="1">
      <alignment horizontal="center"/>
    </xf>
    <xf numFmtId="44" fontId="91" fillId="0" borderId="52" xfId="6" applyFont="1" applyBorder="1" applyAlignment="1" applyProtection="1">
      <alignment horizontal="center"/>
    </xf>
    <xf numFmtId="44" fontId="94" fillId="0" borderId="63" xfId="6" applyFont="1" applyBorder="1" applyProtection="1"/>
    <xf numFmtId="44" fontId="94" fillId="0" borderId="59" xfId="6" applyFont="1" applyBorder="1" applyProtection="1"/>
    <xf numFmtId="0" fontId="95" fillId="0" borderId="59" xfId="8" applyFont="1" applyBorder="1"/>
    <xf numFmtId="0" fontId="95" fillId="0" borderId="57" xfId="8" applyFont="1" applyBorder="1" applyAlignment="1">
      <alignment horizontal="center"/>
    </xf>
    <xf numFmtId="172" fontId="32" fillId="0" borderId="49" xfId="8" applyNumberFormat="1" applyFont="1" applyBorder="1"/>
    <xf numFmtId="174" fontId="95" fillId="0" borderId="96" xfId="8" applyNumberFormat="1" applyFont="1" applyBorder="1"/>
    <xf numFmtId="172" fontId="94" fillId="0" borderId="105" xfId="8" applyNumberFormat="1" applyFont="1" applyBorder="1"/>
    <xf numFmtId="174" fontId="95" fillId="0" borderId="0" xfId="8" applyNumberFormat="1" applyFont="1"/>
    <xf numFmtId="174" fontId="94" fillId="0" borderId="51" xfId="8" applyNumberFormat="1" applyFont="1" applyBorder="1"/>
    <xf numFmtId="44" fontId="95" fillId="0" borderId="1" xfId="8" applyNumberFormat="1" applyFont="1" applyBorder="1"/>
    <xf numFmtId="3" fontId="92" fillId="0" borderId="0" xfId="0" applyNumberFormat="1" applyFont="1" applyAlignment="1">
      <alignment horizontal="center"/>
    </xf>
    <xf numFmtId="0" fontId="181" fillId="0" borderId="0" xfId="0" applyFont="1"/>
    <xf numFmtId="0" fontId="181" fillId="2" borderId="0" xfId="0" applyFont="1" applyFill="1"/>
    <xf numFmtId="172" fontId="92" fillId="0" borderId="0" xfId="0" applyNumberFormat="1" applyFont="1"/>
    <xf numFmtId="175" fontId="91" fillId="2" borderId="0" xfId="0" applyNumberFormat="1" applyFont="1" applyFill="1"/>
    <xf numFmtId="174" fontId="91" fillId="2" borderId="0" xfId="0" applyNumberFormat="1" applyFont="1" applyFill="1"/>
    <xf numFmtId="174" fontId="162" fillId="2" borderId="60" xfId="0" applyNumberFormat="1" applyFont="1" applyFill="1" applyBorder="1" applyAlignment="1" applyProtection="1">
      <alignment horizontal="right" vertical="top"/>
      <protection locked="0"/>
    </xf>
    <xf numFmtId="174" fontId="162" fillId="2" borderId="41" xfId="0" applyNumberFormat="1" applyFont="1" applyFill="1" applyBorder="1" applyAlignment="1" applyProtection="1">
      <alignment horizontal="center" vertical="top"/>
      <protection locked="0"/>
    </xf>
    <xf numFmtId="172" fontId="162" fillId="2" borderId="41" xfId="0" applyNumberFormat="1" applyFont="1" applyFill="1" applyBorder="1" applyAlignment="1" applyProtection="1">
      <alignment horizontal="center" vertical="top"/>
      <protection locked="0"/>
    </xf>
    <xf numFmtId="172" fontId="91" fillId="0" borderId="0" xfId="13330" applyNumberFormat="1" applyFont="1" applyFill="1" applyBorder="1" applyAlignment="1">
      <alignment horizontal="center" vertical="top"/>
    </xf>
    <xf numFmtId="175" fontId="91" fillId="0" borderId="0" xfId="13330" applyNumberFormat="1" applyFont="1" applyFill="1" applyBorder="1" applyAlignment="1">
      <alignment horizontal="center" vertical="top"/>
    </xf>
    <xf numFmtId="175" fontId="91" fillId="0" borderId="0" xfId="0" applyNumberFormat="1" applyFont="1" applyAlignment="1">
      <alignment horizontal="center"/>
    </xf>
    <xf numFmtId="214" fontId="92" fillId="0" borderId="0" xfId="0" applyNumberFormat="1" applyFont="1"/>
    <xf numFmtId="189" fontId="91" fillId="0" borderId="0" xfId="0" applyNumberFormat="1" applyFont="1" applyAlignment="1">
      <alignment horizontal="right"/>
    </xf>
    <xf numFmtId="0" fontId="0" fillId="0" borderId="0" xfId="0" quotePrefix="1" applyAlignment="1">
      <alignment horizontal="center"/>
    </xf>
    <xf numFmtId="0" fontId="0" fillId="0" borderId="0" xfId="0" applyAlignment="1">
      <alignment horizontal="center"/>
    </xf>
    <xf numFmtId="174" fontId="0" fillId="0" borderId="0" xfId="0" applyNumberFormat="1" applyAlignment="1">
      <alignment horizontal="center"/>
    </xf>
    <xf numFmtId="174" fontId="96" fillId="4" borderId="3" xfId="4" applyNumberFormat="1" applyFont="1" applyFill="1" applyBorder="1" applyAlignment="1" applyProtection="1">
      <alignment horizontal="right"/>
      <protection locked="0"/>
    </xf>
    <xf numFmtId="173" fontId="96" fillId="4" borderId="3" xfId="4" applyNumberFormat="1" applyFont="1" applyFill="1" applyBorder="1" applyAlignment="1" applyProtection="1">
      <alignment horizontal="right"/>
      <protection locked="0"/>
    </xf>
    <xf numFmtId="195" fontId="96" fillId="4" borderId="3" xfId="4" applyNumberFormat="1" applyFont="1" applyFill="1" applyBorder="1" applyAlignment="1" applyProtection="1">
      <alignment horizontal="right"/>
      <protection locked="0"/>
    </xf>
    <xf numFmtId="174" fontId="96" fillId="4" borderId="33" xfId="4" applyNumberFormat="1" applyFont="1" applyFill="1" applyBorder="1" applyAlignment="1" applyProtection="1">
      <alignment horizontal="right"/>
      <protection locked="0"/>
    </xf>
    <xf numFmtId="174" fontId="90" fillId="0" borderId="134" xfId="4" applyNumberFormat="1" applyFont="1" applyFill="1" applyBorder="1" applyAlignment="1" applyProtection="1">
      <alignment horizontal="right"/>
      <protection locked="0"/>
    </xf>
    <xf numFmtId="174" fontId="90" fillId="0" borderId="51" xfId="4" applyNumberFormat="1" applyFont="1" applyFill="1" applyBorder="1" applyAlignment="1" applyProtection="1">
      <alignment horizontal="right"/>
      <protection locked="0"/>
    </xf>
    <xf numFmtId="0" fontId="163" fillId="0" borderId="0" xfId="0" applyFont="1"/>
    <xf numFmtId="0" fontId="183" fillId="64" borderId="0" xfId="0" applyFont="1" applyFill="1"/>
    <xf numFmtId="0" fontId="89" fillId="5" borderId="0" xfId="0" applyFont="1" applyFill="1"/>
    <xf numFmtId="0" fontId="139" fillId="0" borderId="0" xfId="0" applyFont="1" applyAlignment="1">
      <alignment horizontal="center"/>
    </xf>
    <xf numFmtId="0" fontId="112" fillId="5" borderId="0" xfId="0" applyFont="1" applyFill="1" applyAlignment="1">
      <alignment horizontal="left"/>
    </xf>
    <xf numFmtId="0" fontId="139" fillId="74" borderId="34" xfId="0" applyFont="1" applyFill="1" applyBorder="1" applyAlignment="1">
      <alignment horizontal="center"/>
    </xf>
    <xf numFmtId="0" fontId="184" fillId="74" borderId="34" xfId="0" applyFont="1" applyFill="1" applyBorder="1" applyAlignment="1">
      <alignment horizontal="center" wrapText="1"/>
    </xf>
    <xf numFmtId="188" fontId="92" fillId="2" borderId="63" xfId="0" applyNumberFormat="1" applyFont="1" applyFill="1" applyBorder="1" applyAlignment="1" applyProtection="1">
      <alignment horizontal="center"/>
      <protection locked="0"/>
    </xf>
    <xf numFmtId="214" fontId="91" fillId="2" borderId="59" xfId="0" applyNumberFormat="1" applyFont="1" applyFill="1" applyBorder="1" applyProtection="1">
      <protection locked="0"/>
    </xf>
    <xf numFmtId="0" fontId="139" fillId="2" borderId="57" xfId="0" applyFont="1" applyFill="1" applyBorder="1" applyProtection="1">
      <protection locked="0"/>
    </xf>
    <xf numFmtId="0" fontId="91" fillId="4" borderId="0" xfId="0" applyFont="1" applyFill="1" applyProtection="1">
      <protection locked="0"/>
    </xf>
    <xf numFmtId="0" fontId="91" fillId="0" borderId="45" xfId="0" applyFont="1" applyBorder="1" applyProtection="1">
      <protection locked="0"/>
    </xf>
    <xf numFmtId="0" fontId="91" fillId="0" borderId="41" xfId="0" applyFont="1" applyBorder="1" applyProtection="1">
      <protection locked="0"/>
    </xf>
    <xf numFmtId="0" fontId="91" fillId="0" borderId="41" xfId="0" quotePrefix="1" applyFont="1" applyBorder="1" applyProtection="1">
      <protection locked="0"/>
    </xf>
    <xf numFmtId="0" fontId="187" fillId="75" borderId="41" xfId="0" applyFont="1" applyFill="1" applyBorder="1" applyAlignment="1" applyProtection="1">
      <alignment horizontal="center"/>
      <protection locked="0"/>
    </xf>
    <xf numFmtId="0" fontId="187" fillId="0" borderId="0" xfId="0" applyFont="1" applyAlignment="1">
      <alignment horizontal="center"/>
    </xf>
    <xf numFmtId="175" fontId="153" fillId="0" borderId="0" xfId="7" applyNumberFormat="1" applyFont="1" applyBorder="1" applyAlignment="1" applyProtection="1">
      <alignment horizontal="center"/>
    </xf>
    <xf numFmtId="0" fontId="102" fillId="76" borderId="1" xfId="0" applyFont="1" applyFill="1" applyBorder="1"/>
    <xf numFmtId="164" fontId="104" fillId="76" borderId="1" xfId="0" applyNumberFormat="1" applyFont="1" applyFill="1" applyBorder="1" applyAlignment="1">
      <alignment horizontal="center" vertical="top"/>
    </xf>
    <xf numFmtId="164" fontId="104" fillId="76" borderId="1" xfId="0" quotePrefix="1" applyNumberFormat="1" applyFont="1" applyFill="1" applyBorder="1" applyAlignment="1">
      <alignment horizontal="center" vertical="top"/>
    </xf>
    <xf numFmtId="194" fontId="104" fillId="76" borderId="1" xfId="0" applyNumberFormat="1" applyFont="1" applyFill="1" applyBorder="1" applyAlignment="1">
      <alignment horizontal="right"/>
    </xf>
    <xf numFmtId="165" fontId="104" fillId="76" borderId="1" xfId="0" applyNumberFormat="1" applyFont="1" applyFill="1" applyBorder="1"/>
    <xf numFmtId="0" fontId="92" fillId="77" borderId="5" xfId="0" applyFont="1" applyFill="1" applyBorder="1" applyAlignment="1">
      <alignment horizontal="left"/>
    </xf>
    <xf numFmtId="174" fontId="92" fillId="77" borderId="6" xfId="0" applyNumberFormat="1" applyFont="1" applyFill="1" applyBorder="1" applyAlignment="1">
      <alignment horizontal="center"/>
    </xf>
    <xf numFmtId="175" fontId="92" fillId="77" borderId="6" xfId="0" applyNumberFormat="1" applyFont="1" applyFill="1" applyBorder="1" applyAlignment="1">
      <alignment horizontal="center"/>
    </xf>
    <xf numFmtId="174" fontId="92" fillId="77" borderId="6" xfId="0" applyNumberFormat="1" applyFont="1" applyFill="1" applyBorder="1" applyAlignment="1">
      <alignment horizontal="right"/>
    </xf>
    <xf numFmtId="174" fontId="105" fillId="77" borderId="0" xfId="0" applyNumberFormat="1" applyFont="1" applyFill="1"/>
    <xf numFmtId="174" fontId="91" fillId="77" borderId="0" xfId="0" applyNumberFormat="1" applyFont="1" applyFill="1" applyAlignment="1">
      <alignment horizontal="center" vertical="top"/>
    </xf>
    <xf numFmtId="174" fontId="91" fillId="77" borderId="0" xfId="0" applyNumberFormat="1" applyFont="1" applyFill="1"/>
    <xf numFmtId="174" fontId="91" fillId="77" borderId="0" xfId="0" applyNumberFormat="1" applyFont="1" applyFill="1" applyAlignment="1">
      <alignment horizontal="right" vertical="top"/>
    </xf>
    <xf numFmtId="0" fontId="163" fillId="0" borderId="0" xfId="0" applyFont="1" applyAlignment="1" applyProtection="1">
      <alignment horizontal="left"/>
      <protection locked="0"/>
    </xf>
    <xf numFmtId="174" fontId="101" fillId="0" borderId="0" xfId="0" applyNumberFormat="1" applyFont="1" applyAlignment="1" applyProtection="1">
      <alignment horizontal="center"/>
      <protection locked="0"/>
    </xf>
    <xf numFmtId="0" fontId="32" fillId="0" borderId="0" xfId="6628" applyFont="1"/>
    <xf numFmtId="172" fontId="32" fillId="0" borderId="0" xfId="6628" applyNumberFormat="1" applyFont="1"/>
    <xf numFmtId="0" fontId="91" fillId="76" borderId="1" xfId="0" applyFont="1" applyFill="1" applyBorder="1"/>
    <xf numFmtId="194" fontId="104" fillId="76" borderId="1" xfId="0" applyNumberFormat="1" applyFont="1" applyFill="1" applyBorder="1"/>
    <xf numFmtId="0" fontId="102" fillId="76" borderId="59" xfId="0" applyFont="1" applyFill="1" applyBorder="1"/>
    <xf numFmtId="0" fontId="91" fillId="76" borderId="59" xfId="0" applyFont="1" applyFill="1" applyBorder="1"/>
    <xf numFmtId="194" fontId="104" fillId="76" borderId="59" xfId="0" applyNumberFormat="1" applyFont="1" applyFill="1" applyBorder="1"/>
    <xf numFmtId="0" fontId="92" fillId="77" borderId="59" xfId="0" applyFont="1" applyFill="1" applyBorder="1"/>
    <xf numFmtId="164" fontId="91" fillId="77" borderId="59" xfId="0" applyNumberFormat="1" applyFont="1" applyFill="1" applyBorder="1" applyAlignment="1">
      <alignment horizontal="center" vertical="top"/>
    </xf>
    <xf numFmtId="164" fontId="91" fillId="77" borderId="59" xfId="0" applyNumberFormat="1" applyFont="1" applyFill="1" applyBorder="1" applyAlignment="1">
      <alignment horizontal="right" vertical="top"/>
    </xf>
    <xf numFmtId="0" fontId="92" fillId="77" borderId="0" xfId="0" applyFont="1" applyFill="1"/>
    <xf numFmtId="165" fontId="91" fillId="77" borderId="0" xfId="0" applyNumberFormat="1" applyFont="1" applyFill="1"/>
    <xf numFmtId="194" fontId="104" fillId="77" borderId="59" xfId="0" applyNumberFormat="1" applyFont="1" applyFill="1" applyBorder="1"/>
    <xf numFmtId="175" fontId="91" fillId="0" borderId="0" xfId="0" quotePrefix="1" applyNumberFormat="1" applyFont="1" applyAlignment="1">
      <alignment horizontal="right"/>
    </xf>
    <xf numFmtId="194" fontId="104" fillId="76" borderId="59" xfId="0" applyNumberFormat="1" applyFont="1" applyFill="1" applyBorder="1" applyAlignment="1">
      <alignment horizontal="right"/>
    </xf>
    <xf numFmtId="164" fontId="92" fillId="77" borderId="0" xfId="0" applyNumberFormat="1" applyFont="1" applyFill="1" applyAlignment="1">
      <alignment horizontal="center" vertical="top"/>
    </xf>
    <xf numFmtId="164" fontId="91" fillId="77" borderId="0" xfId="0" applyNumberFormat="1" applyFont="1" applyFill="1" applyAlignment="1">
      <alignment horizontal="center" vertical="top"/>
    </xf>
    <xf numFmtId="164" fontId="91" fillId="77" borderId="0" xfId="0" applyNumberFormat="1" applyFont="1" applyFill="1" applyAlignment="1">
      <alignment horizontal="right" vertical="top"/>
    </xf>
    <xf numFmtId="0" fontId="185" fillId="78" borderId="49" xfId="0" applyFont="1" applyFill="1" applyBorder="1"/>
    <xf numFmtId="0" fontId="102" fillId="78" borderId="0" xfId="0" applyFont="1" applyFill="1"/>
    <xf numFmtId="172" fontId="32" fillId="0" borderId="0" xfId="8" applyNumberFormat="1" applyFont="1"/>
    <xf numFmtId="0" fontId="173" fillId="3" borderId="0" xfId="7" applyFont="1" applyFill="1" applyBorder="1" applyAlignment="1" applyProtection="1"/>
    <xf numFmtId="172" fontId="91" fillId="0" borderId="0" xfId="13330" applyNumberFormat="1" applyFont="1" applyFill="1" applyBorder="1" applyAlignment="1">
      <alignment horizontal="right" vertical="top"/>
    </xf>
    <xf numFmtId="172" fontId="92" fillId="0" borderId="0" xfId="13330" applyNumberFormat="1" applyFont="1" applyFill="1" applyBorder="1" applyAlignment="1">
      <alignment horizontal="right" vertical="top"/>
    </xf>
    <xf numFmtId="0" fontId="92" fillId="76" borderId="51" xfId="0" applyFont="1" applyFill="1" applyBorder="1" applyAlignment="1">
      <alignment wrapText="1"/>
    </xf>
    <xf numFmtId="0" fontId="92" fillId="76" borderId="51" xfId="0" applyFont="1" applyFill="1" applyBorder="1" applyAlignment="1">
      <alignment horizontal="right" wrapText="1"/>
    </xf>
    <xf numFmtId="0" fontId="92" fillId="76" borderId="51" xfId="0" applyFont="1" applyFill="1" applyBorder="1" applyAlignment="1">
      <alignment horizontal="right"/>
    </xf>
    <xf numFmtId="0" fontId="92" fillId="76" borderId="51" xfId="0" applyFont="1" applyFill="1" applyBorder="1" applyAlignment="1">
      <alignment horizontal="center" wrapText="1"/>
    </xf>
    <xf numFmtId="0" fontId="92" fillId="76" borderId="52" xfId="0" applyFont="1" applyFill="1" applyBorder="1" applyAlignment="1">
      <alignment horizontal="center" wrapText="1"/>
    </xf>
    <xf numFmtId="0" fontId="90" fillId="77" borderId="46" xfId="0" applyFont="1" applyFill="1" applyBorder="1" applyAlignment="1" applyProtection="1">
      <alignment horizontal="center"/>
      <protection locked="0"/>
    </xf>
    <xf numFmtId="49" fontId="90" fillId="77" borderId="46" xfId="0" applyNumberFormat="1" applyFont="1" applyFill="1" applyBorder="1" applyAlignment="1" applyProtection="1">
      <alignment horizontal="center"/>
      <protection locked="0"/>
    </xf>
    <xf numFmtId="172" fontId="90" fillId="77" borderId="46" xfId="0" applyNumberFormat="1" applyFont="1" applyFill="1" applyBorder="1" applyProtection="1">
      <protection locked="0"/>
    </xf>
    <xf numFmtId="193" fontId="90" fillId="77" borderId="113" xfId="0" applyNumberFormat="1" applyFont="1" applyFill="1" applyBorder="1" applyAlignment="1" applyProtection="1">
      <alignment horizontal="center"/>
      <protection locked="0"/>
    </xf>
    <xf numFmtId="0" fontId="89" fillId="77" borderId="41" xfId="0" applyFont="1" applyFill="1" applyBorder="1" applyProtection="1">
      <protection locked="0"/>
    </xf>
    <xf numFmtId="0" fontId="90" fillId="77" borderId="41" xfId="0" applyFont="1" applyFill="1" applyBorder="1" applyProtection="1">
      <protection locked="0"/>
    </xf>
    <xf numFmtId="0" fontId="90" fillId="77" borderId="41" xfId="0" applyFont="1" applyFill="1" applyBorder="1" applyAlignment="1" applyProtection="1">
      <alignment horizontal="center"/>
      <protection locked="0"/>
    </xf>
    <xf numFmtId="49" fontId="90" fillId="77" borderId="41" xfId="0" applyNumberFormat="1" applyFont="1" applyFill="1" applyBorder="1" applyAlignment="1" applyProtection="1">
      <alignment horizontal="center"/>
      <protection locked="0"/>
    </xf>
    <xf numFmtId="172" fontId="90" fillId="77" borderId="41" xfId="0" applyNumberFormat="1" applyFont="1" applyFill="1" applyBorder="1" applyProtection="1">
      <protection locked="0"/>
    </xf>
    <xf numFmtId="173" fontId="90" fillId="77" borderId="114" xfId="0" applyNumberFormat="1" applyFont="1" applyFill="1" applyBorder="1" applyAlignment="1" applyProtection="1">
      <alignment horizontal="center"/>
      <protection locked="0"/>
    </xf>
    <xf numFmtId="0" fontId="92" fillId="76" borderId="59" xfId="0" applyFont="1" applyFill="1" applyBorder="1" applyAlignment="1">
      <alignment wrapText="1"/>
    </xf>
    <xf numFmtId="0" fontId="92" fillId="76" borderId="59" xfId="0" applyFont="1" applyFill="1" applyBorder="1" applyAlignment="1">
      <alignment horizontal="center" wrapText="1"/>
    </xf>
    <xf numFmtId="0" fontId="92" fillId="76" borderId="59" xfId="0" applyFont="1" applyFill="1" applyBorder="1" applyAlignment="1">
      <alignment horizontal="right"/>
    </xf>
    <xf numFmtId="0" fontId="92" fillId="76" borderId="59" xfId="0" applyFont="1" applyFill="1" applyBorder="1" applyAlignment="1">
      <alignment horizontal="right" wrapText="1"/>
    </xf>
    <xf numFmtId="0" fontId="92" fillId="76" borderId="53" xfId="0" applyFont="1" applyFill="1" applyBorder="1" applyAlignment="1">
      <alignment horizontal="right"/>
    </xf>
    <xf numFmtId="194" fontId="92" fillId="76" borderId="51" xfId="0" applyNumberFormat="1" applyFont="1" applyFill="1" applyBorder="1" applyAlignment="1">
      <alignment horizontal="right"/>
    </xf>
    <xf numFmtId="194" fontId="92" fillId="76" borderId="52" xfId="0" applyNumberFormat="1" applyFont="1" applyFill="1" applyBorder="1" applyAlignment="1">
      <alignment horizontal="right"/>
    </xf>
    <xf numFmtId="0" fontId="92" fillId="76" borderId="52" xfId="0" applyFont="1" applyFill="1" applyBorder="1" applyAlignment="1">
      <alignment horizontal="right"/>
    </xf>
    <xf numFmtId="0" fontId="92" fillId="76" borderId="10" xfId="0" applyFont="1" applyFill="1" applyBorder="1" applyAlignment="1">
      <alignment horizontal="right"/>
    </xf>
    <xf numFmtId="0" fontId="92" fillId="76" borderId="1" xfId="0" applyFont="1" applyFill="1" applyBorder="1" applyAlignment="1">
      <alignment horizontal="right"/>
    </xf>
    <xf numFmtId="0" fontId="92" fillId="76" borderId="9" xfId="0" applyFont="1" applyFill="1" applyBorder="1" applyAlignment="1">
      <alignment horizontal="right"/>
    </xf>
    <xf numFmtId="0" fontId="188" fillId="78" borderId="0" xfId="0" quotePrefix="1" applyFont="1" applyFill="1"/>
    <xf numFmtId="0" fontId="104" fillId="78" borderId="0" xfId="0" applyFont="1" applyFill="1"/>
    <xf numFmtId="0" fontId="140" fillId="3" borderId="1" xfId="0" applyFont="1" applyFill="1" applyBorder="1"/>
    <xf numFmtId="0" fontId="107" fillId="0" borderId="1" xfId="0" applyFont="1" applyBorder="1" applyAlignment="1">
      <alignment horizontal="center" vertical="top"/>
    </xf>
    <xf numFmtId="0" fontId="102" fillId="0" borderId="0" xfId="7" applyFont="1" applyFill="1" applyBorder="1" applyAlignment="1" applyProtection="1">
      <alignment horizontal="left" wrapText="1" indent="1"/>
    </xf>
    <xf numFmtId="0" fontId="125" fillId="0" borderId="1" xfId="0" applyFont="1" applyBorder="1" applyAlignment="1">
      <alignment horizontal="center"/>
    </xf>
    <xf numFmtId="172" fontId="104" fillId="0" borderId="59" xfId="0" applyNumberFormat="1" applyFont="1" applyBorder="1" applyAlignment="1">
      <alignment horizontal="right" vertical="top"/>
    </xf>
    <xf numFmtId="0" fontId="91" fillId="0" borderId="59" xfId="0" applyFont="1" applyBorder="1"/>
    <xf numFmtId="0" fontId="104" fillId="0" borderId="59" xfId="0" applyFont="1" applyBorder="1" applyAlignment="1">
      <alignment horizontal="center" vertical="top"/>
    </xf>
    <xf numFmtId="0" fontId="92" fillId="76" borderId="0" xfId="0" applyFont="1" applyFill="1"/>
    <xf numFmtId="0" fontId="91" fillId="76" borderId="0" xfId="0" applyFont="1" applyFill="1"/>
    <xf numFmtId="0" fontId="107" fillId="76" borderId="0" xfId="0" applyFont="1" applyFill="1" applyAlignment="1">
      <alignment horizontal="center" vertical="top"/>
    </xf>
    <xf numFmtId="0" fontId="104" fillId="76" borderId="0" xfId="0" applyFont="1" applyFill="1" applyAlignment="1">
      <alignment horizontal="center" vertical="top"/>
    </xf>
    <xf numFmtId="0" fontId="91" fillId="79" borderId="41" xfId="0" applyFont="1" applyFill="1" applyBorder="1"/>
    <xf numFmtId="0" fontId="92" fillId="76" borderId="1" xfId="0" quotePrefix="1" applyFont="1" applyFill="1" applyBorder="1"/>
    <xf numFmtId="0" fontId="91" fillId="76" borderId="1" xfId="0" applyFont="1" applyFill="1" applyBorder="1" applyAlignment="1">
      <alignment horizontal="center"/>
    </xf>
    <xf numFmtId="0" fontId="92" fillId="76" borderId="1" xfId="0" applyFont="1" applyFill="1" applyBorder="1"/>
    <xf numFmtId="221" fontId="92" fillId="77" borderId="63" xfId="0" applyNumberFormat="1" applyFont="1" applyFill="1" applyBorder="1" applyAlignment="1">
      <alignment horizontal="right"/>
    </xf>
    <xf numFmtId="194" fontId="92" fillId="77" borderId="59" xfId="0" applyNumberFormat="1" applyFont="1" applyFill="1" applyBorder="1" applyAlignment="1">
      <alignment horizontal="right"/>
    </xf>
    <xf numFmtId="194" fontId="92" fillId="77" borderId="57" xfId="0" applyNumberFormat="1" applyFont="1" applyFill="1" applyBorder="1" applyAlignment="1">
      <alignment horizontal="right"/>
    </xf>
    <xf numFmtId="0" fontId="92" fillId="77" borderId="98" xfId="0" applyFont="1" applyFill="1" applyBorder="1" applyAlignment="1">
      <alignment horizontal="right"/>
    </xf>
    <xf numFmtId="0" fontId="92" fillId="77" borderId="99" xfId="0" applyFont="1" applyFill="1" applyBorder="1" applyAlignment="1">
      <alignment horizontal="right"/>
    </xf>
    <xf numFmtId="0" fontId="92" fillId="77" borderId="100" xfId="0" applyFont="1" applyFill="1" applyBorder="1" applyAlignment="1">
      <alignment horizontal="right"/>
    </xf>
    <xf numFmtId="0" fontId="92" fillId="77" borderId="1" xfId="0" applyFont="1" applyFill="1" applyBorder="1" applyAlignment="1">
      <alignment horizontal="right"/>
    </xf>
    <xf numFmtId="0" fontId="92" fillId="77" borderId="9" xfId="0" applyFont="1" applyFill="1" applyBorder="1" applyAlignment="1">
      <alignment horizontal="right"/>
    </xf>
    <xf numFmtId="0" fontId="91" fillId="76" borderId="1" xfId="0" applyFont="1" applyFill="1" applyBorder="1" applyAlignment="1">
      <alignment horizontal="right"/>
    </xf>
    <xf numFmtId="9" fontId="92" fillId="76" borderId="1" xfId="9" applyFont="1" applyFill="1" applyBorder="1" applyAlignment="1" applyProtection="1">
      <alignment horizontal="center" vertical="top"/>
    </xf>
    <xf numFmtId="172" fontId="101" fillId="76" borderId="1" xfId="9" applyNumberFormat="1" applyFont="1" applyFill="1" applyBorder="1" applyAlignment="1" applyProtection="1">
      <alignment vertical="top"/>
    </xf>
    <xf numFmtId="9" fontId="92" fillId="0" borderId="41" xfId="9" applyFont="1" applyFill="1" applyBorder="1" applyAlignment="1" applyProtection="1">
      <alignment horizontal="center" vertical="top"/>
    </xf>
    <xf numFmtId="172" fontId="90" fillId="0" borderId="41" xfId="9" applyNumberFormat="1" applyFont="1" applyFill="1" applyBorder="1" applyAlignment="1" applyProtection="1">
      <alignment vertical="top"/>
    </xf>
    <xf numFmtId="175" fontId="91" fillId="76" borderId="1" xfId="0" applyNumberFormat="1" applyFont="1" applyFill="1" applyBorder="1"/>
    <xf numFmtId="9" fontId="92" fillId="76" borderId="0" xfId="9" applyFont="1" applyFill="1" applyBorder="1" applyAlignment="1" applyProtection="1">
      <alignment horizontal="center" vertical="top"/>
    </xf>
    <xf numFmtId="172" fontId="91" fillId="76" borderId="0" xfId="0" applyNumberFormat="1" applyFont="1" applyFill="1"/>
    <xf numFmtId="0" fontId="92" fillId="76" borderId="51" xfId="0" applyFont="1" applyFill="1" applyBorder="1"/>
    <xf numFmtId="0" fontId="105" fillId="4" borderId="41" xfId="0" applyFont="1" applyFill="1" applyBorder="1" applyProtection="1">
      <protection locked="0"/>
    </xf>
    <xf numFmtId="0" fontId="91" fillId="4" borderId="41" xfId="0" applyFont="1" applyFill="1" applyBorder="1" applyProtection="1">
      <protection locked="0"/>
    </xf>
    <xf numFmtId="0" fontId="94" fillId="76" borderId="59" xfId="8" applyFont="1" applyFill="1" applyBorder="1"/>
    <xf numFmtId="44" fontId="94" fillId="76" borderId="108" xfId="6" applyFont="1" applyFill="1" applyBorder="1" applyAlignment="1" applyProtection="1">
      <alignment horizontal="center"/>
    </xf>
    <xf numFmtId="44" fontId="95" fillId="77" borderId="51" xfId="6" applyFont="1" applyFill="1" applyBorder="1" applyAlignment="1" applyProtection="1">
      <alignment horizontal="center"/>
    </xf>
    <xf numFmtId="44" fontId="95" fillId="77" borderId="52" xfId="6" applyFont="1" applyFill="1" applyBorder="1" applyAlignment="1" applyProtection="1">
      <alignment horizontal="center"/>
    </xf>
    <xf numFmtId="225" fontId="94" fillId="77" borderId="1" xfId="6" applyNumberFormat="1" applyFont="1" applyFill="1" applyBorder="1" applyAlignment="1" applyProtection="1">
      <alignment horizontal="center"/>
    </xf>
    <xf numFmtId="226" fontId="94" fillId="77" borderId="9" xfId="6" applyNumberFormat="1" applyFont="1" applyFill="1" applyBorder="1" applyAlignment="1" applyProtection="1">
      <alignment horizontal="center"/>
    </xf>
    <xf numFmtId="0" fontId="94" fillId="77" borderId="59" xfId="8" applyFont="1" applyFill="1" applyBorder="1" applyAlignment="1">
      <alignment horizontal="center"/>
    </xf>
    <xf numFmtId="0" fontId="95" fillId="76" borderId="59" xfId="8" applyFont="1" applyFill="1" applyBorder="1"/>
    <xf numFmtId="44" fontId="95" fillId="76" borderId="59" xfId="6" applyFont="1" applyFill="1" applyBorder="1" applyProtection="1"/>
    <xf numFmtId="0" fontId="94" fillId="76" borderId="0" xfId="8" applyFont="1" applyFill="1"/>
    <xf numFmtId="44" fontId="95" fillId="76" borderId="0" xfId="8" applyNumberFormat="1" applyFont="1" applyFill="1"/>
    <xf numFmtId="173" fontId="95" fillId="76" borderId="0" xfId="8" applyNumberFormat="1" applyFont="1" applyFill="1"/>
    <xf numFmtId="0" fontId="104" fillId="0" borderId="0" xfId="8" applyFont="1"/>
    <xf numFmtId="44" fontId="94" fillId="0" borderId="0" xfId="6" applyFont="1" applyFill="1" applyBorder="1" applyProtection="1"/>
    <xf numFmtId="175" fontId="94" fillId="0" borderId="0" xfId="6" applyNumberFormat="1" applyFont="1" applyFill="1" applyBorder="1" applyProtection="1"/>
    <xf numFmtId="0" fontId="188" fillId="80" borderId="0" xfId="0" applyFont="1" applyFill="1"/>
    <xf numFmtId="0" fontId="186" fillId="80" borderId="0" xfId="0" applyFont="1" applyFill="1"/>
    <xf numFmtId="0" fontId="94" fillId="76" borderId="0" xfId="8" applyFont="1" applyFill="1" applyAlignment="1">
      <alignment horizontal="center" wrapText="1"/>
    </xf>
    <xf numFmtId="44" fontId="94" fillId="76" borderId="0" xfId="6" applyFont="1" applyFill="1" applyBorder="1" applyAlignment="1" applyProtection="1">
      <alignment horizontal="center"/>
    </xf>
    <xf numFmtId="0" fontId="189" fillId="80" borderId="0" xfId="8" applyFont="1" applyFill="1"/>
    <xf numFmtId="38" fontId="190" fillId="80" borderId="0" xfId="6" applyNumberFormat="1" applyFont="1" applyFill="1" applyBorder="1" applyProtection="1"/>
    <xf numFmtId="9" fontId="190" fillId="80" borderId="0" xfId="9" applyFont="1" applyFill="1" applyBorder="1" applyProtection="1"/>
    <xf numFmtId="44" fontId="95" fillId="76" borderId="0" xfId="6" applyFont="1" applyFill="1" applyBorder="1" applyProtection="1"/>
    <xf numFmtId="0" fontId="91" fillId="0" borderId="53" xfId="0" applyFont="1" applyBorder="1"/>
    <xf numFmtId="0" fontId="95" fillId="0" borderId="13" xfId="8" applyFont="1" applyBorder="1"/>
    <xf numFmtId="0" fontId="94" fillId="77" borderId="53" xfId="8" applyFont="1" applyFill="1" applyBorder="1" applyAlignment="1">
      <alignment horizontal="center" wrapText="1"/>
    </xf>
    <xf numFmtId="0" fontId="94" fillId="77" borderId="10" xfId="8" applyFont="1" applyFill="1" applyBorder="1" applyAlignment="1">
      <alignment horizontal="center" wrapText="1"/>
    </xf>
    <xf numFmtId="0" fontId="95" fillId="0" borderId="13" xfId="8" applyFont="1" applyBorder="1" applyAlignment="1">
      <alignment horizontal="center" wrapText="1"/>
    </xf>
    <xf numFmtId="172" fontId="95" fillId="0" borderId="11" xfId="6" applyNumberFormat="1" applyFont="1" applyFill="1" applyBorder="1" applyAlignment="1" applyProtection="1">
      <alignment horizontal="center"/>
    </xf>
    <xf numFmtId="14" fontId="95" fillId="0" borderId="11" xfId="6" applyNumberFormat="1" applyFont="1" applyFill="1" applyBorder="1" applyAlignment="1" applyProtection="1">
      <alignment horizontal="center"/>
    </xf>
    <xf numFmtId="0" fontId="95" fillId="0" borderId="10" xfId="8" quotePrefix="1" applyFont="1" applyBorder="1" applyAlignment="1">
      <alignment horizontal="center" wrapText="1"/>
    </xf>
    <xf numFmtId="220" fontId="95" fillId="0" borderId="1" xfId="8" quotePrefix="1" applyNumberFormat="1" applyFont="1" applyBorder="1" applyAlignment="1">
      <alignment horizontal="center" wrapText="1"/>
    </xf>
    <xf numFmtId="220" fontId="95" fillId="0" borderId="9" xfId="8" quotePrefix="1" applyNumberFormat="1" applyFont="1" applyBorder="1" applyAlignment="1">
      <alignment horizontal="center" wrapText="1"/>
    </xf>
    <xf numFmtId="0" fontId="183" fillId="81" borderId="0" xfId="0" applyFont="1" applyFill="1"/>
    <xf numFmtId="0" fontId="125" fillId="79" borderId="0" xfId="0" applyFont="1" applyFill="1" applyAlignment="1">
      <alignment horizontal="center"/>
    </xf>
    <xf numFmtId="0" fontId="91" fillId="79" borderId="0" xfId="0" applyFont="1" applyFill="1"/>
    <xf numFmtId="172" fontId="90" fillId="79" borderId="54" xfId="0" applyNumberFormat="1" applyFont="1" applyFill="1" applyBorder="1" applyAlignment="1">
      <alignment horizontal="center" vertical="top"/>
    </xf>
    <xf numFmtId="0" fontId="91" fillId="79" borderId="1" xfId="0" applyFont="1" applyFill="1" applyBorder="1"/>
    <xf numFmtId="172" fontId="90" fillId="79" borderId="39" xfId="0" applyNumberFormat="1" applyFont="1" applyFill="1" applyBorder="1" applyAlignment="1">
      <alignment horizontal="center" vertical="top"/>
    </xf>
    <xf numFmtId="172" fontId="90" fillId="79" borderId="35" xfId="0" applyNumberFormat="1" applyFont="1" applyFill="1" applyBorder="1" applyAlignment="1">
      <alignment horizontal="center" vertical="top"/>
    </xf>
    <xf numFmtId="172" fontId="90" fillId="79" borderId="40" xfId="0" applyNumberFormat="1" applyFont="1" applyFill="1" applyBorder="1" applyAlignment="1">
      <alignment horizontal="center" vertical="top"/>
    </xf>
    <xf numFmtId="0" fontId="91" fillId="79" borderId="51" xfId="0" applyFont="1" applyFill="1" applyBorder="1" applyAlignment="1">
      <alignment horizontal="center" vertical="top"/>
    </xf>
    <xf numFmtId="0" fontId="91" fillId="79" borderId="46" xfId="0" applyFont="1" applyFill="1" applyBorder="1"/>
    <xf numFmtId="0" fontId="91" fillId="79" borderId="109" xfId="0" applyFont="1" applyFill="1" applyBorder="1"/>
    <xf numFmtId="172" fontId="91" fillId="79" borderId="97" xfId="0" applyNumberFormat="1" applyFont="1" applyFill="1" applyBorder="1" applyAlignment="1">
      <alignment horizontal="center" vertical="top"/>
    </xf>
    <xf numFmtId="0" fontId="91" fillId="79" borderId="61" xfId="0" applyFont="1" applyFill="1" applyBorder="1"/>
    <xf numFmtId="172" fontId="91" fillId="79" borderId="49" xfId="0" applyNumberFormat="1" applyFont="1" applyFill="1" applyBorder="1" applyAlignment="1">
      <alignment horizontal="center" vertical="top"/>
    </xf>
    <xf numFmtId="0" fontId="91" fillId="79" borderId="69" xfId="0" applyFont="1" applyFill="1" applyBorder="1"/>
    <xf numFmtId="0" fontId="91" fillId="79" borderId="110" xfId="0" applyFont="1" applyFill="1" applyBorder="1"/>
    <xf numFmtId="172" fontId="91" fillId="79" borderId="103" xfId="0" applyNumberFormat="1" applyFont="1" applyFill="1" applyBorder="1" applyAlignment="1">
      <alignment horizontal="center" vertical="top"/>
    </xf>
    <xf numFmtId="0" fontId="95" fillId="0" borderId="46" xfId="8" applyFont="1" applyBorder="1"/>
    <xf numFmtId="0" fontId="95" fillId="0" borderId="41" xfId="8" applyFont="1" applyBorder="1"/>
    <xf numFmtId="0" fontId="95" fillId="0" borderId="44" xfId="8" applyFont="1" applyBorder="1"/>
    <xf numFmtId="44" fontId="94" fillId="76" borderId="136" xfId="6" applyFont="1" applyFill="1" applyBorder="1" applyAlignment="1" applyProtection="1">
      <alignment horizontal="center"/>
    </xf>
    <xf numFmtId="174" fontId="113" fillId="69" borderId="137" xfId="6" quotePrefix="1" applyNumberFormat="1" applyFont="1" applyFill="1" applyBorder="1" applyProtection="1">
      <protection locked="0"/>
    </xf>
    <xf numFmtId="172" fontId="113" fillId="69" borderId="61" xfId="6" applyNumberFormat="1" applyFont="1" applyFill="1" applyBorder="1" applyProtection="1">
      <protection locked="0"/>
    </xf>
    <xf numFmtId="172" fontId="113" fillId="2" borderId="61" xfId="6" applyNumberFormat="1" applyFont="1" applyFill="1" applyBorder="1" applyProtection="1">
      <protection locked="0"/>
    </xf>
    <xf numFmtId="172" fontId="113" fillId="2" borderId="61" xfId="6" applyNumberFormat="1" applyFont="1" applyFill="1" applyBorder="1" applyAlignment="1" applyProtection="1">
      <protection locked="0"/>
    </xf>
    <xf numFmtId="172" fontId="113" fillId="2" borderId="110" xfId="6" applyNumberFormat="1" applyFont="1" applyFill="1" applyBorder="1" applyAlignment="1" applyProtection="1">
      <protection locked="0"/>
    </xf>
    <xf numFmtId="174" fontId="94" fillId="0" borderId="34" xfId="6" applyNumberFormat="1" applyFont="1" applyBorder="1" applyAlignment="1" applyProtection="1">
      <alignment horizontal="right"/>
    </xf>
    <xf numFmtId="172" fontId="94" fillId="0" borderId="34" xfId="8" applyNumberFormat="1" applyFont="1" applyBorder="1"/>
    <xf numFmtId="174" fontId="95" fillId="0" borderId="138" xfId="8" applyNumberFormat="1" applyFont="1" applyBorder="1"/>
    <xf numFmtId="172" fontId="95" fillId="0" borderId="139" xfId="8" applyNumberFormat="1" applyFont="1" applyBorder="1"/>
    <xf numFmtId="172" fontId="95" fillId="0" borderId="140" xfId="8" applyNumberFormat="1" applyFont="1" applyBorder="1"/>
    <xf numFmtId="172" fontId="95" fillId="0" borderId="141" xfId="8" applyNumberFormat="1" applyFont="1" applyBorder="1"/>
    <xf numFmtId="0" fontId="189" fillId="75" borderId="34" xfId="8" applyFont="1" applyFill="1" applyBorder="1" applyAlignment="1">
      <alignment horizontal="center" wrapText="1"/>
    </xf>
    <xf numFmtId="0" fontId="91" fillId="76" borderId="135" xfId="0" applyFont="1" applyFill="1" applyBorder="1"/>
    <xf numFmtId="0" fontId="189" fillId="75" borderId="34" xfId="8" applyFont="1" applyFill="1" applyBorder="1" applyAlignment="1">
      <alignment horizontal="center"/>
    </xf>
    <xf numFmtId="0" fontId="95" fillId="0" borderId="123" xfId="8" applyFont="1" applyBorder="1"/>
    <xf numFmtId="0" fontId="95" fillId="0" borderId="124" xfId="8" applyFont="1" applyBorder="1"/>
    <xf numFmtId="0" fontId="95" fillId="0" borderId="124" xfId="0" applyFont="1" applyBorder="1"/>
    <xf numFmtId="0" fontId="91" fillId="0" borderId="124" xfId="0" applyFont="1" applyBorder="1"/>
    <xf numFmtId="0" fontId="95" fillId="0" borderId="125" xfId="0" applyFont="1" applyBorder="1"/>
    <xf numFmtId="0" fontId="109" fillId="0" borderId="1" xfId="0" applyFont="1" applyBorder="1"/>
    <xf numFmtId="174" fontId="95" fillId="0" borderId="142" xfId="8" applyNumberFormat="1" applyFont="1" applyBorder="1"/>
    <xf numFmtId="174" fontId="94" fillId="0" borderId="34" xfId="8" applyNumberFormat="1" applyFont="1" applyBorder="1"/>
    <xf numFmtId="172" fontId="91" fillId="0" borderId="12" xfId="0" applyNumberFormat="1" applyFont="1" applyBorder="1" applyAlignment="1">
      <alignment horizontal="right"/>
    </xf>
    <xf numFmtId="174" fontId="92" fillId="0" borderId="12" xfId="0" applyNumberFormat="1" applyFont="1" applyBorder="1" applyAlignment="1">
      <alignment horizontal="right"/>
    </xf>
    <xf numFmtId="174" fontId="94" fillId="0" borderId="59" xfId="6" applyNumberFormat="1" applyFont="1" applyFill="1" applyBorder="1" applyProtection="1"/>
    <xf numFmtId="174" fontId="141" fillId="0" borderId="59" xfId="0" applyNumberFormat="1" applyFont="1" applyBorder="1" applyAlignment="1">
      <alignment horizontal="right"/>
    </xf>
    <xf numFmtId="174" fontId="95" fillId="0" borderId="46" xfId="8" applyNumberFormat="1" applyFont="1" applyBorder="1"/>
    <xf numFmtId="172" fontId="95" fillId="0" borderId="41" xfId="8" applyNumberFormat="1" applyFont="1" applyBorder="1"/>
    <xf numFmtId="172" fontId="95" fillId="0" borderId="44" xfId="8" applyNumberFormat="1" applyFont="1" applyBorder="1"/>
    <xf numFmtId="172" fontId="113" fillId="2" borderId="109" xfId="6" applyNumberFormat="1" applyFont="1" applyFill="1" applyBorder="1" applyProtection="1">
      <protection locked="0"/>
    </xf>
    <xf numFmtId="172" fontId="113" fillId="2" borderId="115" xfId="6" applyNumberFormat="1" applyFont="1" applyFill="1" applyBorder="1" applyProtection="1">
      <protection locked="0"/>
    </xf>
    <xf numFmtId="174" fontId="94" fillId="0" borderId="34" xfId="6" applyNumberFormat="1" applyFont="1" applyBorder="1" applyProtection="1"/>
    <xf numFmtId="174" fontId="92" fillId="0" borderId="34" xfId="0" applyNumberFormat="1" applyFont="1" applyBorder="1"/>
    <xf numFmtId="174" fontId="105" fillId="0" borderId="12" xfId="0" applyNumberFormat="1" applyFont="1" applyBorder="1"/>
    <xf numFmtId="172" fontId="32" fillId="82" borderId="97" xfId="8" applyNumberFormat="1" applyFont="1" applyFill="1" applyBorder="1"/>
    <xf numFmtId="175" fontId="95" fillId="82" borderId="49" xfId="6" applyNumberFormat="1" applyFont="1" applyFill="1" applyBorder="1" applyProtection="1"/>
    <xf numFmtId="175" fontId="95" fillId="82" borderId="49" xfId="6" applyNumberFormat="1" applyFont="1" applyFill="1" applyBorder="1" applyAlignment="1" applyProtection="1"/>
    <xf numFmtId="175" fontId="95" fillId="82" borderId="96" xfId="6" applyNumberFormat="1" applyFont="1" applyFill="1" applyBorder="1" applyProtection="1"/>
    <xf numFmtId="175" fontId="95" fillId="82" borderId="96" xfId="6" applyNumberFormat="1" applyFont="1" applyFill="1" applyBorder="1" applyAlignment="1" applyProtection="1"/>
    <xf numFmtId="175" fontId="95" fillId="82" borderId="97" xfId="6" applyNumberFormat="1" applyFont="1" applyFill="1" applyBorder="1" applyAlignment="1" applyProtection="1">
      <alignment horizontal="right"/>
    </xf>
    <xf numFmtId="38" fontId="95" fillId="82" borderId="0" xfId="6" applyNumberFormat="1" applyFont="1" applyFill="1" applyBorder="1" applyProtection="1"/>
    <xf numFmtId="9" fontId="95" fillId="82" borderId="0" xfId="9" applyFont="1" applyFill="1" applyBorder="1" applyProtection="1"/>
    <xf numFmtId="38" fontId="94" fillId="82" borderId="97" xfId="6" applyNumberFormat="1" applyFont="1" applyFill="1" applyBorder="1" applyProtection="1"/>
    <xf numFmtId="172" fontId="94" fillId="82" borderId="97" xfId="6" applyNumberFormat="1" applyFont="1" applyFill="1" applyBorder="1" applyProtection="1"/>
    <xf numFmtId="0" fontId="91" fillId="82" borderId="0" xfId="0" applyFont="1" applyFill="1"/>
    <xf numFmtId="175" fontId="91" fillId="82" borderId="0" xfId="0" applyNumberFormat="1" applyFont="1" applyFill="1"/>
    <xf numFmtId="172" fontId="91" fillId="82" borderId="0" xfId="0" applyNumberFormat="1" applyFont="1" applyFill="1"/>
    <xf numFmtId="174" fontId="91" fillId="82" borderId="0" xfId="0" applyNumberFormat="1" applyFont="1" applyFill="1"/>
    <xf numFmtId="172" fontId="95" fillId="82" borderId="49" xfId="6" applyNumberFormat="1" applyFont="1" applyFill="1" applyBorder="1" applyProtection="1"/>
    <xf numFmtId="174" fontId="94" fillId="82" borderId="51" xfId="8" applyNumberFormat="1" applyFont="1" applyFill="1" applyBorder="1"/>
    <xf numFmtId="0" fontId="185" fillId="81" borderId="0" xfId="0" applyFont="1" applyFill="1"/>
    <xf numFmtId="0" fontId="104" fillId="81" borderId="0" xfId="0" applyFont="1" applyFill="1"/>
    <xf numFmtId="172" fontId="90" fillId="82" borderId="54" xfId="0" applyNumberFormat="1" applyFont="1" applyFill="1" applyBorder="1" applyAlignment="1">
      <alignment horizontal="center" vertical="top"/>
    </xf>
    <xf numFmtId="172" fontId="90" fillId="82" borderId="55" xfId="0" applyNumberFormat="1" applyFont="1" applyFill="1" applyBorder="1" applyAlignment="1">
      <alignment horizontal="center" vertical="top"/>
    </xf>
    <xf numFmtId="172" fontId="90" fillId="82" borderId="56" xfId="0" applyNumberFormat="1" applyFont="1" applyFill="1" applyBorder="1" applyAlignment="1">
      <alignment horizontal="center" vertical="top"/>
    </xf>
    <xf numFmtId="172" fontId="91" fillId="82" borderId="49" xfId="0" applyNumberFormat="1" applyFont="1" applyFill="1" applyBorder="1" applyAlignment="1">
      <alignment horizontal="center" vertical="top"/>
    </xf>
    <xf numFmtId="0" fontId="188" fillId="81" borderId="0" xfId="0" quotePrefix="1" applyFont="1" applyFill="1"/>
    <xf numFmtId="188" fontId="92" fillId="0" borderId="1" xfId="0" applyNumberFormat="1" applyFont="1" applyBorder="1"/>
    <xf numFmtId="183" fontId="92" fillId="0" borderId="1" xfId="4" applyNumberFormat="1" applyFont="1" applyFill="1" applyBorder="1" applyAlignment="1">
      <alignment horizontal="center"/>
    </xf>
    <xf numFmtId="9" fontId="92" fillId="0" borderId="0" xfId="9" applyFont="1" applyFill="1" applyBorder="1" applyAlignment="1">
      <alignment horizontal="center" vertical="top"/>
    </xf>
    <xf numFmtId="0" fontId="92" fillId="76" borderId="0" xfId="0" applyFont="1" applyFill="1" applyAlignment="1">
      <alignment horizontal="right"/>
    </xf>
    <xf numFmtId="194" fontId="92" fillId="76" borderId="0" xfId="0" applyNumberFormat="1" applyFont="1" applyFill="1" applyAlignment="1">
      <alignment horizontal="right"/>
    </xf>
    <xf numFmtId="0" fontId="91" fillId="4" borderId="41" xfId="0" quotePrefix="1" applyFont="1" applyFill="1" applyBorder="1" applyProtection="1">
      <protection locked="0"/>
    </xf>
    <xf numFmtId="164" fontId="91" fillId="0" borderId="0" xfId="0" applyNumberFormat="1" applyFont="1" applyAlignment="1" applyProtection="1">
      <alignment horizontal="center"/>
      <protection locked="0"/>
    </xf>
    <xf numFmtId="0" fontId="92" fillId="76" borderId="0" xfId="0" applyFont="1" applyFill="1" applyAlignment="1">
      <alignment horizontal="left"/>
    </xf>
    <xf numFmtId="0" fontId="92" fillId="76" borderId="0" xfId="0" applyFont="1" applyFill="1" applyAlignment="1">
      <alignment horizontal="center"/>
    </xf>
    <xf numFmtId="0" fontId="91" fillId="76" borderId="0" xfId="0" applyFont="1" applyFill="1" applyAlignment="1">
      <alignment horizontal="center" wrapText="1"/>
    </xf>
    <xf numFmtId="0" fontId="91" fillId="76" borderId="51" xfId="0" applyFont="1" applyFill="1" applyBorder="1" applyAlignment="1">
      <alignment horizontal="center" wrapText="1"/>
    </xf>
    <xf numFmtId="0" fontId="91" fillId="76" borderId="51" xfId="0" applyFont="1" applyFill="1" applyBorder="1"/>
    <xf numFmtId="172" fontId="92" fillId="0" borderId="0" xfId="0" applyNumberFormat="1" applyFont="1" applyAlignment="1" applyProtection="1">
      <alignment horizontal="center" vertical="top"/>
      <protection locked="0"/>
    </xf>
    <xf numFmtId="0" fontId="104" fillId="76" borderId="0" xfId="0" applyFont="1" applyFill="1"/>
    <xf numFmtId="164" fontId="104" fillId="76" borderId="0" xfId="0" applyNumberFormat="1" applyFont="1" applyFill="1" applyAlignment="1">
      <alignment horizontal="center"/>
    </xf>
    <xf numFmtId="172" fontId="104" fillId="76" borderId="0" xfId="0" applyNumberFormat="1" applyFont="1" applyFill="1" applyAlignment="1">
      <alignment horizontal="center"/>
    </xf>
    <xf numFmtId="174" fontId="104" fillId="0" borderId="51" xfId="0" applyNumberFormat="1" applyFont="1" applyBorder="1" applyAlignment="1">
      <alignment horizontal="right"/>
    </xf>
    <xf numFmtId="174" fontId="104" fillId="0" borderId="0" xfId="0" applyNumberFormat="1" applyFont="1" applyAlignment="1">
      <alignment horizontal="right"/>
    </xf>
    <xf numFmtId="174" fontId="104" fillId="0" borderId="0" xfId="0" quotePrefix="1" applyNumberFormat="1" applyFont="1" applyAlignment="1">
      <alignment horizontal="right"/>
    </xf>
    <xf numFmtId="172" fontId="92" fillId="0" borderId="6" xfId="0" applyNumberFormat="1" applyFont="1" applyBorder="1" applyAlignment="1">
      <alignment horizontal="center"/>
    </xf>
    <xf numFmtId="174" fontId="104" fillId="76" borderId="0" xfId="0" applyNumberFormat="1" applyFont="1" applyFill="1" applyAlignment="1">
      <alignment horizontal="right"/>
    </xf>
    <xf numFmtId="0" fontId="104" fillId="76" borderId="0" xfId="0" applyFont="1" applyFill="1" applyAlignment="1">
      <alignment horizontal="right"/>
    </xf>
    <xf numFmtId="164" fontId="104" fillId="76" borderId="0" xfId="0" applyNumberFormat="1" applyFont="1" applyFill="1" applyAlignment="1">
      <alignment horizontal="right"/>
    </xf>
    <xf numFmtId="0" fontId="104" fillId="0" borderId="0" xfId="0" applyFont="1" applyAlignment="1">
      <alignment horizontal="right"/>
    </xf>
    <xf numFmtId="164" fontId="104" fillId="0" borderId="0" xfId="0" applyNumberFormat="1" applyFont="1" applyAlignment="1">
      <alignment horizontal="right"/>
    </xf>
    <xf numFmtId="0" fontId="92" fillId="0" borderId="51" xfId="0" applyFont="1" applyBorder="1" applyProtection="1">
      <protection hidden="1"/>
    </xf>
    <xf numFmtId="174" fontId="92" fillId="0" borderId="51" xfId="0" applyNumberFormat="1" applyFont="1" applyBorder="1" applyAlignment="1" applyProtection="1">
      <alignment horizontal="right"/>
      <protection hidden="1"/>
    </xf>
    <xf numFmtId="0" fontId="91" fillId="0" borderId="51" xfId="0" applyFont="1" applyBorder="1" applyProtection="1">
      <protection hidden="1"/>
    </xf>
    <xf numFmtId="189" fontId="92" fillId="0" borderId="0" xfId="0" applyNumberFormat="1" applyFont="1" applyAlignment="1">
      <alignment horizontal="right"/>
    </xf>
    <xf numFmtId="172" fontId="91" fillId="0" borderId="1" xfId="0" applyNumberFormat="1" applyFont="1" applyBorder="1"/>
    <xf numFmtId="174" fontId="91" fillId="76" borderId="1" xfId="0" applyNumberFormat="1" applyFont="1" applyFill="1" applyBorder="1" applyAlignment="1">
      <alignment horizontal="right"/>
    </xf>
    <xf numFmtId="172" fontId="91" fillId="76" borderId="1" xfId="0" applyNumberFormat="1" applyFont="1" applyFill="1" applyBorder="1"/>
    <xf numFmtId="202" fontId="92" fillId="0" borderId="0" xfId="0" applyNumberFormat="1" applyFont="1" applyAlignment="1">
      <alignment horizontal="right"/>
    </xf>
    <xf numFmtId="172" fontId="162" fillId="0" borderId="0" xfId="0" applyNumberFormat="1" applyFont="1" applyProtection="1">
      <protection locked="0"/>
    </xf>
    <xf numFmtId="173" fontId="92" fillId="0" borderId="0" xfId="0" applyNumberFormat="1" applyFont="1" applyProtection="1">
      <protection locked="0"/>
    </xf>
    <xf numFmtId="172" fontId="92" fillId="0" borderId="0" xfId="0" applyNumberFormat="1" applyFont="1" applyProtection="1">
      <protection locked="0"/>
    </xf>
    <xf numFmtId="172" fontId="113" fillId="83" borderId="97" xfId="6" applyNumberFormat="1" applyFont="1" applyFill="1" applyBorder="1" applyProtection="1">
      <protection locked="0"/>
    </xf>
    <xf numFmtId="172" fontId="113" fillId="83" borderId="49" xfId="6" applyNumberFormat="1" applyFont="1" applyFill="1" applyBorder="1" applyProtection="1">
      <protection locked="0"/>
    </xf>
    <xf numFmtId="172" fontId="113" fillId="83" borderId="96" xfId="6" applyNumberFormat="1" applyFont="1" applyFill="1" applyBorder="1" applyProtection="1">
      <protection locked="0"/>
    </xf>
    <xf numFmtId="172" fontId="96" fillId="4" borderId="97" xfId="0" applyNumberFormat="1" applyFont="1" applyFill="1" applyBorder="1" applyAlignment="1" applyProtection="1">
      <alignment horizontal="right"/>
      <protection locked="0"/>
    </xf>
    <xf numFmtId="172" fontId="96" fillId="4" borderId="49" xfId="0" applyNumberFormat="1" applyFont="1" applyFill="1" applyBorder="1" applyAlignment="1" applyProtection="1">
      <alignment horizontal="right"/>
      <protection locked="0"/>
    </xf>
    <xf numFmtId="172" fontId="96" fillId="4" borderId="103" xfId="0" applyNumberFormat="1" applyFont="1" applyFill="1" applyBorder="1" applyAlignment="1" applyProtection="1">
      <alignment horizontal="right"/>
      <protection locked="0"/>
    </xf>
    <xf numFmtId="0" fontId="92" fillId="79" borderId="51" xfId="0" applyFont="1" applyFill="1" applyBorder="1"/>
    <xf numFmtId="174" fontId="92" fillId="79" borderId="51" xfId="0" applyNumberFormat="1" applyFont="1" applyFill="1" applyBorder="1" applyAlignment="1">
      <alignment horizontal="right"/>
    </xf>
    <xf numFmtId="172" fontId="92" fillId="79" borderId="51" xfId="0" applyNumberFormat="1" applyFont="1" applyFill="1" applyBorder="1" applyAlignment="1">
      <alignment horizontal="center"/>
    </xf>
    <xf numFmtId="172" fontId="92" fillId="79" borderId="51" xfId="0" applyNumberFormat="1" applyFont="1" applyFill="1" applyBorder="1" applyAlignment="1">
      <alignment horizontal="right"/>
    </xf>
    <xf numFmtId="172" fontId="91" fillId="79" borderId="51" xfId="0" applyNumberFormat="1" applyFont="1" applyFill="1" applyBorder="1" applyAlignment="1">
      <alignment horizontal="center"/>
    </xf>
    <xf numFmtId="172" fontId="92" fillId="79" borderId="51" xfId="0" applyNumberFormat="1" applyFont="1" applyFill="1" applyBorder="1" applyAlignment="1">
      <alignment horizontal="left"/>
    </xf>
    <xf numFmtId="3" fontId="96" fillId="4" borderId="0" xfId="11" applyNumberFormat="1" applyFont="1" applyBorder="1" applyAlignment="1" applyProtection="1">
      <alignment horizontal="center"/>
      <protection locked="0"/>
    </xf>
    <xf numFmtId="0" fontId="92" fillId="77" borderId="10" xfId="0" applyFont="1" applyFill="1" applyBorder="1" applyAlignment="1">
      <alignment horizontal="right"/>
    </xf>
    <xf numFmtId="0" fontId="92" fillId="84" borderId="1" xfId="0" applyFont="1" applyFill="1" applyBorder="1"/>
    <xf numFmtId="0" fontId="91" fillId="84" borderId="1" xfId="0" applyFont="1" applyFill="1" applyBorder="1"/>
    <xf numFmtId="3" fontId="92" fillId="84" borderId="1" xfId="11" applyNumberFormat="1" applyFont="1" applyFill="1" applyBorder="1" applyAlignment="1" applyProtection="1">
      <alignment horizontal="center"/>
    </xf>
    <xf numFmtId="0" fontId="107" fillId="73" borderId="12" xfId="0" applyFont="1" applyFill="1" applyBorder="1" applyAlignment="1">
      <alignment horizontal="right" vertical="top"/>
    </xf>
    <xf numFmtId="0" fontId="107" fillId="73" borderId="54" xfId="0" applyFont="1" applyFill="1" applyBorder="1" applyAlignment="1">
      <alignment horizontal="right" vertical="top"/>
    </xf>
    <xf numFmtId="0" fontId="107" fillId="73" borderId="55" xfId="0" applyFont="1" applyFill="1" applyBorder="1" applyAlignment="1">
      <alignment horizontal="right" vertical="top"/>
    </xf>
    <xf numFmtId="0" fontId="107" fillId="73" borderId="56" xfId="0" applyFont="1" applyFill="1" applyBorder="1" applyAlignment="1">
      <alignment horizontal="right" vertical="top"/>
    </xf>
    <xf numFmtId="0" fontId="104" fillId="73" borderId="34" xfId="0" applyFont="1" applyFill="1" applyBorder="1" applyAlignment="1">
      <alignment horizontal="right" vertical="top"/>
    </xf>
    <xf numFmtId="0" fontId="104" fillId="73" borderId="39" xfId="0" applyFont="1" applyFill="1" applyBorder="1" applyAlignment="1">
      <alignment horizontal="right" vertical="top"/>
    </xf>
    <xf numFmtId="0" fontId="104" fillId="73" borderId="35" xfId="0" applyFont="1" applyFill="1" applyBorder="1" applyAlignment="1">
      <alignment horizontal="right" vertical="top"/>
    </xf>
    <xf numFmtId="0" fontId="104" fillId="73" borderId="40" xfId="0" applyFont="1" applyFill="1" applyBorder="1" applyAlignment="1">
      <alignment horizontal="right" vertical="top"/>
    </xf>
    <xf numFmtId="0" fontId="185" fillId="78" borderId="0" xfId="0" applyFont="1" applyFill="1"/>
    <xf numFmtId="0" fontId="104" fillId="78" borderId="0" xfId="0" applyFont="1" applyFill="1" applyProtection="1">
      <protection locked="0"/>
    </xf>
    <xf numFmtId="0" fontId="92" fillId="85" borderId="1" xfId="0" applyFont="1" applyFill="1" applyBorder="1"/>
    <xf numFmtId="0" fontId="91" fillId="85" borderId="1" xfId="0" applyFont="1" applyFill="1" applyBorder="1"/>
    <xf numFmtId="0" fontId="107" fillId="85" borderId="1" xfId="0" applyFont="1" applyFill="1" applyBorder="1" applyAlignment="1">
      <alignment horizontal="right" vertical="top"/>
    </xf>
    <xf numFmtId="0" fontId="104" fillId="85" borderId="1" xfId="0" applyFont="1" applyFill="1" applyBorder="1" applyAlignment="1">
      <alignment horizontal="right" vertical="top"/>
    </xf>
    <xf numFmtId="172" fontId="96" fillId="79" borderId="69" xfId="0" applyNumberFormat="1" applyFont="1" applyFill="1" applyBorder="1" applyAlignment="1">
      <alignment horizontal="right" vertical="top"/>
    </xf>
    <xf numFmtId="172" fontId="90" fillId="79" borderId="69" xfId="0" applyNumberFormat="1" applyFont="1" applyFill="1" applyBorder="1" applyAlignment="1">
      <alignment horizontal="right" vertical="top"/>
    </xf>
    <xf numFmtId="0" fontId="92" fillId="85" borderId="0" xfId="0" applyFont="1" applyFill="1"/>
    <xf numFmtId="174" fontId="92" fillId="85" borderId="0" xfId="0" applyNumberFormat="1" applyFont="1" applyFill="1" applyAlignment="1">
      <alignment horizontal="right"/>
    </xf>
    <xf numFmtId="0" fontId="92" fillId="85" borderId="0" xfId="0" applyFont="1" applyFill="1" applyAlignment="1">
      <alignment horizontal="center"/>
    </xf>
    <xf numFmtId="174" fontId="92" fillId="76" borderId="0" xfId="0" applyNumberFormat="1" applyFont="1" applyFill="1" applyAlignment="1">
      <alignment horizontal="right"/>
    </xf>
    <xf numFmtId="0" fontId="105" fillId="76" borderId="0" xfId="0" applyFont="1" applyFill="1" applyAlignment="1">
      <alignment horizontal="center"/>
    </xf>
    <xf numFmtId="172" fontId="91" fillId="4" borderId="0" xfId="0" applyNumberFormat="1" applyFont="1" applyFill="1" applyAlignment="1">
      <alignment horizontal="right" vertical="top"/>
    </xf>
    <xf numFmtId="0" fontId="92" fillId="0" borderId="47" xfId="0" applyFont="1" applyBorder="1"/>
    <xf numFmtId="174" fontId="92" fillId="0" borderId="47" xfId="0" applyNumberFormat="1" applyFont="1" applyBorder="1" applyAlignment="1">
      <alignment horizontal="right"/>
    </xf>
    <xf numFmtId="184" fontId="92" fillId="0" borderId="47" xfId="0" applyNumberFormat="1" applyFont="1" applyBorder="1" applyAlignment="1">
      <alignment horizontal="right"/>
    </xf>
    <xf numFmtId="174" fontId="92" fillId="76" borderId="1" xfId="0" applyNumberFormat="1" applyFont="1" applyFill="1" applyBorder="1" applyAlignment="1">
      <alignment horizontal="right"/>
    </xf>
    <xf numFmtId="0" fontId="105" fillId="76" borderId="1" xfId="0" applyFont="1" applyFill="1" applyBorder="1"/>
    <xf numFmtId="174" fontId="91" fillId="76" borderId="1" xfId="0" applyNumberFormat="1" applyFont="1" applyFill="1" applyBorder="1" applyAlignment="1">
      <alignment horizontal="right" vertical="top"/>
    </xf>
    <xf numFmtId="174" fontId="91" fillId="76" borderId="0" xfId="0" applyNumberFormat="1" applyFont="1" applyFill="1" applyAlignment="1">
      <alignment horizontal="right" vertical="top"/>
    </xf>
    <xf numFmtId="0" fontId="91" fillId="4" borderId="0" xfId="0" applyFont="1" applyFill="1"/>
    <xf numFmtId="174" fontId="91" fillId="76" borderId="0" xfId="0" applyNumberFormat="1" applyFont="1" applyFill="1" applyAlignment="1">
      <alignment horizontal="right"/>
    </xf>
    <xf numFmtId="10" fontId="91" fillId="0" borderId="0" xfId="9" applyNumberFormat="1" applyFont="1" applyFill="1" applyBorder="1" applyAlignment="1" applyProtection="1">
      <alignment horizontal="center" vertical="top"/>
    </xf>
    <xf numFmtId="10" fontId="91" fillId="0" borderId="0" xfId="9" applyNumberFormat="1" applyFont="1" applyFill="1" applyBorder="1" applyAlignment="1" applyProtection="1">
      <alignment horizontal="center"/>
    </xf>
    <xf numFmtId="0" fontId="92" fillId="0" borderId="143" xfId="0" applyFont="1" applyBorder="1"/>
    <xf numFmtId="164" fontId="91" fillId="76" borderId="0" xfId="0" applyNumberFormat="1" applyFont="1" applyFill="1" applyAlignment="1">
      <alignment horizontal="center"/>
    </xf>
    <xf numFmtId="0" fontId="104" fillId="77" borderId="53" xfId="0" applyFont="1" applyFill="1" applyBorder="1"/>
    <xf numFmtId="0" fontId="92" fillId="77" borderId="51" xfId="0" applyFont="1" applyFill="1" applyBorder="1" applyAlignment="1">
      <alignment horizontal="center"/>
    </xf>
    <xf numFmtId="0" fontId="92" fillId="77" borderId="34" xfId="0" applyFont="1" applyFill="1" applyBorder="1" applyAlignment="1">
      <alignment horizontal="center"/>
    </xf>
    <xf numFmtId="188" fontId="92" fillId="77" borderId="57" xfId="0" applyNumberFormat="1" applyFont="1" applyFill="1" applyBorder="1" applyAlignment="1">
      <alignment horizontal="center"/>
    </xf>
    <xf numFmtId="194" fontId="92" fillId="77" borderId="51" xfId="0" applyNumberFormat="1" applyFont="1" applyFill="1" applyBorder="1" applyAlignment="1">
      <alignment horizontal="center"/>
    </xf>
    <xf numFmtId="194" fontId="92" fillId="77" borderId="52" xfId="0" applyNumberFormat="1" applyFont="1" applyFill="1" applyBorder="1" applyAlignment="1">
      <alignment horizontal="center"/>
    </xf>
    <xf numFmtId="0" fontId="104" fillId="77" borderId="13" xfId="0" applyFont="1" applyFill="1" applyBorder="1"/>
    <xf numFmtId="0" fontId="92" fillId="77" borderId="0" xfId="0" applyFont="1" applyFill="1" applyAlignment="1">
      <alignment horizontal="center"/>
    </xf>
    <xf numFmtId="188" fontId="92" fillId="77" borderId="9" xfId="0" applyNumberFormat="1" applyFont="1" applyFill="1" applyBorder="1" applyAlignment="1">
      <alignment horizontal="center"/>
    </xf>
    <xf numFmtId="0" fontId="92" fillId="77" borderId="98" xfId="0" applyFont="1" applyFill="1" applyBorder="1" applyAlignment="1">
      <alignment horizontal="center"/>
    </xf>
    <xf numFmtId="0" fontId="92" fillId="77" borderId="99" xfId="0" applyFont="1" applyFill="1" applyBorder="1" applyAlignment="1">
      <alignment horizontal="center"/>
    </xf>
    <xf numFmtId="0" fontId="92" fillId="77" borderId="100" xfId="0" applyFont="1" applyFill="1" applyBorder="1" applyAlignment="1">
      <alignment horizontal="center"/>
    </xf>
    <xf numFmtId="0" fontId="104" fillId="77" borderId="10" xfId="0" applyFont="1" applyFill="1" applyBorder="1"/>
    <xf numFmtId="0" fontId="92" fillId="77" borderId="1" xfId="0" applyFont="1" applyFill="1" applyBorder="1" applyAlignment="1">
      <alignment horizontal="center"/>
    </xf>
    <xf numFmtId="0" fontId="92" fillId="77" borderId="12" xfId="0" quotePrefix="1" applyFont="1" applyFill="1" applyBorder="1" applyAlignment="1">
      <alignment horizontal="center"/>
    </xf>
    <xf numFmtId="0" fontId="92" fillId="77" borderId="10" xfId="0" applyFont="1" applyFill="1" applyBorder="1" applyAlignment="1">
      <alignment horizontal="center"/>
    </xf>
    <xf numFmtId="0" fontId="92" fillId="77" borderId="9" xfId="0" applyFont="1" applyFill="1" applyBorder="1" applyAlignment="1">
      <alignment horizontal="center"/>
    </xf>
    <xf numFmtId="0" fontId="91" fillId="85" borderId="0" xfId="0" applyFont="1" applyFill="1"/>
    <xf numFmtId="0" fontId="92" fillId="0" borderId="143" xfId="0" applyFont="1" applyBorder="1" applyAlignment="1">
      <alignment wrapText="1"/>
    </xf>
    <xf numFmtId="164" fontId="91" fillId="0" borderId="0" xfId="0" applyNumberFormat="1" applyFont="1"/>
    <xf numFmtId="0" fontId="92" fillId="76" borderId="0" xfId="0" applyFont="1" applyFill="1" applyAlignment="1">
      <alignment horizontal="right" wrapText="1"/>
    </xf>
    <xf numFmtId="188" fontId="92" fillId="76" borderId="0" xfId="0" applyNumberFormat="1" applyFont="1" applyFill="1" applyAlignment="1">
      <alignment horizontal="center" wrapText="1"/>
    </xf>
    <xf numFmtId="221" fontId="92" fillId="77" borderId="10" xfId="0" applyNumberFormat="1" applyFont="1" applyFill="1" applyBorder="1" applyAlignment="1">
      <alignment horizontal="right"/>
    </xf>
    <xf numFmtId="0" fontId="104" fillId="77" borderId="54" xfId="0" applyFont="1" applyFill="1" applyBorder="1" applyAlignment="1">
      <alignment horizontal="center" vertical="top"/>
    </xf>
    <xf numFmtId="0" fontId="104" fillId="77" borderId="54" xfId="0" quotePrefix="1" applyFont="1" applyFill="1" applyBorder="1" applyAlignment="1">
      <alignment horizontal="center" vertical="top"/>
    </xf>
    <xf numFmtId="0" fontId="104" fillId="77" borderId="55" xfId="0" applyFont="1" applyFill="1" applyBorder="1" applyAlignment="1">
      <alignment horizontal="center" vertical="top"/>
    </xf>
    <xf numFmtId="0" fontId="104" fillId="77" borderId="56" xfId="0" applyFont="1" applyFill="1" applyBorder="1" applyAlignment="1">
      <alignment horizontal="center" vertical="top"/>
    </xf>
    <xf numFmtId="0" fontId="104" fillId="77" borderId="39" xfId="0" applyFont="1" applyFill="1" applyBorder="1" applyAlignment="1">
      <alignment horizontal="center" vertical="top"/>
    </xf>
    <xf numFmtId="0" fontId="104" fillId="77" borderId="35" xfId="0" applyFont="1" applyFill="1" applyBorder="1" applyAlignment="1">
      <alignment horizontal="center" vertical="top"/>
    </xf>
    <xf numFmtId="0" fontId="104" fillId="77" borderId="40" xfId="0" applyFont="1" applyFill="1" applyBorder="1" applyAlignment="1">
      <alignment horizontal="center" vertical="top"/>
    </xf>
    <xf numFmtId="0" fontId="92" fillId="4" borderId="41" xfId="0" applyFont="1" applyFill="1" applyBorder="1" applyAlignment="1" applyProtection="1">
      <alignment horizontal="center" vertical="top"/>
      <protection locked="0"/>
    </xf>
    <xf numFmtId="9" fontId="91" fillId="0" borderId="0" xfId="9" applyFont="1" applyFill="1" applyBorder="1" applyAlignment="1" applyProtection="1">
      <alignment horizontal="center" vertical="top"/>
    </xf>
    <xf numFmtId="9" fontId="91" fillId="0" borderId="0" xfId="9" applyFont="1" applyFill="1" applyBorder="1" applyAlignment="1">
      <alignment horizontal="center" vertical="top"/>
    </xf>
    <xf numFmtId="0" fontId="92" fillId="77" borderId="63" xfId="0" applyFont="1" applyFill="1" applyBorder="1" applyAlignment="1">
      <alignment horizontal="right"/>
    </xf>
    <xf numFmtId="0" fontId="92" fillId="77" borderId="59" xfId="0" applyFont="1" applyFill="1" applyBorder="1" applyAlignment="1">
      <alignment horizontal="right"/>
    </xf>
    <xf numFmtId="0" fontId="92" fillId="77" borderId="57" xfId="0" applyFont="1" applyFill="1" applyBorder="1" applyAlignment="1">
      <alignment horizontal="right"/>
    </xf>
    <xf numFmtId="0" fontId="104" fillId="77" borderId="13" xfId="0" applyFont="1" applyFill="1" applyBorder="1" applyAlignment="1">
      <alignment horizontal="right" vertical="top"/>
    </xf>
    <xf numFmtId="0" fontId="104" fillId="77" borderId="0" xfId="0" quotePrefix="1" applyFont="1" applyFill="1" applyAlignment="1">
      <alignment horizontal="right" vertical="top"/>
    </xf>
    <xf numFmtId="0" fontId="104" fillId="77" borderId="0" xfId="0" applyFont="1" applyFill="1" applyAlignment="1">
      <alignment horizontal="right" vertical="top"/>
    </xf>
    <xf numFmtId="0" fontId="104" fillId="77" borderId="11" xfId="0" applyFont="1" applyFill="1" applyBorder="1" applyAlignment="1">
      <alignment horizontal="right" vertical="top"/>
    </xf>
    <xf numFmtId="0" fontId="104" fillId="77" borderId="10" xfId="0" applyFont="1" applyFill="1" applyBorder="1" applyAlignment="1">
      <alignment horizontal="right" vertical="top"/>
    </xf>
    <xf numFmtId="0" fontId="104" fillId="77" borderId="1" xfId="0" applyFont="1" applyFill="1" applyBorder="1" applyAlignment="1">
      <alignment horizontal="right" vertical="top"/>
    </xf>
    <xf numFmtId="0" fontId="104" fillId="77" borderId="9" xfId="0" applyFont="1" applyFill="1" applyBorder="1" applyAlignment="1">
      <alignment horizontal="right" vertical="top"/>
    </xf>
    <xf numFmtId="9" fontId="101" fillId="4" borderId="0" xfId="0" applyNumberFormat="1" applyFont="1" applyFill="1" applyAlignment="1">
      <alignment horizontal="center"/>
    </xf>
    <xf numFmtId="194" fontId="92" fillId="77" borderId="51" xfId="0" applyNumberFormat="1" applyFont="1" applyFill="1" applyBorder="1" applyAlignment="1">
      <alignment horizontal="right"/>
    </xf>
    <xf numFmtId="0" fontId="92" fillId="77" borderId="51" xfId="0" applyFont="1" applyFill="1" applyBorder="1" applyAlignment="1">
      <alignment horizontal="right"/>
    </xf>
    <xf numFmtId="0" fontId="92" fillId="77" borderId="133" xfId="0" applyFont="1" applyFill="1" applyBorder="1" applyAlignment="1">
      <alignment horizontal="right"/>
    </xf>
    <xf numFmtId="0" fontId="90" fillId="0" borderId="0" xfId="0" applyFont="1"/>
    <xf numFmtId="193" fontId="91" fillId="0" borderId="0" xfId="0" quotePrefix="1" applyNumberFormat="1" applyFont="1" applyAlignment="1" applyProtection="1">
      <alignment horizontal="center"/>
      <protection locked="0"/>
    </xf>
    <xf numFmtId="0" fontId="91" fillId="0" borderId="7" xfId="0" applyFont="1" applyBorder="1"/>
    <xf numFmtId="10" fontId="91" fillId="0" borderId="0" xfId="9" quotePrefix="1" applyNumberFormat="1" applyFont="1" applyFill="1" applyBorder="1" applyAlignment="1">
      <alignment horizontal="left" vertical="top"/>
    </xf>
    <xf numFmtId="174" fontId="162" fillId="86" borderId="49" xfId="0" applyNumberFormat="1" applyFont="1" applyFill="1" applyBorder="1" applyAlignment="1" applyProtection="1">
      <alignment horizontal="right" vertical="top"/>
      <protection locked="0"/>
    </xf>
    <xf numFmtId="172" fontId="96" fillId="79" borderId="49" xfId="0" applyNumberFormat="1" applyFont="1" applyFill="1" applyBorder="1" applyAlignment="1" applyProtection="1">
      <alignment horizontal="right"/>
      <protection locked="0"/>
    </xf>
    <xf numFmtId="172" fontId="96" fillId="79" borderId="96" xfId="0" applyNumberFormat="1" applyFont="1" applyFill="1" applyBorder="1" applyAlignment="1" applyProtection="1">
      <alignment horizontal="right"/>
      <protection locked="0"/>
    </xf>
    <xf numFmtId="0" fontId="91" fillId="0" borderId="97" xfId="0" applyFont="1" applyBorder="1" applyProtection="1">
      <protection locked="0"/>
    </xf>
    <xf numFmtId="9" fontId="154" fillId="0" borderId="49" xfId="9" applyFont="1" applyFill="1" applyBorder="1" applyAlignment="1" applyProtection="1">
      <alignment horizontal="center" vertical="top"/>
      <protection locked="0"/>
    </xf>
    <xf numFmtId="172" fontId="145" fillId="0" borderId="49" xfId="9" applyNumberFormat="1" applyFont="1" applyFill="1" applyBorder="1" applyAlignment="1" applyProtection="1">
      <alignment horizontal="center" vertical="top"/>
      <protection locked="0"/>
    </xf>
    <xf numFmtId="172" fontId="154" fillId="0" borderId="49" xfId="9" applyNumberFormat="1" applyFont="1" applyFill="1" applyBorder="1" applyAlignment="1" applyProtection="1">
      <alignment horizontal="center" vertical="top"/>
      <protection locked="0"/>
    </xf>
    <xf numFmtId="9" fontId="154" fillId="0" borderId="96" xfId="9" applyFont="1" applyFill="1" applyBorder="1" applyAlignment="1" applyProtection="1">
      <alignment horizontal="center" vertical="top"/>
      <protection locked="0"/>
    </xf>
    <xf numFmtId="0" fontId="96" fillId="0" borderId="97" xfId="0" applyFont="1" applyBorder="1" applyAlignment="1" applyProtection="1">
      <alignment horizontal="center" vertical="top"/>
      <protection locked="0"/>
    </xf>
    <xf numFmtId="0" fontId="96" fillId="0" borderId="49" xfId="0" applyFont="1" applyBorder="1" applyAlignment="1" applyProtection="1">
      <alignment horizontal="center" vertical="top"/>
      <protection locked="0"/>
    </xf>
    <xf numFmtId="1" fontId="96" fillId="0" borderId="96" xfId="0" applyNumberFormat="1" applyFont="1" applyBorder="1" applyAlignment="1" applyProtection="1">
      <alignment horizontal="center" vertical="top"/>
      <protection locked="0"/>
    </xf>
    <xf numFmtId="1" fontId="96" fillId="0" borderId="97" xfId="0" applyNumberFormat="1" applyFont="1" applyBorder="1" applyAlignment="1" applyProtection="1">
      <alignment horizontal="center" vertical="top"/>
      <protection locked="0"/>
    </xf>
    <xf numFmtId="1" fontId="96" fillId="0" borderId="49" xfId="0" applyNumberFormat="1" applyFont="1" applyBorder="1" applyAlignment="1" applyProtection="1">
      <alignment horizontal="center" vertical="top"/>
      <protection locked="0"/>
    </xf>
    <xf numFmtId="1" fontId="96" fillId="0" borderId="103" xfId="0" applyNumberFormat="1" applyFont="1" applyBorder="1" applyAlignment="1" applyProtection="1">
      <alignment horizontal="center" vertical="top"/>
      <protection locked="0"/>
    </xf>
    <xf numFmtId="223" fontId="91" fillId="0" borderId="0" xfId="0" applyNumberFormat="1" applyFont="1" applyAlignment="1">
      <alignment horizontal="right"/>
    </xf>
    <xf numFmtId="175" fontId="92" fillId="0" borderId="51" xfId="0" applyNumberFormat="1" applyFont="1" applyBorder="1" applyAlignment="1">
      <alignment horizontal="right"/>
    </xf>
    <xf numFmtId="172" fontId="92" fillId="0" borderId="1" xfId="0" applyNumberFormat="1" applyFont="1" applyBorder="1" applyAlignment="1">
      <alignment horizontal="center"/>
    </xf>
    <xf numFmtId="175" fontId="92" fillId="0" borderId="1" xfId="0" applyNumberFormat="1" applyFont="1" applyBorder="1" applyAlignment="1">
      <alignment horizontal="right"/>
    </xf>
    <xf numFmtId="172" fontId="96" fillId="4" borderId="41" xfId="0" applyNumberFormat="1" applyFont="1" applyFill="1" applyBorder="1" applyProtection="1">
      <protection locked="0"/>
    </xf>
    <xf numFmtId="0" fontId="192" fillId="87" borderId="144" xfId="0" applyFont="1" applyFill="1" applyBorder="1" applyAlignment="1">
      <alignment horizontal="center" vertical="top" wrapText="1"/>
    </xf>
    <xf numFmtId="0" fontId="0" fillId="73" borderId="145" xfId="0" applyFill="1" applyBorder="1" applyAlignment="1">
      <alignment horizontal="center" vertical="top" wrapText="1"/>
    </xf>
    <xf numFmtId="0" fontId="0" fillId="0" borderId="0" xfId="0" applyAlignment="1">
      <alignment vertical="top" wrapText="1"/>
    </xf>
    <xf numFmtId="0" fontId="193" fillId="80" borderId="144" xfId="0" applyFont="1" applyFill="1" applyBorder="1" applyAlignment="1">
      <alignment horizontal="center" vertical="top" wrapText="1"/>
    </xf>
    <xf numFmtId="0" fontId="194" fillId="73" borderId="146" xfId="0" applyFont="1" applyFill="1" applyBorder="1" applyAlignment="1">
      <alignment horizontal="left" vertical="top" wrapText="1"/>
    </xf>
    <xf numFmtId="0" fontId="194" fillId="73" borderId="145" xfId="0" applyFont="1" applyFill="1" applyBorder="1" applyAlignment="1">
      <alignment horizontal="left" vertical="top" wrapText="1"/>
    </xf>
    <xf numFmtId="0" fontId="0" fillId="0" borderId="0" xfId="0" applyAlignment="1">
      <alignment horizontal="left" vertical="top" wrapText="1"/>
    </xf>
    <xf numFmtId="0" fontId="11" fillId="76" borderId="146" xfId="0" applyFont="1" applyFill="1" applyBorder="1" applyAlignment="1">
      <alignment horizontal="left" vertical="top" wrapText="1"/>
    </xf>
    <xf numFmtId="0" fontId="0" fillId="74" borderId="146" xfId="0" applyFill="1" applyBorder="1" applyAlignment="1">
      <alignment horizontal="left" vertical="top" wrapText="1"/>
    </xf>
    <xf numFmtId="0" fontId="191" fillId="74" borderId="146" xfId="0" applyFont="1" applyFill="1" applyBorder="1" applyAlignment="1">
      <alignment vertical="top" wrapText="1"/>
    </xf>
    <xf numFmtId="0" fontId="196" fillId="74" borderId="146" xfId="7" applyFont="1" applyFill="1" applyBorder="1" applyAlignment="1" applyProtection="1">
      <alignment horizontal="center" vertical="top" wrapText="1"/>
    </xf>
    <xf numFmtId="0" fontId="194" fillId="74" borderId="146" xfId="0" applyFont="1" applyFill="1" applyBorder="1" applyAlignment="1">
      <alignment horizontal="left" vertical="top" wrapText="1"/>
    </xf>
    <xf numFmtId="0" fontId="191" fillId="74" borderId="146" xfId="0" applyFont="1" applyFill="1" applyBorder="1" applyAlignment="1">
      <alignment horizontal="left" vertical="top" wrapText="1"/>
    </xf>
    <xf numFmtId="0" fontId="194" fillId="74" borderId="146" xfId="0" applyFont="1" applyFill="1" applyBorder="1" applyAlignment="1">
      <alignment horizontal="left" vertical="top"/>
    </xf>
    <xf numFmtId="0" fontId="0" fillId="74" borderId="145" xfId="0" applyFill="1" applyBorder="1" applyAlignment="1">
      <alignment horizontal="left" vertical="top" wrapText="1"/>
    </xf>
    <xf numFmtId="0" fontId="139" fillId="4" borderId="34" xfId="0" applyFont="1" applyFill="1" applyBorder="1" applyAlignment="1" applyProtection="1">
      <alignment horizontal="center"/>
      <protection locked="0"/>
    </xf>
    <xf numFmtId="0" fontId="139" fillId="4" borderId="34" xfId="0" applyFont="1" applyFill="1" applyBorder="1" applyProtection="1">
      <protection locked="0"/>
    </xf>
    <xf numFmtId="0" fontId="187" fillId="75" borderId="41" xfId="0" applyFont="1" applyFill="1" applyBorder="1" applyAlignment="1">
      <alignment horizontal="center"/>
    </xf>
    <xf numFmtId="195" fontId="90" fillId="4" borderId="41" xfId="0" applyNumberFormat="1" applyFont="1" applyFill="1" applyBorder="1" applyAlignment="1" applyProtection="1">
      <alignment horizontal="center"/>
      <protection locked="0"/>
    </xf>
    <xf numFmtId="195" fontId="162" fillId="4" borderId="44" xfId="0" applyNumberFormat="1" applyFont="1" applyFill="1" applyBorder="1" applyAlignment="1" applyProtection="1">
      <alignment horizontal="center"/>
      <protection locked="0"/>
    </xf>
    <xf numFmtId="189" fontId="139" fillId="0" borderId="49" xfId="11" applyNumberFormat="1" applyFont="1" applyFill="1" applyBorder="1" applyAlignment="1" applyProtection="1">
      <alignment horizontal="center" vertical="top"/>
    </xf>
    <xf numFmtId="164" fontId="90" fillId="0" borderId="49" xfId="11" applyNumberFormat="1" applyFont="1" applyFill="1" applyBorder="1" applyAlignment="1" applyProtection="1">
      <alignment horizontal="center" vertical="top"/>
    </xf>
    <xf numFmtId="172" fontId="96" fillId="72" borderId="49" xfId="0" applyNumberFormat="1" applyFont="1" applyFill="1" applyBorder="1" applyAlignment="1">
      <alignment horizontal="right" wrapText="1"/>
    </xf>
    <xf numFmtId="172" fontId="96" fillId="72" borderId="49" xfId="0" applyNumberFormat="1" applyFont="1" applyFill="1" applyBorder="1" applyAlignment="1">
      <alignment horizontal="right"/>
    </xf>
    <xf numFmtId="0" fontId="92" fillId="4" borderId="0" xfId="0" applyFont="1" applyFill="1" applyProtection="1">
      <protection locked="0"/>
    </xf>
    <xf numFmtId="175" fontId="91" fillId="2" borderId="0" xfId="0" applyNumberFormat="1" applyFont="1" applyFill="1" applyAlignment="1" applyProtection="1">
      <alignment horizontal="center" vertical="top"/>
      <protection locked="0"/>
    </xf>
    <xf numFmtId="0" fontId="194" fillId="74" borderId="146" xfId="0" applyFont="1" applyFill="1" applyBorder="1" applyAlignment="1">
      <alignment horizontal="left" vertical="top" wrapText="1" indent="2"/>
    </xf>
    <xf numFmtId="0" fontId="89" fillId="79" borderId="34" xfId="0" applyFont="1" applyFill="1" applyBorder="1" applyAlignment="1" applyProtection="1">
      <alignment horizontal="center"/>
      <protection locked="0"/>
    </xf>
    <xf numFmtId="195" fontId="162" fillId="4" borderId="41" xfId="0" applyNumberFormat="1" applyFont="1" applyFill="1" applyBorder="1" applyProtection="1">
      <protection locked="0"/>
    </xf>
    <xf numFmtId="0" fontId="139" fillId="73" borderId="34" xfId="0" applyFont="1" applyFill="1" applyBorder="1" applyAlignment="1">
      <alignment horizontal="center"/>
    </xf>
    <xf numFmtId="0" fontId="115" fillId="2" borderId="41" xfId="0" applyFont="1" applyFill="1" applyBorder="1" applyAlignment="1" applyProtection="1">
      <alignment horizontal="left"/>
      <protection locked="0"/>
    </xf>
    <xf numFmtId="0" fontId="123" fillId="2" borderId="63" xfId="0" applyFont="1" applyFill="1" applyBorder="1" applyAlignment="1" applyProtection="1">
      <alignment horizontal="center"/>
      <protection locked="0"/>
    </xf>
    <xf numFmtId="0" fontId="123" fillId="2" borderId="59" xfId="0" applyFont="1" applyFill="1" applyBorder="1" applyAlignment="1" applyProtection="1">
      <alignment horizontal="center"/>
      <protection locked="0"/>
    </xf>
    <xf numFmtId="0" fontId="123" fillId="2" borderId="57" xfId="0" applyFont="1" applyFill="1" applyBorder="1" applyAlignment="1" applyProtection="1">
      <alignment horizontal="center"/>
      <protection locked="0"/>
    </xf>
    <xf numFmtId="0" fontId="92" fillId="0" borderId="1" xfId="0" applyFont="1" applyBorder="1" applyAlignment="1">
      <alignment wrapText="1"/>
    </xf>
    <xf numFmtId="0" fontId="92" fillId="0" borderId="1" xfId="0" applyFont="1" applyBorder="1"/>
    <xf numFmtId="0" fontId="96" fillId="2" borderId="46" xfId="0" applyFont="1" applyFill="1" applyBorder="1" applyAlignment="1" applyProtection="1">
      <alignment horizontal="left"/>
      <protection locked="0"/>
    </xf>
    <xf numFmtId="0" fontId="91" fillId="2" borderId="46" xfId="7" applyFont="1" applyFill="1" applyBorder="1" applyAlignment="1" applyProtection="1">
      <alignment horizontal="left" wrapText="1"/>
      <protection locked="0"/>
    </xf>
    <xf numFmtId="0" fontId="96" fillId="2" borderId="41" xfId="0" applyFont="1" applyFill="1" applyBorder="1" applyAlignment="1" applyProtection="1">
      <alignment horizontal="left"/>
      <protection locked="0"/>
    </xf>
    <xf numFmtId="0" fontId="91" fillId="2" borderId="41" xfId="7" applyFont="1" applyFill="1" applyBorder="1" applyAlignment="1" applyProtection="1">
      <alignment horizontal="left" wrapText="1"/>
      <protection locked="0"/>
    </xf>
    <xf numFmtId="0" fontId="115" fillId="2" borderId="46" xfId="0" applyFont="1" applyFill="1" applyBorder="1" applyAlignment="1" applyProtection="1">
      <alignment horizontal="left"/>
      <protection locked="0"/>
    </xf>
    <xf numFmtId="0" fontId="139" fillId="4" borderId="63" xfId="0" applyFont="1" applyFill="1" applyBorder="1" applyAlignment="1" applyProtection="1">
      <alignment horizontal="center"/>
      <protection locked="0"/>
    </xf>
    <xf numFmtId="0" fontId="139" fillId="4" borderId="59" xfId="0" applyFont="1" applyFill="1" applyBorder="1" applyAlignment="1" applyProtection="1">
      <alignment horizontal="center"/>
      <protection locked="0"/>
    </xf>
    <xf numFmtId="0" fontId="139" fillId="4" borderId="57" xfId="0" applyFont="1" applyFill="1" applyBorder="1" applyAlignment="1" applyProtection="1">
      <alignment horizontal="center"/>
      <protection locked="0"/>
    </xf>
    <xf numFmtId="0" fontId="107" fillId="0" borderId="124" xfId="0" applyFont="1" applyBorder="1" applyAlignment="1">
      <alignment horizontal="left" vertical="center" wrapText="1"/>
    </xf>
    <xf numFmtId="0" fontId="107" fillId="0" borderId="41" xfId="0" applyFont="1" applyBorder="1" applyAlignment="1">
      <alignment horizontal="left" vertical="center" wrapText="1"/>
    </xf>
    <xf numFmtId="0" fontId="96" fillId="2" borderId="44" xfId="0" applyFont="1" applyFill="1" applyBorder="1" applyProtection="1">
      <protection locked="0"/>
    </xf>
    <xf numFmtId="0" fontId="89" fillId="77" borderId="46" xfId="0" applyFont="1" applyFill="1" applyBorder="1" applyProtection="1">
      <protection locked="0"/>
    </xf>
    <xf numFmtId="0" fontId="96" fillId="2" borderId="41" xfId="0" applyFont="1" applyFill="1" applyBorder="1" applyProtection="1">
      <protection locked="0"/>
    </xf>
    <xf numFmtId="0" fontId="92" fillId="76" borderId="51" xfId="0" applyFont="1" applyFill="1" applyBorder="1" applyAlignment="1">
      <alignment wrapText="1"/>
    </xf>
    <xf numFmtId="0" fontId="89" fillId="59" borderId="63" xfId="0" applyFont="1" applyFill="1" applyBorder="1" applyAlignment="1">
      <alignment horizontal="center" vertical="center" wrapText="1"/>
    </xf>
    <xf numFmtId="0" fontId="89" fillId="59" borderId="59" xfId="0" applyFont="1" applyFill="1" applyBorder="1" applyAlignment="1">
      <alignment horizontal="center" vertical="center" wrapText="1"/>
    </xf>
    <xf numFmtId="0" fontId="89" fillId="59" borderId="57" xfId="0" applyFont="1" applyFill="1" applyBorder="1" applyAlignment="1">
      <alignment horizontal="center" vertical="center" wrapText="1"/>
    </xf>
    <xf numFmtId="0" fontId="96" fillId="2" borderId="102" xfId="0" applyFont="1" applyFill="1" applyBorder="1" applyProtection="1">
      <protection locked="0"/>
    </xf>
    <xf numFmtId="10" fontId="179" fillId="0" borderId="41" xfId="9" applyNumberFormat="1" applyFont="1" applyFill="1" applyBorder="1" applyAlignment="1" applyProtection="1">
      <alignment horizontal="left" vertical="top"/>
      <protection locked="0"/>
    </xf>
    <xf numFmtId="0" fontId="89" fillId="0" borderId="51" xfId="0" applyFont="1" applyBorder="1" applyAlignment="1">
      <alignment horizontal="left"/>
    </xf>
    <xf numFmtId="0" fontId="89" fillId="0" borderId="59" xfId="0" applyFont="1" applyBorder="1" applyAlignment="1">
      <alignment horizontal="left"/>
    </xf>
    <xf numFmtId="0" fontId="100" fillId="0" borderId="1" xfId="7" applyFont="1" applyFill="1" applyBorder="1" applyAlignment="1" applyProtection="1">
      <alignment horizontal="right" wrapText="1" indent="1"/>
    </xf>
    <xf numFmtId="0" fontId="100" fillId="0" borderId="9" xfId="7" applyFont="1" applyFill="1" applyBorder="1" applyAlignment="1" applyProtection="1">
      <alignment horizontal="right" wrapText="1" indent="1"/>
    </xf>
    <xf numFmtId="0" fontId="91" fillId="0" borderId="0" xfId="0" applyFont="1"/>
    <xf numFmtId="0" fontId="185" fillId="78" borderId="0" xfId="0" applyFont="1" applyFill="1" applyAlignment="1">
      <alignment wrapText="1"/>
    </xf>
    <xf numFmtId="0" fontId="102" fillId="85" borderId="0" xfId="0" applyFont="1" applyFill="1" applyAlignment="1">
      <alignment horizontal="left"/>
    </xf>
    <xf numFmtId="0" fontId="188" fillId="78" borderId="0" xfId="0" quotePrefix="1" applyFont="1" applyFill="1" applyAlignment="1">
      <alignment wrapText="1"/>
    </xf>
    <xf numFmtId="0" fontId="92" fillId="0" borderId="63" xfId="0" applyFont="1" applyBorder="1" applyAlignment="1">
      <alignment horizontal="center"/>
    </xf>
    <xf numFmtId="0" fontId="92" fillId="0" borderId="59" xfId="0" applyFont="1" applyBorder="1" applyAlignment="1">
      <alignment horizontal="center"/>
    </xf>
    <xf numFmtId="0" fontId="92" fillId="0" borderId="57" xfId="0" applyFont="1" applyBorder="1" applyAlignment="1">
      <alignment horizontal="center"/>
    </xf>
    <xf numFmtId="0" fontId="130" fillId="0" borderId="0" xfId="0" applyFont="1" applyAlignment="1">
      <alignment horizontal="center"/>
    </xf>
    <xf numFmtId="0" fontId="64" fillId="5" borderId="0" xfId="0" applyFont="1" applyFill="1"/>
    <xf numFmtId="0" fontId="64" fillId="61" borderId="92" xfId="33111" applyFont="1" applyFill="1" applyBorder="1" applyAlignment="1" applyProtection="1">
      <alignment horizontal="center" vertical="top" wrapText="1"/>
      <protection locked="0"/>
    </xf>
    <xf numFmtId="0" fontId="64" fillId="61" borderId="93" xfId="33111" applyFont="1" applyFill="1" applyBorder="1" applyAlignment="1" applyProtection="1">
      <alignment horizontal="center" vertical="top" wrapText="1"/>
      <protection locked="0"/>
    </xf>
    <xf numFmtId="172" fontId="15" fillId="0" borderId="51" xfId="6628" applyNumberFormat="1" applyFont="1" applyBorder="1" applyAlignment="1">
      <alignment horizontal="center"/>
    </xf>
  </cellXfs>
  <cellStyles count="33112">
    <cellStyle name="20% - Accent1" xfId="28" builtinId="30" customBuiltin="1"/>
    <cellStyle name="20% - Accent1 10" xfId="53" xr:uid="{00000000-0005-0000-0000-000001000000}"/>
    <cellStyle name="20% - Accent1 10 2" xfId="54" xr:uid="{00000000-0005-0000-0000-000002000000}"/>
    <cellStyle name="20% - Accent1 10 2 2" xfId="55" xr:uid="{00000000-0005-0000-0000-000003000000}"/>
    <cellStyle name="20% - Accent1 10 2 2 2" xfId="12454" xr:uid="{00000000-0005-0000-0000-000004000000}"/>
    <cellStyle name="20% - Accent1 10 2 2 2 2" xfId="26166" xr:uid="{00000000-0005-0000-0000-000005000000}"/>
    <cellStyle name="20% - Accent1 10 2 2 3" xfId="17378" xr:uid="{00000000-0005-0000-0000-000006000000}"/>
    <cellStyle name="20% - Accent1 10 2 3" xfId="56" xr:uid="{00000000-0005-0000-0000-000007000000}"/>
    <cellStyle name="20% - Accent1 10 2 3 2" xfId="14599" xr:uid="{00000000-0005-0000-0000-000008000000}"/>
    <cellStyle name="20% - Accent1 10 2 3 2 2" xfId="28148" xr:uid="{00000000-0005-0000-0000-000009000000}"/>
    <cellStyle name="20% - Accent1 10 2 3 3" xfId="17379" xr:uid="{00000000-0005-0000-0000-00000A000000}"/>
    <cellStyle name="20% - Accent1 10 2 4" xfId="10546" xr:uid="{00000000-0005-0000-0000-00000B000000}"/>
    <cellStyle name="20% - Accent1 10 2 4 2" xfId="24488" xr:uid="{00000000-0005-0000-0000-00000C000000}"/>
    <cellStyle name="20% - Accent1 10 2 5" xfId="17377" xr:uid="{00000000-0005-0000-0000-00000D000000}"/>
    <cellStyle name="20% - Accent1 10 3" xfId="57" xr:uid="{00000000-0005-0000-0000-00000E000000}"/>
    <cellStyle name="20% - Accent1 10 3 2" xfId="12413" xr:uid="{00000000-0005-0000-0000-00000F000000}"/>
    <cellStyle name="20% - Accent1 10 3 2 2" xfId="26125" xr:uid="{00000000-0005-0000-0000-000010000000}"/>
    <cellStyle name="20% - Accent1 10 3 3" xfId="17380" xr:uid="{00000000-0005-0000-0000-000011000000}"/>
    <cellStyle name="20% - Accent1 10 4" xfId="58" xr:uid="{00000000-0005-0000-0000-000012000000}"/>
    <cellStyle name="20% - Accent1 10 4 2" xfId="14600" xr:uid="{00000000-0005-0000-0000-000013000000}"/>
    <cellStyle name="20% - Accent1 10 4 2 2" xfId="28149" xr:uid="{00000000-0005-0000-0000-000014000000}"/>
    <cellStyle name="20% - Accent1 10 4 3" xfId="17381" xr:uid="{00000000-0005-0000-0000-000015000000}"/>
    <cellStyle name="20% - Accent1 10 5" xfId="59" xr:uid="{00000000-0005-0000-0000-000016000000}"/>
    <cellStyle name="20% - Accent1 10 5 2" xfId="17185" xr:uid="{00000000-0005-0000-0000-000017000000}"/>
    <cellStyle name="20% - Accent1 10 5 2 2" xfId="30544" xr:uid="{00000000-0005-0000-0000-000018000000}"/>
    <cellStyle name="20% - Accent1 10 5 3" xfId="17382" xr:uid="{00000000-0005-0000-0000-000019000000}"/>
    <cellStyle name="20% - Accent1 10 6" xfId="8821" xr:uid="{00000000-0005-0000-0000-00001A000000}"/>
    <cellStyle name="20% - Accent1 10 6 2" xfId="23296" xr:uid="{00000000-0005-0000-0000-00001B000000}"/>
    <cellStyle name="20% - Accent1 10 7" xfId="17376" xr:uid="{00000000-0005-0000-0000-00001C000000}"/>
    <cellStyle name="20% - Accent1 11" xfId="60" xr:uid="{00000000-0005-0000-0000-00001D000000}"/>
    <cellStyle name="20% - Accent1 11 2" xfId="61" xr:uid="{00000000-0005-0000-0000-00001E000000}"/>
    <cellStyle name="20% - Accent1 11 2 2" xfId="10547" xr:uid="{00000000-0005-0000-0000-00001F000000}"/>
    <cellStyle name="20% - Accent1 11 2 2 2" xfId="24489" xr:uid="{00000000-0005-0000-0000-000020000000}"/>
    <cellStyle name="20% - Accent1 11 2 3" xfId="17384" xr:uid="{00000000-0005-0000-0000-000021000000}"/>
    <cellStyle name="20% - Accent1 11 3" xfId="62" xr:uid="{00000000-0005-0000-0000-000022000000}"/>
    <cellStyle name="20% - Accent1 11 3 2" xfId="12645" xr:uid="{00000000-0005-0000-0000-000023000000}"/>
    <cellStyle name="20% - Accent1 11 3 2 2" xfId="26357" xr:uid="{00000000-0005-0000-0000-000024000000}"/>
    <cellStyle name="20% - Accent1 11 3 3" xfId="17385" xr:uid="{00000000-0005-0000-0000-000025000000}"/>
    <cellStyle name="20% - Accent1 11 4" xfId="63" xr:uid="{00000000-0005-0000-0000-000026000000}"/>
    <cellStyle name="20% - Accent1 11 4 2" xfId="14598" xr:uid="{00000000-0005-0000-0000-000027000000}"/>
    <cellStyle name="20% - Accent1 11 4 2 2" xfId="28147" xr:uid="{00000000-0005-0000-0000-000028000000}"/>
    <cellStyle name="20% - Accent1 11 4 3" xfId="17386" xr:uid="{00000000-0005-0000-0000-000029000000}"/>
    <cellStyle name="20% - Accent1 11 5" xfId="64" xr:uid="{00000000-0005-0000-0000-00002A000000}"/>
    <cellStyle name="20% - Accent1 11 5 2" xfId="17274" xr:uid="{00000000-0005-0000-0000-00002B000000}"/>
    <cellStyle name="20% - Accent1 11 5 2 2" xfId="30633" xr:uid="{00000000-0005-0000-0000-00002C000000}"/>
    <cellStyle name="20% - Accent1 11 5 3" xfId="17387" xr:uid="{00000000-0005-0000-0000-00002D000000}"/>
    <cellStyle name="20% - Accent1 11 6" xfId="8822" xr:uid="{00000000-0005-0000-0000-00002E000000}"/>
    <cellStyle name="20% - Accent1 11 6 2" xfId="23297" xr:uid="{00000000-0005-0000-0000-00002F000000}"/>
    <cellStyle name="20% - Accent1 11 7" xfId="17383" xr:uid="{00000000-0005-0000-0000-000030000000}"/>
    <cellStyle name="20% - Accent1 12" xfId="65" xr:uid="{00000000-0005-0000-0000-000031000000}"/>
    <cellStyle name="20% - Accent1 12 2" xfId="66" xr:uid="{00000000-0005-0000-0000-000032000000}"/>
    <cellStyle name="20% - Accent1 12 2 2" xfId="67" xr:uid="{00000000-0005-0000-0000-000033000000}"/>
    <cellStyle name="20% - Accent1 12 2 2 2" xfId="10549" xr:uid="{00000000-0005-0000-0000-000034000000}"/>
    <cellStyle name="20% - Accent1 12 2 2 2 2" xfId="24491" xr:uid="{00000000-0005-0000-0000-000035000000}"/>
    <cellStyle name="20% - Accent1 12 2 2 3" xfId="17390" xr:uid="{00000000-0005-0000-0000-000036000000}"/>
    <cellStyle name="20% - Accent1 12 2 3" xfId="68" xr:uid="{00000000-0005-0000-0000-000037000000}"/>
    <cellStyle name="20% - Accent1 12 2 3 2" xfId="12765" xr:uid="{00000000-0005-0000-0000-000038000000}"/>
    <cellStyle name="20% - Accent1 12 2 3 2 2" xfId="26477" xr:uid="{00000000-0005-0000-0000-000039000000}"/>
    <cellStyle name="20% - Accent1 12 2 3 3" xfId="17391" xr:uid="{00000000-0005-0000-0000-00003A000000}"/>
    <cellStyle name="20% - Accent1 12 2 4" xfId="69" xr:uid="{00000000-0005-0000-0000-00003B000000}"/>
    <cellStyle name="20% - Accent1 12 2 4 2" xfId="14596" xr:uid="{00000000-0005-0000-0000-00003C000000}"/>
    <cellStyle name="20% - Accent1 12 2 4 2 2" xfId="28145" xr:uid="{00000000-0005-0000-0000-00003D000000}"/>
    <cellStyle name="20% - Accent1 12 2 4 3" xfId="17392" xr:uid="{00000000-0005-0000-0000-00003E000000}"/>
    <cellStyle name="20% - Accent1 12 2 5" xfId="8824" xr:uid="{00000000-0005-0000-0000-00003F000000}"/>
    <cellStyle name="20% - Accent1 12 2 5 2" xfId="23299" xr:uid="{00000000-0005-0000-0000-000040000000}"/>
    <cellStyle name="20% - Accent1 12 2 6" xfId="17389" xr:uid="{00000000-0005-0000-0000-000041000000}"/>
    <cellStyle name="20% - Accent1 12 3" xfId="70" xr:uid="{00000000-0005-0000-0000-000042000000}"/>
    <cellStyle name="20% - Accent1 12 3 2" xfId="10548" xr:uid="{00000000-0005-0000-0000-000043000000}"/>
    <cellStyle name="20% - Accent1 12 3 2 2" xfId="24490" xr:uid="{00000000-0005-0000-0000-000044000000}"/>
    <cellStyle name="20% - Accent1 12 3 3" xfId="17393" xr:uid="{00000000-0005-0000-0000-000045000000}"/>
    <cellStyle name="20% - Accent1 12 4" xfId="71" xr:uid="{00000000-0005-0000-0000-000046000000}"/>
    <cellStyle name="20% - Accent1 12 4 2" xfId="12433" xr:uid="{00000000-0005-0000-0000-000047000000}"/>
    <cellStyle name="20% - Accent1 12 4 2 2" xfId="26145" xr:uid="{00000000-0005-0000-0000-000048000000}"/>
    <cellStyle name="20% - Accent1 12 4 3" xfId="17394" xr:uid="{00000000-0005-0000-0000-000049000000}"/>
    <cellStyle name="20% - Accent1 12 5" xfId="72" xr:uid="{00000000-0005-0000-0000-00004A000000}"/>
    <cellStyle name="20% - Accent1 12 5 2" xfId="14597" xr:uid="{00000000-0005-0000-0000-00004B000000}"/>
    <cellStyle name="20% - Accent1 12 5 2 2" xfId="28146" xr:uid="{00000000-0005-0000-0000-00004C000000}"/>
    <cellStyle name="20% - Accent1 12 5 3" xfId="17395" xr:uid="{00000000-0005-0000-0000-00004D000000}"/>
    <cellStyle name="20% - Accent1 12 6" xfId="73" xr:uid="{00000000-0005-0000-0000-00004E000000}"/>
    <cellStyle name="20% - Accent1 12 6 2" xfId="16426" xr:uid="{00000000-0005-0000-0000-00004F000000}"/>
    <cellStyle name="20% - Accent1 12 6 2 2" xfId="29833" xr:uid="{00000000-0005-0000-0000-000050000000}"/>
    <cellStyle name="20% - Accent1 12 6 3" xfId="17396" xr:uid="{00000000-0005-0000-0000-000051000000}"/>
    <cellStyle name="20% - Accent1 12 7" xfId="8823" xr:uid="{00000000-0005-0000-0000-000052000000}"/>
    <cellStyle name="20% - Accent1 12 7 2" xfId="23298" xr:uid="{00000000-0005-0000-0000-000053000000}"/>
    <cellStyle name="20% - Accent1 12 8" xfId="17388" xr:uid="{00000000-0005-0000-0000-000054000000}"/>
    <cellStyle name="20% - Accent1 13" xfId="74" xr:uid="{00000000-0005-0000-0000-000055000000}"/>
    <cellStyle name="20% - Accent1 13 2" xfId="75" xr:uid="{00000000-0005-0000-0000-000056000000}"/>
    <cellStyle name="20% - Accent1 13 2 2" xfId="10550" xr:uid="{00000000-0005-0000-0000-000057000000}"/>
    <cellStyle name="20% - Accent1 13 2 2 2" xfId="24492" xr:uid="{00000000-0005-0000-0000-000058000000}"/>
    <cellStyle name="20% - Accent1 13 2 3" xfId="17398" xr:uid="{00000000-0005-0000-0000-000059000000}"/>
    <cellStyle name="20% - Accent1 13 3" xfId="76" xr:uid="{00000000-0005-0000-0000-00005A000000}"/>
    <cellStyle name="20% - Accent1 13 3 2" xfId="12634" xr:uid="{00000000-0005-0000-0000-00005B000000}"/>
    <cellStyle name="20% - Accent1 13 3 2 2" xfId="26346" xr:uid="{00000000-0005-0000-0000-00005C000000}"/>
    <cellStyle name="20% - Accent1 13 3 3" xfId="17399" xr:uid="{00000000-0005-0000-0000-00005D000000}"/>
    <cellStyle name="20% - Accent1 13 4" xfId="77" xr:uid="{00000000-0005-0000-0000-00005E000000}"/>
    <cellStyle name="20% - Accent1 13 4 2" xfId="14595" xr:uid="{00000000-0005-0000-0000-00005F000000}"/>
    <cellStyle name="20% - Accent1 13 4 2 2" xfId="28144" xr:uid="{00000000-0005-0000-0000-000060000000}"/>
    <cellStyle name="20% - Accent1 13 4 3" xfId="17400" xr:uid="{00000000-0005-0000-0000-000061000000}"/>
    <cellStyle name="20% - Accent1 13 5" xfId="8825" xr:uid="{00000000-0005-0000-0000-000062000000}"/>
    <cellStyle name="20% - Accent1 13 5 2" xfId="23300" xr:uid="{00000000-0005-0000-0000-000063000000}"/>
    <cellStyle name="20% - Accent1 13 6" xfId="17397" xr:uid="{00000000-0005-0000-0000-000064000000}"/>
    <cellStyle name="20% - Accent1 14" xfId="78" xr:uid="{00000000-0005-0000-0000-000065000000}"/>
    <cellStyle name="20% - Accent1 14 2" xfId="79" xr:uid="{00000000-0005-0000-0000-000066000000}"/>
    <cellStyle name="20% - Accent1 14 2 2" xfId="10551" xr:uid="{00000000-0005-0000-0000-000067000000}"/>
    <cellStyle name="20% - Accent1 14 2 2 2" xfId="24493" xr:uid="{00000000-0005-0000-0000-000068000000}"/>
    <cellStyle name="20% - Accent1 14 2 3" xfId="17402" xr:uid="{00000000-0005-0000-0000-000069000000}"/>
    <cellStyle name="20% - Accent1 14 3" xfId="80" xr:uid="{00000000-0005-0000-0000-00006A000000}"/>
    <cellStyle name="20% - Accent1 14 3 2" xfId="12602" xr:uid="{00000000-0005-0000-0000-00006B000000}"/>
    <cellStyle name="20% - Accent1 14 3 2 2" xfId="26314" xr:uid="{00000000-0005-0000-0000-00006C000000}"/>
    <cellStyle name="20% - Accent1 14 3 3" xfId="17403" xr:uid="{00000000-0005-0000-0000-00006D000000}"/>
    <cellStyle name="20% - Accent1 14 4" xfId="81" xr:uid="{00000000-0005-0000-0000-00006E000000}"/>
    <cellStyle name="20% - Accent1 14 4 2" xfId="14594" xr:uid="{00000000-0005-0000-0000-00006F000000}"/>
    <cellStyle name="20% - Accent1 14 4 2 2" xfId="28143" xr:uid="{00000000-0005-0000-0000-000070000000}"/>
    <cellStyle name="20% - Accent1 14 4 3" xfId="17404" xr:uid="{00000000-0005-0000-0000-000071000000}"/>
    <cellStyle name="20% - Accent1 14 5" xfId="8826" xr:uid="{00000000-0005-0000-0000-000072000000}"/>
    <cellStyle name="20% - Accent1 14 5 2" xfId="23301" xr:uid="{00000000-0005-0000-0000-000073000000}"/>
    <cellStyle name="20% - Accent1 14 6" xfId="17401" xr:uid="{00000000-0005-0000-0000-000074000000}"/>
    <cellStyle name="20% - Accent1 15" xfId="82" xr:uid="{00000000-0005-0000-0000-000075000000}"/>
    <cellStyle name="20% - Accent1 15 2" xfId="83" xr:uid="{00000000-0005-0000-0000-000076000000}"/>
    <cellStyle name="20% - Accent1 15 2 2" xfId="10552" xr:uid="{00000000-0005-0000-0000-000077000000}"/>
    <cellStyle name="20% - Accent1 15 2 2 2" xfId="24494" xr:uid="{00000000-0005-0000-0000-000078000000}"/>
    <cellStyle name="20% - Accent1 15 2 3" xfId="17406" xr:uid="{00000000-0005-0000-0000-000079000000}"/>
    <cellStyle name="20% - Accent1 15 3" xfId="84" xr:uid="{00000000-0005-0000-0000-00007A000000}"/>
    <cellStyle name="20% - Accent1 15 3 2" xfId="12475" xr:uid="{00000000-0005-0000-0000-00007B000000}"/>
    <cellStyle name="20% - Accent1 15 3 2 2" xfId="26187" xr:uid="{00000000-0005-0000-0000-00007C000000}"/>
    <cellStyle name="20% - Accent1 15 3 3" xfId="17407" xr:uid="{00000000-0005-0000-0000-00007D000000}"/>
    <cellStyle name="20% - Accent1 15 4" xfId="85" xr:uid="{00000000-0005-0000-0000-00007E000000}"/>
    <cellStyle name="20% - Accent1 15 4 2" xfId="14593" xr:uid="{00000000-0005-0000-0000-00007F000000}"/>
    <cellStyle name="20% - Accent1 15 4 2 2" xfId="28142" xr:uid="{00000000-0005-0000-0000-000080000000}"/>
    <cellStyle name="20% - Accent1 15 4 3" xfId="17408" xr:uid="{00000000-0005-0000-0000-000081000000}"/>
    <cellStyle name="20% - Accent1 15 5" xfId="8827" xr:uid="{00000000-0005-0000-0000-000082000000}"/>
    <cellStyle name="20% - Accent1 15 5 2" xfId="23302" xr:uid="{00000000-0005-0000-0000-000083000000}"/>
    <cellStyle name="20% - Accent1 15 6" xfId="17405" xr:uid="{00000000-0005-0000-0000-000084000000}"/>
    <cellStyle name="20% - Accent1 16" xfId="86" xr:uid="{00000000-0005-0000-0000-000085000000}"/>
    <cellStyle name="20% - Accent1 16 2" xfId="87" xr:uid="{00000000-0005-0000-0000-000086000000}"/>
    <cellStyle name="20% - Accent1 16 2 2" xfId="10553" xr:uid="{00000000-0005-0000-0000-000087000000}"/>
    <cellStyle name="20% - Accent1 16 2 2 2" xfId="24495" xr:uid="{00000000-0005-0000-0000-000088000000}"/>
    <cellStyle name="20% - Accent1 16 2 3" xfId="17410" xr:uid="{00000000-0005-0000-0000-000089000000}"/>
    <cellStyle name="20% - Accent1 16 3" xfId="88" xr:uid="{00000000-0005-0000-0000-00008A000000}"/>
    <cellStyle name="20% - Accent1 16 3 2" xfId="12498" xr:uid="{00000000-0005-0000-0000-00008B000000}"/>
    <cellStyle name="20% - Accent1 16 3 2 2" xfId="26210" xr:uid="{00000000-0005-0000-0000-00008C000000}"/>
    <cellStyle name="20% - Accent1 16 3 3" xfId="17411" xr:uid="{00000000-0005-0000-0000-00008D000000}"/>
    <cellStyle name="20% - Accent1 16 4" xfId="89" xr:uid="{00000000-0005-0000-0000-00008E000000}"/>
    <cellStyle name="20% - Accent1 16 4 2" xfId="14592" xr:uid="{00000000-0005-0000-0000-00008F000000}"/>
    <cellStyle name="20% - Accent1 16 4 2 2" xfId="28141" xr:uid="{00000000-0005-0000-0000-000090000000}"/>
    <cellStyle name="20% - Accent1 16 4 3" xfId="17412" xr:uid="{00000000-0005-0000-0000-000091000000}"/>
    <cellStyle name="20% - Accent1 16 5" xfId="8828" xr:uid="{00000000-0005-0000-0000-000092000000}"/>
    <cellStyle name="20% - Accent1 16 5 2" xfId="23303" xr:uid="{00000000-0005-0000-0000-000093000000}"/>
    <cellStyle name="20% - Accent1 16 6" xfId="17409" xr:uid="{00000000-0005-0000-0000-000094000000}"/>
    <cellStyle name="20% - Accent1 17" xfId="90" xr:uid="{00000000-0005-0000-0000-000095000000}"/>
    <cellStyle name="20% - Accent1 17 2" xfId="91" xr:uid="{00000000-0005-0000-0000-000096000000}"/>
    <cellStyle name="20% - Accent1 17 2 2" xfId="10554" xr:uid="{00000000-0005-0000-0000-000097000000}"/>
    <cellStyle name="20% - Accent1 17 2 2 2" xfId="24496" xr:uid="{00000000-0005-0000-0000-000098000000}"/>
    <cellStyle name="20% - Accent1 17 2 3" xfId="17414" xr:uid="{00000000-0005-0000-0000-000099000000}"/>
    <cellStyle name="20% - Accent1 17 3" xfId="92" xr:uid="{00000000-0005-0000-0000-00009A000000}"/>
    <cellStyle name="20% - Accent1 17 3 2" xfId="12112" xr:uid="{00000000-0005-0000-0000-00009B000000}"/>
    <cellStyle name="20% - Accent1 17 3 2 2" xfId="25824" xr:uid="{00000000-0005-0000-0000-00009C000000}"/>
    <cellStyle name="20% - Accent1 17 3 3" xfId="17415" xr:uid="{00000000-0005-0000-0000-00009D000000}"/>
    <cellStyle name="20% - Accent1 17 4" xfId="93" xr:uid="{00000000-0005-0000-0000-00009E000000}"/>
    <cellStyle name="20% - Accent1 17 4 2" xfId="14591" xr:uid="{00000000-0005-0000-0000-00009F000000}"/>
    <cellStyle name="20% - Accent1 17 4 2 2" xfId="28140" xr:uid="{00000000-0005-0000-0000-0000A0000000}"/>
    <cellStyle name="20% - Accent1 17 4 3" xfId="17416" xr:uid="{00000000-0005-0000-0000-0000A1000000}"/>
    <cellStyle name="20% - Accent1 17 5" xfId="8829" xr:uid="{00000000-0005-0000-0000-0000A2000000}"/>
    <cellStyle name="20% - Accent1 17 5 2" xfId="23304" xr:uid="{00000000-0005-0000-0000-0000A3000000}"/>
    <cellStyle name="20% - Accent1 17 6" xfId="17413" xr:uid="{00000000-0005-0000-0000-0000A4000000}"/>
    <cellStyle name="20% - Accent1 18" xfId="94" xr:uid="{00000000-0005-0000-0000-0000A5000000}"/>
    <cellStyle name="20% - Accent1 18 2" xfId="95" xr:uid="{00000000-0005-0000-0000-0000A6000000}"/>
    <cellStyle name="20% - Accent1 18 2 2" xfId="10555" xr:uid="{00000000-0005-0000-0000-0000A7000000}"/>
    <cellStyle name="20% - Accent1 18 2 2 2" xfId="24497" xr:uid="{00000000-0005-0000-0000-0000A8000000}"/>
    <cellStyle name="20% - Accent1 18 2 3" xfId="17418" xr:uid="{00000000-0005-0000-0000-0000A9000000}"/>
    <cellStyle name="20% - Accent1 18 3" xfId="96" xr:uid="{00000000-0005-0000-0000-0000AA000000}"/>
    <cellStyle name="20% - Accent1 18 3 2" xfId="12802" xr:uid="{00000000-0005-0000-0000-0000AB000000}"/>
    <cellStyle name="20% - Accent1 18 3 2 2" xfId="26514" xr:uid="{00000000-0005-0000-0000-0000AC000000}"/>
    <cellStyle name="20% - Accent1 18 3 3" xfId="17419" xr:uid="{00000000-0005-0000-0000-0000AD000000}"/>
    <cellStyle name="20% - Accent1 18 4" xfId="97" xr:uid="{00000000-0005-0000-0000-0000AE000000}"/>
    <cellStyle name="20% - Accent1 18 4 2" xfId="14540" xr:uid="{00000000-0005-0000-0000-0000AF000000}"/>
    <cellStyle name="20% - Accent1 18 4 2 2" xfId="28089" xr:uid="{00000000-0005-0000-0000-0000B0000000}"/>
    <cellStyle name="20% - Accent1 18 4 3" xfId="17420" xr:uid="{00000000-0005-0000-0000-0000B1000000}"/>
    <cellStyle name="20% - Accent1 18 5" xfId="8830" xr:uid="{00000000-0005-0000-0000-0000B2000000}"/>
    <cellStyle name="20% - Accent1 18 5 2" xfId="23305" xr:uid="{00000000-0005-0000-0000-0000B3000000}"/>
    <cellStyle name="20% - Accent1 18 6" xfId="17417" xr:uid="{00000000-0005-0000-0000-0000B4000000}"/>
    <cellStyle name="20% - Accent1 19" xfId="98" xr:uid="{00000000-0005-0000-0000-0000B5000000}"/>
    <cellStyle name="20% - Accent1 19 2" xfId="99" xr:uid="{00000000-0005-0000-0000-0000B6000000}"/>
    <cellStyle name="20% - Accent1 19 2 2" xfId="11710" xr:uid="{00000000-0005-0000-0000-0000B7000000}"/>
    <cellStyle name="20% - Accent1 19 2 2 2" xfId="25430" xr:uid="{00000000-0005-0000-0000-0000B8000000}"/>
    <cellStyle name="20% - Accent1 19 2 3" xfId="17422" xr:uid="{00000000-0005-0000-0000-0000B9000000}"/>
    <cellStyle name="20% - Accent1 19 3" xfId="100" xr:uid="{00000000-0005-0000-0000-0000BA000000}"/>
    <cellStyle name="20% - Accent1 19 3 2" xfId="12757" xr:uid="{00000000-0005-0000-0000-0000BB000000}"/>
    <cellStyle name="20% - Accent1 19 3 2 2" xfId="26469" xr:uid="{00000000-0005-0000-0000-0000BC000000}"/>
    <cellStyle name="20% - Accent1 19 3 3" xfId="17423" xr:uid="{00000000-0005-0000-0000-0000BD000000}"/>
    <cellStyle name="20% - Accent1 19 4" xfId="101" xr:uid="{00000000-0005-0000-0000-0000BE000000}"/>
    <cellStyle name="20% - Accent1 19 4 2" xfId="14590" xr:uid="{00000000-0005-0000-0000-0000BF000000}"/>
    <cellStyle name="20% - Accent1 19 4 2 2" xfId="28139" xr:uid="{00000000-0005-0000-0000-0000C0000000}"/>
    <cellStyle name="20% - Accent1 19 4 3" xfId="17424" xr:uid="{00000000-0005-0000-0000-0000C1000000}"/>
    <cellStyle name="20% - Accent1 19 5" xfId="10462" xr:uid="{00000000-0005-0000-0000-0000C2000000}"/>
    <cellStyle name="20% - Accent1 19 5 2" xfId="24421" xr:uid="{00000000-0005-0000-0000-0000C3000000}"/>
    <cellStyle name="20% - Accent1 19 6" xfId="17421" xr:uid="{00000000-0005-0000-0000-0000C4000000}"/>
    <cellStyle name="20% - Accent1 2" xfId="102" xr:uid="{00000000-0005-0000-0000-0000C5000000}"/>
    <cellStyle name="20% - Accent1 2 10" xfId="103" xr:uid="{00000000-0005-0000-0000-0000C6000000}"/>
    <cellStyle name="20% - Accent1 2 10 2" xfId="104" xr:uid="{00000000-0005-0000-0000-0000C7000000}"/>
    <cellStyle name="20% - Accent1 2 10 2 2" xfId="14588" xr:uid="{00000000-0005-0000-0000-0000C8000000}"/>
    <cellStyle name="20% - Accent1 2 10 2 2 2" xfId="28137" xr:uid="{00000000-0005-0000-0000-0000C9000000}"/>
    <cellStyle name="20% - Accent1 2 10 2 3" xfId="17427" xr:uid="{00000000-0005-0000-0000-0000CA000000}"/>
    <cellStyle name="20% - Accent1 2 10 3" xfId="11835" xr:uid="{00000000-0005-0000-0000-0000CB000000}"/>
    <cellStyle name="20% - Accent1 2 10 3 2" xfId="25550" xr:uid="{00000000-0005-0000-0000-0000CC000000}"/>
    <cellStyle name="20% - Accent1 2 10 4" xfId="17426" xr:uid="{00000000-0005-0000-0000-0000CD000000}"/>
    <cellStyle name="20% - Accent1 2 11" xfId="105" xr:uid="{00000000-0005-0000-0000-0000CE000000}"/>
    <cellStyle name="20% - Accent1 2 11 2" xfId="12718" xr:uid="{00000000-0005-0000-0000-0000CF000000}"/>
    <cellStyle name="20% - Accent1 2 11 2 2" xfId="26430" xr:uid="{00000000-0005-0000-0000-0000D0000000}"/>
    <cellStyle name="20% - Accent1 2 11 3" xfId="17428" xr:uid="{00000000-0005-0000-0000-0000D1000000}"/>
    <cellStyle name="20% - Accent1 2 12" xfId="106" xr:uid="{00000000-0005-0000-0000-0000D2000000}"/>
    <cellStyle name="20% - Accent1 2 12 2" xfId="13435" xr:uid="{00000000-0005-0000-0000-0000D3000000}"/>
    <cellStyle name="20% - Accent1 2 12 2 2" xfId="26984" xr:uid="{00000000-0005-0000-0000-0000D4000000}"/>
    <cellStyle name="20% - Accent1 2 12 3" xfId="17429" xr:uid="{00000000-0005-0000-0000-0000D5000000}"/>
    <cellStyle name="20% - Accent1 2 13" xfId="107" xr:uid="{00000000-0005-0000-0000-0000D6000000}"/>
    <cellStyle name="20% - Accent1 2 13 2" xfId="14016" xr:uid="{00000000-0005-0000-0000-0000D7000000}"/>
    <cellStyle name="20% - Accent1 2 13 2 2" xfId="27565" xr:uid="{00000000-0005-0000-0000-0000D8000000}"/>
    <cellStyle name="20% - Accent1 2 13 3" xfId="17430" xr:uid="{00000000-0005-0000-0000-0000D9000000}"/>
    <cellStyle name="20% - Accent1 2 14" xfId="108" xr:uid="{00000000-0005-0000-0000-0000DA000000}"/>
    <cellStyle name="20% - Accent1 2 14 2" xfId="14589" xr:uid="{00000000-0005-0000-0000-0000DB000000}"/>
    <cellStyle name="20% - Accent1 2 14 2 2" xfId="28138" xr:uid="{00000000-0005-0000-0000-0000DC000000}"/>
    <cellStyle name="20% - Accent1 2 14 3" xfId="17431" xr:uid="{00000000-0005-0000-0000-0000DD000000}"/>
    <cellStyle name="20% - Accent1 2 15" xfId="109" xr:uid="{00000000-0005-0000-0000-0000DE000000}"/>
    <cellStyle name="20% - Accent1 2 15 2" xfId="15902" xr:uid="{00000000-0005-0000-0000-0000DF000000}"/>
    <cellStyle name="20% - Accent1 2 15 2 2" xfId="29309" xr:uid="{00000000-0005-0000-0000-0000E0000000}"/>
    <cellStyle name="20% - Accent1 2 15 3" xfId="17432" xr:uid="{00000000-0005-0000-0000-0000E1000000}"/>
    <cellStyle name="20% - Accent1 2 16" xfId="8831" xr:uid="{00000000-0005-0000-0000-0000E2000000}"/>
    <cellStyle name="20% - Accent1 2 16 2" xfId="23306" xr:uid="{00000000-0005-0000-0000-0000E3000000}"/>
    <cellStyle name="20% - Accent1 2 17" xfId="17425" xr:uid="{00000000-0005-0000-0000-0000E4000000}"/>
    <cellStyle name="20% - Accent1 2 18" xfId="33062" xr:uid="{00000000-0005-0000-0000-0000E5000000}"/>
    <cellStyle name="20% - Accent1 2 2" xfId="110" xr:uid="{00000000-0005-0000-0000-0000E6000000}"/>
    <cellStyle name="20% - Accent1 2 2 10" xfId="111" xr:uid="{00000000-0005-0000-0000-0000E7000000}"/>
    <cellStyle name="20% - Accent1 2 2 10 2" xfId="14587" xr:uid="{00000000-0005-0000-0000-0000E8000000}"/>
    <cellStyle name="20% - Accent1 2 2 10 2 2" xfId="28136" xr:uid="{00000000-0005-0000-0000-0000E9000000}"/>
    <cellStyle name="20% - Accent1 2 2 10 3" xfId="17434" xr:uid="{00000000-0005-0000-0000-0000EA000000}"/>
    <cellStyle name="20% - Accent1 2 2 11" xfId="112" xr:uid="{00000000-0005-0000-0000-0000EB000000}"/>
    <cellStyle name="20% - Accent1 2 2 11 2" xfId="15948" xr:uid="{00000000-0005-0000-0000-0000EC000000}"/>
    <cellStyle name="20% - Accent1 2 2 11 2 2" xfId="29355" xr:uid="{00000000-0005-0000-0000-0000ED000000}"/>
    <cellStyle name="20% - Accent1 2 2 11 3" xfId="17435" xr:uid="{00000000-0005-0000-0000-0000EE000000}"/>
    <cellStyle name="20% - Accent1 2 2 12" xfId="8832" xr:uid="{00000000-0005-0000-0000-0000EF000000}"/>
    <cellStyle name="20% - Accent1 2 2 12 2" xfId="23307" xr:uid="{00000000-0005-0000-0000-0000F0000000}"/>
    <cellStyle name="20% - Accent1 2 2 13" xfId="17433" xr:uid="{00000000-0005-0000-0000-0000F1000000}"/>
    <cellStyle name="20% - Accent1 2 2 2" xfId="113" xr:uid="{00000000-0005-0000-0000-0000F2000000}"/>
    <cellStyle name="20% - Accent1 2 2 2 10" xfId="114" xr:uid="{00000000-0005-0000-0000-0000F3000000}"/>
    <cellStyle name="20% - Accent1 2 2 2 10 2" xfId="16091" xr:uid="{00000000-0005-0000-0000-0000F4000000}"/>
    <cellStyle name="20% - Accent1 2 2 2 10 2 2" xfId="29498" xr:uid="{00000000-0005-0000-0000-0000F5000000}"/>
    <cellStyle name="20% - Accent1 2 2 2 10 3" xfId="17437" xr:uid="{00000000-0005-0000-0000-0000F6000000}"/>
    <cellStyle name="20% - Accent1 2 2 2 11" xfId="8833" xr:uid="{00000000-0005-0000-0000-0000F7000000}"/>
    <cellStyle name="20% - Accent1 2 2 2 11 2" xfId="23308" xr:uid="{00000000-0005-0000-0000-0000F8000000}"/>
    <cellStyle name="20% - Accent1 2 2 2 12" xfId="17436" xr:uid="{00000000-0005-0000-0000-0000F9000000}"/>
    <cellStyle name="20% - Accent1 2 2 2 2" xfId="115" xr:uid="{00000000-0005-0000-0000-0000FA000000}"/>
    <cellStyle name="20% - Accent1 2 2 2 2 10" xfId="8834" xr:uid="{00000000-0005-0000-0000-0000FB000000}"/>
    <cellStyle name="20% - Accent1 2 2 2 2 10 2" xfId="23309" xr:uid="{00000000-0005-0000-0000-0000FC000000}"/>
    <cellStyle name="20% - Accent1 2 2 2 2 11" xfId="17438" xr:uid="{00000000-0005-0000-0000-0000FD000000}"/>
    <cellStyle name="20% - Accent1 2 2 2 2 2" xfId="116" xr:uid="{00000000-0005-0000-0000-0000FE000000}"/>
    <cellStyle name="20% - Accent1 2 2 2 2 2 2" xfId="117" xr:uid="{00000000-0005-0000-0000-0000FF000000}"/>
    <cellStyle name="20% - Accent1 2 2 2 2 2 2 2" xfId="10560" xr:uid="{00000000-0005-0000-0000-000000010000}"/>
    <cellStyle name="20% - Accent1 2 2 2 2 2 2 2 2" xfId="24502" xr:uid="{00000000-0005-0000-0000-000001010000}"/>
    <cellStyle name="20% - Accent1 2 2 2 2 2 2 3" xfId="17440" xr:uid="{00000000-0005-0000-0000-000002010000}"/>
    <cellStyle name="20% - Accent1 2 2 2 2 2 3" xfId="118" xr:uid="{00000000-0005-0000-0000-000003010000}"/>
    <cellStyle name="20% - Accent1 2 2 2 2 2 3 2" xfId="12489" xr:uid="{00000000-0005-0000-0000-000004010000}"/>
    <cellStyle name="20% - Accent1 2 2 2 2 2 3 2 2" xfId="26201" xr:uid="{00000000-0005-0000-0000-000005010000}"/>
    <cellStyle name="20% - Accent1 2 2 2 2 2 3 3" xfId="17441" xr:uid="{00000000-0005-0000-0000-000006010000}"/>
    <cellStyle name="20% - Accent1 2 2 2 2 2 4" xfId="119" xr:uid="{00000000-0005-0000-0000-000007010000}"/>
    <cellStyle name="20% - Accent1 2 2 2 2 2 4 2" xfId="14584" xr:uid="{00000000-0005-0000-0000-000008010000}"/>
    <cellStyle name="20% - Accent1 2 2 2 2 2 4 2 2" xfId="28133" xr:uid="{00000000-0005-0000-0000-000009010000}"/>
    <cellStyle name="20% - Accent1 2 2 2 2 2 4 3" xfId="17442" xr:uid="{00000000-0005-0000-0000-00000A010000}"/>
    <cellStyle name="20% - Accent1 2 2 2 2 2 5" xfId="120" xr:uid="{00000000-0005-0000-0000-00000B010000}"/>
    <cellStyle name="20% - Accent1 2 2 2 2 2 5 2" xfId="16961" xr:uid="{00000000-0005-0000-0000-00000C010000}"/>
    <cellStyle name="20% - Accent1 2 2 2 2 2 5 2 2" xfId="30368" xr:uid="{00000000-0005-0000-0000-00000D010000}"/>
    <cellStyle name="20% - Accent1 2 2 2 2 2 5 3" xfId="17443" xr:uid="{00000000-0005-0000-0000-00000E010000}"/>
    <cellStyle name="20% - Accent1 2 2 2 2 2 6" xfId="8835" xr:uid="{00000000-0005-0000-0000-00000F010000}"/>
    <cellStyle name="20% - Accent1 2 2 2 2 2 6 2" xfId="23310" xr:uid="{00000000-0005-0000-0000-000010010000}"/>
    <cellStyle name="20% - Accent1 2 2 2 2 2 7" xfId="17439" xr:uid="{00000000-0005-0000-0000-000011010000}"/>
    <cellStyle name="20% - Accent1 2 2 2 2 3" xfId="121" xr:uid="{00000000-0005-0000-0000-000012010000}"/>
    <cellStyle name="20% - Accent1 2 2 2 2 3 2" xfId="122" xr:uid="{00000000-0005-0000-0000-000013010000}"/>
    <cellStyle name="20% - Accent1 2 2 2 2 3 2 2" xfId="14583" xr:uid="{00000000-0005-0000-0000-000014010000}"/>
    <cellStyle name="20% - Accent1 2 2 2 2 3 2 2 2" xfId="28132" xr:uid="{00000000-0005-0000-0000-000015010000}"/>
    <cellStyle name="20% - Accent1 2 2 2 2 3 2 3" xfId="17445" xr:uid="{00000000-0005-0000-0000-000016010000}"/>
    <cellStyle name="20% - Accent1 2 2 2 2 3 3" xfId="10559" xr:uid="{00000000-0005-0000-0000-000017010000}"/>
    <cellStyle name="20% - Accent1 2 2 2 2 3 3 2" xfId="24501" xr:uid="{00000000-0005-0000-0000-000018010000}"/>
    <cellStyle name="20% - Accent1 2 2 2 2 3 4" xfId="17444" xr:uid="{00000000-0005-0000-0000-000019010000}"/>
    <cellStyle name="20% - Accent1 2 2 2 2 4" xfId="123" xr:uid="{00000000-0005-0000-0000-00001A010000}"/>
    <cellStyle name="20% - Accent1 2 2 2 2 4 2" xfId="12349" xr:uid="{00000000-0005-0000-0000-00001B010000}"/>
    <cellStyle name="20% - Accent1 2 2 2 2 4 2 2" xfId="26061" xr:uid="{00000000-0005-0000-0000-00001C010000}"/>
    <cellStyle name="20% - Accent1 2 2 2 2 4 3" xfId="17446" xr:uid="{00000000-0005-0000-0000-00001D010000}"/>
    <cellStyle name="20% - Accent1 2 2 2 2 5" xfId="124" xr:uid="{00000000-0005-0000-0000-00001E010000}"/>
    <cellStyle name="20% - Accent1 2 2 2 2 5 2" xfId="12777" xr:uid="{00000000-0005-0000-0000-00001F010000}"/>
    <cellStyle name="20% - Accent1 2 2 2 2 5 2 2" xfId="26489" xr:uid="{00000000-0005-0000-0000-000020010000}"/>
    <cellStyle name="20% - Accent1 2 2 2 2 5 3" xfId="17447" xr:uid="{00000000-0005-0000-0000-000021010000}"/>
    <cellStyle name="20% - Accent1 2 2 2 2 6" xfId="125" xr:uid="{00000000-0005-0000-0000-000022010000}"/>
    <cellStyle name="20% - Accent1 2 2 2 2 6 2" xfId="13913" xr:uid="{00000000-0005-0000-0000-000023010000}"/>
    <cellStyle name="20% - Accent1 2 2 2 2 6 2 2" xfId="27462" xr:uid="{00000000-0005-0000-0000-000024010000}"/>
    <cellStyle name="20% - Accent1 2 2 2 2 6 3" xfId="17448" xr:uid="{00000000-0005-0000-0000-000025010000}"/>
    <cellStyle name="20% - Accent1 2 2 2 2 7" xfId="126" xr:uid="{00000000-0005-0000-0000-000026010000}"/>
    <cellStyle name="20% - Accent1 2 2 2 2 7 2" xfId="14494" xr:uid="{00000000-0005-0000-0000-000027010000}"/>
    <cellStyle name="20% - Accent1 2 2 2 2 7 2 2" xfId="28043" xr:uid="{00000000-0005-0000-0000-000028010000}"/>
    <cellStyle name="20% - Accent1 2 2 2 2 7 3" xfId="17449" xr:uid="{00000000-0005-0000-0000-000029010000}"/>
    <cellStyle name="20% - Accent1 2 2 2 2 8" xfId="127" xr:uid="{00000000-0005-0000-0000-00002A010000}"/>
    <cellStyle name="20% - Accent1 2 2 2 2 8 2" xfId="14585" xr:uid="{00000000-0005-0000-0000-00002B010000}"/>
    <cellStyle name="20% - Accent1 2 2 2 2 8 2 2" xfId="28134" xr:uid="{00000000-0005-0000-0000-00002C010000}"/>
    <cellStyle name="20% - Accent1 2 2 2 2 8 3" xfId="17450" xr:uid="{00000000-0005-0000-0000-00002D010000}"/>
    <cellStyle name="20% - Accent1 2 2 2 2 9" xfId="128" xr:uid="{00000000-0005-0000-0000-00002E010000}"/>
    <cellStyle name="20% - Accent1 2 2 2 2 9 2" xfId="16380" xr:uid="{00000000-0005-0000-0000-00002F010000}"/>
    <cellStyle name="20% - Accent1 2 2 2 2 9 2 2" xfId="29787" xr:uid="{00000000-0005-0000-0000-000030010000}"/>
    <cellStyle name="20% - Accent1 2 2 2 2 9 3" xfId="17451" xr:uid="{00000000-0005-0000-0000-000031010000}"/>
    <cellStyle name="20% - Accent1 2 2 2 3" xfId="129" xr:uid="{00000000-0005-0000-0000-000032010000}"/>
    <cellStyle name="20% - Accent1 2 2 2 3 2" xfId="130" xr:uid="{00000000-0005-0000-0000-000033010000}"/>
    <cellStyle name="20% - Accent1 2 2 2 3 2 2" xfId="10561" xr:uid="{00000000-0005-0000-0000-000034010000}"/>
    <cellStyle name="20% - Accent1 2 2 2 3 2 2 2" xfId="24503" xr:uid="{00000000-0005-0000-0000-000035010000}"/>
    <cellStyle name="20% - Accent1 2 2 2 3 2 3" xfId="17453" xr:uid="{00000000-0005-0000-0000-000036010000}"/>
    <cellStyle name="20% - Accent1 2 2 2 3 3" xfId="131" xr:uid="{00000000-0005-0000-0000-000037010000}"/>
    <cellStyle name="20% - Accent1 2 2 2 3 3 2" xfId="11776" xr:uid="{00000000-0005-0000-0000-000038010000}"/>
    <cellStyle name="20% - Accent1 2 2 2 3 3 2 2" xfId="25491" xr:uid="{00000000-0005-0000-0000-000039010000}"/>
    <cellStyle name="20% - Accent1 2 2 2 3 3 3" xfId="17454" xr:uid="{00000000-0005-0000-0000-00003A010000}"/>
    <cellStyle name="20% - Accent1 2 2 2 3 4" xfId="132" xr:uid="{00000000-0005-0000-0000-00003B010000}"/>
    <cellStyle name="20% - Accent1 2 2 2 3 4 2" xfId="14582" xr:uid="{00000000-0005-0000-0000-00003C010000}"/>
    <cellStyle name="20% - Accent1 2 2 2 3 4 2 2" xfId="28131" xr:uid="{00000000-0005-0000-0000-00003D010000}"/>
    <cellStyle name="20% - Accent1 2 2 2 3 4 3" xfId="17455" xr:uid="{00000000-0005-0000-0000-00003E010000}"/>
    <cellStyle name="20% - Accent1 2 2 2 3 5" xfId="133" xr:uid="{00000000-0005-0000-0000-00003F010000}"/>
    <cellStyle name="20% - Accent1 2 2 2 3 5 2" xfId="16672" xr:uid="{00000000-0005-0000-0000-000040010000}"/>
    <cellStyle name="20% - Accent1 2 2 2 3 5 2 2" xfId="30079" xr:uid="{00000000-0005-0000-0000-000041010000}"/>
    <cellStyle name="20% - Accent1 2 2 2 3 5 3" xfId="17456" xr:uid="{00000000-0005-0000-0000-000042010000}"/>
    <cellStyle name="20% - Accent1 2 2 2 3 6" xfId="8836" xr:uid="{00000000-0005-0000-0000-000043010000}"/>
    <cellStyle name="20% - Accent1 2 2 2 3 6 2" xfId="23311" xr:uid="{00000000-0005-0000-0000-000044010000}"/>
    <cellStyle name="20% - Accent1 2 2 2 3 7" xfId="17452" xr:uid="{00000000-0005-0000-0000-000045010000}"/>
    <cellStyle name="20% - Accent1 2 2 2 4" xfId="134" xr:uid="{00000000-0005-0000-0000-000046010000}"/>
    <cellStyle name="20% - Accent1 2 2 2 4 2" xfId="135" xr:uid="{00000000-0005-0000-0000-000047010000}"/>
    <cellStyle name="20% - Accent1 2 2 2 4 2 2" xfId="14581" xr:uid="{00000000-0005-0000-0000-000048010000}"/>
    <cellStyle name="20% - Accent1 2 2 2 4 2 2 2" xfId="28130" xr:uid="{00000000-0005-0000-0000-000049010000}"/>
    <cellStyle name="20% - Accent1 2 2 2 4 2 3" xfId="17458" xr:uid="{00000000-0005-0000-0000-00004A010000}"/>
    <cellStyle name="20% - Accent1 2 2 2 4 3" xfId="10558" xr:uid="{00000000-0005-0000-0000-00004B010000}"/>
    <cellStyle name="20% - Accent1 2 2 2 4 3 2" xfId="24500" xr:uid="{00000000-0005-0000-0000-00004C010000}"/>
    <cellStyle name="20% - Accent1 2 2 2 4 4" xfId="17457" xr:uid="{00000000-0005-0000-0000-00004D010000}"/>
    <cellStyle name="20% - Accent1 2 2 2 5" xfId="136" xr:uid="{00000000-0005-0000-0000-00004E010000}"/>
    <cellStyle name="20% - Accent1 2 2 2 5 2" xfId="12049" xr:uid="{00000000-0005-0000-0000-00004F010000}"/>
    <cellStyle name="20% - Accent1 2 2 2 5 2 2" xfId="25764" xr:uid="{00000000-0005-0000-0000-000050010000}"/>
    <cellStyle name="20% - Accent1 2 2 2 5 3" xfId="17459" xr:uid="{00000000-0005-0000-0000-000051010000}"/>
    <cellStyle name="20% - Accent1 2 2 2 6" xfId="137" xr:uid="{00000000-0005-0000-0000-000052010000}"/>
    <cellStyle name="20% - Accent1 2 2 2 6 2" xfId="12750" xr:uid="{00000000-0005-0000-0000-000053010000}"/>
    <cellStyle name="20% - Accent1 2 2 2 6 2 2" xfId="26462" xr:uid="{00000000-0005-0000-0000-000054010000}"/>
    <cellStyle name="20% - Accent1 2 2 2 6 3" xfId="17460" xr:uid="{00000000-0005-0000-0000-000055010000}"/>
    <cellStyle name="20% - Accent1 2 2 2 7" xfId="138" xr:uid="{00000000-0005-0000-0000-000056010000}"/>
    <cellStyle name="20% - Accent1 2 2 2 7 2" xfId="13624" xr:uid="{00000000-0005-0000-0000-000057010000}"/>
    <cellStyle name="20% - Accent1 2 2 2 7 2 2" xfId="27173" xr:uid="{00000000-0005-0000-0000-000058010000}"/>
    <cellStyle name="20% - Accent1 2 2 2 7 3" xfId="17461" xr:uid="{00000000-0005-0000-0000-000059010000}"/>
    <cellStyle name="20% - Accent1 2 2 2 8" xfId="139" xr:uid="{00000000-0005-0000-0000-00005A010000}"/>
    <cellStyle name="20% - Accent1 2 2 2 8 2" xfId="14205" xr:uid="{00000000-0005-0000-0000-00005B010000}"/>
    <cellStyle name="20% - Accent1 2 2 2 8 2 2" xfId="27754" xr:uid="{00000000-0005-0000-0000-00005C010000}"/>
    <cellStyle name="20% - Accent1 2 2 2 8 3" xfId="17462" xr:uid="{00000000-0005-0000-0000-00005D010000}"/>
    <cellStyle name="20% - Accent1 2 2 2 9" xfId="140" xr:uid="{00000000-0005-0000-0000-00005E010000}"/>
    <cellStyle name="20% - Accent1 2 2 2 9 2" xfId="14586" xr:uid="{00000000-0005-0000-0000-00005F010000}"/>
    <cellStyle name="20% - Accent1 2 2 2 9 2 2" xfId="28135" xr:uid="{00000000-0005-0000-0000-000060010000}"/>
    <cellStyle name="20% - Accent1 2 2 2 9 3" xfId="17463" xr:uid="{00000000-0005-0000-0000-000061010000}"/>
    <cellStyle name="20% - Accent1 2 2 3" xfId="141" xr:uid="{00000000-0005-0000-0000-000062010000}"/>
    <cellStyle name="20% - Accent1 2 2 3 10" xfId="8837" xr:uid="{00000000-0005-0000-0000-000063010000}"/>
    <cellStyle name="20% - Accent1 2 2 3 10 2" xfId="23312" xr:uid="{00000000-0005-0000-0000-000064010000}"/>
    <cellStyle name="20% - Accent1 2 2 3 11" xfId="17464" xr:uid="{00000000-0005-0000-0000-000065010000}"/>
    <cellStyle name="20% - Accent1 2 2 3 2" xfId="142" xr:uid="{00000000-0005-0000-0000-000066010000}"/>
    <cellStyle name="20% - Accent1 2 2 3 2 2" xfId="143" xr:uid="{00000000-0005-0000-0000-000067010000}"/>
    <cellStyle name="20% - Accent1 2 2 3 2 2 2" xfId="10563" xr:uid="{00000000-0005-0000-0000-000068010000}"/>
    <cellStyle name="20% - Accent1 2 2 3 2 2 2 2" xfId="24505" xr:uid="{00000000-0005-0000-0000-000069010000}"/>
    <cellStyle name="20% - Accent1 2 2 3 2 2 3" xfId="17466" xr:uid="{00000000-0005-0000-0000-00006A010000}"/>
    <cellStyle name="20% - Accent1 2 2 3 2 3" xfId="144" xr:uid="{00000000-0005-0000-0000-00006B010000}"/>
    <cellStyle name="20% - Accent1 2 2 3 2 3 2" xfId="12713" xr:uid="{00000000-0005-0000-0000-00006C010000}"/>
    <cellStyle name="20% - Accent1 2 2 3 2 3 2 2" xfId="26425" xr:uid="{00000000-0005-0000-0000-00006D010000}"/>
    <cellStyle name="20% - Accent1 2 2 3 2 3 3" xfId="17467" xr:uid="{00000000-0005-0000-0000-00006E010000}"/>
    <cellStyle name="20% - Accent1 2 2 3 2 4" xfId="145" xr:uid="{00000000-0005-0000-0000-00006F010000}"/>
    <cellStyle name="20% - Accent1 2 2 3 2 4 2" xfId="14579" xr:uid="{00000000-0005-0000-0000-000070010000}"/>
    <cellStyle name="20% - Accent1 2 2 3 2 4 2 2" xfId="28128" xr:uid="{00000000-0005-0000-0000-000071010000}"/>
    <cellStyle name="20% - Accent1 2 2 3 2 4 3" xfId="17468" xr:uid="{00000000-0005-0000-0000-000072010000}"/>
    <cellStyle name="20% - Accent1 2 2 3 2 5" xfId="146" xr:uid="{00000000-0005-0000-0000-000073010000}"/>
    <cellStyle name="20% - Accent1 2 2 3 2 5 2" xfId="16818" xr:uid="{00000000-0005-0000-0000-000074010000}"/>
    <cellStyle name="20% - Accent1 2 2 3 2 5 2 2" xfId="30225" xr:uid="{00000000-0005-0000-0000-000075010000}"/>
    <cellStyle name="20% - Accent1 2 2 3 2 5 3" xfId="17469" xr:uid="{00000000-0005-0000-0000-000076010000}"/>
    <cellStyle name="20% - Accent1 2 2 3 2 6" xfId="8838" xr:uid="{00000000-0005-0000-0000-000077010000}"/>
    <cellStyle name="20% - Accent1 2 2 3 2 6 2" xfId="23313" xr:uid="{00000000-0005-0000-0000-000078010000}"/>
    <cellStyle name="20% - Accent1 2 2 3 2 7" xfId="17465" xr:uid="{00000000-0005-0000-0000-000079010000}"/>
    <cellStyle name="20% - Accent1 2 2 3 3" xfId="147" xr:uid="{00000000-0005-0000-0000-00007A010000}"/>
    <cellStyle name="20% - Accent1 2 2 3 3 2" xfId="148" xr:uid="{00000000-0005-0000-0000-00007B010000}"/>
    <cellStyle name="20% - Accent1 2 2 3 3 2 2" xfId="14578" xr:uid="{00000000-0005-0000-0000-00007C010000}"/>
    <cellStyle name="20% - Accent1 2 2 3 3 2 2 2" xfId="28127" xr:uid="{00000000-0005-0000-0000-00007D010000}"/>
    <cellStyle name="20% - Accent1 2 2 3 3 2 3" xfId="17471" xr:uid="{00000000-0005-0000-0000-00007E010000}"/>
    <cellStyle name="20% - Accent1 2 2 3 3 3" xfId="10562" xr:uid="{00000000-0005-0000-0000-00007F010000}"/>
    <cellStyle name="20% - Accent1 2 2 3 3 3 2" xfId="24504" xr:uid="{00000000-0005-0000-0000-000080010000}"/>
    <cellStyle name="20% - Accent1 2 2 3 3 4" xfId="17470" xr:uid="{00000000-0005-0000-0000-000081010000}"/>
    <cellStyle name="20% - Accent1 2 2 3 4" xfId="149" xr:uid="{00000000-0005-0000-0000-000082010000}"/>
    <cellStyle name="20% - Accent1 2 2 3 4 2" xfId="12206" xr:uid="{00000000-0005-0000-0000-000083010000}"/>
    <cellStyle name="20% - Accent1 2 2 3 4 2 2" xfId="25918" xr:uid="{00000000-0005-0000-0000-000084010000}"/>
    <cellStyle name="20% - Accent1 2 2 3 4 3" xfId="17472" xr:uid="{00000000-0005-0000-0000-000085010000}"/>
    <cellStyle name="20% - Accent1 2 2 3 5" xfId="150" xr:uid="{00000000-0005-0000-0000-000086010000}"/>
    <cellStyle name="20% - Accent1 2 2 3 5 2" xfId="12579" xr:uid="{00000000-0005-0000-0000-000087010000}"/>
    <cellStyle name="20% - Accent1 2 2 3 5 2 2" xfId="26291" xr:uid="{00000000-0005-0000-0000-000088010000}"/>
    <cellStyle name="20% - Accent1 2 2 3 5 3" xfId="17473" xr:uid="{00000000-0005-0000-0000-000089010000}"/>
    <cellStyle name="20% - Accent1 2 2 3 6" xfId="151" xr:uid="{00000000-0005-0000-0000-00008A010000}"/>
    <cellStyle name="20% - Accent1 2 2 3 6 2" xfId="13770" xr:uid="{00000000-0005-0000-0000-00008B010000}"/>
    <cellStyle name="20% - Accent1 2 2 3 6 2 2" xfId="27319" xr:uid="{00000000-0005-0000-0000-00008C010000}"/>
    <cellStyle name="20% - Accent1 2 2 3 6 3" xfId="17474" xr:uid="{00000000-0005-0000-0000-00008D010000}"/>
    <cellStyle name="20% - Accent1 2 2 3 7" xfId="152" xr:uid="{00000000-0005-0000-0000-00008E010000}"/>
    <cellStyle name="20% - Accent1 2 2 3 7 2" xfId="14351" xr:uid="{00000000-0005-0000-0000-00008F010000}"/>
    <cellStyle name="20% - Accent1 2 2 3 7 2 2" xfId="27900" xr:uid="{00000000-0005-0000-0000-000090010000}"/>
    <cellStyle name="20% - Accent1 2 2 3 7 3" xfId="17475" xr:uid="{00000000-0005-0000-0000-000091010000}"/>
    <cellStyle name="20% - Accent1 2 2 3 8" xfId="153" xr:uid="{00000000-0005-0000-0000-000092010000}"/>
    <cellStyle name="20% - Accent1 2 2 3 8 2" xfId="14580" xr:uid="{00000000-0005-0000-0000-000093010000}"/>
    <cellStyle name="20% - Accent1 2 2 3 8 2 2" xfId="28129" xr:uid="{00000000-0005-0000-0000-000094010000}"/>
    <cellStyle name="20% - Accent1 2 2 3 8 3" xfId="17476" xr:uid="{00000000-0005-0000-0000-000095010000}"/>
    <cellStyle name="20% - Accent1 2 2 3 9" xfId="154" xr:uid="{00000000-0005-0000-0000-000096010000}"/>
    <cellStyle name="20% - Accent1 2 2 3 9 2" xfId="16237" xr:uid="{00000000-0005-0000-0000-000097010000}"/>
    <cellStyle name="20% - Accent1 2 2 3 9 2 2" xfId="29644" xr:uid="{00000000-0005-0000-0000-000098010000}"/>
    <cellStyle name="20% - Accent1 2 2 3 9 3" xfId="17477" xr:uid="{00000000-0005-0000-0000-000099010000}"/>
    <cellStyle name="20% - Accent1 2 2 4" xfId="155" xr:uid="{00000000-0005-0000-0000-00009A010000}"/>
    <cellStyle name="20% - Accent1 2 2 4 2" xfId="156" xr:uid="{00000000-0005-0000-0000-00009B010000}"/>
    <cellStyle name="20% - Accent1 2 2 4 2 2" xfId="10564" xr:uid="{00000000-0005-0000-0000-00009C010000}"/>
    <cellStyle name="20% - Accent1 2 2 4 2 2 2" xfId="24506" xr:uid="{00000000-0005-0000-0000-00009D010000}"/>
    <cellStyle name="20% - Accent1 2 2 4 2 3" xfId="17479" xr:uid="{00000000-0005-0000-0000-00009E010000}"/>
    <cellStyle name="20% - Accent1 2 2 4 3" xfId="157" xr:uid="{00000000-0005-0000-0000-00009F010000}"/>
    <cellStyle name="20% - Accent1 2 2 4 3 2" xfId="12115" xr:uid="{00000000-0005-0000-0000-0000A0010000}"/>
    <cellStyle name="20% - Accent1 2 2 4 3 2 2" xfId="25827" xr:uid="{00000000-0005-0000-0000-0000A1010000}"/>
    <cellStyle name="20% - Accent1 2 2 4 3 3" xfId="17480" xr:uid="{00000000-0005-0000-0000-0000A2010000}"/>
    <cellStyle name="20% - Accent1 2 2 4 4" xfId="158" xr:uid="{00000000-0005-0000-0000-0000A3010000}"/>
    <cellStyle name="20% - Accent1 2 2 4 4 2" xfId="14577" xr:uid="{00000000-0005-0000-0000-0000A4010000}"/>
    <cellStyle name="20% - Accent1 2 2 4 4 2 2" xfId="28126" xr:uid="{00000000-0005-0000-0000-0000A5010000}"/>
    <cellStyle name="20% - Accent1 2 2 4 4 3" xfId="17481" xr:uid="{00000000-0005-0000-0000-0000A6010000}"/>
    <cellStyle name="20% - Accent1 2 2 4 5" xfId="159" xr:uid="{00000000-0005-0000-0000-0000A7010000}"/>
    <cellStyle name="20% - Accent1 2 2 4 5 2" xfId="17165" xr:uid="{00000000-0005-0000-0000-0000A8010000}"/>
    <cellStyle name="20% - Accent1 2 2 4 5 2 2" xfId="30524" xr:uid="{00000000-0005-0000-0000-0000A9010000}"/>
    <cellStyle name="20% - Accent1 2 2 4 5 3" xfId="17482" xr:uid="{00000000-0005-0000-0000-0000AA010000}"/>
    <cellStyle name="20% - Accent1 2 2 4 6" xfId="8839" xr:uid="{00000000-0005-0000-0000-0000AB010000}"/>
    <cellStyle name="20% - Accent1 2 2 4 6 2" xfId="23314" xr:uid="{00000000-0005-0000-0000-0000AC010000}"/>
    <cellStyle name="20% - Accent1 2 2 4 7" xfId="17478" xr:uid="{00000000-0005-0000-0000-0000AD010000}"/>
    <cellStyle name="20% - Accent1 2 2 5" xfId="160" xr:uid="{00000000-0005-0000-0000-0000AE010000}"/>
    <cellStyle name="20% - Accent1 2 2 5 2" xfId="161" xr:uid="{00000000-0005-0000-0000-0000AF010000}"/>
    <cellStyle name="20% - Accent1 2 2 5 2 2" xfId="14576" xr:uid="{00000000-0005-0000-0000-0000B0010000}"/>
    <cellStyle name="20% - Accent1 2 2 5 2 2 2" xfId="28125" xr:uid="{00000000-0005-0000-0000-0000B1010000}"/>
    <cellStyle name="20% - Accent1 2 2 5 2 3" xfId="17484" xr:uid="{00000000-0005-0000-0000-0000B2010000}"/>
    <cellStyle name="20% - Accent1 2 2 5 3" xfId="162" xr:uid="{00000000-0005-0000-0000-0000B3010000}"/>
    <cellStyle name="20% - Accent1 2 2 5 3 2" xfId="17254" xr:uid="{00000000-0005-0000-0000-0000B4010000}"/>
    <cellStyle name="20% - Accent1 2 2 5 3 2 2" xfId="30613" xr:uid="{00000000-0005-0000-0000-0000B5010000}"/>
    <cellStyle name="20% - Accent1 2 2 5 3 3" xfId="17485" xr:uid="{00000000-0005-0000-0000-0000B6010000}"/>
    <cellStyle name="20% - Accent1 2 2 5 4" xfId="10557" xr:uid="{00000000-0005-0000-0000-0000B7010000}"/>
    <cellStyle name="20% - Accent1 2 2 5 4 2" xfId="24499" xr:uid="{00000000-0005-0000-0000-0000B8010000}"/>
    <cellStyle name="20% - Accent1 2 2 5 5" xfId="17483" xr:uid="{00000000-0005-0000-0000-0000B9010000}"/>
    <cellStyle name="20% - Accent1 2 2 6" xfId="163" xr:uid="{00000000-0005-0000-0000-0000BA010000}"/>
    <cellStyle name="20% - Accent1 2 2 6 2" xfId="164" xr:uid="{00000000-0005-0000-0000-0000BB010000}"/>
    <cellStyle name="20% - Accent1 2 2 6 2 2" xfId="16529" xr:uid="{00000000-0005-0000-0000-0000BC010000}"/>
    <cellStyle name="20% - Accent1 2 2 6 2 2 2" xfId="29936" xr:uid="{00000000-0005-0000-0000-0000BD010000}"/>
    <cellStyle name="20% - Accent1 2 2 6 2 3" xfId="17487" xr:uid="{00000000-0005-0000-0000-0000BE010000}"/>
    <cellStyle name="20% - Accent1 2 2 6 3" xfId="11904" xr:uid="{00000000-0005-0000-0000-0000BF010000}"/>
    <cellStyle name="20% - Accent1 2 2 6 3 2" xfId="25619" xr:uid="{00000000-0005-0000-0000-0000C0010000}"/>
    <cellStyle name="20% - Accent1 2 2 6 4" xfId="17486" xr:uid="{00000000-0005-0000-0000-0000C1010000}"/>
    <cellStyle name="20% - Accent1 2 2 7" xfId="165" xr:uid="{00000000-0005-0000-0000-0000C2010000}"/>
    <cellStyle name="20% - Accent1 2 2 7 2" xfId="12416" xr:uid="{00000000-0005-0000-0000-0000C3010000}"/>
    <cellStyle name="20% - Accent1 2 2 7 2 2" xfId="26128" xr:uid="{00000000-0005-0000-0000-0000C4010000}"/>
    <cellStyle name="20% - Accent1 2 2 7 3" xfId="17488" xr:uid="{00000000-0005-0000-0000-0000C5010000}"/>
    <cellStyle name="20% - Accent1 2 2 8" xfId="166" xr:uid="{00000000-0005-0000-0000-0000C6010000}"/>
    <cellStyle name="20% - Accent1 2 2 8 2" xfId="13481" xr:uid="{00000000-0005-0000-0000-0000C7010000}"/>
    <cellStyle name="20% - Accent1 2 2 8 2 2" xfId="27030" xr:uid="{00000000-0005-0000-0000-0000C8010000}"/>
    <cellStyle name="20% - Accent1 2 2 8 3" xfId="17489" xr:uid="{00000000-0005-0000-0000-0000C9010000}"/>
    <cellStyle name="20% - Accent1 2 2 9" xfId="167" xr:uid="{00000000-0005-0000-0000-0000CA010000}"/>
    <cellStyle name="20% - Accent1 2 2 9 2" xfId="14062" xr:uid="{00000000-0005-0000-0000-0000CB010000}"/>
    <cellStyle name="20% - Accent1 2 2 9 2 2" xfId="27611" xr:uid="{00000000-0005-0000-0000-0000CC010000}"/>
    <cellStyle name="20% - Accent1 2 2 9 3" xfId="17490" xr:uid="{00000000-0005-0000-0000-0000CD010000}"/>
    <cellStyle name="20% - Accent1 2 3" xfId="168" xr:uid="{00000000-0005-0000-0000-0000CE010000}"/>
    <cellStyle name="20% - Accent1 2 3 10" xfId="169" xr:uid="{00000000-0005-0000-0000-0000CF010000}"/>
    <cellStyle name="20% - Accent1 2 3 10 2" xfId="16045" xr:uid="{00000000-0005-0000-0000-0000D0010000}"/>
    <cellStyle name="20% - Accent1 2 3 10 2 2" xfId="29452" xr:uid="{00000000-0005-0000-0000-0000D1010000}"/>
    <cellStyle name="20% - Accent1 2 3 10 3" xfId="17492" xr:uid="{00000000-0005-0000-0000-0000D2010000}"/>
    <cellStyle name="20% - Accent1 2 3 11" xfId="8840" xr:uid="{00000000-0005-0000-0000-0000D3010000}"/>
    <cellStyle name="20% - Accent1 2 3 11 2" xfId="23315" xr:uid="{00000000-0005-0000-0000-0000D4010000}"/>
    <cellStyle name="20% - Accent1 2 3 12" xfId="17491" xr:uid="{00000000-0005-0000-0000-0000D5010000}"/>
    <cellStyle name="20% - Accent1 2 3 2" xfId="170" xr:uid="{00000000-0005-0000-0000-0000D6010000}"/>
    <cellStyle name="20% - Accent1 2 3 2 10" xfId="8841" xr:uid="{00000000-0005-0000-0000-0000D7010000}"/>
    <cellStyle name="20% - Accent1 2 3 2 10 2" xfId="23316" xr:uid="{00000000-0005-0000-0000-0000D8010000}"/>
    <cellStyle name="20% - Accent1 2 3 2 11" xfId="17493" xr:uid="{00000000-0005-0000-0000-0000D9010000}"/>
    <cellStyle name="20% - Accent1 2 3 2 2" xfId="171" xr:uid="{00000000-0005-0000-0000-0000DA010000}"/>
    <cellStyle name="20% - Accent1 2 3 2 2 2" xfId="172" xr:uid="{00000000-0005-0000-0000-0000DB010000}"/>
    <cellStyle name="20% - Accent1 2 3 2 2 2 2" xfId="10567" xr:uid="{00000000-0005-0000-0000-0000DC010000}"/>
    <cellStyle name="20% - Accent1 2 3 2 2 2 2 2" xfId="24509" xr:uid="{00000000-0005-0000-0000-0000DD010000}"/>
    <cellStyle name="20% - Accent1 2 3 2 2 2 3" xfId="17495" xr:uid="{00000000-0005-0000-0000-0000DE010000}"/>
    <cellStyle name="20% - Accent1 2 3 2 2 3" xfId="173" xr:uid="{00000000-0005-0000-0000-0000DF010000}"/>
    <cellStyle name="20% - Accent1 2 3 2 2 3 2" xfId="12431" xr:uid="{00000000-0005-0000-0000-0000E0010000}"/>
    <cellStyle name="20% - Accent1 2 3 2 2 3 2 2" xfId="26143" xr:uid="{00000000-0005-0000-0000-0000E1010000}"/>
    <cellStyle name="20% - Accent1 2 3 2 2 3 3" xfId="17496" xr:uid="{00000000-0005-0000-0000-0000E2010000}"/>
    <cellStyle name="20% - Accent1 2 3 2 2 4" xfId="174" xr:uid="{00000000-0005-0000-0000-0000E3010000}"/>
    <cellStyle name="20% - Accent1 2 3 2 2 4 2" xfId="14617" xr:uid="{00000000-0005-0000-0000-0000E4010000}"/>
    <cellStyle name="20% - Accent1 2 3 2 2 4 2 2" xfId="28166" xr:uid="{00000000-0005-0000-0000-0000E5010000}"/>
    <cellStyle name="20% - Accent1 2 3 2 2 4 3" xfId="17497" xr:uid="{00000000-0005-0000-0000-0000E6010000}"/>
    <cellStyle name="20% - Accent1 2 3 2 2 5" xfId="175" xr:uid="{00000000-0005-0000-0000-0000E7010000}"/>
    <cellStyle name="20% - Accent1 2 3 2 2 5 2" xfId="16915" xr:uid="{00000000-0005-0000-0000-0000E8010000}"/>
    <cellStyle name="20% - Accent1 2 3 2 2 5 2 2" xfId="30322" xr:uid="{00000000-0005-0000-0000-0000E9010000}"/>
    <cellStyle name="20% - Accent1 2 3 2 2 5 3" xfId="17498" xr:uid="{00000000-0005-0000-0000-0000EA010000}"/>
    <cellStyle name="20% - Accent1 2 3 2 2 6" xfId="8842" xr:uid="{00000000-0005-0000-0000-0000EB010000}"/>
    <cellStyle name="20% - Accent1 2 3 2 2 6 2" xfId="23317" xr:uid="{00000000-0005-0000-0000-0000EC010000}"/>
    <cellStyle name="20% - Accent1 2 3 2 2 7" xfId="17494" xr:uid="{00000000-0005-0000-0000-0000ED010000}"/>
    <cellStyle name="20% - Accent1 2 3 2 3" xfId="176" xr:uid="{00000000-0005-0000-0000-0000EE010000}"/>
    <cellStyle name="20% - Accent1 2 3 2 3 2" xfId="177" xr:uid="{00000000-0005-0000-0000-0000EF010000}"/>
    <cellStyle name="20% - Accent1 2 3 2 3 2 2" xfId="14575" xr:uid="{00000000-0005-0000-0000-0000F0010000}"/>
    <cellStyle name="20% - Accent1 2 3 2 3 2 2 2" xfId="28124" xr:uid="{00000000-0005-0000-0000-0000F1010000}"/>
    <cellStyle name="20% - Accent1 2 3 2 3 2 3" xfId="17500" xr:uid="{00000000-0005-0000-0000-0000F2010000}"/>
    <cellStyle name="20% - Accent1 2 3 2 3 3" xfId="10566" xr:uid="{00000000-0005-0000-0000-0000F3010000}"/>
    <cellStyle name="20% - Accent1 2 3 2 3 3 2" xfId="24508" xr:uid="{00000000-0005-0000-0000-0000F4010000}"/>
    <cellStyle name="20% - Accent1 2 3 2 3 4" xfId="17499" xr:uid="{00000000-0005-0000-0000-0000F5010000}"/>
    <cellStyle name="20% - Accent1 2 3 2 4" xfId="178" xr:uid="{00000000-0005-0000-0000-0000F6010000}"/>
    <cellStyle name="20% - Accent1 2 3 2 4 2" xfId="12303" xr:uid="{00000000-0005-0000-0000-0000F7010000}"/>
    <cellStyle name="20% - Accent1 2 3 2 4 2 2" xfId="26015" xr:uid="{00000000-0005-0000-0000-0000F8010000}"/>
    <cellStyle name="20% - Accent1 2 3 2 4 3" xfId="17501" xr:uid="{00000000-0005-0000-0000-0000F9010000}"/>
    <cellStyle name="20% - Accent1 2 3 2 5" xfId="179" xr:uid="{00000000-0005-0000-0000-0000FA010000}"/>
    <cellStyle name="20% - Accent1 2 3 2 5 2" xfId="12542" xr:uid="{00000000-0005-0000-0000-0000FB010000}"/>
    <cellStyle name="20% - Accent1 2 3 2 5 2 2" xfId="26254" xr:uid="{00000000-0005-0000-0000-0000FC010000}"/>
    <cellStyle name="20% - Accent1 2 3 2 5 3" xfId="17502" xr:uid="{00000000-0005-0000-0000-0000FD010000}"/>
    <cellStyle name="20% - Accent1 2 3 2 6" xfId="180" xr:uid="{00000000-0005-0000-0000-0000FE010000}"/>
    <cellStyle name="20% - Accent1 2 3 2 6 2" xfId="13867" xr:uid="{00000000-0005-0000-0000-0000FF010000}"/>
    <cellStyle name="20% - Accent1 2 3 2 6 2 2" xfId="27416" xr:uid="{00000000-0005-0000-0000-000000020000}"/>
    <cellStyle name="20% - Accent1 2 3 2 6 3" xfId="17503" xr:uid="{00000000-0005-0000-0000-000001020000}"/>
    <cellStyle name="20% - Accent1 2 3 2 7" xfId="181" xr:uid="{00000000-0005-0000-0000-000002020000}"/>
    <cellStyle name="20% - Accent1 2 3 2 7 2" xfId="14448" xr:uid="{00000000-0005-0000-0000-000003020000}"/>
    <cellStyle name="20% - Accent1 2 3 2 7 2 2" xfId="27997" xr:uid="{00000000-0005-0000-0000-000004020000}"/>
    <cellStyle name="20% - Accent1 2 3 2 7 3" xfId="17504" xr:uid="{00000000-0005-0000-0000-000005020000}"/>
    <cellStyle name="20% - Accent1 2 3 2 8" xfId="182" xr:uid="{00000000-0005-0000-0000-000006020000}"/>
    <cellStyle name="20% - Accent1 2 3 2 8 2" xfId="14615" xr:uid="{00000000-0005-0000-0000-000007020000}"/>
    <cellStyle name="20% - Accent1 2 3 2 8 2 2" xfId="28164" xr:uid="{00000000-0005-0000-0000-000008020000}"/>
    <cellStyle name="20% - Accent1 2 3 2 8 3" xfId="17505" xr:uid="{00000000-0005-0000-0000-000009020000}"/>
    <cellStyle name="20% - Accent1 2 3 2 9" xfId="183" xr:uid="{00000000-0005-0000-0000-00000A020000}"/>
    <cellStyle name="20% - Accent1 2 3 2 9 2" xfId="16334" xr:uid="{00000000-0005-0000-0000-00000B020000}"/>
    <cellStyle name="20% - Accent1 2 3 2 9 2 2" xfId="29741" xr:uid="{00000000-0005-0000-0000-00000C020000}"/>
    <cellStyle name="20% - Accent1 2 3 2 9 3" xfId="17506" xr:uid="{00000000-0005-0000-0000-00000D020000}"/>
    <cellStyle name="20% - Accent1 2 3 3" xfId="184" xr:uid="{00000000-0005-0000-0000-00000E020000}"/>
    <cellStyle name="20% - Accent1 2 3 3 2" xfId="185" xr:uid="{00000000-0005-0000-0000-00000F020000}"/>
    <cellStyle name="20% - Accent1 2 3 3 2 2" xfId="10568" xr:uid="{00000000-0005-0000-0000-000010020000}"/>
    <cellStyle name="20% - Accent1 2 3 3 2 2 2" xfId="24510" xr:uid="{00000000-0005-0000-0000-000011020000}"/>
    <cellStyle name="20% - Accent1 2 3 3 2 3" xfId="17508" xr:uid="{00000000-0005-0000-0000-000012020000}"/>
    <cellStyle name="20% - Accent1 2 3 3 3" xfId="186" xr:uid="{00000000-0005-0000-0000-000013020000}"/>
    <cellStyle name="20% - Accent1 2 3 3 3 2" xfId="11852" xr:uid="{00000000-0005-0000-0000-000014020000}"/>
    <cellStyle name="20% - Accent1 2 3 3 3 2 2" xfId="25567" xr:uid="{00000000-0005-0000-0000-000015020000}"/>
    <cellStyle name="20% - Accent1 2 3 3 3 3" xfId="17509" xr:uid="{00000000-0005-0000-0000-000016020000}"/>
    <cellStyle name="20% - Accent1 2 3 3 4" xfId="187" xr:uid="{00000000-0005-0000-0000-000017020000}"/>
    <cellStyle name="20% - Accent1 2 3 3 4 2" xfId="14574" xr:uid="{00000000-0005-0000-0000-000018020000}"/>
    <cellStyle name="20% - Accent1 2 3 3 4 2 2" xfId="28123" xr:uid="{00000000-0005-0000-0000-000019020000}"/>
    <cellStyle name="20% - Accent1 2 3 3 4 3" xfId="17510" xr:uid="{00000000-0005-0000-0000-00001A020000}"/>
    <cellStyle name="20% - Accent1 2 3 3 5" xfId="188" xr:uid="{00000000-0005-0000-0000-00001B020000}"/>
    <cellStyle name="20% - Accent1 2 3 3 5 2" xfId="16626" xr:uid="{00000000-0005-0000-0000-00001C020000}"/>
    <cellStyle name="20% - Accent1 2 3 3 5 2 2" xfId="30033" xr:uid="{00000000-0005-0000-0000-00001D020000}"/>
    <cellStyle name="20% - Accent1 2 3 3 5 3" xfId="17511" xr:uid="{00000000-0005-0000-0000-00001E020000}"/>
    <cellStyle name="20% - Accent1 2 3 3 6" xfId="8843" xr:uid="{00000000-0005-0000-0000-00001F020000}"/>
    <cellStyle name="20% - Accent1 2 3 3 6 2" xfId="23318" xr:uid="{00000000-0005-0000-0000-000020020000}"/>
    <cellStyle name="20% - Accent1 2 3 3 7" xfId="17507" xr:uid="{00000000-0005-0000-0000-000021020000}"/>
    <cellStyle name="20% - Accent1 2 3 4" xfId="189" xr:uid="{00000000-0005-0000-0000-000022020000}"/>
    <cellStyle name="20% - Accent1 2 3 4 2" xfId="190" xr:uid="{00000000-0005-0000-0000-000023020000}"/>
    <cellStyle name="20% - Accent1 2 3 4 2 2" xfId="14573" xr:uid="{00000000-0005-0000-0000-000024020000}"/>
    <cellStyle name="20% - Accent1 2 3 4 2 2 2" xfId="28122" xr:uid="{00000000-0005-0000-0000-000025020000}"/>
    <cellStyle name="20% - Accent1 2 3 4 2 3" xfId="17513" xr:uid="{00000000-0005-0000-0000-000026020000}"/>
    <cellStyle name="20% - Accent1 2 3 4 3" xfId="10565" xr:uid="{00000000-0005-0000-0000-000027020000}"/>
    <cellStyle name="20% - Accent1 2 3 4 3 2" xfId="24507" xr:uid="{00000000-0005-0000-0000-000028020000}"/>
    <cellStyle name="20% - Accent1 2 3 4 4" xfId="17512" xr:uid="{00000000-0005-0000-0000-000029020000}"/>
    <cellStyle name="20% - Accent1 2 3 5" xfId="191" xr:uid="{00000000-0005-0000-0000-00002A020000}"/>
    <cellStyle name="20% - Accent1 2 3 5 2" xfId="12003" xr:uid="{00000000-0005-0000-0000-00002B020000}"/>
    <cellStyle name="20% - Accent1 2 3 5 2 2" xfId="25718" xr:uid="{00000000-0005-0000-0000-00002C020000}"/>
    <cellStyle name="20% - Accent1 2 3 5 3" xfId="17514" xr:uid="{00000000-0005-0000-0000-00002D020000}"/>
    <cellStyle name="20% - Accent1 2 3 6" xfId="192" xr:uid="{00000000-0005-0000-0000-00002E020000}"/>
    <cellStyle name="20% - Accent1 2 3 6 2" xfId="12694" xr:uid="{00000000-0005-0000-0000-00002F020000}"/>
    <cellStyle name="20% - Accent1 2 3 6 2 2" xfId="26406" xr:uid="{00000000-0005-0000-0000-000030020000}"/>
    <cellStyle name="20% - Accent1 2 3 6 3" xfId="17515" xr:uid="{00000000-0005-0000-0000-000031020000}"/>
    <cellStyle name="20% - Accent1 2 3 7" xfId="193" xr:uid="{00000000-0005-0000-0000-000032020000}"/>
    <cellStyle name="20% - Accent1 2 3 7 2" xfId="13578" xr:uid="{00000000-0005-0000-0000-000033020000}"/>
    <cellStyle name="20% - Accent1 2 3 7 2 2" xfId="27127" xr:uid="{00000000-0005-0000-0000-000034020000}"/>
    <cellStyle name="20% - Accent1 2 3 7 3" xfId="17516" xr:uid="{00000000-0005-0000-0000-000035020000}"/>
    <cellStyle name="20% - Accent1 2 3 8" xfId="194" xr:uid="{00000000-0005-0000-0000-000036020000}"/>
    <cellStyle name="20% - Accent1 2 3 8 2" xfId="14159" xr:uid="{00000000-0005-0000-0000-000037020000}"/>
    <cellStyle name="20% - Accent1 2 3 8 2 2" xfId="27708" xr:uid="{00000000-0005-0000-0000-000038020000}"/>
    <cellStyle name="20% - Accent1 2 3 8 3" xfId="17517" xr:uid="{00000000-0005-0000-0000-000039020000}"/>
    <cellStyle name="20% - Accent1 2 3 9" xfId="195" xr:uid="{00000000-0005-0000-0000-00003A020000}"/>
    <cellStyle name="20% - Accent1 2 3 9 2" xfId="14616" xr:uid="{00000000-0005-0000-0000-00003B020000}"/>
    <cellStyle name="20% - Accent1 2 3 9 2 2" xfId="28165" xr:uid="{00000000-0005-0000-0000-00003C020000}"/>
    <cellStyle name="20% - Accent1 2 3 9 3" xfId="17518" xr:uid="{00000000-0005-0000-0000-00003D020000}"/>
    <cellStyle name="20% - Accent1 2 4" xfId="196" xr:uid="{00000000-0005-0000-0000-00003E020000}"/>
    <cellStyle name="20% - Accent1 2 4 10" xfId="8844" xr:uid="{00000000-0005-0000-0000-00003F020000}"/>
    <cellStyle name="20% - Accent1 2 4 10 2" xfId="23319" xr:uid="{00000000-0005-0000-0000-000040020000}"/>
    <cellStyle name="20% - Accent1 2 4 11" xfId="17519" xr:uid="{00000000-0005-0000-0000-000041020000}"/>
    <cellStyle name="20% - Accent1 2 4 2" xfId="197" xr:uid="{00000000-0005-0000-0000-000042020000}"/>
    <cellStyle name="20% - Accent1 2 4 2 2" xfId="198" xr:uid="{00000000-0005-0000-0000-000043020000}"/>
    <cellStyle name="20% - Accent1 2 4 2 2 2" xfId="10570" xr:uid="{00000000-0005-0000-0000-000044020000}"/>
    <cellStyle name="20% - Accent1 2 4 2 2 2 2" xfId="24512" xr:uid="{00000000-0005-0000-0000-000045020000}"/>
    <cellStyle name="20% - Accent1 2 4 2 2 3" xfId="17521" xr:uid="{00000000-0005-0000-0000-000046020000}"/>
    <cellStyle name="20% - Accent1 2 4 2 3" xfId="199" xr:uid="{00000000-0005-0000-0000-000047020000}"/>
    <cellStyle name="20% - Accent1 2 4 2 3 2" xfId="11757" xr:uid="{00000000-0005-0000-0000-000048020000}"/>
    <cellStyle name="20% - Accent1 2 4 2 3 2 2" xfId="25472" xr:uid="{00000000-0005-0000-0000-000049020000}"/>
    <cellStyle name="20% - Accent1 2 4 2 3 3" xfId="17522" xr:uid="{00000000-0005-0000-0000-00004A020000}"/>
    <cellStyle name="20% - Accent1 2 4 2 4" xfId="200" xr:uid="{00000000-0005-0000-0000-00004B020000}"/>
    <cellStyle name="20% - Accent1 2 4 2 4 2" xfId="14571" xr:uid="{00000000-0005-0000-0000-00004C020000}"/>
    <cellStyle name="20% - Accent1 2 4 2 4 2 2" xfId="28120" xr:uid="{00000000-0005-0000-0000-00004D020000}"/>
    <cellStyle name="20% - Accent1 2 4 2 4 3" xfId="17523" xr:uid="{00000000-0005-0000-0000-00004E020000}"/>
    <cellStyle name="20% - Accent1 2 4 2 5" xfId="201" xr:uid="{00000000-0005-0000-0000-00004F020000}"/>
    <cellStyle name="20% - Accent1 2 4 2 5 2" xfId="16772" xr:uid="{00000000-0005-0000-0000-000050020000}"/>
    <cellStyle name="20% - Accent1 2 4 2 5 2 2" xfId="30179" xr:uid="{00000000-0005-0000-0000-000051020000}"/>
    <cellStyle name="20% - Accent1 2 4 2 5 3" xfId="17524" xr:uid="{00000000-0005-0000-0000-000052020000}"/>
    <cellStyle name="20% - Accent1 2 4 2 6" xfId="8845" xr:uid="{00000000-0005-0000-0000-000053020000}"/>
    <cellStyle name="20% - Accent1 2 4 2 6 2" xfId="23320" xr:uid="{00000000-0005-0000-0000-000054020000}"/>
    <cellStyle name="20% - Accent1 2 4 2 7" xfId="17520" xr:uid="{00000000-0005-0000-0000-000055020000}"/>
    <cellStyle name="20% - Accent1 2 4 3" xfId="202" xr:uid="{00000000-0005-0000-0000-000056020000}"/>
    <cellStyle name="20% - Accent1 2 4 3 2" xfId="203" xr:uid="{00000000-0005-0000-0000-000057020000}"/>
    <cellStyle name="20% - Accent1 2 4 3 2 2" xfId="14570" xr:uid="{00000000-0005-0000-0000-000058020000}"/>
    <cellStyle name="20% - Accent1 2 4 3 2 2 2" xfId="28119" xr:uid="{00000000-0005-0000-0000-000059020000}"/>
    <cellStyle name="20% - Accent1 2 4 3 2 3" xfId="17526" xr:uid="{00000000-0005-0000-0000-00005A020000}"/>
    <cellStyle name="20% - Accent1 2 4 3 3" xfId="10569" xr:uid="{00000000-0005-0000-0000-00005B020000}"/>
    <cellStyle name="20% - Accent1 2 4 3 3 2" xfId="24511" xr:uid="{00000000-0005-0000-0000-00005C020000}"/>
    <cellStyle name="20% - Accent1 2 4 3 4" xfId="17525" xr:uid="{00000000-0005-0000-0000-00005D020000}"/>
    <cellStyle name="20% - Accent1 2 4 4" xfId="204" xr:uid="{00000000-0005-0000-0000-00005E020000}"/>
    <cellStyle name="20% - Accent1 2 4 4 2" xfId="12160" xr:uid="{00000000-0005-0000-0000-00005F020000}"/>
    <cellStyle name="20% - Accent1 2 4 4 2 2" xfId="25872" xr:uid="{00000000-0005-0000-0000-000060020000}"/>
    <cellStyle name="20% - Accent1 2 4 4 3" xfId="17527" xr:uid="{00000000-0005-0000-0000-000061020000}"/>
    <cellStyle name="20% - Accent1 2 4 5" xfId="205" xr:uid="{00000000-0005-0000-0000-000062020000}"/>
    <cellStyle name="20% - Accent1 2 4 5 2" xfId="12509" xr:uid="{00000000-0005-0000-0000-000063020000}"/>
    <cellStyle name="20% - Accent1 2 4 5 2 2" xfId="26221" xr:uid="{00000000-0005-0000-0000-000064020000}"/>
    <cellStyle name="20% - Accent1 2 4 5 3" xfId="17528" xr:uid="{00000000-0005-0000-0000-000065020000}"/>
    <cellStyle name="20% - Accent1 2 4 6" xfId="206" xr:uid="{00000000-0005-0000-0000-000066020000}"/>
    <cellStyle name="20% - Accent1 2 4 6 2" xfId="13724" xr:uid="{00000000-0005-0000-0000-000067020000}"/>
    <cellStyle name="20% - Accent1 2 4 6 2 2" xfId="27273" xr:uid="{00000000-0005-0000-0000-000068020000}"/>
    <cellStyle name="20% - Accent1 2 4 6 3" xfId="17529" xr:uid="{00000000-0005-0000-0000-000069020000}"/>
    <cellStyle name="20% - Accent1 2 4 7" xfId="207" xr:uid="{00000000-0005-0000-0000-00006A020000}"/>
    <cellStyle name="20% - Accent1 2 4 7 2" xfId="14305" xr:uid="{00000000-0005-0000-0000-00006B020000}"/>
    <cellStyle name="20% - Accent1 2 4 7 2 2" xfId="27854" xr:uid="{00000000-0005-0000-0000-00006C020000}"/>
    <cellStyle name="20% - Accent1 2 4 7 3" xfId="17530" xr:uid="{00000000-0005-0000-0000-00006D020000}"/>
    <cellStyle name="20% - Accent1 2 4 8" xfId="208" xr:uid="{00000000-0005-0000-0000-00006E020000}"/>
    <cellStyle name="20% - Accent1 2 4 8 2" xfId="14572" xr:uid="{00000000-0005-0000-0000-00006F020000}"/>
    <cellStyle name="20% - Accent1 2 4 8 2 2" xfId="28121" xr:uid="{00000000-0005-0000-0000-000070020000}"/>
    <cellStyle name="20% - Accent1 2 4 8 3" xfId="17531" xr:uid="{00000000-0005-0000-0000-000071020000}"/>
    <cellStyle name="20% - Accent1 2 4 9" xfId="209" xr:uid="{00000000-0005-0000-0000-000072020000}"/>
    <cellStyle name="20% - Accent1 2 4 9 2" xfId="16191" xr:uid="{00000000-0005-0000-0000-000073020000}"/>
    <cellStyle name="20% - Accent1 2 4 9 2 2" xfId="29598" xr:uid="{00000000-0005-0000-0000-000074020000}"/>
    <cellStyle name="20% - Accent1 2 4 9 3" xfId="17532" xr:uid="{00000000-0005-0000-0000-000075020000}"/>
    <cellStyle name="20% - Accent1 2 5" xfId="210" xr:uid="{00000000-0005-0000-0000-000076020000}"/>
    <cellStyle name="20% - Accent1 2 5 2" xfId="211" xr:uid="{00000000-0005-0000-0000-000077020000}"/>
    <cellStyle name="20% - Accent1 2 5 2 2" xfId="212" xr:uid="{00000000-0005-0000-0000-000078020000}"/>
    <cellStyle name="20% - Accent1 2 5 2 2 2" xfId="10572" xr:uid="{00000000-0005-0000-0000-000079020000}"/>
    <cellStyle name="20% - Accent1 2 5 2 2 2 2" xfId="24514" xr:uid="{00000000-0005-0000-0000-00007A020000}"/>
    <cellStyle name="20% - Accent1 2 5 2 2 3" xfId="17535" xr:uid="{00000000-0005-0000-0000-00007B020000}"/>
    <cellStyle name="20% - Accent1 2 5 2 3" xfId="213" xr:uid="{00000000-0005-0000-0000-00007C020000}"/>
    <cellStyle name="20% - Accent1 2 5 2 3 2" xfId="12681" xr:uid="{00000000-0005-0000-0000-00007D020000}"/>
    <cellStyle name="20% - Accent1 2 5 2 3 2 2" xfId="26393" xr:uid="{00000000-0005-0000-0000-00007E020000}"/>
    <cellStyle name="20% - Accent1 2 5 2 3 3" xfId="17536" xr:uid="{00000000-0005-0000-0000-00007F020000}"/>
    <cellStyle name="20% - Accent1 2 5 2 4" xfId="214" xr:uid="{00000000-0005-0000-0000-000080020000}"/>
    <cellStyle name="20% - Accent1 2 5 2 4 2" xfId="14568" xr:uid="{00000000-0005-0000-0000-000081020000}"/>
    <cellStyle name="20% - Accent1 2 5 2 4 2 2" xfId="28117" xr:uid="{00000000-0005-0000-0000-000082020000}"/>
    <cellStyle name="20% - Accent1 2 5 2 4 3" xfId="17537" xr:uid="{00000000-0005-0000-0000-000083020000}"/>
    <cellStyle name="20% - Accent1 2 5 2 5" xfId="8847" xr:uid="{00000000-0005-0000-0000-000084020000}"/>
    <cellStyle name="20% - Accent1 2 5 2 5 2" xfId="23322" xr:uid="{00000000-0005-0000-0000-000085020000}"/>
    <cellStyle name="20% - Accent1 2 5 2 6" xfId="17534" xr:uid="{00000000-0005-0000-0000-000086020000}"/>
    <cellStyle name="20% - Accent1 2 5 3" xfId="215" xr:uid="{00000000-0005-0000-0000-000087020000}"/>
    <cellStyle name="20% - Accent1 2 5 3 2" xfId="10571" xr:uid="{00000000-0005-0000-0000-000088020000}"/>
    <cellStyle name="20% - Accent1 2 5 3 2 2" xfId="24513" xr:uid="{00000000-0005-0000-0000-000089020000}"/>
    <cellStyle name="20% - Accent1 2 5 3 3" xfId="17538" xr:uid="{00000000-0005-0000-0000-00008A020000}"/>
    <cellStyle name="20% - Accent1 2 5 4" xfId="216" xr:uid="{00000000-0005-0000-0000-00008B020000}"/>
    <cellStyle name="20% - Accent1 2 5 4 2" xfId="12591" xr:uid="{00000000-0005-0000-0000-00008C020000}"/>
    <cellStyle name="20% - Accent1 2 5 4 2 2" xfId="26303" xr:uid="{00000000-0005-0000-0000-00008D020000}"/>
    <cellStyle name="20% - Accent1 2 5 4 3" xfId="17539" xr:uid="{00000000-0005-0000-0000-00008E020000}"/>
    <cellStyle name="20% - Accent1 2 5 5" xfId="217" xr:uid="{00000000-0005-0000-0000-00008F020000}"/>
    <cellStyle name="20% - Accent1 2 5 5 2" xfId="14569" xr:uid="{00000000-0005-0000-0000-000090020000}"/>
    <cellStyle name="20% - Accent1 2 5 5 2 2" xfId="28118" xr:uid="{00000000-0005-0000-0000-000091020000}"/>
    <cellStyle name="20% - Accent1 2 5 5 3" xfId="17540" xr:uid="{00000000-0005-0000-0000-000092020000}"/>
    <cellStyle name="20% - Accent1 2 5 6" xfId="218" xr:uid="{00000000-0005-0000-0000-000093020000}"/>
    <cellStyle name="20% - Accent1 2 5 6 2" xfId="17007" xr:uid="{00000000-0005-0000-0000-000094020000}"/>
    <cellStyle name="20% - Accent1 2 5 6 2 2" xfId="30414" xr:uid="{00000000-0005-0000-0000-000095020000}"/>
    <cellStyle name="20% - Accent1 2 5 6 3" xfId="17541" xr:uid="{00000000-0005-0000-0000-000096020000}"/>
    <cellStyle name="20% - Accent1 2 5 7" xfId="8846" xr:uid="{00000000-0005-0000-0000-000097020000}"/>
    <cellStyle name="20% - Accent1 2 5 7 2" xfId="23321" xr:uid="{00000000-0005-0000-0000-000098020000}"/>
    <cellStyle name="20% - Accent1 2 5 8" xfId="17533" xr:uid="{00000000-0005-0000-0000-000099020000}"/>
    <cellStyle name="20% - Accent1 2 6" xfId="219" xr:uid="{00000000-0005-0000-0000-00009A020000}"/>
    <cellStyle name="20% - Accent1 2 6 2" xfId="220" xr:uid="{00000000-0005-0000-0000-00009B020000}"/>
    <cellStyle name="20% - Accent1 2 6 2 2" xfId="10573" xr:uid="{00000000-0005-0000-0000-00009C020000}"/>
    <cellStyle name="20% - Accent1 2 6 2 2 2" xfId="24515" xr:uid="{00000000-0005-0000-0000-00009D020000}"/>
    <cellStyle name="20% - Accent1 2 6 2 3" xfId="17543" xr:uid="{00000000-0005-0000-0000-00009E020000}"/>
    <cellStyle name="20% - Accent1 2 6 3" xfId="221" xr:uid="{00000000-0005-0000-0000-00009F020000}"/>
    <cellStyle name="20% - Accent1 2 6 3 2" xfId="11758" xr:uid="{00000000-0005-0000-0000-0000A0020000}"/>
    <cellStyle name="20% - Accent1 2 6 3 2 2" xfId="25473" xr:uid="{00000000-0005-0000-0000-0000A1020000}"/>
    <cellStyle name="20% - Accent1 2 6 3 3" xfId="17544" xr:uid="{00000000-0005-0000-0000-0000A2020000}"/>
    <cellStyle name="20% - Accent1 2 6 4" xfId="222" xr:uid="{00000000-0005-0000-0000-0000A3020000}"/>
    <cellStyle name="20% - Accent1 2 6 4 2" xfId="14567" xr:uid="{00000000-0005-0000-0000-0000A4020000}"/>
    <cellStyle name="20% - Accent1 2 6 4 2 2" xfId="28116" xr:uid="{00000000-0005-0000-0000-0000A5020000}"/>
    <cellStyle name="20% - Accent1 2 6 4 3" xfId="17545" xr:uid="{00000000-0005-0000-0000-0000A6020000}"/>
    <cellStyle name="20% - Accent1 2 6 5" xfId="223" xr:uid="{00000000-0005-0000-0000-0000A7020000}"/>
    <cellStyle name="20% - Accent1 2 6 5 2" xfId="17119" xr:uid="{00000000-0005-0000-0000-0000A8020000}"/>
    <cellStyle name="20% - Accent1 2 6 5 2 2" xfId="30478" xr:uid="{00000000-0005-0000-0000-0000A9020000}"/>
    <cellStyle name="20% - Accent1 2 6 5 3" xfId="17546" xr:uid="{00000000-0005-0000-0000-0000AA020000}"/>
    <cellStyle name="20% - Accent1 2 6 6" xfId="8848" xr:uid="{00000000-0005-0000-0000-0000AB020000}"/>
    <cellStyle name="20% - Accent1 2 6 6 2" xfId="23323" xr:uid="{00000000-0005-0000-0000-0000AC020000}"/>
    <cellStyle name="20% - Accent1 2 6 7" xfId="17542" xr:uid="{00000000-0005-0000-0000-0000AD020000}"/>
    <cellStyle name="20% - Accent1 2 7" xfId="224" xr:uid="{00000000-0005-0000-0000-0000AE020000}"/>
    <cellStyle name="20% - Accent1 2 7 2" xfId="225" xr:uid="{00000000-0005-0000-0000-0000AF020000}"/>
    <cellStyle name="20% - Accent1 2 7 2 2" xfId="10574" xr:uid="{00000000-0005-0000-0000-0000B0020000}"/>
    <cellStyle name="20% - Accent1 2 7 2 2 2" xfId="24516" xr:uid="{00000000-0005-0000-0000-0000B1020000}"/>
    <cellStyle name="20% - Accent1 2 7 2 3" xfId="17548" xr:uid="{00000000-0005-0000-0000-0000B2020000}"/>
    <cellStyle name="20% - Accent1 2 7 3" xfId="226" xr:uid="{00000000-0005-0000-0000-0000B3020000}"/>
    <cellStyle name="20% - Accent1 2 7 3 2" xfId="12419" xr:uid="{00000000-0005-0000-0000-0000B4020000}"/>
    <cellStyle name="20% - Accent1 2 7 3 2 2" xfId="26131" xr:uid="{00000000-0005-0000-0000-0000B5020000}"/>
    <cellStyle name="20% - Accent1 2 7 3 3" xfId="17549" xr:uid="{00000000-0005-0000-0000-0000B6020000}"/>
    <cellStyle name="20% - Accent1 2 7 4" xfId="227" xr:uid="{00000000-0005-0000-0000-0000B7020000}"/>
    <cellStyle name="20% - Accent1 2 7 4 2" xfId="14566" xr:uid="{00000000-0005-0000-0000-0000B8020000}"/>
    <cellStyle name="20% - Accent1 2 7 4 2 2" xfId="28115" xr:uid="{00000000-0005-0000-0000-0000B9020000}"/>
    <cellStyle name="20% - Accent1 2 7 4 3" xfId="17550" xr:uid="{00000000-0005-0000-0000-0000BA020000}"/>
    <cellStyle name="20% - Accent1 2 7 5" xfId="228" xr:uid="{00000000-0005-0000-0000-0000BB020000}"/>
    <cellStyle name="20% - Accent1 2 7 5 2" xfId="17208" xr:uid="{00000000-0005-0000-0000-0000BC020000}"/>
    <cellStyle name="20% - Accent1 2 7 5 2 2" xfId="30567" xr:uid="{00000000-0005-0000-0000-0000BD020000}"/>
    <cellStyle name="20% - Accent1 2 7 5 3" xfId="17551" xr:uid="{00000000-0005-0000-0000-0000BE020000}"/>
    <cellStyle name="20% - Accent1 2 7 6" xfId="8849" xr:uid="{00000000-0005-0000-0000-0000BF020000}"/>
    <cellStyle name="20% - Accent1 2 7 6 2" xfId="23324" xr:uid="{00000000-0005-0000-0000-0000C0020000}"/>
    <cellStyle name="20% - Accent1 2 7 7" xfId="17547" xr:uid="{00000000-0005-0000-0000-0000C1020000}"/>
    <cellStyle name="20% - Accent1 2 8" xfId="229" xr:uid="{00000000-0005-0000-0000-0000C2020000}"/>
    <cellStyle name="20% - Accent1 2 8 2" xfId="230" xr:uid="{00000000-0005-0000-0000-0000C3020000}"/>
    <cellStyle name="20% - Accent1 2 8 2 2" xfId="12482" xr:uid="{00000000-0005-0000-0000-0000C4020000}"/>
    <cellStyle name="20% - Accent1 2 8 2 2 2" xfId="26194" xr:uid="{00000000-0005-0000-0000-0000C5020000}"/>
    <cellStyle name="20% - Accent1 2 8 2 3" xfId="17553" xr:uid="{00000000-0005-0000-0000-0000C6020000}"/>
    <cellStyle name="20% - Accent1 2 8 3" xfId="231" xr:uid="{00000000-0005-0000-0000-0000C7020000}"/>
    <cellStyle name="20% - Accent1 2 8 3 2" xfId="14565" xr:uid="{00000000-0005-0000-0000-0000C8020000}"/>
    <cellStyle name="20% - Accent1 2 8 3 2 2" xfId="28114" xr:uid="{00000000-0005-0000-0000-0000C9020000}"/>
    <cellStyle name="20% - Accent1 2 8 3 3" xfId="17554" xr:uid="{00000000-0005-0000-0000-0000CA020000}"/>
    <cellStyle name="20% - Accent1 2 8 4" xfId="232" xr:uid="{00000000-0005-0000-0000-0000CB020000}"/>
    <cellStyle name="20% - Accent1 2 8 4 2" xfId="16483" xr:uid="{00000000-0005-0000-0000-0000CC020000}"/>
    <cellStyle name="20% - Accent1 2 8 4 2 2" xfId="29890" xr:uid="{00000000-0005-0000-0000-0000CD020000}"/>
    <cellStyle name="20% - Accent1 2 8 4 3" xfId="17555" xr:uid="{00000000-0005-0000-0000-0000CE020000}"/>
    <cellStyle name="20% - Accent1 2 8 5" xfId="10528" xr:uid="{00000000-0005-0000-0000-0000CF020000}"/>
    <cellStyle name="20% - Accent1 2 8 5 2" xfId="24470" xr:uid="{00000000-0005-0000-0000-0000D0020000}"/>
    <cellStyle name="20% - Accent1 2 8 6" xfId="17552" xr:uid="{00000000-0005-0000-0000-0000D1020000}"/>
    <cellStyle name="20% - Accent1 2 9" xfId="233" xr:uid="{00000000-0005-0000-0000-0000D2020000}"/>
    <cellStyle name="20% - Accent1 2 9 2" xfId="234" xr:uid="{00000000-0005-0000-0000-0000D3020000}"/>
    <cellStyle name="20% - Accent1 2 9 2 2" xfId="12644" xr:uid="{00000000-0005-0000-0000-0000D4020000}"/>
    <cellStyle name="20% - Accent1 2 9 2 2 2" xfId="26356" xr:uid="{00000000-0005-0000-0000-0000D5020000}"/>
    <cellStyle name="20% - Accent1 2 9 2 3" xfId="17557" xr:uid="{00000000-0005-0000-0000-0000D6020000}"/>
    <cellStyle name="20% - Accent1 2 9 3" xfId="235" xr:uid="{00000000-0005-0000-0000-0000D7020000}"/>
    <cellStyle name="20% - Accent1 2 9 3 2" xfId="14564" xr:uid="{00000000-0005-0000-0000-0000D8020000}"/>
    <cellStyle name="20% - Accent1 2 9 3 2 2" xfId="28113" xr:uid="{00000000-0005-0000-0000-0000D9020000}"/>
    <cellStyle name="20% - Accent1 2 9 3 3" xfId="17558" xr:uid="{00000000-0005-0000-0000-0000DA020000}"/>
    <cellStyle name="20% - Accent1 2 9 4" xfId="10556" xr:uid="{00000000-0005-0000-0000-0000DB020000}"/>
    <cellStyle name="20% - Accent1 2 9 4 2" xfId="24498" xr:uid="{00000000-0005-0000-0000-0000DC020000}"/>
    <cellStyle name="20% - Accent1 2 9 5" xfId="17556" xr:uid="{00000000-0005-0000-0000-0000DD020000}"/>
    <cellStyle name="20% - Accent1 20" xfId="236" xr:uid="{00000000-0005-0000-0000-0000DE020000}"/>
    <cellStyle name="20% - Accent1 20 2" xfId="237" xr:uid="{00000000-0005-0000-0000-0000DF020000}"/>
    <cellStyle name="20% - Accent1 20 2 2" xfId="12477" xr:uid="{00000000-0005-0000-0000-0000E0020000}"/>
    <cellStyle name="20% - Accent1 20 2 2 2" xfId="26189" xr:uid="{00000000-0005-0000-0000-0000E1020000}"/>
    <cellStyle name="20% - Accent1 20 2 3" xfId="17560" xr:uid="{00000000-0005-0000-0000-0000E2020000}"/>
    <cellStyle name="20% - Accent1 20 3" xfId="238" xr:uid="{00000000-0005-0000-0000-0000E3020000}"/>
    <cellStyle name="20% - Accent1 20 3 2" xfId="14563" xr:uid="{00000000-0005-0000-0000-0000E4020000}"/>
    <cellStyle name="20% - Accent1 20 3 2 2" xfId="28112" xr:uid="{00000000-0005-0000-0000-0000E5020000}"/>
    <cellStyle name="20% - Accent1 20 3 3" xfId="17561" xr:uid="{00000000-0005-0000-0000-0000E6020000}"/>
    <cellStyle name="20% - Accent1 20 4" xfId="10503" xr:uid="{00000000-0005-0000-0000-0000E7020000}"/>
    <cellStyle name="20% - Accent1 20 4 2" xfId="24451" xr:uid="{00000000-0005-0000-0000-0000E8020000}"/>
    <cellStyle name="20% - Accent1 20 5" xfId="17559" xr:uid="{00000000-0005-0000-0000-0000E9020000}"/>
    <cellStyle name="20% - Accent1 21" xfId="239" xr:uid="{00000000-0005-0000-0000-0000EA020000}"/>
    <cellStyle name="20% - Accent1 21 2" xfId="240" xr:uid="{00000000-0005-0000-0000-0000EB020000}"/>
    <cellStyle name="20% - Accent1 21 2 2" xfId="12766" xr:uid="{00000000-0005-0000-0000-0000EC020000}"/>
    <cellStyle name="20% - Accent1 21 2 2 2" xfId="26478" xr:uid="{00000000-0005-0000-0000-0000ED020000}"/>
    <cellStyle name="20% - Accent1 21 2 3" xfId="17563" xr:uid="{00000000-0005-0000-0000-0000EE020000}"/>
    <cellStyle name="20% - Accent1 21 3" xfId="241" xr:uid="{00000000-0005-0000-0000-0000EF020000}"/>
    <cellStyle name="20% - Accent1 21 3 2" xfId="14562" xr:uid="{00000000-0005-0000-0000-0000F0020000}"/>
    <cellStyle name="20% - Accent1 21 3 2 2" xfId="28111" xr:uid="{00000000-0005-0000-0000-0000F1020000}"/>
    <cellStyle name="20% - Accent1 21 3 3" xfId="17564" xr:uid="{00000000-0005-0000-0000-0000F2020000}"/>
    <cellStyle name="20% - Accent1 21 4" xfId="10545" xr:uid="{00000000-0005-0000-0000-0000F3020000}"/>
    <cellStyle name="20% - Accent1 21 4 2" xfId="24487" xr:uid="{00000000-0005-0000-0000-0000F4020000}"/>
    <cellStyle name="20% - Accent1 21 5" xfId="17562" xr:uid="{00000000-0005-0000-0000-0000F5020000}"/>
    <cellStyle name="20% - Accent1 22" xfId="242" xr:uid="{00000000-0005-0000-0000-0000F6020000}"/>
    <cellStyle name="20% - Accent1 22 2" xfId="11739" xr:uid="{00000000-0005-0000-0000-0000F7020000}"/>
    <cellStyle name="20% - Accent1 22 2 2" xfId="25454" xr:uid="{00000000-0005-0000-0000-0000F8020000}"/>
    <cellStyle name="20% - Accent1 22 3" xfId="17565" xr:uid="{00000000-0005-0000-0000-0000F9020000}"/>
    <cellStyle name="20% - Accent1 23" xfId="243" xr:uid="{00000000-0005-0000-0000-0000FA020000}"/>
    <cellStyle name="20% - Accent1 23 2" xfId="12680" xr:uid="{00000000-0005-0000-0000-0000FB020000}"/>
    <cellStyle name="20% - Accent1 23 2 2" xfId="26392" xr:uid="{00000000-0005-0000-0000-0000FC020000}"/>
    <cellStyle name="20% - Accent1 23 3" xfId="17566" xr:uid="{00000000-0005-0000-0000-0000FD020000}"/>
    <cellStyle name="20% - Accent1 24" xfId="244" xr:uid="{00000000-0005-0000-0000-0000FE020000}"/>
    <cellStyle name="20% - Accent1 24 2" xfId="13378" xr:uid="{00000000-0005-0000-0000-0000FF020000}"/>
    <cellStyle name="20% - Accent1 24 2 2" xfId="26927" xr:uid="{00000000-0005-0000-0000-000000030000}"/>
    <cellStyle name="20% - Accent1 24 3" xfId="17567" xr:uid="{00000000-0005-0000-0000-000001030000}"/>
    <cellStyle name="20% - Accent1 25" xfId="245" xr:uid="{00000000-0005-0000-0000-000002030000}"/>
    <cellStyle name="20% - Accent1 25 2" xfId="13959" xr:uid="{00000000-0005-0000-0000-000003030000}"/>
    <cellStyle name="20% - Accent1 25 2 2" xfId="27508" xr:uid="{00000000-0005-0000-0000-000004030000}"/>
    <cellStyle name="20% - Accent1 25 3" xfId="17568" xr:uid="{00000000-0005-0000-0000-000005030000}"/>
    <cellStyle name="20% - Accent1 26" xfId="246" xr:uid="{00000000-0005-0000-0000-000006030000}"/>
    <cellStyle name="20% - Accent1 26 2" xfId="14601" xr:uid="{00000000-0005-0000-0000-000007030000}"/>
    <cellStyle name="20% - Accent1 26 2 2" xfId="28150" xr:uid="{00000000-0005-0000-0000-000008030000}"/>
    <cellStyle name="20% - Accent1 26 3" xfId="17569" xr:uid="{00000000-0005-0000-0000-000009030000}"/>
    <cellStyle name="20% - Accent1 27" xfId="247" xr:uid="{00000000-0005-0000-0000-00000A030000}"/>
    <cellStyle name="20% - Accent1 27 2" xfId="15840" xr:uid="{00000000-0005-0000-0000-00000B030000}"/>
    <cellStyle name="20% - Accent1 27 2 2" xfId="29247" xr:uid="{00000000-0005-0000-0000-00000C030000}"/>
    <cellStyle name="20% - Accent1 27 3" xfId="17570" xr:uid="{00000000-0005-0000-0000-00000D030000}"/>
    <cellStyle name="20% - Accent1 28" xfId="248" xr:uid="{00000000-0005-0000-0000-00000E030000}"/>
    <cellStyle name="20% - Accent1 28 2" xfId="15845" xr:uid="{00000000-0005-0000-0000-00000F030000}"/>
    <cellStyle name="20% - Accent1 28 2 2" xfId="29252" xr:uid="{00000000-0005-0000-0000-000010030000}"/>
    <cellStyle name="20% - Accent1 28 3" xfId="17571" xr:uid="{00000000-0005-0000-0000-000011030000}"/>
    <cellStyle name="20% - Accent1 29" xfId="249" xr:uid="{00000000-0005-0000-0000-000012030000}"/>
    <cellStyle name="20% - Accent1 29 2" xfId="8820" xr:uid="{00000000-0005-0000-0000-000013030000}"/>
    <cellStyle name="20% - Accent1 29 2 2" xfId="23295" xr:uid="{00000000-0005-0000-0000-000014030000}"/>
    <cellStyle name="20% - Accent1 29 3" xfId="17572" xr:uid="{00000000-0005-0000-0000-000015030000}"/>
    <cellStyle name="20% - Accent1 3" xfId="250" xr:uid="{00000000-0005-0000-0000-000016030000}"/>
    <cellStyle name="20% - Accent1 3 10" xfId="251" xr:uid="{00000000-0005-0000-0000-000017030000}"/>
    <cellStyle name="20% - Accent1 3 10 2" xfId="14039" xr:uid="{00000000-0005-0000-0000-000018030000}"/>
    <cellStyle name="20% - Accent1 3 10 2 2" xfId="27588" xr:uid="{00000000-0005-0000-0000-000019030000}"/>
    <cellStyle name="20% - Accent1 3 10 3" xfId="17574" xr:uid="{00000000-0005-0000-0000-00001A030000}"/>
    <cellStyle name="20% - Accent1 3 11" xfId="252" xr:uid="{00000000-0005-0000-0000-00001B030000}"/>
    <cellStyle name="20% - Accent1 3 11 2" xfId="14561" xr:uid="{00000000-0005-0000-0000-00001C030000}"/>
    <cellStyle name="20% - Accent1 3 11 2 2" xfId="28110" xr:uid="{00000000-0005-0000-0000-00001D030000}"/>
    <cellStyle name="20% - Accent1 3 11 3" xfId="17575" xr:uid="{00000000-0005-0000-0000-00001E030000}"/>
    <cellStyle name="20% - Accent1 3 12" xfId="253" xr:uid="{00000000-0005-0000-0000-00001F030000}"/>
    <cellStyle name="20% - Accent1 3 12 2" xfId="15925" xr:uid="{00000000-0005-0000-0000-000020030000}"/>
    <cellStyle name="20% - Accent1 3 12 2 2" xfId="29332" xr:uid="{00000000-0005-0000-0000-000021030000}"/>
    <cellStyle name="20% - Accent1 3 12 3" xfId="17576" xr:uid="{00000000-0005-0000-0000-000022030000}"/>
    <cellStyle name="20% - Accent1 3 13" xfId="8850" xr:uid="{00000000-0005-0000-0000-000023030000}"/>
    <cellStyle name="20% - Accent1 3 13 2" xfId="23325" xr:uid="{00000000-0005-0000-0000-000024030000}"/>
    <cellStyle name="20% - Accent1 3 14" xfId="17573" xr:uid="{00000000-0005-0000-0000-000025030000}"/>
    <cellStyle name="20% - Accent1 3 2" xfId="254" xr:uid="{00000000-0005-0000-0000-000026030000}"/>
    <cellStyle name="20% - Accent1 3 2 10" xfId="255" xr:uid="{00000000-0005-0000-0000-000027030000}"/>
    <cellStyle name="20% - Accent1 3 2 10 2" xfId="16068" xr:uid="{00000000-0005-0000-0000-000028030000}"/>
    <cellStyle name="20% - Accent1 3 2 10 2 2" xfId="29475" xr:uid="{00000000-0005-0000-0000-000029030000}"/>
    <cellStyle name="20% - Accent1 3 2 10 3" xfId="17578" xr:uid="{00000000-0005-0000-0000-00002A030000}"/>
    <cellStyle name="20% - Accent1 3 2 11" xfId="8851" xr:uid="{00000000-0005-0000-0000-00002B030000}"/>
    <cellStyle name="20% - Accent1 3 2 11 2" xfId="23326" xr:uid="{00000000-0005-0000-0000-00002C030000}"/>
    <cellStyle name="20% - Accent1 3 2 12" xfId="17577" xr:uid="{00000000-0005-0000-0000-00002D030000}"/>
    <cellStyle name="20% - Accent1 3 2 2" xfId="256" xr:uid="{00000000-0005-0000-0000-00002E030000}"/>
    <cellStyle name="20% - Accent1 3 2 2 10" xfId="8852" xr:uid="{00000000-0005-0000-0000-00002F030000}"/>
    <cellStyle name="20% - Accent1 3 2 2 10 2" xfId="23327" xr:uid="{00000000-0005-0000-0000-000030030000}"/>
    <cellStyle name="20% - Accent1 3 2 2 11" xfId="17579" xr:uid="{00000000-0005-0000-0000-000031030000}"/>
    <cellStyle name="20% - Accent1 3 2 2 2" xfId="257" xr:uid="{00000000-0005-0000-0000-000032030000}"/>
    <cellStyle name="20% - Accent1 3 2 2 2 2" xfId="258" xr:uid="{00000000-0005-0000-0000-000033030000}"/>
    <cellStyle name="20% - Accent1 3 2 2 2 2 2" xfId="10578" xr:uid="{00000000-0005-0000-0000-000034030000}"/>
    <cellStyle name="20% - Accent1 3 2 2 2 2 2 2" xfId="24520" xr:uid="{00000000-0005-0000-0000-000035030000}"/>
    <cellStyle name="20% - Accent1 3 2 2 2 2 3" xfId="17581" xr:uid="{00000000-0005-0000-0000-000036030000}"/>
    <cellStyle name="20% - Accent1 3 2 2 2 3" xfId="259" xr:uid="{00000000-0005-0000-0000-000037030000}"/>
    <cellStyle name="20% - Accent1 3 2 2 2 3 2" xfId="12594" xr:uid="{00000000-0005-0000-0000-000038030000}"/>
    <cellStyle name="20% - Accent1 3 2 2 2 3 2 2" xfId="26306" xr:uid="{00000000-0005-0000-0000-000039030000}"/>
    <cellStyle name="20% - Accent1 3 2 2 2 3 3" xfId="17582" xr:uid="{00000000-0005-0000-0000-00003A030000}"/>
    <cellStyle name="20% - Accent1 3 2 2 2 4" xfId="260" xr:uid="{00000000-0005-0000-0000-00003B030000}"/>
    <cellStyle name="20% - Accent1 3 2 2 2 4 2" xfId="14558" xr:uid="{00000000-0005-0000-0000-00003C030000}"/>
    <cellStyle name="20% - Accent1 3 2 2 2 4 2 2" xfId="28107" xr:uid="{00000000-0005-0000-0000-00003D030000}"/>
    <cellStyle name="20% - Accent1 3 2 2 2 4 3" xfId="17583" xr:uid="{00000000-0005-0000-0000-00003E030000}"/>
    <cellStyle name="20% - Accent1 3 2 2 2 5" xfId="261" xr:uid="{00000000-0005-0000-0000-00003F030000}"/>
    <cellStyle name="20% - Accent1 3 2 2 2 5 2" xfId="16938" xr:uid="{00000000-0005-0000-0000-000040030000}"/>
    <cellStyle name="20% - Accent1 3 2 2 2 5 2 2" xfId="30345" xr:uid="{00000000-0005-0000-0000-000041030000}"/>
    <cellStyle name="20% - Accent1 3 2 2 2 5 3" xfId="17584" xr:uid="{00000000-0005-0000-0000-000042030000}"/>
    <cellStyle name="20% - Accent1 3 2 2 2 6" xfId="8853" xr:uid="{00000000-0005-0000-0000-000043030000}"/>
    <cellStyle name="20% - Accent1 3 2 2 2 6 2" xfId="23328" xr:uid="{00000000-0005-0000-0000-000044030000}"/>
    <cellStyle name="20% - Accent1 3 2 2 2 7" xfId="17580" xr:uid="{00000000-0005-0000-0000-000045030000}"/>
    <cellStyle name="20% - Accent1 3 2 2 3" xfId="262" xr:uid="{00000000-0005-0000-0000-000046030000}"/>
    <cellStyle name="20% - Accent1 3 2 2 3 2" xfId="263" xr:uid="{00000000-0005-0000-0000-000047030000}"/>
    <cellStyle name="20% - Accent1 3 2 2 3 2 2" xfId="14557" xr:uid="{00000000-0005-0000-0000-000048030000}"/>
    <cellStyle name="20% - Accent1 3 2 2 3 2 2 2" xfId="28106" xr:uid="{00000000-0005-0000-0000-000049030000}"/>
    <cellStyle name="20% - Accent1 3 2 2 3 2 3" xfId="17586" xr:uid="{00000000-0005-0000-0000-00004A030000}"/>
    <cellStyle name="20% - Accent1 3 2 2 3 3" xfId="10577" xr:uid="{00000000-0005-0000-0000-00004B030000}"/>
    <cellStyle name="20% - Accent1 3 2 2 3 3 2" xfId="24519" xr:uid="{00000000-0005-0000-0000-00004C030000}"/>
    <cellStyle name="20% - Accent1 3 2 2 3 4" xfId="17585" xr:uid="{00000000-0005-0000-0000-00004D030000}"/>
    <cellStyle name="20% - Accent1 3 2 2 4" xfId="264" xr:uid="{00000000-0005-0000-0000-00004E030000}"/>
    <cellStyle name="20% - Accent1 3 2 2 4 2" xfId="12326" xr:uid="{00000000-0005-0000-0000-00004F030000}"/>
    <cellStyle name="20% - Accent1 3 2 2 4 2 2" xfId="26038" xr:uid="{00000000-0005-0000-0000-000050030000}"/>
    <cellStyle name="20% - Accent1 3 2 2 4 3" xfId="17587" xr:uid="{00000000-0005-0000-0000-000051030000}"/>
    <cellStyle name="20% - Accent1 3 2 2 5" xfId="265" xr:uid="{00000000-0005-0000-0000-000052030000}"/>
    <cellStyle name="20% - Accent1 3 2 2 5 2" xfId="12526" xr:uid="{00000000-0005-0000-0000-000053030000}"/>
    <cellStyle name="20% - Accent1 3 2 2 5 2 2" xfId="26238" xr:uid="{00000000-0005-0000-0000-000054030000}"/>
    <cellStyle name="20% - Accent1 3 2 2 5 3" xfId="17588" xr:uid="{00000000-0005-0000-0000-000055030000}"/>
    <cellStyle name="20% - Accent1 3 2 2 6" xfId="266" xr:uid="{00000000-0005-0000-0000-000056030000}"/>
    <cellStyle name="20% - Accent1 3 2 2 6 2" xfId="13890" xr:uid="{00000000-0005-0000-0000-000057030000}"/>
    <cellStyle name="20% - Accent1 3 2 2 6 2 2" xfId="27439" xr:uid="{00000000-0005-0000-0000-000058030000}"/>
    <cellStyle name="20% - Accent1 3 2 2 6 3" xfId="17589" xr:uid="{00000000-0005-0000-0000-000059030000}"/>
    <cellStyle name="20% - Accent1 3 2 2 7" xfId="267" xr:uid="{00000000-0005-0000-0000-00005A030000}"/>
    <cellStyle name="20% - Accent1 3 2 2 7 2" xfId="14471" xr:uid="{00000000-0005-0000-0000-00005B030000}"/>
    <cellStyle name="20% - Accent1 3 2 2 7 2 2" xfId="28020" xr:uid="{00000000-0005-0000-0000-00005C030000}"/>
    <cellStyle name="20% - Accent1 3 2 2 7 3" xfId="17590" xr:uid="{00000000-0005-0000-0000-00005D030000}"/>
    <cellStyle name="20% - Accent1 3 2 2 8" xfId="268" xr:uid="{00000000-0005-0000-0000-00005E030000}"/>
    <cellStyle name="20% - Accent1 3 2 2 8 2" xfId="14559" xr:uid="{00000000-0005-0000-0000-00005F030000}"/>
    <cellStyle name="20% - Accent1 3 2 2 8 2 2" xfId="28108" xr:uid="{00000000-0005-0000-0000-000060030000}"/>
    <cellStyle name="20% - Accent1 3 2 2 8 3" xfId="17591" xr:uid="{00000000-0005-0000-0000-000061030000}"/>
    <cellStyle name="20% - Accent1 3 2 2 9" xfId="269" xr:uid="{00000000-0005-0000-0000-000062030000}"/>
    <cellStyle name="20% - Accent1 3 2 2 9 2" xfId="16357" xr:uid="{00000000-0005-0000-0000-000063030000}"/>
    <cellStyle name="20% - Accent1 3 2 2 9 2 2" xfId="29764" xr:uid="{00000000-0005-0000-0000-000064030000}"/>
    <cellStyle name="20% - Accent1 3 2 2 9 3" xfId="17592" xr:uid="{00000000-0005-0000-0000-000065030000}"/>
    <cellStyle name="20% - Accent1 3 2 3" xfId="270" xr:uid="{00000000-0005-0000-0000-000066030000}"/>
    <cellStyle name="20% - Accent1 3 2 3 2" xfId="271" xr:uid="{00000000-0005-0000-0000-000067030000}"/>
    <cellStyle name="20% - Accent1 3 2 3 2 2" xfId="10579" xr:uid="{00000000-0005-0000-0000-000068030000}"/>
    <cellStyle name="20% - Accent1 3 2 3 2 2 2" xfId="24521" xr:uid="{00000000-0005-0000-0000-000069030000}"/>
    <cellStyle name="20% - Accent1 3 2 3 2 3" xfId="17594" xr:uid="{00000000-0005-0000-0000-00006A030000}"/>
    <cellStyle name="20% - Accent1 3 2 3 3" xfId="272" xr:uid="{00000000-0005-0000-0000-00006B030000}"/>
    <cellStyle name="20% - Accent1 3 2 3 3 2" xfId="12597" xr:uid="{00000000-0005-0000-0000-00006C030000}"/>
    <cellStyle name="20% - Accent1 3 2 3 3 2 2" xfId="26309" xr:uid="{00000000-0005-0000-0000-00006D030000}"/>
    <cellStyle name="20% - Accent1 3 2 3 3 3" xfId="17595" xr:uid="{00000000-0005-0000-0000-00006E030000}"/>
    <cellStyle name="20% - Accent1 3 2 3 4" xfId="273" xr:uid="{00000000-0005-0000-0000-00006F030000}"/>
    <cellStyle name="20% - Accent1 3 2 3 4 2" xfId="14556" xr:uid="{00000000-0005-0000-0000-000070030000}"/>
    <cellStyle name="20% - Accent1 3 2 3 4 2 2" xfId="28105" xr:uid="{00000000-0005-0000-0000-000071030000}"/>
    <cellStyle name="20% - Accent1 3 2 3 4 3" xfId="17596" xr:uid="{00000000-0005-0000-0000-000072030000}"/>
    <cellStyle name="20% - Accent1 3 2 3 5" xfId="274" xr:uid="{00000000-0005-0000-0000-000073030000}"/>
    <cellStyle name="20% - Accent1 3 2 3 5 2" xfId="16649" xr:uid="{00000000-0005-0000-0000-000074030000}"/>
    <cellStyle name="20% - Accent1 3 2 3 5 2 2" xfId="30056" xr:uid="{00000000-0005-0000-0000-000075030000}"/>
    <cellStyle name="20% - Accent1 3 2 3 5 3" xfId="17597" xr:uid="{00000000-0005-0000-0000-000076030000}"/>
    <cellStyle name="20% - Accent1 3 2 3 6" xfId="8854" xr:uid="{00000000-0005-0000-0000-000077030000}"/>
    <cellStyle name="20% - Accent1 3 2 3 6 2" xfId="23329" xr:uid="{00000000-0005-0000-0000-000078030000}"/>
    <cellStyle name="20% - Accent1 3 2 3 7" xfId="17593" xr:uid="{00000000-0005-0000-0000-000079030000}"/>
    <cellStyle name="20% - Accent1 3 2 4" xfId="275" xr:uid="{00000000-0005-0000-0000-00007A030000}"/>
    <cellStyle name="20% - Accent1 3 2 4 2" xfId="276" xr:uid="{00000000-0005-0000-0000-00007B030000}"/>
    <cellStyle name="20% - Accent1 3 2 4 2 2" xfId="14618" xr:uid="{00000000-0005-0000-0000-00007C030000}"/>
    <cellStyle name="20% - Accent1 3 2 4 2 2 2" xfId="28167" xr:uid="{00000000-0005-0000-0000-00007D030000}"/>
    <cellStyle name="20% - Accent1 3 2 4 2 3" xfId="17599" xr:uid="{00000000-0005-0000-0000-00007E030000}"/>
    <cellStyle name="20% - Accent1 3 2 4 3" xfId="10576" xr:uid="{00000000-0005-0000-0000-00007F030000}"/>
    <cellStyle name="20% - Accent1 3 2 4 3 2" xfId="24518" xr:uid="{00000000-0005-0000-0000-000080030000}"/>
    <cellStyle name="20% - Accent1 3 2 4 4" xfId="17598" xr:uid="{00000000-0005-0000-0000-000081030000}"/>
    <cellStyle name="20% - Accent1 3 2 5" xfId="277" xr:uid="{00000000-0005-0000-0000-000082030000}"/>
    <cellStyle name="20% - Accent1 3 2 5 2" xfId="12026" xr:uid="{00000000-0005-0000-0000-000083030000}"/>
    <cellStyle name="20% - Accent1 3 2 5 2 2" xfId="25741" xr:uid="{00000000-0005-0000-0000-000084030000}"/>
    <cellStyle name="20% - Accent1 3 2 5 3" xfId="17600" xr:uid="{00000000-0005-0000-0000-000085030000}"/>
    <cellStyle name="20% - Accent1 3 2 6" xfId="278" xr:uid="{00000000-0005-0000-0000-000086030000}"/>
    <cellStyle name="20% - Accent1 3 2 6 2" xfId="12442" xr:uid="{00000000-0005-0000-0000-000087030000}"/>
    <cellStyle name="20% - Accent1 3 2 6 2 2" xfId="26154" xr:uid="{00000000-0005-0000-0000-000088030000}"/>
    <cellStyle name="20% - Accent1 3 2 6 3" xfId="17601" xr:uid="{00000000-0005-0000-0000-000089030000}"/>
    <cellStyle name="20% - Accent1 3 2 7" xfId="279" xr:uid="{00000000-0005-0000-0000-00008A030000}"/>
    <cellStyle name="20% - Accent1 3 2 7 2" xfId="13601" xr:uid="{00000000-0005-0000-0000-00008B030000}"/>
    <cellStyle name="20% - Accent1 3 2 7 2 2" xfId="27150" xr:uid="{00000000-0005-0000-0000-00008C030000}"/>
    <cellStyle name="20% - Accent1 3 2 7 3" xfId="17602" xr:uid="{00000000-0005-0000-0000-00008D030000}"/>
    <cellStyle name="20% - Accent1 3 2 8" xfId="280" xr:uid="{00000000-0005-0000-0000-00008E030000}"/>
    <cellStyle name="20% - Accent1 3 2 8 2" xfId="14182" xr:uid="{00000000-0005-0000-0000-00008F030000}"/>
    <cellStyle name="20% - Accent1 3 2 8 2 2" xfId="27731" xr:uid="{00000000-0005-0000-0000-000090030000}"/>
    <cellStyle name="20% - Accent1 3 2 8 3" xfId="17603" xr:uid="{00000000-0005-0000-0000-000091030000}"/>
    <cellStyle name="20% - Accent1 3 2 9" xfId="281" xr:uid="{00000000-0005-0000-0000-000092030000}"/>
    <cellStyle name="20% - Accent1 3 2 9 2" xfId="14560" xr:uid="{00000000-0005-0000-0000-000093030000}"/>
    <cellStyle name="20% - Accent1 3 2 9 2 2" xfId="28109" xr:uid="{00000000-0005-0000-0000-000094030000}"/>
    <cellStyle name="20% - Accent1 3 2 9 3" xfId="17604" xr:uid="{00000000-0005-0000-0000-000095030000}"/>
    <cellStyle name="20% - Accent1 3 3" xfId="282" xr:uid="{00000000-0005-0000-0000-000096030000}"/>
    <cellStyle name="20% - Accent1 3 3 10" xfId="8855" xr:uid="{00000000-0005-0000-0000-000097030000}"/>
    <cellStyle name="20% - Accent1 3 3 10 2" xfId="23330" xr:uid="{00000000-0005-0000-0000-000098030000}"/>
    <cellStyle name="20% - Accent1 3 3 11" xfId="17605" xr:uid="{00000000-0005-0000-0000-000099030000}"/>
    <cellStyle name="20% - Accent1 3 3 2" xfId="283" xr:uid="{00000000-0005-0000-0000-00009A030000}"/>
    <cellStyle name="20% - Accent1 3 3 2 2" xfId="284" xr:uid="{00000000-0005-0000-0000-00009B030000}"/>
    <cellStyle name="20% - Accent1 3 3 2 2 2" xfId="10581" xr:uid="{00000000-0005-0000-0000-00009C030000}"/>
    <cellStyle name="20% - Accent1 3 3 2 2 2 2" xfId="24523" xr:uid="{00000000-0005-0000-0000-00009D030000}"/>
    <cellStyle name="20% - Accent1 3 3 2 2 3" xfId="17607" xr:uid="{00000000-0005-0000-0000-00009E030000}"/>
    <cellStyle name="20% - Accent1 3 3 2 3" xfId="285" xr:uid="{00000000-0005-0000-0000-00009F030000}"/>
    <cellStyle name="20% - Accent1 3 3 2 3 2" xfId="12470" xr:uid="{00000000-0005-0000-0000-0000A0030000}"/>
    <cellStyle name="20% - Accent1 3 3 2 3 2 2" xfId="26182" xr:uid="{00000000-0005-0000-0000-0000A1030000}"/>
    <cellStyle name="20% - Accent1 3 3 2 3 3" xfId="17608" xr:uid="{00000000-0005-0000-0000-0000A2030000}"/>
    <cellStyle name="20% - Accent1 3 3 2 4" xfId="286" xr:uid="{00000000-0005-0000-0000-0000A3030000}"/>
    <cellStyle name="20% - Accent1 3 3 2 4 2" xfId="14602" xr:uid="{00000000-0005-0000-0000-0000A4030000}"/>
    <cellStyle name="20% - Accent1 3 3 2 4 2 2" xfId="28151" xr:uid="{00000000-0005-0000-0000-0000A5030000}"/>
    <cellStyle name="20% - Accent1 3 3 2 4 3" xfId="17609" xr:uid="{00000000-0005-0000-0000-0000A6030000}"/>
    <cellStyle name="20% - Accent1 3 3 2 5" xfId="287" xr:uid="{00000000-0005-0000-0000-0000A7030000}"/>
    <cellStyle name="20% - Accent1 3 3 2 5 2" xfId="16795" xr:uid="{00000000-0005-0000-0000-0000A8030000}"/>
    <cellStyle name="20% - Accent1 3 3 2 5 2 2" xfId="30202" xr:uid="{00000000-0005-0000-0000-0000A9030000}"/>
    <cellStyle name="20% - Accent1 3 3 2 5 3" xfId="17610" xr:uid="{00000000-0005-0000-0000-0000AA030000}"/>
    <cellStyle name="20% - Accent1 3 3 2 6" xfId="8856" xr:uid="{00000000-0005-0000-0000-0000AB030000}"/>
    <cellStyle name="20% - Accent1 3 3 2 6 2" xfId="23331" xr:uid="{00000000-0005-0000-0000-0000AC030000}"/>
    <cellStyle name="20% - Accent1 3 3 2 7" xfId="17606" xr:uid="{00000000-0005-0000-0000-0000AD030000}"/>
    <cellStyle name="20% - Accent1 3 3 3" xfId="288" xr:uid="{00000000-0005-0000-0000-0000AE030000}"/>
    <cellStyle name="20% - Accent1 3 3 3 2" xfId="289" xr:uid="{00000000-0005-0000-0000-0000AF030000}"/>
    <cellStyle name="20% - Accent1 3 3 3 2 2" xfId="14603" xr:uid="{00000000-0005-0000-0000-0000B0030000}"/>
    <cellStyle name="20% - Accent1 3 3 3 2 2 2" xfId="28152" xr:uid="{00000000-0005-0000-0000-0000B1030000}"/>
    <cellStyle name="20% - Accent1 3 3 3 2 3" xfId="17612" xr:uid="{00000000-0005-0000-0000-0000B2030000}"/>
    <cellStyle name="20% - Accent1 3 3 3 3" xfId="10580" xr:uid="{00000000-0005-0000-0000-0000B3030000}"/>
    <cellStyle name="20% - Accent1 3 3 3 3 2" xfId="24522" xr:uid="{00000000-0005-0000-0000-0000B4030000}"/>
    <cellStyle name="20% - Accent1 3 3 3 4" xfId="17611" xr:uid="{00000000-0005-0000-0000-0000B5030000}"/>
    <cellStyle name="20% - Accent1 3 3 4" xfId="290" xr:uid="{00000000-0005-0000-0000-0000B6030000}"/>
    <cellStyle name="20% - Accent1 3 3 4 2" xfId="12183" xr:uid="{00000000-0005-0000-0000-0000B7030000}"/>
    <cellStyle name="20% - Accent1 3 3 4 2 2" xfId="25895" xr:uid="{00000000-0005-0000-0000-0000B8030000}"/>
    <cellStyle name="20% - Accent1 3 3 4 3" xfId="17613" xr:uid="{00000000-0005-0000-0000-0000B9030000}"/>
    <cellStyle name="20% - Accent1 3 3 5" xfId="291" xr:uid="{00000000-0005-0000-0000-0000BA030000}"/>
    <cellStyle name="20% - Accent1 3 3 5 2" xfId="12687" xr:uid="{00000000-0005-0000-0000-0000BB030000}"/>
    <cellStyle name="20% - Accent1 3 3 5 2 2" xfId="26399" xr:uid="{00000000-0005-0000-0000-0000BC030000}"/>
    <cellStyle name="20% - Accent1 3 3 5 3" xfId="17614" xr:uid="{00000000-0005-0000-0000-0000BD030000}"/>
    <cellStyle name="20% - Accent1 3 3 6" xfId="292" xr:uid="{00000000-0005-0000-0000-0000BE030000}"/>
    <cellStyle name="20% - Accent1 3 3 6 2" xfId="13747" xr:uid="{00000000-0005-0000-0000-0000BF030000}"/>
    <cellStyle name="20% - Accent1 3 3 6 2 2" xfId="27296" xr:uid="{00000000-0005-0000-0000-0000C0030000}"/>
    <cellStyle name="20% - Accent1 3 3 6 3" xfId="17615" xr:uid="{00000000-0005-0000-0000-0000C1030000}"/>
    <cellStyle name="20% - Accent1 3 3 7" xfId="293" xr:uid="{00000000-0005-0000-0000-0000C2030000}"/>
    <cellStyle name="20% - Accent1 3 3 7 2" xfId="14328" xr:uid="{00000000-0005-0000-0000-0000C3030000}"/>
    <cellStyle name="20% - Accent1 3 3 7 2 2" xfId="27877" xr:uid="{00000000-0005-0000-0000-0000C4030000}"/>
    <cellStyle name="20% - Accent1 3 3 7 3" xfId="17616" xr:uid="{00000000-0005-0000-0000-0000C5030000}"/>
    <cellStyle name="20% - Accent1 3 3 8" xfId="294" xr:uid="{00000000-0005-0000-0000-0000C6030000}"/>
    <cellStyle name="20% - Accent1 3 3 8 2" xfId="14555" xr:uid="{00000000-0005-0000-0000-0000C7030000}"/>
    <cellStyle name="20% - Accent1 3 3 8 2 2" xfId="28104" xr:uid="{00000000-0005-0000-0000-0000C8030000}"/>
    <cellStyle name="20% - Accent1 3 3 8 3" xfId="17617" xr:uid="{00000000-0005-0000-0000-0000C9030000}"/>
    <cellStyle name="20% - Accent1 3 3 9" xfId="295" xr:uid="{00000000-0005-0000-0000-0000CA030000}"/>
    <cellStyle name="20% - Accent1 3 3 9 2" xfId="16214" xr:uid="{00000000-0005-0000-0000-0000CB030000}"/>
    <cellStyle name="20% - Accent1 3 3 9 2 2" xfId="29621" xr:uid="{00000000-0005-0000-0000-0000CC030000}"/>
    <cellStyle name="20% - Accent1 3 3 9 3" xfId="17618" xr:uid="{00000000-0005-0000-0000-0000CD030000}"/>
    <cellStyle name="20% - Accent1 3 4" xfId="296" xr:uid="{00000000-0005-0000-0000-0000CE030000}"/>
    <cellStyle name="20% - Accent1 3 4 2" xfId="297" xr:uid="{00000000-0005-0000-0000-0000CF030000}"/>
    <cellStyle name="20% - Accent1 3 4 2 2" xfId="10582" xr:uid="{00000000-0005-0000-0000-0000D0030000}"/>
    <cellStyle name="20% - Accent1 3 4 2 2 2" xfId="24524" xr:uid="{00000000-0005-0000-0000-0000D1030000}"/>
    <cellStyle name="20% - Accent1 3 4 2 3" xfId="17620" xr:uid="{00000000-0005-0000-0000-0000D2030000}"/>
    <cellStyle name="20% - Accent1 3 4 3" xfId="298" xr:uid="{00000000-0005-0000-0000-0000D3030000}"/>
    <cellStyle name="20% - Accent1 3 4 3 2" xfId="11783" xr:uid="{00000000-0005-0000-0000-0000D4030000}"/>
    <cellStyle name="20% - Accent1 3 4 3 2 2" xfId="25498" xr:uid="{00000000-0005-0000-0000-0000D5030000}"/>
    <cellStyle name="20% - Accent1 3 4 3 3" xfId="17621" xr:uid="{00000000-0005-0000-0000-0000D6030000}"/>
    <cellStyle name="20% - Accent1 3 4 4" xfId="299" xr:uid="{00000000-0005-0000-0000-0000D7030000}"/>
    <cellStyle name="20% - Accent1 3 4 4 2" xfId="14554" xr:uid="{00000000-0005-0000-0000-0000D8030000}"/>
    <cellStyle name="20% - Accent1 3 4 4 2 2" xfId="28103" xr:uid="{00000000-0005-0000-0000-0000D9030000}"/>
    <cellStyle name="20% - Accent1 3 4 4 3" xfId="17622" xr:uid="{00000000-0005-0000-0000-0000DA030000}"/>
    <cellStyle name="20% - Accent1 3 4 5" xfId="300" xr:uid="{00000000-0005-0000-0000-0000DB030000}"/>
    <cellStyle name="20% - Accent1 3 4 5 2" xfId="17142" xr:uid="{00000000-0005-0000-0000-0000DC030000}"/>
    <cellStyle name="20% - Accent1 3 4 5 2 2" xfId="30501" xr:uid="{00000000-0005-0000-0000-0000DD030000}"/>
    <cellStyle name="20% - Accent1 3 4 5 3" xfId="17623" xr:uid="{00000000-0005-0000-0000-0000DE030000}"/>
    <cellStyle name="20% - Accent1 3 4 6" xfId="8857" xr:uid="{00000000-0005-0000-0000-0000DF030000}"/>
    <cellStyle name="20% - Accent1 3 4 6 2" xfId="23332" xr:uid="{00000000-0005-0000-0000-0000E0030000}"/>
    <cellStyle name="20% - Accent1 3 4 7" xfId="17619" xr:uid="{00000000-0005-0000-0000-0000E1030000}"/>
    <cellStyle name="20% - Accent1 3 5" xfId="301" xr:uid="{00000000-0005-0000-0000-0000E2030000}"/>
    <cellStyle name="20% - Accent1 3 5 2" xfId="302" xr:uid="{00000000-0005-0000-0000-0000E3030000}"/>
    <cellStyle name="20% - Accent1 3 5 2 2" xfId="10583" xr:uid="{00000000-0005-0000-0000-0000E4030000}"/>
    <cellStyle name="20% - Accent1 3 5 2 2 2" xfId="24525" xr:uid="{00000000-0005-0000-0000-0000E5030000}"/>
    <cellStyle name="20% - Accent1 3 5 2 3" xfId="17625" xr:uid="{00000000-0005-0000-0000-0000E6030000}"/>
    <cellStyle name="20% - Accent1 3 5 3" xfId="303" xr:uid="{00000000-0005-0000-0000-0000E7030000}"/>
    <cellStyle name="20% - Accent1 3 5 3 2" xfId="12710" xr:uid="{00000000-0005-0000-0000-0000E8030000}"/>
    <cellStyle name="20% - Accent1 3 5 3 2 2" xfId="26422" xr:uid="{00000000-0005-0000-0000-0000E9030000}"/>
    <cellStyle name="20% - Accent1 3 5 3 3" xfId="17626" xr:uid="{00000000-0005-0000-0000-0000EA030000}"/>
    <cellStyle name="20% - Accent1 3 5 4" xfId="304" xr:uid="{00000000-0005-0000-0000-0000EB030000}"/>
    <cellStyle name="20% - Accent1 3 5 4 2" xfId="14553" xr:uid="{00000000-0005-0000-0000-0000EC030000}"/>
    <cellStyle name="20% - Accent1 3 5 4 2 2" xfId="28102" xr:uid="{00000000-0005-0000-0000-0000ED030000}"/>
    <cellStyle name="20% - Accent1 3 5 4 3" xfId="17627" xr:uid="{00000000-0005-0000-0000-0000EE030000}"/>
    <cellStyle name="20% - Accent1 3 5 5" xfId="305" xr:uid="{00000000-0005-0000-0000-0000EF030000}"/>
    <cellStyle name="20% - Accent1 3 5 5 2" xfId="17231" xr:uid="{00000000-0005-0000-0000-0000F0030000}"/>
    <cellStyle name="20% - Accent1 3 5 5 2 2" xfId="30590" xr:uid="{00000000-0005-0000-0000-0000F1030000}"/>
    <cellStyle name="20% - Accent1 3 5 5 3" xfId="17628" xr:uid="{00000000-0005-0000-0000-0000F2030000}"/>
    <cellStyle name="20% - Accent1 3 5 6" xfId="8858" xr:uid="{00000000-0005-0000-0000-0000F3030000}"/>
    <cellStyle name="20% - Accent1 3 5 6 2" xfId="23333" xr:uid="{00000000-0005-0000-0000-0000F4030000}"/>
    <cellStyle name="20% - Accent1 3 5 7" xfId="17624" xr:uid="{00000000-0005-0000-0000-0000F5030000}"/>
    <cellStyle name="20% - Accent1 3 6" xfId="306" xr:uid="{00000000-0005-0000-0000-0000F6030000}"/>
    <cellStyle name="20% - Accent1 3 6 2" xfId="307" xr:uid="{00000000-0005-0000-0000-0000F7030000}"/>
    <cellStyle name="20% - Accent1 3 6 2 2" xfId="14552" xr:uid="{00000000-0005-0000-0000-0000F8030000}"/>
    <cellStyle name="20% - Accent1 3 6 2 2 2" xfId="28101" xr:uid="{00000000-0005-0000-0000-0000F9030000}"/>
    <cellStyle name="20% - Accent1 3 6 2 3" xfId="17630" xr:uid="{00000000-0005-0000-0000-0000FA030000}"/>
    <cellStyle name="20% - Accent1 3 6 3" xfId="308" xr:uid="{00000000-0005-0000-0000-0000FB030000}"/>
    <cellStyle name="20% - Accent1 3 6 3 2" xfId="16506" xr:uid="{00000000-0005-0000-0000-0000FC030000}"/>
    <cellStyle name="20% - Accent1 3 6 3 2 2" xfId="29913" xr:uid="{00000000-0005-0000-0000-0000FD030000}"/>
    <cellStyle name="20% - Accent1 3 6 3 3" xfId="17631" xr:uid="{00000000-0005-0000-0000-0000FE030000}"/>
    <cellStyle name="20% - Accent1 3 6 4" xfId="10575" xr:uid="{00000000-0005-0000-0000-0000FF030000}"/>
    <cellStyle name="20% - Accent1 3 6 4 2" xfId="24517" xr:uid="{00000000-0005-0000-0000-000000040000}"/>
    <cellStyle name="20% - Accent1 3 6 5" xfId="17629" xr:uid="{00000000-0005-0000-0000-000001040000}"/>
    <cellStyle name="20% - Accent1 3 7" xfId="309" xr:uid="{00000000-0005-0000-0000-000002040000}"/>
    <cellStyle name="20% - Accent1 3 7 2" xfId="11878" xr:uid="{00000000-0005-0000-0000-000003040000}"/>
    <cellStyle name="20% - Accent1 3 7 2 2" xfId="25593" xr:uid="{00000000-0005-0000-0000-000004040000}"/>
    <cellStyle name="20% - Accent1 3 7 3" xfId="17632" xr:uid="{00000000-0005-0000-0000-000005040000}"/>
    <cellStyle name="20% - Accent1 3 8" xfId="310" xr:uid="{00000000-0005-0000-0000-000006040000}"/>
    <cellStyle name="20% - Accent1 3 8 2" xfId="12569" xr:uid="{00000000-0005-0000-0000-000007040000}"/>
    <cellStyle name="20% - Accent1 3 8 2 2" xfId="26281" xr:uid="{00000000-0005-0000-0000-000008040000}"/>
    <cellStyle name="20% - Accent1 3 8 3" xfId="17633" xr:uid="{00000000-0005-0000-0000-000009040000}"/>
    <cellStyle name="20% - Accent1 3 9" xfId="311" xr:uid="{00000000-0005-0000-0000-00000A040000}"/>
    <cellStyle name="20% - Accent1 3 9 2" xfId="13458" xr:uid="{00000000-0005-0000-0000-00000B040000}"/>
    <cellStyle name="20% - Accent1 3 9 2 2" xfId="27007" xr:uid="{00000000-0005-0000-0000-00000C040000}"/>
    <cellStyle name="20% - Accent1 3 9 3" xfId="17634" xr:uid="{00000000-0005-0000-0000-00000D040000}"/>
    <cellStyle name="20% - Accent1 30" xfId="23246" xr:uid="{00000000-0005-0000-0000-00000E040000}"/>
    <cellStyle name="20% - Accent1 4" xfId="312" xr:uid="{00000000-0005-0000-0000-00000F040000}"/>
    <cellStyle name="20% - Accent1 4 10" xfId="313" xr:uid="{00000000-0005-0000-0000-000010040000}"/>
    <cellStyle name="20% - Accent1 4 10 2" xfId="14551" xr:uid="{00000000-0005-0000-0000-000011040000}"/>
    <cellStyle name="20% - Accent1 4 10 2 2" xfId="28100" xr:uid="{00000000-0005-0000-0000-000012040000}"/>
    <cellStyle name="20% - Accent1 4 10 3" xfId="17636" xr:uid="{00000000-0005-0000-0000-000013040000}"/>
    <cellStyle name="20% - Accent1 4 11" xfId="314" xr:uid="{00000000-0005-0000-0000-000014040000}"/>
    <cellStyle name="20% - Accent1 4 11 2" xfId="15879" xr:uid="{00000000-0005-0000-0000-000015040000}"/>
    <cellStyle name="20% - Accent1 4 11 2 2" xfId="29286" xr:uid="{00000000-0005-0000-0000-000016040000}"/>
    <cellStyle name="20% - Accent1 4 11 3" xfId="17637" xr:uid="{00000000-0005-0000-0000-000017040000}"/>
    <cellStyle name="20% - Accent1 4 12" xfId="8859" xr:uid="{00000000-0005-0000-0000-000018040000}"/>
    <cellStyle name="20% - Accent1 4 12 2" xfId="23334" xr:uid="{00000000-0005-0000-0000-000019040000}"/>
    <cellStyle name="20% - Accent1 4 13" xfId="17635" xr:uid="{00000000-0005-0000-0000-00001A040000}"/>
    <cellStyle name="20% - Accent1 4 2" xfId="315" xr:uid="{00000000-0005-0000-0000-00001B040000}"/>
    <cellStyle name="20% - Accent1 4 2 10" xfId="316" xr:uid="{00000000-0005-0000-0000-00001C040000}"/>
    <cellStyle name="20% - Accent1 4 2 10 2" xfId="16022" xr:uid="{00000000-0005-0000-0000-00001D040000}"/>
    <cellStyle name="20% - Accent1 4 2 10 2 2" xfId="29429" xr:uid="{00000000-0005-0000-0000-00001E040000}"/>
    <cellStyle name="20% - Accent1 4 2 10 3" xfId="17639" xr:uid="{00000000-0005-0000-0000-00001F040000}"/>
    <cellStyle name="20% - Accent1 4 2 11" xfId="8860" xr:uid="{00000000-0005-0000-0000-000020040000}"/>
    <cellStyle name="20% - Accent1 4 2 11 2" xfId="23335" xr:uid="{00000000-0005-0000-0000-000021040000}"/>
    <cellStyle name="20% - Accent1 4 2 12" xfId="17638" xr:uid="{00000000-0005-0000-0000-000022040000}"/>
    <cellStyle name="20% - Accent1 4 2 2" xfId="317" xr:uid="{00000000-0005-0000-0000-000023040000}"/>
    <cellStyle name="20% - Accent1 4 2 2 10" xfId="8861" xr:uid="{00000000-0005-0000-0000-000024040000}"/>
    <cellStyle name="20% - Accent1 4 2 2 10 2" xfId="23336" xr:uid="{00000000-0005-0000-0000-000025040000}"/>
    <cellStyle name="20% - Accent1 4 2 2 11" xfId="17640" xr:uid="{00000000-0005-0000-0000-000026040000}"/>
    <cellStyle name="20% - Accent1 4 2 2 2" xfId="318" xr:uid="{00000000-0005-0000-0000-000027040000}"/>
    <cellStyle name="20% - Accent1 4 2 2 2 2" xfId="319" xr:uid="{00000000-0005-0000-0000-000028040000}"/>
    <cellStyle name="20% - Accent1 4 2 2 2 2 2" xfId="10587" xr:uid="{00000000-0005-0000-0000-000029040000}"/>
    <cellStyle name="20% - Accent1 4 2 2 2 2 2 2" xfId="24529" xr:uid="{00000000-0005-0000-0000-00002A040000}"/>
    <cellStyle name="20% - Accent1 4 2 2 2 2 3" xfId="17642" xr:uid="{00000000-0005-0000-0000-00002B040000}"/>
    <cellStyle name="20% - Accent1 4 2 2 2 3" xfId="320" xr:uid="{00000000-0005-0000-0000-00002C040000}"/>
    <cellStyle name="20% - Accent1 4 2 2 2 3 2" xfId="12403" xr:uid="{00000000-0005-0000-0000-00002D040000}"/>
    <cellStyle name="20% - Accent1 4 2 2 2 3 2 2" xfId="26115" xr:uid="{00000000-0005-0000-0000-00002E040000}"/>
    <cellStyle name="20% - Accent1 4 2 2 2 3 3" xfId="17643" xr:uid="{00000000-0005-0000-0000-00002F040000}"/>
    <cellStyle name="20% - Accent1 4 2 2 2 4" xfId="321" xr:uid="{00000000-0005-0000-0000-000030040000}"/>
    <cellStyle name="20% - Accent1 4 2 2 2 4 2" xfId="14548" xr:uid="{00000000-0005-0000-0000-000031040000}"/>
    <cellStyle name="20% - Accent1 4 2 2 2 4 2 2" xfId="28097" xr:uid="{00000000-0005-0000-0000-000032040000}"/>
    <cellStyle name="20% - Accent1 4 2 2 2 4 3" xfId="17644" xr:uid="{00000000-0005-0000-0000-000033040000}"/>
    <cellStyle name="20% - Accent1 4 2 2 2 5" xfId="322" xr:uid="{00000000-0005-0000-0000-000034040000}"/>
    <cellStyle name="20% - Accent1 4 2 2 2 5 2" xfId="16892" xr:uid="{00000000-0005-0000-0000-000035040000}"/>
    <cellStyle name="20% - Accent1 4 2 2 2 5 2 2" xfId="30299" xr:uid="{00000000-0005-0000-0000-000036040000}"/>
    <cellStyle name="20% - Accent1 4 2 2 2 5 3" xfId="17645" xr:uid="{00000000-0005-0000-0000-000037040000}"/>
    <cellStyle name="20% - Accent1 4 2 2 2 6" xfId="8862" xr:uid="{00000000-0005-0000-0000-000038040000}"/>
    <cellStyle name="20% - Accent1 4 2 2 2 6 2" xfId="23337" xr:uid="{00000000-0005-0000-0000-000039040000}"/>
    <cellStyle name="20% - Accent1 4 2 2 2 7" xfId="17641" xr:uid="{00000000-0005-0000-0000-00003A040000}"/>
    <cellStyle name="20% - Accent1 4 2 2 3" xfId="323" xr:uid="{00000000-0005-0000-0000-00003B040000}"/>
    <cellStyle name="20% - Accent1 4 2 2 3 2" xfId="324" xr:uid="{00000000-0005-0000-0000-00003C040000}"/>
    <cellStyle name="20% - Accent1 4 2 2 3 2 2" xfId="14547" xr:uid="{00000000-0005-0000-0000-00003D040000}"/>
    <cellStyle name="20% - Accent1 4 2 2 3 2 2 2" xfId="28096" xr:uid="{00000000-0005-0000-0000-00003E040000}"/>
    <cellStyle name="20% - Accent1 4 2 2 3 2 3" xfId="17647" xr:uid="{00000000-0005-0000-0000-00003F040000}"/>
    <cellStyle name="20% - Accent1 4 2 2 3 3" xfId="10586" xr:uid="{00000000-0005-0000-0000-000040040000}"/>
    <cellStyle name="20% - Accent1 4 2 2 3 3 2" xfId="24528" xr:uid="{00000000-0005-0000-0000-000041040000}"/>
    <cellStyle name="20% - Accent1 4 2 2 3 4" xfId="17646" xr:uid="{00000000-0005-0000-0000-000042040000}"/>
    <cellStyle name="20% - Accent1 4 2 2 4" xfId="325" xr:uid="{00000000-0005-0000-0000-000043040000}"/>
    <cellStyle name="20% - Accent1 4 2 2 4 2" xfId="12280" xr:uid="{00000000-0005-0000-0000-000044040000}"/>
    <cellStyle name="20% - Accent1 4 2 2 4 2 2" xfId="25992" xr:uid="{00000000-0005-0000-0000-000045040000}"/>
    <cellStyle name="20% - Accent1 4 2 2 4 3" xfId="17648" xr:uid="{00000000-0005-0000-0000-000046040000}"/>
    <cellStyle name="20% - Accent1 4 2 2 5" xfId="326" xr:uid="{00000000-0005-0000-0000-000047040000}"/>
    <cellStyle name="20% - Accent1 4 2 2 5 2" xfId="12721" xr:uid="{00000000-0005-0000-0000-000048040000}"/>
    <cellStyle name="20% - Accent1 4 2 2 5 2 2" xfId="26433" xr:uid="{00000000-0005-0000-0000-000049040000}"/>
    <cellStyle name="20% - Accent1 4 2 2 5 3" xfId="17649" xr:uid="{00000000-0005-0000-0000-00004A040000}"/>
    <cellStyle name="20% - Accent1 4 2 2 6" xfId="327" xr:uid="{00000000-0005-0000-0000-00004B040000}"/>
    <cellStyle name="20% - Accent1 4 2 2 6 2" xfId="13844" xr:uid="{00000000-0005-0000-0000-00004C040000}"/>
    <cellStyle name="20% - Accent1 4 2 2 6 2 2" xfId="27393" xr:uid="{00000000-0005-0000-0000-00004D040000}"/>
    <cellStyle name="20% - Accent1 4 2 2 6 3" xfId="17650" xr:uid="{00000000-0005-0000-0000-00004E040000}"/>
    <cellStyle name="20% - Accent1 4 2 2 7" xfId="328" xr:uid="{00000000-0005-0000-0000-00004F040000}"/>
    <cellStyle name="20% - Accent1 4 2 2 7 2" xfId="14425" xr:uid="{00000000-0005-0000-0000-000050040000}"/>
    <cellStyle name="20% - Accent1 4 2 2 7 2 2" xfId="27974" xr:uid="{00000000-0005-0000-0000-000051040000}"/>
    <cellStyle name="20% - Accent1 4 2 2 7 3" xfId="17651" xr:uid="{00000000-0005-0000-0000-000052040000}"/>
    <cellStyle name="20% - Accent1 4 2 2 8" xfId="329" xr:uid="{00000000-0005-0000-0000-000053040000}"/>
    <cellStyle name="20% - Accent1 4 2 2 8 2" xfId="14549" xr:uid="{00000000-0005-0000-0000-000054040000}"/>
    <cellStyle name="20% - Accent1 4 2 2 8 2 2" xfId="28098" xr:uid="{00000000-0005-0000-0000-000055040000}"/>
    <cellStyle name="20% - Accent1 4 2 2 8 3" xfId="17652" xr:uid="{00000000-0005-0000-0000-000056040000}"/>
    <cellStyle name="20% - Accent1 4 2 2 9" xfId="330" xr:uid="{00000000-0005-0000-0000-000057040000}"/>
    <cellStyle name="20% - Accent1 4 2 2 9 2" xfId="16311" xr:uid="{00000000-0005-0000-0000-000058040000}"/>
    <cellStyle name="20% - Accent1 4 2 2 9 2 2" xfId="29718" xr:uid="{00000000-0005-0000-0000-000059040000}"/>
    <cellStyle name="20% - Accent1 4 2 2 9 3" xfId="17653" xr:uid="{00000000-0005-0000-0000-00005A040000}"/>
    <cellStyle name="20% - Accent1 4 2 3" xfId="331" xr:uid="{00000000-0005-0000-0000-00005B040000}"/>
    <cellStyle name="20% - Accent1 4 2 3 2" xfId="332" xr:uid="{00000000-0005-0000-0000-00005C040000}"/>
    <cellStyle name="20% - Accent1 4 2 3 2 2" xfId="10588" xr:uid="{00000000-0005-0000-0000-00005D040000}"/>
    <cellStyle name="20% - Accent1 4 2 3 2 2 2" xfId="24530" xr:uid="{00000000-0005-0000-0000-00005E040000}"/>
    <cellStyle name="20% - Accent1 4 2 3 2 3" xfId="17655" xr:uid="{00000000-0005-0000-0000-00005F040000}"/>
    <cellStyle name="20% - Accent1 4 2 3 3" xfId="333" xr:uid="{00000000-0005-0000-0000-000060040000}"/>
    <cellStyle name="20% - Accent1 4 2 3 3 2" xfId="12699" xr:uid="{00000000-0005-0000-0000-000061040000}"/>
    <cellStyle name="20% - Accent1 4 2 3 3 2 2" xfId="26411" xr:uid="{00000000-0005-0000-0000-000062040000}"/>
    <cellStyle name="20% - Accent1 4 2 3 3 3" xfId="17656" xr:uid="{00000000-0005-0000-0000-000063040000}"/>
    <cellStyle name="20% - Accent1 4 2 3 4" xfId="334" xr:uid="{00000000-0005-0000-0000-000064040000}"/>
    <cellStyle name="20% - Accent1 4 2 3 4 2" xfId="14546" xr:uid="{00000000-0005-0000-0000-000065040000}"/>
    <cellStyle name="20% - Accent1 4 2 3 4 2 2" xfId="28095" xr:uid="{00000000-0005-0000-0000-000066040000}"/>
    <cellStyle name="20% - Accent1 4 2 3 4 3" xfId="17657" xr:uid="{00000000-0005-0000-0000-000067040000}"/>
    <cellStyle name="20% - Accent1 4 2 3 5" xfId="335" xr:uid="{00000000-0005-0000-0000-000068040000}"/>
    <cellStyle name="20% - Accent1 4 2 3 5 2" xfId="16603" xr:uid="{00000000-0005-0000-0000-000069040000}"/>
    <cellStyle name="20% - Accent1 4 2 3 5 2 2" xfId="30010" xr:uid="{00000000-0005-0000-0000-00006A040000}"/>
    <cellStyle name="20% - Accent1 4 2 3 5 3" xfId="17658" xr:uid="{00000000-0005-0000-0000-00006B040000}"/>
    <cellStyle name="20% - Accent1 4 2 3 6" xfId="8863" xr:uid="{00000000-0005-0000-0000-00006C040000}"/>
    <cellStyle name="20% - Accent1 4 2 3 6 2" xfId="23338" xr:uid="{00000000-0005-0000-0000-00006D040000}"/>
    <cellStyle name="20% - Accent1 4 2 3 7" xfId="17654" xr:uid="{00000000-0005-0000-0000-00006E040000}"/>
    <cellStyle name="20% - Accent1 4 2 4" xfId="336" xr:uid="{00000000-0005-0000-0000-00006F040000}"/>
    <cellStyle name="20% - Accent1 4 2 4 2" xfId="337" xr:uid="{00000000-0005-0000-0000-000070040000}"/>
    <cellStyle name="20% - Accent1 4 2 4 2 2" xfId="14545" xr:uid="{00000000-0005-0000-0000-000071040000}"/>
    <cellStyle name="20% - Accent1 4 2 4 2 2 2" xfId="28094" xr:uid="{00000000-0005-0000-0000-000072040000}"/>
    <cellStyle name="20% - Accent1 4 2 4 2 3" xfId="17660" xr:uid="{00000000-0005-0000-0000-000073040000}"/>
    <cellStyle name="20% - Accent1 4 2 4 3" xfId="10585" xr:uid="{00000000-0005-0000-0000-000074040000}"/>
    <cellStyle name="20% - Accent1 4 2 4 3 2" xfId="24527" xr:uid="{00000000-0005-0000-0000-000075040000}"/>
    <cellStyle name="20% - Accent1 4 2 4 4" xfId="17659" xr:uid="{00000000-0005-0000-0000-000076040000}"/>
    <cellStyle name="20% - Accent1 4 2 5" xfId="338" xr:uid="{00000000-0005-0000-0000-000077040000}"/>
    <cellStyle name="20% - Accent1 4 2 5 2" xfId="11980" xr:uid="{00000000-0005-0000-0000-000078040000}"/>
    <cellStyle name="20% - Accent1 4 2 5 2 2" xfId="25695" xr:uid="{00000000-0005-0000-0000-000079040000}"/>
    <cellStyle name="20% - Accent1 4 2 5 3" xfId="17661" xr:uid="{00000000-0005-0000-0000-00007A040000}"/>
    <cellStyle name="20% - Accent1 4 2 6" xfId="339" xr:uid="{00000000-0005-0000-0000-00007B040000}"/>
    <cellStyle name="20% - Accent1 4 2 6 2" xfId="12620" xr:uid="{00000000-0005-0000-0000-00007C040000}"/>
    <cellStyle name="20% - Accent1 4 2 6 2 2" xfId="26332" xr:uid="{00000000-0005-0000-0000-00007D040000}"/>
    <cellStyle name="20% - Accent1 4 2 6 3" xfId="17662" xr:uid="{00000000-0005-0000-0000-00007E040000}"/>
    <cellStyle name="20% - Accent1 4 2 7" xfId="340" xr:uid="{00000000-0005-0000-0000-00007F040000}"/>
    <cellStyle name="20% - Accent1 4 2 7 2" xfId="13555" xr:uid="{00000000-0005-0000-0000-000080040000}"/>
    <cellStyle name="20% - Accent1 4 2 7 2 2" xfId="27104" xr:uid="{00000000-0005-0000-0000-000081040000}"/>
    <cellStyle name="20% - Accent1 4 2 7 3" xfId="17663" xr:uid="{00000000-0005-0000-0000-000082040000}"/>
    <cellStyle name="20% - Accent1 4 2 8" xfId="341" xr:uid="{00000000-0005-0000-0000-000083040000}"/>
    <cellStyle name="20% - Accent1 4 2 8 2" xfId="14136" xr:uid="{00000000-0005-0000-0000-000084040000}"/>
    <cellStyle name="20% - Accent1 4 2 8 2 2" xfId="27685" xr:uid="{00000000-0005-0000-0000-000085040000}"/>
    <cellStyle name="20% - Accent1 4 2 8 3" xfId="17664" xr:uid="{00000000-0005-0000-0000-000086040000}"/>
    <cellStyle name="20% - Accent1 4 2 9" xfId="342" xr:uid="{00000000-0005-0000-0000-000087040000}"/>
    <cellStyle name="20% - Accent1 4 2 9 2" xfId="14550" xr:uid="{00000000-0005-0000-0000-000088040000}"/>
    <cellStyle name="20% - Accent1 4 2 9 2 2" xfId="28099" xr:uid="{00000000-0005-0000-0000-000089040000}"/>
    <cellStyle name="20% - Accent1 4 2 9 3" xfId="17665" xr:uid="{00000000-0005-0000-0000-00008A040000}"/>
    <cellStyle name="20% - Accent1 4 3" xfId="343" xr:uid="{00000000-0005-0000-0000-00008B040000}"/>
    <cellStyle name="20% - Accent1 4 3 10" xfId="8864" xr:uid="{00000000-0005-0000-0000-00008C040000}"/>
    <cellStyle name="20% - Accent1 4 3 10 2" xfId="23339" xr:uid="{00000000-0005-0000-0000-00008D040000}"/>
    <cellStyle name="20% - Accent1 4 3 11" xfId="17666" xr:uid="{00000000-0005-0000-0000-00008E040000}"/>
    <cellStyle name="20% - Accent1 4 3 2" xfId="344" xr:uid="{00000000-0005-0000-0000-00008F040000}"/>
    <cellStyle name="20% - Accent1 4 3 2 2" xfId="345" xr:uid="{00000000-0005-0000-0000-000090040000}"/>
    <cellStyle name="20% - Accent1 4 3 2 2 2" xfId="10590" xr:uid="{00000000-0005-0000-0000-000091040000}"/>
    <cellStyle name="20% - Accent1 4 3 2 2 2 2" xfId="24532" xr:uid="{00000000-0005-0000-0000-000092040000}"/>
    <cellStyle name="20% - Accent1 4 3 2 2 3" xfId="17668" xr:uid="{00000000-0005-0000-0000-000093040000}"/>
    <cellStyle name="20% - Accent1 4 3 2 3" xfId="346" xr:uid="{00000000-0005-0000-0000-000094040000}"/>
    <cellStyle name="20% - Accent1 4 3 2 3 2" xfId="12570" xr:uid="{00000000-0005-0000-0000-000095040000}"/>
    <cellStyle name="20% - Accent1 4 3 2 3 2 2" xfId="26282" xr:uid="{00000000-0005-0000-0000-000096040000}"/>
    <cellStyle name="20% - Accent1 4 3 2 3 3" xfId="17669" xr:uid="{00000000-0005-0000-0000-000097040000}"/>
    <cellStyle name="20% - Accent1 4 3 2 4" xfId="347" xr:uid="{00000000-0005-0000-0000-000098040000}"/>
    <cellStyle name="20% - Accent1 4 3 2 4 2" xfId="14543" xr:uid="{00000000-0005-0000-0000-000099040000}"/>
    <cellStyle name="20% - Accent1 4 3 2 4 2 2" xfId="28092" xr:uid="{00000000-0005-0000-0000-00009A040000}"/>
    <cellStyle name="20% - Accent1 4 3 2 4 3" xfId="17670" xr:uid="{00000000-0005-0000-0000-00009B040000}"/>
    <cellStyle name="20% - Accent1 4 3 2 5" xfId="348" xr:uid="{00000000-0005-0000-0000-00009C040000}"/>
    <cellStyle name="20% - Accent1 4 3 2 5 2" xfId="16752" xr:uid="{00000000-0005-0000-0000-00009D040000}"/>
    <cellStyle name="20% - Accent1 4 3 2 5 2 2" xfId="30159" xr:uid="{00000000-0005-0000-0000-00009E040000}"/>
    <cellStyle name="20% - Accent1 4 3 2 5 3" xfId="17671" xr:uid="{00000000-0005-0000-0000-00009F040000}"/>
    <cellStyle name="20% - Accent1 4 3 2 6" xfId="8865" xr:uid="{00000000-0005-0000-0000-0000A0040000}"/>
    <cellStyle name="20% - Accent1 4 3 2 6 2" xfId="23340" xr:uid="{00000000-0005-0000-0000-0000A1040000}"/>
    <cellStyle name="20% - Accent1 4 3 2 7" xfId="17667" xr:uid="{00000000-0005-0000-0000-0000A2040000}"/>
    <cellStyle name="20% - Accent1 4 3 3" xfId="349" xr:uid="{00000000-0005-0000-0000-0000A3040000}"/>
    <cellStyle name="20% - Accent1 4 3 3 2" xfId="350" xr:uid="{00000000-0005-0000-0000-0000A4040000}"/>
    <cellStyle name="20% - Accent1 4 3 3 2 2" xfId="14542" xr:uid="{00000000-0005-0000-0000-0000A5040000}"/>
    <cellStyle name="20% - Accent1 4 3 3 2 2 2" xfId="28091" xr:uid="{00000000-0005-0000-0000-0000A6040000}"/>
    <cellStyle name="20% - Accent1 4 3 3 2 3" xfId="17673" xr:uid="{00000000-0005-0000-0000-0000A7040000}"/>
    <cellStyle name="20% - Accent1 4 3 3 3" xfId="10589" xr:uid="{00000000-0005-0000-0000-0000A8040000}"/>
    <cellStyle name="20% - Accent1 4 3 3 3 2" xfId="24531" xr:uid="{00000000-0005-0000-0000-0000A9040000}"/>
    <cellStyle name="20% - Accent1 4 3 3 4" xfId="17672" xr:uid="{00000000-0005-0000-0000-0000AA040000}"/>
    <cellStyle name="20% - Accent1 4 3 4" xfId="351" xr:uid="{00000000-0005-0000-0000-0000AB040000}"/>
    <cellStyle name="20% - Accent1 4 3 4 2" xfId="12140" xr:uid="{00000000-0005-0000-0000-0000AC040000}"/>
    <cellStyle name="20% - Accent1 4 3 4 2 2" xfId="25852" xr:uid="{00000000-0005-0000-0000-0000AD040000}"/>
    <cellStyle name="20% - Accent1 4 3 4 3" xfId="17674" xr:uid="{00000000-0005-0000-0000-0000AE040000}"/>
    <cellStyle name="20% - Accent1 4 3 5" xfId="352" xr:uid="{00000000-0005-0000-0000-0000AF040000}"/>
    <cellStyle name="20% - Accent1 4 3 5 2" xfId="12720" xr:uid="{00000000-0005-0000-0000-0000B0040000}"/>
    <cellStyle name="20% - Accent1 4 3 5 2 2" xfId="26432" xr:uid="{00000000-0005-0000-0000-0000B1040000}"/>
    <cellStyle name="20% - Accent1 4 3 5 3" xfId="17675" xr:uid="{00000000-0005-0000-0000-0000B2040000}"/>
    <cellStyle name="20% - Accent1 4 3 6" xfId="353" xr:uid="{00000000-0005-0000-0000-0000B3040000}"/>
    <cellStyle name="20% - Accent1 4 3 6 2" xfId="13704" xr:uid="{00000000-0005-0000-0000-0000B4040000}"/>
    <cellStyle name="20% - Accent1 4 3 6 2 2" xfId="27253" xr:uid="{00000000-0005-0000-0000-0000B5040000}"/>
    <cellStyle name="20% - Accent1 4 3 6 3" xfId="17676" xr:uid="{00000000-0005-0000-0000-0000B6040000}"/>
    <cellStyle name="20% - Accent1 4 3 7" xfId="354" xr:uid="{00000000-0005-0000-0000-0000B7040000}"/>
    <cellStyle name="20% - Accent1 4 3 7 2" xfId="14285" xr:uid="{00000000-0005-0000-0000-0000B8040000}"/>
    <cellStyle name="20% - Accent1 4 3 7 2 2" xfId="27834" xr:uid="{00000000-0005-0000-0000-0000B9040000}"/>
    <cellStyle name="20% - Accent1 4 3 7 3" xfId="17677" xr:uid="{00000000-0005-0000-0000-0000BA040000}"/>
    <cellStyle name="20% - Accent1 4 3 8" xfId="355" xr:uid="{00000000-0005-0000-0000-0000BB040000}"/>
    <cellStyle name="20% - Accent1 4 3 8 2" xfId="14544" xr:uid="{00000000-0005-0000-0000-0000BC040000}"/>
    <cellStyle name="20% - Accent1 4 3 8 2 2" xfId="28093" xr:uid="{00000000-0005-0000-0000-0000BD040000}"/>
    <cellStyle name="20% - Accent1 4 3 8 3" xfId="17678" xr:uid="{00000000-0005-0000-0000-0000BE040000}"/>
    <cellStyle name="20% - Accent1 4 3 9" xfId="356" xr:uid="{00000000-0005-0000-0000-0000BF040000}"/>
    <cellStyle name="20% - Accent1 4 3 9 2" xfId="16171" xr:uid="{00000000-0005-0000-0000-0000C0040000}"/>
    <cellStyle name="20% - Accent1 4 3 9 2 2" xfId="29578" xr:uid="{00000000-0005-0000-0000-0000C1040000}"/>
    <cellStyle name="20% - Accent1 4 3 9 3" xfId="17679" xr:uid="{00000000-0005-0000-0000-0000C2040000}"/>
    <cellStyle name="20% - Accent1 4 4" xfId="357" xr:uid="{00000000-0005-0000-0000-0000C3040000}"/>
    <cellStyle name="20% - Accent1 4 4 2" xfId="358" xr:uid="{00000000-0005-0000-0000-0000C4040000}"/>
    <cellStyle name="20% - Accent1 4 4 2 2" xfId="10591" xr:uid="{00000000-0005-0000-0000-0000C5040000}"/>
    <cellStyle name="20% - Accent1 4 4 2 2 2" xfId="24533" xr:uid="{00000000-0005-0000-0000-0000C6040000}"/>
    <cellStyle name="20% - Accent1 4 4 2 3" xfId="17681" xr:uid="{00000000-0005-0000-0000-0000C7040000}"/>
    <cellStyle name="20% - Accent1 4 4 3" xfId="359" xr:uid="{00000000-0005-0000-0000-0000C8040000}"/>
    <cellStyle name="20% - Accent1 4 4 3 2" xfId="12698" xr:uid="{00000000-0005-0000-0000-0000C9040000}"/>
    <cellStyle name="20% - Accent1 4 4 3 2 2" xfId="26410" xr:uid="{00000000-0005-0000-0000-0000CA040000}"/>
    <cellStyle name="20% - Accent1 4 4 3 3" xfId="17682" xr:uid="{00000000-0005-0000-0000-0000CB040000}"/>
    <cellStyle name="20% - Accent1 4 4 4" xfId="360" xr:uid="{00000000-0005-0000-0000-0000CC040000}"/>
    <cellStyle name="20% - Accent1 4 4 4 2" xfId="14541" xr:uid="{00000000-0005-0000-0000-0000CD040000}"/>
    <cellStyle name="20% - Accent1 4 4 4 2 2" xfId="28090" xr:uid="{00000000-0005-0000-0000-0000CE040000}"/>
    <cellStyle name="20% - Accent1 4 4 4 3" xfId="17683" xr:uid="{00000000-0005-0000-0000-0000CF040000}"/>
    <cellStyle name="20% - Accent1 4 4 5" xfId="361" xr:uid="{00000000-0005-0000-0000-0000D0040000}"/>
    <cellStyle name="20% - Accent1 4 4 5 2" xfId="16460" xr:uid="{00000000-0005-0000-0000-0000D1040000}"/>
    <cellStyle name="20% - Accent1 4 4 5 2 2" xfId="29867" xr:uid="{00000000-0005-0000-0000-0000D2040000}"/>
    <cellStyle name="20% - Accent1 4 4 5 3" xfId="17684" xr:uid="{00000000-0005-0000-0000-0000D3040000}"/>
    <cellStyle name="20% - Accent1 4 4 6" xfId="8866" xr:uid="{00000000-0005-0000-0000-0000D4040000}"/>
    <cellStyle name="20% - Accent1 4 4 6 2" xfId="23341" xr:uid="{00000000-0005-0000-0000-0000D5040000}"/>
    <cellStyle name="20% - Accent1 4 4 7" xfId="17680" xr:uid="{00000000-0005-0000-0000-0000D6040000}"/>
    <cellStyle name="20% - Accent1 4 5" xfId="362" xr:uid="{00000000-0005-0000-0000-0000D7040000}"/>
    <cellStyle name="20% - Accent1 4 5 2" xfId="363" xr:uid="{00000000-0005-0000-0000-0000D8040000}"/>
    <cellStyle name="20% - Accent1 4 5 2 2" xfId="14604" xr:uid="{00000000-0005-0000-0000-0000D9040000}"/>
    <cellStyle name="20% - Accent1 4 5 2 2 2" xfId="28153" xr:uid="{00000000-0005-0000-0000-0000DA040000}"/>
    <cellStyle name="20% - Accent1 4 5 2 3" xfId="17686" xr:uid="{00000000-0005-0000-0000-0000DB040000}"/>
    <cellStyle name="20% - Accent1 4 5 3" xfId="10584" xr:uid="{00000000-0005-0000-0000-0000DC040000}"/>
    <cellStyle name="20% - Accent1 4 5 3 2" xfId="24526" xr:uid="{00000000-0005-0000-0000-0000DD040000}"/>
    <cellStyle name="20% - Accent1 4 5 4" xfId="17685" xr:uid="{00000000-0005-0000-0000-0000DE040000}"/>
    <cellStyle name="20% - Accent1 4 6" xfId="364" xr:uid="{00000000-0005-0000-0000-0000DF040000}"/>
    <cellStyle name="20% - Accent1 4 6 2" xfId="11811" xr:uid="{00000000-0005-0000-0000-0000E0040000}"/>
    <cellStyle name="20% - Accent1 4 6 2 2" xfId="25526" xr:uid="{00000000-0005-0000-0000-0000E1040000}"/>
    <cellStyle name="20% - Accent1 4 6 3" xfId="17687" xr:uid="{00000000-0005-0000-0000-0000E2040000}"/>
    <cellStyle name="20% - Accent1 4 7" xfId="365" xr:uid="{00000000-0005-0000-0000-0000E3040000}"/>
    <cellStyle name="20% - Accent1 4 7 2" xfId="12716" xr:uid="{00000000-0005-0000-0000-0000E4040000}"/>
    <cellStyle name="20% - Accent1 4 7 2 2" xfId="26428" xr:uid="{00000000-0005-0000-0000-0000E5040000}"/>
    <cellStyle name="20% - Accent1 4 7 3" xfId="17688" xr:uid="{00000000-0005-0000-0000-0000E6040000}"/>
    <cellStyle name="20% - Accent1 4 8" xfId="366" xr:uid="{00000000-0005-0000-0000-0000E7040000}"/>
    <cellStyle name="20% - Accent1 4 8 2" xfId="13412" xr:uid="{00000000-0005-0000-0000-0000E8040000}"/>
    <cellStyle name="20% - Accent1 4 8 2 2" xfId="26961" xr:uid="{00000000-0005-0000-0000-0000E9040000}"/>
    <cellStyle name="20% - Accent1 4 8 3" xfId="17689" xr:uid="{00000000-0005-0000-0000-0000EA040000}"/>
    <cellStyle name="20% - Accent1 4 9" xfId="367" xr:uid="{00000000-0005-0000-0000-0000EB040000}"/>
    <cellStyle name="20% - Accent1 4 9 2" xfId="13993" xr:uid="{00000000-0005-0000-0000-0000EC040000}"/>
    <cellStyle name="20% - Accent1 4 9 2 2" xfId="27542" xr:uid="{00000000-0005-0000-0000-0000ED040000}"/>
    <cellStyle name="20% - Accent1 4 9 3" xfId="17690" xr:uid="{00000000-0005-0000-0000-0000EE040000}"/>
    <cellStyle name="20% - Accent1 5" xfId="368" xr:uid="{00000000-0005-0000-0000-0000EF040000}"/>
    <cellStyle name="20% - Accent1 5 10" xfId="369" xr:uid="{00000000-0005-0000-0000-0000F0040000}"/>
    <cellStyle name="20% - Accent1 5 10 2" xfId="14605" xr:uid="{00000000-0005-0000-0000-0000F1040000}"/>
    <cellStyle name="20% - Accent1 5 10 2 2" xfId="28154" xr:uid="{00000000-0005-0000-0000-0000F2040000}"/>
    <cellStyle name="20% - Accent1 5 10 3" xfId="17692" xr:uid="{00000000-0005-0000-0000-0000F3040000}"/>
    <cellStyle name="20% - Accent1 5 11" xfId="370" xr:uid="{00000000-0005-0000-0000-0000F4040000}"/>
    <cellStyle name="20% - Accent1 5 11 2" xfId="15862" xr:uid="{00000000-0005-0000-0000-0000F5040000}"/>
    <cellStyle name="20% - Accent1 5 11 2 2" xfId="29269" xr:uid="{00000000-0005-0000-0000-0000F6040000}"/>
    <cellStyle name="20% - Accent1 5 11 3" xfId="17693" xr:uid="{00000000-0005-0000-0000-0000F7040000}"/>
    <cellStyle name="20% - Accent1 5 12" xfId="8867" xr:uid="{00000000-0005-0000-0000-0000F8040000}"/>
    <cellStyle name="20% - Accent1 5 12 2" xfId="23342" xr:uid="{00000000-0005-0000-0000-0000F9040000}"/>
    <cellStyle name="20% - Accent1 5 13" xfId="17691" xr:uid="{00000000-0005-0000-0000-0000FA040000}"/>
    <cellStyle name="20% - Accent1 5 2" xfId="371" xr:uid="{00000000-0005-0000-0000-0000FB040000}"/>
    <cellStyle name="20% - Accent1 5 2 10" xfId="372" xr:uid="{00000000-0005-0000-0000-0000FC040000}"/>
    <cellStyle name="20% - Accent1 5 2 10 2" xfId="16005" xr:uid="{00000000-0005-0000-0000-0000FD040000}"/>
    <cellStyle name="20% - Accent1 5 2 10 2 2" xfId="29412" xr:uid="{00000000-0005-0000-0000-0000FE040000}"/>
    <cellStyle name="20% - Accent1 5 2 10 3" xfId="17695" xr:uid="{00000000-0005-0000-0000-0000FF040000}"/>
    <cellStyle name="20% - Accent1 5 2 11" xfId="8868" xr:uid="{00000000-0005-0000-0000-000000050000}"/>
    <cellStyle name="20% - Accent1 5 2 11 2" xfId="23343" xr:uid="{00000000-0005-0000-0000-000001050000}"/>
    <cellStyle name="20% - Accent1 5 2 12" xfId="17694" xr:uid="{00000000-0005-0000-0000-000002050000}"/>
    <cellStyle name="20% - Accent1 5 2 2" xfId="373" xr:uid="{00000000-0005-0000-0000-000003050000}"/>
    <cellStyle name="20% - Accent1 5 2 2 10" xfId="8869" xr:uid="{00000000-0005-0000-0000-000004050000}"/>
    <cellStyle name="20% - Accent1 5 2 2 10 2" xfId="23344" xr:uid="{00000000-0005-0000-0000-000005050000}"/>
    <cellStyle name="20% - Accent1 5 2 2 11" xfId="17696" xr:uid="{00000000-0005-0000-0000-000006050000}"/>
    <cellStyle name="20% - Accent1 5 2 2 2" xfId="374" xr:uid="{00000000-0005-0000-0000-000007050000}"/>
    <cellStyle name="20% - Accent1 5 2 2 2 2" xfId="375" xr:uid="{00000000-0005-0000-0000-000008050000}"/>
    <cellStyle name="20% - Accent1 5 2 2 2 2 2" xfId="10595" xr:uid="{00000000-0005-0000-0000-000009050000}"/>
    <cellStyle name="20% - Accent1 5 2 2 2 2 2 2" xfId="24537" xr:uid="{00000000-0005-0000-0000-00000A050000}"/>
    <cellStyle name="20% - Accent1 5 2 2 2 2 3" xfId="17698" xr:uid="{00000000-0005-0000-0000-00000B050000}"/>
    <cellStyle name="20% - Accent1 5 2 2 2 3" xfId="376" xr:uid="{00000000-0005-0000-0000-00000C050000}"/>
    <cellStyle name="20% - Accent1 5 2 2 2 3 2" xfId="12544" xr:uid="{00000000-0005-0000-0000-00000D050000}"/>
    <cellStyle name="20% - Accent1 5 2 2 2 3 2 2" xfId="26256" xr:uid="{00000000-0005-0000-0000-00000E050000}"/>
    <cellStyle name="20% - Accent1 5 2 2 2 3 3" xfId="17699" xr:uid="{00000000-0005-0000-0000-00000F050000}"/>
    <cellStyle name="20% - Accent1 5 2 2 2 4" xfId="377" xr:uid="{00000000-0005-0000-0000-000010050000}"/>
    <cellStyle name="20% - Accent1 5 2 2 2 4 2" xfId="14608" xr:uid="{00000000-0005-0000-0000-000011050000}"/>
    <cellStyle name="20% - Accent1 5 2 2 2 4 2 2" xfId="28157" xr:uid="{00000000-0005-0000-0000-000012050000}"/>
    <cellStyle name="20% - Accent1 5 2 2 2 4 3" xfId="17700" xr:uid="{00000000-0005-0000-0000-000013050000}"/>
    <cellStyle name="20% - Accent1 5 2 2 2 5" xfId="378" xr:uid="{00000000-0005-0000-0000-000014050000}"/>
    <cellStyle name="20% - Accent1 5 2 2 2 5 2" xfId="16875" xr:uid="{00000000-0005-0000-0000-000015050000}"/>
    <cellStyle name="20% - Accent1 5 2 2 2 5 2 2" xfId="30282" xr:uid="{00000000-0005-0000-0000-000016050000}"/>
    <cellStyle name="20% - Accent1 5 2 2 2 5 3" xfId="17701" xr:uid="{00000000-0005-0000-0000-000017050000}"/>
    <cellStyle name="20% - Accent1 5 2 2 2 6" xfId="8870" xr:uid="{00000000-0005-0000-0000-000018050000}"/>
    <cellStyle name="20% - Accent1 5 2 2 2 6 2" xfId="23345" xr:uid="{00000000-0005-0000-0000-000019050000}"/>
    <cellStyle name="20% - Accent1 5 2 2 2 7" xfId="17697" xr:uid="{00000000-0005-0000-0000-00001A050000}"/>
    <cellStyle name="20% - Accent1 5 2 2 3" xfId="379" xr:uid="{00000000-0005-0000-0000-00001B050000}"/>
    <cellStyle name="20% - Accent1 5 2 2 3 2" xfId="380" xr:uid="{00000000-0005-0000-0000-00001C050000}"/>
    <cellStyle name="20% - Accent1 5 2 2 3 2 2" xfId="14609" xr:uid="{00000000-0005-0000-0000-00001D050000}"/>
    <cellStyle name="20% - Accent1 5 2 2 3 2 2 2" xfId="28158" xr:uid="{00000000-0005-0000-0000-00001E050000}"/>
    <cellStyle name="20% - Accent1 5 2 2 3 2 3" xfId="17703" xr:uid="{00000000-0005-0000-0000-00001F050000}"/>
    <cellStyle name="20% - Accent1 5 2 2 3 3" xfId="10594" xr:uid="{00000000-0005-0000-0000-000020050000}"/>
    <cellStyle name="20% - Accent1 5 2 2 3 3 2" xfId="24536" xr:uid="{00000000-0005-0000-0000-000021050000}"/>
    <cellStyle name="20% - Accent1 5 2 2 3 4" xfId="17702" xr:uid="{00000000-0005-0000-0000-000022050000}"/>
    <cellStyle name="20% - Accent1 5 2 2 4" xfId="381" xr:uid="{00000000-0005-0000-0000-000023050000}"/>
    <cellStyle name="20% - Accent1 5 2 2 4 2" xfId="12263" xr:uid="{00000000-0005-0000-0000-000024050000}"/>
    <cellStyle name="20% - Accent1 5 2 2 4 2 2" xfId="25975" xr:uid="{00000000-0005-0000-0000-000025050000}"/>
    <cellStyle name="20% - Accent1 5 2 2 4 3" xfId="17704" xr:uid="{00000000-0005-0000-0000-000026050000}"/>
    <cellStyle name="20% - Accent1 5 2 2 5" xfId="382" xr:uid="{00000000-0005-0000-0000-000027050000}"/>
    <cellStyle name="20% - Accent1 5 2 2 5 2" xfId="12613" xr:uid="{00000000-0005-0000-0000-000028050000}"/>
    <cellStyle name="20% - Accent1 5 2 2 5 2 2" xfId="26325" xr:uid="{00000000-0005-0000-0000-000029050000}"/>
    <cellStyle name="20% - Accent1 5 2 2 5 3" xfId="17705" xr:uid="{00000000-0005-0000-0000-00002A050000}"/>
    <cellStyle name="20% - Accent1 5 2 2 6" xfId="383" xr:uid="{00000000-0005-0000-0000-00002B050000}"/>
    <cellStyle name="20% - Accent1 5 2 2 6 2" xfId="13827" xr:uid="{00000000-0005-0000-0000-00002C050000}"/>
    <cellStyle name="20% - Accent1 5 2 2 6 2 2" xfId="27376" xr:uid="{00000000-0005-0000-0000-00002D050000}"/>
    <cellStyle name="20% - Accent1 5 2 2 6 3" xfId="17706" xr:uid="{00000000-0005-0000-0000-00002E050000}"/>
    <cellStyle name="20% - Accent1 5 2 2 7" xfId="384" xr:uid="{00000000-0005-0000-0000-00002F050000}"/>
    <cellStyle name="20% - Accent1 5 2 2 7 2" xfId="14408" xr:uid="{00000000-0005-0000-0000-000030050000}"/>
    <cellStyle name="20% - Accent1 5 2 2 7 2 2" xfId="27957" xr:uid="{00000000-0005-0000-0000-000031050000}"/>
    <cellStyle name="20% - Accent1 5 2 2 7 3" xfId="17707" xr:uid="{00000000-0005-0000-0000-000032050000}"/>
    <cellStyle name="20% - Accent1 5 2 2 8" xfId="385" xr:uid="{00000000-0005-0000-0000-000033050000}"/>
    <cellStyle name="20% - Accent1 5 2 2 8 2" xfId="14607" xr:uid="{00000000-0005-0000-0000-000034050000}"/>
    <cellStyle name="20% - Accent1 5 2 2 8 2 2" xfId="28156" xr:uid="{00000000-0005-0000-0000-000035050000}"/>
    <cellStyle name="20% - Accent1 5 2 2 8 3" xfId="17708" xr:uid="{00000000-0005-0000-0000-000036050000}"/>
    <cellStyle name="20% - Accent1 5 2 2 9" xfId="386" xr:uid="{00000000-0005-0000-0000-000037050000}"/>
    <cellStyle name="20% - Accent1 5 2 2 9 2" xfId="16294" xr:uid="{00000000-0005-0000-0000-000038050000}"/>
    <cellStyle name="20% - Accent1 5 2 2 9 2 2" xfId="29701" xr:uid="{00000000-0005-0000-0000-000039050000}"/>
    <cellStyle name="20% - Accent1 5 2 2 9 3" xfId="17709" xr:uid="{00000000-0005-0000-0000-00003A050000}"/>
    <cellStyle name="20% - Accent1 5 2 3" xfId="387" xr:uid="{00000000-0005-0000-0000-00003B050000}"/>
    <cellStyle name="20% - Accent1 5 2 3 2" xfId="388" xr:uid="{00000000-0005-0000-0000-00003C050000}"/>
    <cellStyle name="20% - Accent1 5 2 3 2 2" xfId="10596" xr:uid="{00000000-0005-0000-0000-00003D050000}"/>
    <cellStyle name="20% - Accent1 5 2 3 2 2 2" xfId="24538" xr:uid="{00000000-0005-0000-0000-00003E050000}"/>
    <cellStyle name="20% - Accent1 5 2 3 2 3" xfId="17711" xr:uid="{00000000-0005-0000-0000-00003F050000}"/>
    <cellStyle name="20% - Accent1 5 2 3 3" xfId="389" xr:uid="{00000000-0005-0000-0000-000040050000}"/>
    <cellStyle name="20% - Accent1 5 2 3 3 2" xfId="12656" xr:uid="{00000000-0005-0000-0000-000041050000}"/>
    <cellStyle name="20% - Accent1 5 2 3 3 2 2" xfId="26368" xr:uid="{00000000-0005-0000-0000-000042050000}"/>
    <cellStyle name="20% - Accent1 5 2 3 3 3" xfId="17712" xr:uid="{00000000-0005-0000-0000-000043050000}"/>
    <cellStyle name="20% - Accent1 5 2 3 4" xfId="390" xr:uid="{00000000-0005-0000-0000-000044050000}"/>
    <cellStyle name="20% - Accent1 5 2 3 4 2" xfId="14610" xr:uid="{00000000-0005-0000-0000-000045050000}"/>
    <cellStyle name="20% - Accent1 5 2 3 4 2 2" xfId="28159" xr:uid="{00000000-0005-0000-0000-000046050000}"/>
    <cellStyle name="20% - Accent1 5 2 3 4 3" xfId="17713" xr:uid="{00000000-0005-0000-0000-000047050000}"/>
    <cellStyle name="20% - Accent1 5 2 3 5" xfId="391" xr:uid="{00000000-0005-0000-0000-000048050000}"/>
    <cellStyle name="20% - Accent1 5 2 3 5 2" xfId="16586" xr:uid="{00000000-0005-0000-0000-000049050000}"/>
    <cellStyle name="20% - Accent1 5 2 3 5 2 2" xfId="29993" xr:uid="{00000000-0005-0000-0000-00004A050000}"/>
    <cellStyle name="20% - Accent1 5 2 3 5 3" xfId="17714" xr:uid="{00000000-0005-0000-0000-00004B050000}"/>
    <cellStyle name="20% - Accent1 5 2 3 6" xfId="8871" xr:uid="{00000000-0005-0000-0000-00004C050000}"/>
    <cellStyle name="20% - Accent1 5 2 3 6 2" xfId="23346" xr:uid="{00000000-0005-0000-0000-00004D050000}"/>
    <cellStyle name="20% - Accent1 5 2 3 7" xfId="17710" xr:uid="{00000000-0005-0000-0000-00004E050000}"/>
    <cellStyle name="20% - Accent1 5 2 4" xfId="392" xr:uid="{00000000-0005-0000-0000-00004F050000}"/>
    <cellStyle name="20% - Accent1 5 2 4 2" xfId="393" xr:uid="{00000000-0005-0000-0000-000050050000}"/>
    <cellStyle name="20% - Accent1 5 2 4 2 2" xfId="14611" xr:uid="{00000000-0005-0000-0000-000051050000}"/>
    <cellStyle name="20% - Accent1 5 2 4 2 2 2" xfId="28160" xr:uid="{00000000-0005-0000-0000-000052050000}"/>
    <cellStyle name="20% - Accent1 5 2 4 2 3" xfId="17716" xr:uid="{00000000-0005-0000-0000-000053050000}"/>
    <cellStyle name="20% - Accent1 5 2 4 3" xfId="10593" xr:uid="{00000000-0005-0000-0000-000054050000}"/>
    <cellStyle name="20% - Accent1 5 2 4 3 2" xfId="24535" xr:uid="{00000000-0005-0000-0000-000055050000}"/>
    <cellStyle name="20% - Accent1 5 2 4 4" xfId="17715" xr:uid="{00000000-0005-0000-0000-000056050000}"/>
    <cellStyle name="20% - Accent1 5 2 5" xfId="394" xr:uid="{00000000-0005-0000-0000-000057050000}"/>
    <cellStyle name="20% - Accent1 5 2 5 2" xfId="11963" xr:uid="{00000000-0005-0000-0000-000058050000}"/>
    <cellStyle name="20% - Accent1 5 2 5 2 2" xfId="25678" xr:uid="{00000000-0005-0000-0000-000059050000}"/>
    <cellStyle name="20% - Accent1 5 2 5 3" xfId="17717" xr:uid="{00000000-0005-0000-0000-00005A050000}"/>
    <cellStyle name="20% - Accent1 5 2 6" xfId="395" xr:uid="{00000000-0005-0000-0000-00005B050000}"/>
    <cellStyle name="20% - Accent1 5 2 6 2" xfId="12114" xr:uid="{00000000-0005-0000-0000-00005C050000}"/>
    <cellStyle name="20% - Accent1 5 2 6 2 2" xfId="25826" xr:uid="{00000000-0005-0000-0000-00005D050000}"/>
    <cellStyle name="20% - Accent1 5 2 6 3" xfId="17718" xr:uid="{00000000-0005-0000-0000-00005E050000}"/>
    <cellStyle name="20% - Accent1 5 2 7" xfId="396" xr:uid="{00000000-0005-0000-0000-00005F050000}"/>
    <cellStyle name="20% - Accent1 5 2 7 2" xfId="13538" xr:uid="{00000000-0005-0000-0000-000060050000}"/>
    <cellStyle name="20% - Accent1 5 2 7 2 2" xfId="27087" xr:uid="{00000000-0005-0000-0000-000061050000}"/>
    <cellStyle name="20% - Accent1 5 2 7 3" xfId="17719" xr:uid="{00000000-0005-0000-0000-000062050000}"/>
    <cellStyle name="20% - Accent1 5 2 8" xfId="397" xr:uid="{00000000-0005-0000-0000-000063050000}"/>
    <cellStyle name="20% - Accent1 5 2 8 2" xfId="14119" xr:uid="{00000000-0005-0000-0000-000064050000}"/>
    <cellStyle name="20% - Accent1 5 2 8 2 2" xfId="27668" xr:uid="{00000000-0005-0000-0000-000065050000}"/>
    <cellStyle name="20% - Accent1 5 2 8 3" xfId="17720" xr:uid="{00000000-0005-0000-0000-000066050000}"/>
    <cellStyle name="20% - Accent1 5 2 9" xfId="398" xr:uid="{00000000-0005-0000-0000-000067050000}"/>
    <cellStyle name="20% - Accent1 5 2 9 2" xfId="14606" xr:uid="{00000000-0005-0000-0000-000068050000}"/>
    <cellStyle name="20% - Accent1 5 2 9 2 2" xfId="28155" xr:uid="{00000000-0005-0000-0000-000069050000}"/>
    <cellStyle name="20% - Accent1 5 2 9 3" xfId="17721" xr:uid="{00000000-0005-0000-0000-00006A050000}"/>
    <cellStyle name="20% - Accent1 5 3" xfId="399" xr:uid="{00000000-0005-0000-0000-00006B050000}"/>
    <cellStyle name="20% - Accent1 5 3 10" xfId="8872" xr:uid="{00000000-0005-0000-0000-00006C050000}"/>
    <cellStyle name="20% - Accent1 5 3 10 2" xfId="23347" xr:uid="{00000000-0005-0000-0000-00006D050000}"/>
    <cellStyle name="20% - Accent1 5 3 11" xfId="17722" xr:uid="{00000000-0005-0000-0000-00006E050000}"/>
    <cellStyle name="20% - Accent1 5 3 2" xfId="400" xr:uid="{00000000-0005-0000-0000-00006F050000}"/>
    <cellStyle name="20% - Accent1 5 3 2 2" xfId="401" xr:uid="{00000000-0005-0000-0000-000070050000}"/>
    <cellStyle name="20% - Accent1 5 3 2 2 2" xfId="10598" xr:uid="{00000000-0005-0000-0000-000071050000}"/>
    <cellStyle name="20% - Accent1 5 3 2 2 2 2" xfId="24540" xr:uid="{00000000-0005-0000-0000-000072050000}"/>
    <cellStyle name="20% - Accent1 5 3 2 2 3" xfId="17724" xr:uid="{00000000-0005-0000-0000-000073050000}"/>
    <cellStyle name="20% - Accent1 5 3 2 3" xfId="402" xr:uid="{00000000-0005-0000-0000-000074050000}"/>
    <cellStyle name="20% - Accent1 5 3 2 3 2" xfId="12464" xr:uid="{00000000-0005-0000-0000-000075050000}"/>
    <cellStyle name="20% - Accent1 5 3 2 3 2 2" xfId="26176" xr:uid="{00000000-0005-0000-0000-000076050000}"/>
    <cellStyle name="20% - Accent1 5 3 2 3 3" xfId="17725" xr:uid="{00000000-0005-0000-0000-000077050000}"/>
    <cellStyle name="20% - Accent1 5 3 2 4" xfId="403" xr:uid="{00000000-0005-0000-0000-000078050000}"/>
    <cellStyle name="20% - Accent1 5 3 2 4 2" xfId="14613" xr:uid="{00000000-0005-0000-0000-000079050000}"/>
    <cellStyle name="20% - Accent1 5 3 2 4 2 2" xfId="28162" xr:uid="{00000000-0005-0000-0000-00007A050000}"/>
    <cellStyle name="20% - Accent1 5 3 2 4 3" xfId="17726" xr:uid="{00000000-0005-0000-0000-00007B050000}"/>
    <cellStyle name="20% - Accent1 5 3 2 5" xfId="404" xr:uid="{00000000-0005-0000-0000-00007C050000}"/>
    <cellStyle name="20% - Accent1 5 3 2 5 2" xfId="16725" xr:uid="{00000000-0005-0000-0000-00007D050000}"/>
    <cellStyle name="20% - Accent1 5 3 2 5 2 2" xfId="30132" xr:uid="{00000000-0005-0000-0000-00007E050000}"/>
    <cellStyle name="20% - Accent1 5 3 2 5 3" xfId="17727" xr:uid="{00000000-0005-0000-0000-00007F050000}"/>
    <cellStyle name="20% - Accent1 5 3 2 6" xfId="8873" xr:uid="{00000000-0005-0000-0000-000080050000}"/>
    <cellStyle name="20% - Accent1 5 3 2 6 2" xfId="23348" xr:uid="{00000000-0005-0000-0000-000081050000}"/>
    <cellStyle name="20% - Accent1 5 3 2 7" xfId="17723" xr:uid="{00000000-0005-0000-0000-000082050000}"/>
    <cellStyle name="20% - Accent1 5 3 3" xfId="405" xr:uid="{00000000-0005-0000-0000-000083050000}"/>
    <cellStyle name="20% - Accent1 5 3 3 2" xfId="406" xr:uid="{00000000-0005-0000-0000-000084050000}"/>
    <cellStyle name="20% - Accent1 5 3 3 2 2" xfId="14614" xr:uid="{00000000-0005-0000-0000-000085050000}"/>
    <cellStyle name="20% - Accent1 5 3 3 2 2 2" xfId="28163" xr:uid="{00000000-0005-0000-0000-000086050000}"/>
    <cellStyle name="20% - Accent1 5 3 3 2 3" xfId="17729" xr:uid="{00000000-0005-0000-0000-000087050000}"/>
    <cellStyle name="20% - Accent1 5 3 3 3" xfId="10597" xr:uid="{00000000-0005-0000-0000-000088050000}"/>
    <cellStyle name="20% - Accent1 5 3 3 3 2" xfId="24539" xr:uid="{00000000-0005-0000-0000-000089050000}"/>
    <cellStyle name="20% - Accent1 5 3 3 4" xfId="17728" xr:uid="{00000000-0005-0000-0000-00008A050000}"/>
    <cellStyle name="20% - Accent1 5 3 4" xfId="407" xr:uid="{00000000-0005-0000-0000-00008B050000}"/>
    <cellStyle name="20% - Accent1 5 3 4 2" xfId="12105" xr:uid="{00000000-0005-0000-0000-00008C050000}"/>
    <cellStyle name="20% - Accent1 5 3 4 2 2" xfId="25817" xr:uid="{00000000-0005-0000-0000-00008D050000}"/>
    <cellStyle name="20% - Accent1 5 3 4 3" xfId="17730" xr:uid="{00000000-0005-0000-0000-00008E050000}"/>
    <cellStyle name="20% - Accent1 5 3 5" xfId="408" xr:uid="{00000000-0005-0000-0000-00008F050000}"/>
    <cellStyle name="20% - Accent1 5 3 5 2" xfId="12434" xr:uid="{00000000-0005-0000-0000-000090050000}"/>
    <cellStyle name="20% - Accent1 5 3 5 2 2" xfId="26146" xr:uid="{00000000-0005-0000-0000-000091050000}"/>
    <cellStyle name="20% - Accent1 5 3 5 3" xfId="17731" xr:uid="{00000000-0005-0000-0000-000092050000}"/>
    <cellStyle name="20% - Accent1 5 3 6" xfId="409" xr:uid="{00000000-0005-0000-0000-000093050000}"/>
    <cellStyle name="20% - Accent1 5 3 6 2" xfId="13677" xr:uid="{00000000-0005-0000-0000-000094050000}"/>
    <cellStyle name="20% - Accent1 5 3 6 2 2" xfId="27226" xr:uid="{00000000-0005-0000-0000-000095050000}"/>
    <cellStyle name="20% - Accent1 5 3 6 3" xfId="17732" xr:uid="{00000000-0005-0000-0000-000096050000}"/>
    <cellStyle name="20% - Accent1 5 3 7" xfId="410" xr:uid="{00000000-0005-0000-0000-000097050000}"/>
    <cellStyle name="20% - Accent1 5 3 7 2" xfId="14258" xr:uid="{00000000-0005-0000-0000-000098050000}"/>
    <cellStyle name="20% - Accent1 5 3 7 2 2" xfId="27807" xr:uid="{00000000-0005-0000-0000-000099050000}"/>
    <cellStyle name="20% - Accent1 5 3 7 3" xfId="17733" xr:uid="{00000000-0005-0000-0000-00009A050000}"/>
    <cellStyle name="20% - Accent1 5 3 8" xfId="411" xr:uid="{00000000-0005-0000-0000-00009B050000}"/>
    <cellStyle name="20% - Accent1 5 3 8 2" xfId="14612" xr:uid="{00000000-0005-0000-0000-00009C050000}"/>
    <cellStyle name="20% - Accent1 5 3 8 2 2" xfId="28161" xr:uid="{00000000-0005-0000-0000-00009D050000}"/>
    <cellStyle name="20% - Accent1 5 3 8 3" xfId="17734" xr:uid="{00000000-0005-0000-0000-00009E050000}"/>
    <cellStyle name="20% - Accent1 5 3 9" xfId="412" xr:uid="{00000000-0005-0000-0000-00009F050000}"/>
    <cellStyle name="20% - Accent1 5 3 9 2" xfId="16144" xr:uid="{00000000-0005-0000-0000-0000A0050000}"/>
    <cellStyle name="20% - Accent1 5 3 9 2 2" xfId="29551" xr:uid="{00000000-0005-0000-0000-0000A1050000}"/>
    <cellStyle name="20% - Accent1 5 3 9 3" xfId="17735" xr:uid="{00000000-0005-0000-0000-0000A2050000}"/>
    <cellStyle name="20% - Accent1 5 4" xfId="413" xr:uid="{00000000-0005-0000-0000-0000A3050000}"/>
    <cellStyle name="20% - Accent1 5 4 2" xfId="414" xr:uid="{00000000-0005-0000-0000-0000A4050000}"/>
    <cellStyle name="20% - Accent1 5 4 2 2" xfId="10599" xr:uid="{00000000-0005-0000-0000-0000A5050000}"/>
    <cellStyle name="20% - Accent1 5 4 2 2 2" xfId="24541" xr:uid="{00000000-0005-0000-0000-0000A6050000}"/>
    <cellStyle name="20% - Accent1 5 4 2 3" xfId="17737" xr:uid="{00000000-0005-0000-0000-0000A7050000}"/>
    <cellStyle name="20% - Accent1 5 4 3" xfId="415" xr:uid="{00000000-0005-0000-0000-0000A8050000}"/>
    <cellStyle name="20% - Accent1 5 4 3 2" xfId="12428" xr:uid="{00000000-0005-0000-0000-0000A9050000}"/>
    <cellStyle name="20% - Accent1 5 4 3 2 2" xfId="26140" xr:uid="{00000000-0005-0000-0000-0000AA050000}"/>
    <cellStyle name="20% - Accent1 5 4 3 3" xfId="17738" xr:uid="{00000000-0005-0000-0000-0000AB050000}"/>
    <cellStyle name="20% - Accent1 5 4 4" xfId="416" xr:uid="{00000000-0005-0000-0000-0000AC050000}"/>
    <cellStyle name="20% - Accent1 5 4 4 2" xfId="14619" xr:uid="{00000000-0005-0000-0000-0000AD050000}"/>
    <cellStyle name="20% - Accent1 5 4 4 2 2" xfId="28168" xr:uid="{00000000-0005-0000-0000-0000AE050000}"/>
    <cellStyle name="20% - Accent1 5 4 4 3" xfId="17739" xr:uid="{00000000-0005-0000-0000-0000AF050000}"/>
    <cellStyle name="20% - Accent1 5 4 5" xfId="417" xr:uid="{00000000-0005-0000-0000-0000B0050000}"/>
    <cellStyle name="20% - Accent1 5 4 5 2" xfId="16443" xr:uid="{00000000-0005-0000-0000-0000B1050000}"/>
    <cellStyle name="20% - Accent1 5 4 5 2 2" xfId="29850" xr:uid="{00000000-0005-0000-0000-0000B2050000}"/>
    <cellStyle name="20% - Accent1 5 4 5 3" xfId="17740" xr:uid="{00000000-0005-0000-0000-0000B3050000}"/>
    <cellStyle name="20% - Accent1 5 4 6" xfId="8874" xr:uid="{00000000-0005-0000-0000-0000B4050000}"/>
    <cellStyle name="20% - Accent1 5 4 6 2" xfId="23349" xr:uid="{00000000-0005-0000-0000-0000B5050000}"/>
    <cellStyle name="20% - Accent1 5 4 7" xfId="17736" xr:uid="{00000000-0005-0000-0000-0000B6050000}"/>
    <cellStyle name="20% - Accent1 5 5" xfId="418" xr:uid="{00000000-0005-0000-0000-0000B7050000}"/>
    <cellStyle name="20% - Accent1 5 5 2" xfId="419" xr:uid="{00000000-0005-0000-0000-0000B8050000}"/>
    <cellStyle name="20% - Accent1 5 5 2 2" xfId="14620" xr:uid="{00000000-0005-0000-0000-0000B9050000}"/>
    <cellStyle name="20% - Accent1 5 5 2 2 2" xfId="28169" xr:uid="{00000000-0005-0000-0000-0000BA050000}"/>
    <cellStyle name="20% - Accent1 5 5 2 3" xfId="17742" xr:uid="{00000000-0005-0000-0000-0000BB050000}"/>
    <cellStyle name="20% - Accent1 5 5 3" xfId="10592" xr:uid="{00000000-0005-0000-0000-0000BC050000}"/>
    <cellStyle name="20% - Accent1 5 5 3 2" xfId="24534" xr:uid="{00000000-0005-0000-0000-0000BD050000}"/>
    <cellStyle name="20% - Accent1 5 5 4" xfId="17741" xr:uid="{00000000-0005-0000-0000-0000BE050000}"/>
    <cellStyle name="20% - Accent1 5 6" xfId="420" xr:uid="{00000000-0005-0000-0000-0000BF050000}"/>
    <cellStyle name="20% - Accent1 5 6 2" xfId="11794" xr:uid="{00000000-0005-0000-0000-0000C0050000}"/>
    <cellStyle name="20% - Accent1 5 6 2 2" xfId="25509" xr:uid="{00000000-0005-0000-0000-0000C1050000}"/>
    <cellStyle name="20% - Accent1 5 6 3" xfId="17743" xr:uid="{00000000-0005-0000-0000-0000C2050000}"/>
    <cellStyle name="20% - Accent1 5 7" xfId="421" xr:uid="{00000000-0005-0000-0000-0000C3050000}"/>
    <cellStyle name="20% - Accent1 5 7 2" xfId="12556" xr:uid="{00000000-0005-0000-0000-0000C4050000}"/>
    <cellStyle name="20% - Accent1 5 7 2 2" xfId="26268" xr:uid="{00000000-0005-0000-0000-0000C5050000}"/>
    <cellStyle name="20% - Accent1 5 7 3" xfId="17744" xr:uid="{00000000-0005-0000-0000-0000C6050000}"/>
    <cellStyle name="20% - Accent1 5 8" xfId="422" xr:uid="{00000000-0005-0000-0000-0000C7050000}"/>
    <cellStyle name="20% - Accent1 5 8 2" xfId="13395" xr:uid="{00000000-0005-0000-0000-0000C8050000}"/>
    <cellStyle name="20% - Accent1 5 8 2 2" xfId="26944" xr:uid="{00000000-0005-0000-0000-0000C9050000}"/>
    <cellStyle name="20% - Accent1 5 8 3" xfId="17745" xr:uid="{00000000-0005-0000-0000-0000CA050000}"/>
    <cellStyle name="20% - Accent1 5 9" xfId="423" xr:uid="{00000000-0005-0000-0000-0000CB050000}"/>
    <cellStyle name="20% - Accent1 5 9 2" xfId="13976" xr:uid="{00000000-0005-0000-0000-0000CC050000}"/>
    <cellStyle name="20% - Accent1 5 9 2 2" xfId="27525" xr:uid="{00000000-0005-0000-0000-0000CD050000}"/>
    <cellStyle name="20% - Accent1 5 9 3" xfId="17746" xr:uid="{00000000-0005-0000-0000-0000CE050000}"/>
    <cellStyle name="20% - Accent1 6" xfId="424" xr:uid="{00000000-0005-0000-0000-0000CF050000}"/>
    <cellStyle name="20% - Accent1 6 10" xfId="425" xr:uid="{00000000-0005-0000-0000-0000D0050000}"/>
    <cellStyle name="20% - Accent1 6 10 2" xfId="14621" xr:uid="{00000000-0005-0000-0000-0000D1050000}"/>
    <cellStyle name="20% - Accent1 6 10 2 2" xfId="28170" xr:uid="{00000000-0005-0000-0000-0000D2050000}"/>
    <cellStyle name="20% - Accent1 6 10 3" xfId="17748" xr:uid="{00000000-0005-0000-0000-0000D3050000}"/>
    <cellStyle name="20% - Accent1 6 11" xfId="426" xr:uid="{00000000-0005-0000-0000-0000D4050000}"/>
    <cellStyle name="20% - Accent1 6 11 2" xfId="15968" xr:uid="{00000000-0005-0000-0000-0000D5050000}"/>
    <cellStyle name="20% - Accent1 6 11 2 2" xfId="29375" xr:uid="{00000000-0005-0000-0000-0000D6050000}"/>
    <cellStyle name="20% - Accent1 6 11 3" xfId="17749" xr:uid="{00000000-0005-0000-0000-0000D7050000}"/>
    <cellStyle name="20% - Accent1 6 12" xfId="8875" xr:uid="{00000000-0005-0000-0000-0000D8050000}"/>
    <cellStyle name="20% - Accent1 6 12 2" xfId="23350" xr:uid="{00000000-0005-0000-0000-0000D9050000}"/>
    <cellStyle name="20% - Accent1 6 13" xfId="17747" xr:uid="{00000000-0005-0000-0000-0000DA050000}"/>
    <cellStyle name="20% - Accent1 6 2" xfId="427" xr:uid="{00000000-0005-0000-0000-0000DB050000}"/>
    <cellStyle name="20% - Accent1 6 2 10" xfId="428" xr:uid="{00000000-0005-0000-0000-0000DC050000}"/>
    <cellStyle name="20% - Accent1 6 2 10 2" xfId="16111" xr:uid="{00000000-0005-0000-0000-0000DD050000}"/>
    <cellStyle name="20% - Accent1 6 2 10 2 2" xfId="29518" xr:uid="{00000000-0005-0000-0000-0000DE050000}"/>
    <cellStyle name="20% - Accent1 6 2 10 3" xfId="17751" xr:uid="{00000000-0005-0000-0000-0000DF050000}"/>
    <cellStyle name="20% - Accent1 6 2 11" xfId="8876" xr:uid="{00000000-0005-0000-0000-0000E0050000}"/>
    <cellStyle name="20% - Accent1 6 2 11 2" xfId="23351" xr:uid="{00000000-0005-0000-0000-0000E1050000}"/>
    <cellStyle name="20% - Accent1 6 2 12" xfId="17750" xr:uid="{00000000-0005-0000-0000-0000E2050000}"/>
    <cellStyle name="20% - Accent1 6 2 2" xfId="429" xr:uid="{00000000-0005-0000-0000-0000E3050000}"/>
    <cellStyle name="20% - Accent1 6 2 2 10" xfId="8877" xr:uid="{00000000-0005-0000-0000-0000E4050000}"/>
    <cellStyle name="20% - Accent1 6 2 2 10 2" xfId="23352" xr:uid="{00000000-0005-0000-0000-0000E5050000}"/>
    <cellStyle name="20% - Accent1 6 2 2 11" xfId="17752" xr:uid="{00000000-0005-0000-0000-0000E6050000}"/>
    <cellStyle name="20% - Accent1 6 2 2 2" xfId="430" xr:uid="{00000000-0005-0000-0000-0000E7050000}"/>
    <cellStyle name="20% - Accent1 6 2 2 2 2" xfId="431" xr:uid="{00000000-0005-0000-0000-0000E8050000}"/>
    <cellStyle name="20% - Accent1 6 2 2 2 2 2" xfId="10603" xr:uid="{00000000-0005-0000-0000-0000E9050000}"/>
    <cellStyle name="20% - Accent1 6 2 2 2 2 2 2" xfId="24545" xr:uid="{00000000-0005-0000-0000-0000EA050000}"/>
    <cellStyle name="20% - Accent1 6 2 2 2 2 3" xfId="17754" xr:uid="{00000000-0005-0000-0000-0000EB050000}"/>
    <cellStyle name="20% - Accent1 6 2 2 2 3" xfId="432" xr:uid="{00000000-0005-0000-0000-0000EC050000}"/>
    <cellStyle name="20% - Accent1 6 2 2 2 3 2" xfId="12811" xr:uid="{00000000-0005-0000-0000-0000ED050000}"/>
    <cellStyle name="20% - Accent1 6 2 2 2 3 2 2" xfId="26523" xr:uid="{00000000-0005-0000-0000-0000EE050000}"/>
    <cellStyle name="20% - Accent1 6 2 2 2 3 3" xfId="17755" xr:uid="{00000000-0005-0000-0000-0000EF050000}"/>
    <cellStyle name="20% - Accent1 6 2 2 2 4" xfId="433" xr:uid="{00000000-0005-0000-0000-0000F0050000}"/>
    <cellStyle name="20% - Accent1 6 2 2 2 4 2" xfId="14624" xr:uid="{00000000-0005-0000-0000-0000F1050000}"/>
    <cellStyle name="20% - Accent1 6 2 2 2 4 2 2" xfId="28173" xr:uid="{00000000-0005-0000-0000-0000F2050000}"/>
    <cellStyle name="20% - Accent1 6 2 2 2 4 3" xfId="17756" xr:uid="{00000000-0005-0000-0000-0000F3050000}"/>
    <cellStyle name="20% - Accent1 6 2 2 2 5" xfId="434" xr:uid="{00000000-0005-0000-0000-0000F4050000}"/>
    <cellStyle name="20% - Accent1 6 2 2 2 5 2" xfId="16981" xr:uid="{00000000-0005-0000-0000-0000F5050000}"/>
    <cellStyle name="20% - Accent1 6 2 2 2 5 2 2" xfId="30388" xr:uid="{00000000-0005-0000-0000-0000F6050000}"/>
    <cellStyle name="20% - Accent1 6 2 2 2 5 3" xfId="17757" xr:uid="{00000000-0005-0000-0000-0000F7050000}"/>
    <cellStyle name="20% - Accent1 6 2 2 2 6" xfId="8878" xr:uid="{00000000-0005-0000-0000-0000F8050000}"/>
    <cellStyle name="20% - Accent1 6 2 2 2 6 2" xfId="23353" xr:uid="{00000000-0005-0000-0000-0000F9050000}"/>
    <cellStyle name="20% - Accent1 6 2 2 2 7" xfId="17753" xr:uid="{00000000-0005-0000-0000-0000FA050000}"/>
    <cellStyle name="20% - Accent1 6 2 2 3" xfId="435" xr:uid="{00000000-0005-0000-0000-0000FB050000}"/>
    <cellStyle name="20% - Accent1 6 2 2 3 2" xfId="436" xr:uid="{00000000-0005-0000-0000-0000FC050000}"/>
    <cellStyle name="20% - Accent1 6 2 2 3 2 2" xfId="14625" xr:uid="{00000000-0005-0000-0000-0000FD050000}"/>
    <cellStyle name="20% - Accent1 6 2 2 3 2 2 2" xfId="28174" xr:uid="{00000000-0005-0000-0000-0000FE050000}"/>
    <cellStyle name="20% - Accent1 6 2 2 3 2 3" xfId="17759" xr:uid="{00000000-0005-0000-0000-0000FF050000}"/>
    <cellStyle name="20% - Accent1 6 2 2 3 3" xfId="10602" xr:uid="{00000000-0005-0000-0000-000000060000}"/>
    <cellStyle name="20% - Accent1 6 2 2 3 3 2" xfId="24544" xr:uid="{00000000-0005-0000-0000-000001060000}"/>
    <cellStyle name="20% - Accent1 6 2 2 3 4" xfId="17758" xr:uid="{00000000-0005-0000-0000-000002060000}"/>
    <cellStyle name="20% - Accent1 6 2 2 4" xfId="437" xr:uid="{00000000-0005-0000-0000-000003060000}"/>
    <cellStyle name="20% - Accent1 6 2 2 4 2" xfId="12369" xr:uid="{00000000-0005-0000-0000-000004060000}"/>
    <cellStyle name="20% - Accent1 6 2 2 4 2 2" xfId="26081" xr:uid="{00000000-0005-0000-0000-000005060000}"/>
    <cellStyle name="20% - Accent1 6 2 2 4 3" xfId="17760" xr:uid="{00000000-0005-0000-0000-000006060000}"/>
    <cellStyle name="20% - Accent1 6 2 2 5" xfId="438" xr:uid="{00000000-0005-0000-0000-000007060000}"/>
    <cellStyle name="20% - Accent1 6 2 2 5 2" xfId="12801" xr:uid="{00000000-0005-0000-0000-000008060000}"/>
    <cellStyle name="20% - Accent1 6 2 2 5 2 2" xfId="26513" xr:uid="{00000000-0005-0000-0000-000009060000}"/>
    <cellStyle name="20% - Accent1 6 2 2 5 3" xfId="17761" xr:uid="{00000000-0005-0000-0000-00000A060000}"/>
    <cellStyle name="20% - Accent1 6 2 2 6" xfId="439" xr:uid="{00000000-0005-0000-0000-00000B060000}"/>
    <cellStyle name="20% - Accent1 6 2 2 6 2" xfId="13933" xr:uid="{00000000-0005-0000-0000-00000C060000}"/>
    <cellStyle name="20% - Accent1 6 2 2 6 2 2" xfId="27482" xr:uid="{00000000-0005-0000-0000-00000D060000}"/>
    <cellStyle name="20% - Accent1 6 2 2 6 3" xfId="17762" xr:uid="{00000000-0005-0000-0000-00000E060000}"/>
    <cellStyle name="20% - Accent1 6 2 2 7" xfId="440" xr:uid="{00000000-0005-0000-0000-00000F060000}"/>
    <cellStyle name="20% - Accent1 6 2 2 7 2" xfId="14514" xr:uid="{00000000-0005-0000-0000-000010060000}"/>
    <cellStyle name="20% - Accent1 6 2 2 7 2 2" xfId="28063" xr:uid="{00000000-0005-0000-0000-000011060000}"/>
    <cellStyle name="20% - Accent1 6 2 2 7 3" xfId="17763" xr:uid="{00000000-0005-0000-0000-000012060000}"/>
    <cellStyle name="20% - Accent1 6 2 2 8" xfId="441" xr:uid="{00000000-0005-0000-0000-000013060000}"/>
    <cellStyle name="20% - Accent1 6 2 2 8 2" xfId="14623" xr:uid="{00000000-0005-0000-0000-000014060000}"/>
    <cellStyle name="20% - Accent1 6 2 2 8 2 2" xfId="28172" xr:uid="{00000000-0005-0000-0000-000015060000}"/>
    <cellStyle name="20% - Accent1 6 2 2 8 3" xfId="17764" xr:uid="{00000000-0005-0000-0000-000016060000}"/>
    <cellStyle name="20% - Accent1 6 2 2 9" xfId="442" xr:uid="{00000000-0005-0000-0000-000017060000}"/>
    <cellStyle name="20% - Accent1 6 2 2 9 2" xfId="16400" xr:uid="{00000000-0005-0000-0000-000018060000}"/>
    <cellStyle name="20% - Accent1 6 2 2 9 2 2" xfId="29807" xr:uid="{00000000-0005-0000-0000-000019060000}"/>
    <cellStyle name="20% - Accent1 6 2 2 9 3" xfId="17765" xr:uid="{00000000-0005-0000-0000-00001A060000}"/>
    <cellStyle name="20% - Accent1 6 2 3" xfId="443" xr:uid="{00000000-0005-0000-0000-00001B060000}"/>
    <cellStyle name="20% - Accent1 6 2 3 2" xfId="444" xr:uid="{00000000-0005-0000-0000-00001C060000}"/>
    <cellStyle name="20% - Accent1 6 2 3 2 2" xfId="10604" xr:uid="{00000000-0005-0000-0000-00001D060000}"/>
    <cellStyle name="20% - Accent1 6 2 3 2 2 2" xfId="24546" xr:uid="{00000000-0005-0000-0000-00001E060000}"/>
    <cellStyle name="20% - Accent1 6 2 3 2 3" xfId="17767" xr:uid="{00000000-0005-0000-0000-00001F060000}"/>
    <cellStyle name="20% - Accent1 6 2 3 3" xfId="445" xr:uid="{00000000-0005-0000-0000-000020060000}"/>
    <cellStyle name="20% - Accent1 6 2 3 3 2" xfId="12514" xr:uid="{00000000-0005-0000-0000-000021060000}"/>
    <cellStyle name="20% - Accent1 6 2 3 3 2 2" xfId="26226" xr:uid="{00000000-0005-0000-0000-000022060000}"/>
    <cellStyle name="20% - Accent1 6 2 3 3 3" xfId="17768" xr:uid="{00000000-0005-0000-0000-000023060000}"/>
    <cellStyle name="20% - Accent1 6 2 3 4" xfId="446" xr:uid="{00000000-0005-0000-0000-000024060000}"/>
    <cellStyle name="20% - Accent1 6 2 3 4 2" xfId="14626" xr:uid="{00000000-0005-0000-0000-000025060000}"/>
    <cellStyle name="20% - Accent1 6 2 3 4 2 2" xfId="28175" xr:uid="{00000000-0005-0000-0000-000026060000}"/>
    <cellStyle name="20% - Accent1 6 2 3 4 3" xfId="17769" xr:uid="{00000000-0005-0000-0000-000027060000}"/>
    <cellStyle name="20% - Accent1 6 2 3 5" xfId="447" xr:uid="{00000000-0005-0000-0000-000028060000}"/>
    <cellStyle name="20% - Accent1 6 2 3 5 2" xfId="16692" xr:uid="{00000000-0005-0000-0000-000029060000}"/>
    <cellStyle name="20% - Accent1 6 2 3 5 2 2" xfId="30099" xr:uid="{00000000-0005-0000-0000-00002A060000}"/>
    <cellStyle name="20% - Accent1 6 2 3 5 3" xfId="17770" xr:uid="{00000000-0005-0000-0000-00002B060000}"/>
    <cellStyle name="20% - Accent1 6 2 3 6" xfId="8879" xr:uid="{00000000-0005-0000-0000-00002C060000}"/>
    <cellStyle name="20% - Accent1 6 2 3 6 2" xfId="23354" xr:uid="{00000000-0005-0000-0000-00002D060000}"/>
    <cellStyle name="20% - Accent1 6 2 3 7" xfId="17766" xr:uid="{00000000-0005-0000-0000-00002E060000}"/>
    <cellStyle name="20% - Accent1 6 2 4" xfId="448" xr:uid="{00000000-0005-0000-0000-00002F060000}"/>
    <cellStyle name="20% - Accent1 6 2 4 2" xfId="449" xr:uid="{00000000-0005-0000-0000-000030060000}"/>
    <cellStyle name="20% - Accent1 6 2 4 2 2" xfId="14627" xr:uid="{00000000-0005-0000-0000-000031060000}"/>
    <cellStyle name="20% - Accent1 6 2 4 2 2 2" xfId="28176" xr:uid="{00000000-0005-0000-0000-000032060000}"/>
    <cellStyle name="20% - Accent1 6 2 4 2 3" xfId="17772" xr:uid="{00000000-0005-0000-0000-000033060000}"/>
    <cellStyle name="20% - Accent1 6 2 4 3" xfId="10601" xr:uid="{00000000-0005-0000-0000-000034060000}"/>
    <cellStyle name="20% - Accent1 6 2 4 3 2" xfId="24543" xr:uid="{00000000-0005-0000-0000-000035060000}"/>
    <cellStyle name="20% - Accent1 6 2 4 4" xfId="17771" xr:uid="{00000000-0005-0000-0000-000036060000}"/>
    <cellStyle name="20% - Accent1 6 2 5" xfId="450" xr:uid="{00000000-0005-0000-0000-000037060000}"/>
    <cellStyle name="20% - Accent1 6 2 5 2" xfId="12069" xr:uid="{00000000-0005-0000-0000-000038060000}"/>
    <cellStyle name="20% - Accent1 6 2 5 2 2" xfId="25784" xr:uid="{00000000-0005-0000-0000-000039060000}"/>
    <cellStyle name="20% - Accent1 6 2 5 3" xfId="17773" xr:uid="{00000000-0005-0000-0000-00003A060000}"/>
    <cellStyle name="20% - Accent1 6 2 6" xfId="451" xr:uid="{00000000-0005-0000-0000-00003B060000}"/>
    <cellStyle name="20% - Accent1 6 2 6 2" xfId="12565" xr:uid="{00000000-0005-0000-0000-00003C060000}"/>
    <cellStyle name="20% - Accent1 6 2 6 2 2" xfId="26277" xr:uid="{00000000-0005-0000-0000-00003D060000}"/>
    <cellStyle name="20% - Accent1 6 2 6 3" xfId="17774" xr:uid="{00000000-0005-0000-0000-00003E060000}"/>
    <cellStyle name="20% - Accent1 6 2 7" xfId="452" xr:uid="{00000000-0005-0000-0000-00003F060000}"/>
    <cellStyle name="20% - Accent1 6 2 7 2" xfId="13644" xr:uid="{00000000-0005-0000-0000-000040060000}"/>
    <cellStyle name="20% - Accent1 6 2 7 2 2" xfId="27193" xr:uid="{00000000-0005-0000-0000-000041060000}"/>
    <cellStyle name="20% - Accent1 6 2 7 3" xfId="17775" xr:uid="{00000000-0005-0000-0000-000042060000}"/>
    <cellStyle name="20% - Accent1 6 2 8" xfId="453" xr:uid="{00000000-0005-0000-0000-000043060000}"/>
    <cellStyle name="20% - Accent1 6 2 8 2" xfId="14225" xr:uid="{00000000-0005-0000-0000-000044060000}"/>
    <cellStyle name="20% - Accent1 6 2 8 2 2" xfId="27774" xr:uid="{00000000-0005-0000-0000-000045060000}"/>
    <cellStyle name="20% - Accent1 6 2 8 3" xfId="17776" xr:uid="{00000000-0005-0000-0000-000046060000}"/>
    <cellStyle name="20% - Accent1 6 2 9" xfId="454" xr:uid="{00000000-0005-0000-0000-000047060000}"/>
    <cellStyle name="20% - Accent1 6 2 9 2" xfId="14622" xr:uid="{00000000-0005-0000-0000-000048060000}"/>
    <cellStyle name="20% - Accent1 6 2 9 2 2" xfId="28171" xr:uid="{00000000-0005-0000-0000-000049060000}"/>
    <cellStyle name="20% - Accent1 6 2 9 3" xfId="17777" xr:uid="{00000000-0005-0000-0000-00004A060000}"/>
    <cellStyle name="20% - Accent1 6 3" xfId="455" xr:uid="{00000000-0005-0000-0000-00004B060000}"/>
    <cellStyle name="20% - Accent1 6 3 10" xfId="8880" xr:uid="{00000000-0005-0000-0000-00004C060000}"/>
    <cellStyle name="20% - Accent1 6 3 10 2" xfId="23355" xr:uid="{00000000-0005-0000-0000-00004D060000}"/>
    <cellStyle name="20% - Accent1 6 3 11" xfId="17778" xr:uid="{00000000-0005-0000-0000-00004E060000}"/>
    <cellStyle name="20% - Accent1 6 3 2" xfId="456" xr:uid="{00000000-0005-0000-0000-00004F060000}"/>
    <cellStyle name="20% - Accent1 6 3 2 2" xfId="457" xr:uid="{00000000-0005-0000-0000-000050060000}"/>
    <cellStyle name="20% - Accent1 6 3 2 2 2" xfId="10606" xr:uid="{00000000-0005-0000-0000-000051060000}"/>
    <cellStyle name="20% - Accent1 6 3 2 2 2 2" xfId="24548" xr:uid="{00000000-0005-0000-0000-000052060000}"/>
    <cellStyle name="20% - Accent1 6 3 2 2 3" xfId="17780" xr:uid="{00000000-0005-0000-0000-000053060000}"/>
    <cellStyle name="20% - Accent1 6 3 2 3" xfId="458" xr:uid="{00000000-0005-0000-0000-000054060000}"/>
    <cellStyle name="20% - Accent1 6 3 2 3 2" xfId="12537" xr:uid="{00000000-0005-0000-0000-000055060000}"/>
    <cellStyle name="20% - Accent1 6 3 2 3 2 2" xfId="26249" xr:uid="{00000000-0005-0000-0000-000056060000}"/>
    <cellStyle name="20% - Accent1 6 3 2 3 3" xfId="17781" xr:uid="{00000000-0005-0000-0000-000057060000}"/>
    <cellStyle name="20% - Accent1 6 3 2 4" xfId="459" xr:uid="{00000000-0005-0000-0000-000058060000}"/>
    <cellStyle name="20% - Accent1 6 3 2 4 2" xfId="14629" xr:uid="{00000000-0005-0000-0000-000059060000}"/>
    <cellStyle name="20% - Accent1 6 3 2 4 2 2" xfId="28178" xr:uid="{00000000-0005-0000-0000-00005A060000}"/>
    <cellStyle name="20% - Accent1 6 3 2 4 3" xfId="17782" xr:uid="{00000000-0005-0000-0000-00005B060000}"/>
    <cellStyle name="20% - Accent1 6 3 2 5" xfId="460" xr:uid="{00000000-0005-0000-0000-00005C060000}"/>
    <cellStyle name="20% - Accent1 6 3 2 5 2" xfId="16838" xr:uid="{00000000-0005-0000-0000-00005D060000}"/>
    <cellStyle name="20% - Accent1 6 3 2 5 2 2" xfId="30245" xr:uid="{00000000-0005-0000-0000-00005E060000}"/>
    <cellStyle name="20% - Accent1 6 3 2 5 3" xfId="17783" xr:uid="{00000000-0005-0000-0000-00005F060000}"/>
    <cellStyle name="20% - Accent1 6 3 2 6" xfId="8881" xr:uid="{00000000-0005-0000-0000-000060060000}"/>
    <cellStyle name="20% - Accent1 6 3 2 6 2" xfId="23356" xr:uid="{00000000-0005-0000-0000-000061060000}"/>
    <cellStyle name="20% - Accent1 6 3 2 7" xfId="17779" xr:uid="{00000000-0005-0000-0000-000062060000}"/>
    <cellStyle name="20% - Accent1 6 3 3" xfId="461" xr:uid="{00000000-0005-0000-0000-000063060000}"/>
    <cellStyle name="20% - Accent1 6 3 3 2" xfId="462" xr:uid="{00000000-0005-0000-0000-000064060000}"/>
    <cellStyle name="20% - Accent1 6 3 3 2 2" xfId="14630" xr:uid="{00000000-0005-0000-0000-000065060000}"/>
    <cellStyle name="20% - Accent1 6 3 3 2 2 2" xfId="28179" xr:uid="{00000000-0005-0000-0000-000066060000}"/>
    <cellStyle name="20% - Accent1 6 3 3 2 3" xfId="17785" xr:uid="{00000000-0005-0000-0000-000067060000}"/>
    <cellStyle name="20% - Accent1 6 3 3 3" xfId="10605" xr:uid="{00000000-0005-0000-0000-000068060000}"/>
    <cellStyle name="20% - Accent1 6 3 3 3 2" xfId="24547" xr:uid="{00000000-0005-0000-0000-000069060000}"/>
    <cellStyle name="20% - Accent1 6 3 3 4" xfId="17784" xr:uid="{00000000-0005-0000-0000-00006A060000}"/>
    <cellStyle name="20% - Accent1 6 3 4" xfId="463" xr:uid="{00000000-0005-0000-0000-00006B060000}"/>
    <cellStyle name="20% - Accent1 6 3 4 2" xfId="12226" xr:uid="{00000000-0005-0000-0000-00006C060000}"/>
    <cellStyle name="20% - Accent1 6 3 4 2 2" xfId="25938" xr:uid="{00000000-0005-0000-0000-00006D060000}"/>
    <cellStyle name="20% - Accent1 6 3 4 3" xfId="17786" xr:uid="{00000000-0005-0000-0000-00006E060000}"/>
    <cellStyle name="20% - Accent1 6 3 5" xfId="464" xr:uid="{00000000-0005-0000-0000-00006F060000}"/>
    <cellStyle name="20% - Accent1 6 3 5 2" xfId="12510" xr:uid="{00000000-0005-0000-0000-000070060000}"/>
    <cellStyle name="20% - Accent1 6 3 5 2 2" xfId="26222" xr:uid="{00000000-0005-0000-0000-000071060000}"/>
    <cellStyle name="20% - Accent1 6 3 5 3" xfId="17787" xr:uid="{00000000-0005-0000-0000-000072060000}"/>
    <cellStyle name="20% - Accent1 6 3 6" xfId="465" xr:uid="{00000000-0005-0000-0000-000073060000}"/>
    <cellStyle name="20% - Accent1 6 3 6 2" xfId="13790" xr:uid="{00000000-0005-0000-0000-000074060000}"/>
    <cellStyle name="20% - Accent1 6 3 6 2 2" xfId="27339" xr:uid="{00000000-0005-0000-0000-000075060000}"/>
    <cellStyle name="20% - Accent1 6 3 6 3" xfId="17788" xr:uid="{00000000-0005-0000-0000-000076060000}"/>
    <cellStyle name="20% - Accent1 6 3 7" xfId="466" xr:uid="{00000000-0005-0000-0000-000077060000}"/>
    <cellStyle name="20% - Accent1 6 3 7 2" xfId="14371" xr:uid="{00000000-0005-0000-0000-000078060000}"/>
    <cellStyle name="20% - Accent1 6 3 7 2 2" xfId="27920" xr:uid="{00000000-0005-0000-0000-000079060000}"/>
    <cellStyle name="20% - Accent1 6 3 7 3" xfId="17789" xr:uid="{00000000-0005-0000-0000-00007A060000}"/>
    <cellStyle name="20% - Accent1 6 3 8" xfId="467" xr:uid="{00000000-0005-0000-0000-00007B060000}"/>
    <cellStyle name="20% - Accent1 6 3 8 2" xfId="14628" xr:uid="{00000000-0005-0000-0000-00007C060000}"/>
    <cellStyle name="20% - Accent1 6 3 8 2 2" xfId="28177" xr:uid="{00000000-0005-0000-0000-00007D060000}"/>
    <cellStyle name="20% - Accent1 6 3 8 3" xfId="17790" xr:uid="{00000000-0005-0000-0000-00007E060000}"/>
    <cellStyle name="20% - Accent1 6 3 9" xfId="468" xr:uid="{00000000-0005-0000-0000-00007F060000}"/>
    <cellStyle name="20% - Accent1 6 3 9 2" xfId="16257" xr:uid="{00000000-0005-0000-0000-000080060000}"/>
    <cellStyle name="20% - Accent1 6 3 9 2 2" xfId="29664" xr:uid="{00000000-0005-0000-0000-000081060000}"/>
    <cellStyle name="20% - Accent1 6 3 9 3" xfId="17791" xr:uid="{00000000-0005-0000-0000-000082060000}"/>
    <cellStyle name="20% - Accent1 6 4" xfId="469" xr:uid="{00000000-0005-0000-0000-000083060000}"/>
    <cellStyle name="20% - Accent1 6 4 2" xfId="470" xr:uid="{00000000-0005-0000-0000-000084060000}"/>
    <cellStyle name="20% - Accent1 6 4 2 2" xfId="10607" xr:uid="{00000000-0005-0000-0000-000085060000}"/>
    <cellStyle name="20% - Accent1 6 4 2 2 2" xfId="24549" xr:uid="{00000000-0005-0000-0000-000086060000}"/>
    <cellStyle name="20% - Accent1 6 4 2 3" xfId="17793" xr:uid="{00000000-0005-0000-0000-000087060000}"/>
    <cellStyle name="20% - Accent1 6 4 3" xfId="471" xr:uid="{00000000-0005-0000-0000-000088060000}"/>
    <cellStyle name="20% - Accent1 6 4 3 2" xfId="12481" xr:uid="{00000000-0005-0000-0000-000089060000}"/>
    <cellStyle name="20% - Accent1 6 4 3 2 2" xfId="26193" xr:uid="{00000000-0005-0000-0000-00008A060000}"/>
    <cellStyle name="20% - Accent1 6 4 3 3" xfId="17794" xr:uid="{00000000-0005-0000-0000-00008B060000}"/>
    <cellStyle name="20% - Accent1 6 4 4" xfId="472" xr:uid="{00000000-0005-0000-0000-00008C060000}"/>
    <cellStyle name="20% - Accent1 6 4 4 2" xfId="14631" xr:uid="{00000000-0005-0000-0000-00008D060000}"/>
    <cellStyle name="20% - Accent1 6 4 4 2 2" xfId="28180" xr:uid="{00000000-0005-0000-0000-00008E060000}"/>
    <cellStyle name="20% - Accent1 6 4 4 3" xfId="17795" xr:uid="{00000000-0005-0000-0000-00008F060000}"/>
    <cellStyle name="20% - Accent1 6 4 5" xfId="473" xr:uid="{00000000-0005-0000-0000-000090060000}"/>
    <cellStyle name="20% - Accent1 6 4 5 2" xfId="16549" xr:uid="{00000000-0005-0000-0000-000091060000}"/>
    <cellStyle name="20% - Accent1 6 4 5 2 2" xfId="29956" xr:uid="{00000000-0005-0000-0000-000092060000}"/>
    <cellStyle name="20% - Accent1 6 4 5 3" xfId="17796" xr:uid="{00000000-0005-0000-0000-000093060000}"/>
    <cellStyle name="20% - Accent1 6 4 6" xfId="8882" xr:uid="{00000000-0005-0000-0000-000094060000}"/>
    <cellStyle name="20% - Accent1 6 4 6 2" xfId="23357" xr:uid="{00000000-0005-0000-0000-000095060000}"/>
    <cellStyle name="20% - Accent1 6 4 7" xfId="17792" xr:uid="{00000000-0005-0000-0000-000096060000}"/>
    <cellStyle name="20% - Accent1 6 5" xfId="474" xr:uid="{00000000-0005-0000-0000-000097060000}"/>
    <cellStyle name="20% - Accent1 6 5 2" xfId="475" xr:uid="{00000000-0005-0000-0000-000098060000}"/>
    <cellStyle name="20% - Accent1 6 5 2 2" xfId="14632" xr:uid="{00000000-0005-0000-0000-000099060000}"/>
    <cellStyle name="20% - Accent1 6 5 2 2 2" xfId="28181" xr:uid="{00000000-0005-0000-0000-00009A060000}"/>
    <cellStyle name="20% - Accent1 6 5 2 3" xfId="17798" xr:uid="{00000000-0005-0000-0000-00009B060000}"/>
    <cellStyle name="20% - Accent1 6 5 3" xfId="10600" xr:uid="{00000000-0005-0000-0000-00009C060000}"/>
    <cellStyle name="20% - Accent1 6 5 3 2" xfId="24542" xr:uid="{00000000-0005-0000-0000-00009D060000}"/>
    <cellStyle name="20% - Accent1 6 5 4" xfId="17797" xr:uid="{00000000-0005-0000-0000-00009E060000}"/>
    <cellStyle name="20% - Accent1 6 6" xfId="476" xr:uid="{00000000-0005-0000-0000-00009F060000}"/>
    <cellStyle name="20% - Accent1 6 6 2" xfId="11924" xr:uid="{00000000-0005-0000-0000-0000A0060000}"/>
    <cellStyle name="20% - Accent1 6 6 2 2" xfId="25639" xr:uid="{00000000-0005-0000-0000-0000A1060000}"/>
    <cellStyle name="20% - Accent1 6 6 3" xfId="17799" xr:uid="{00000000-0005-0000-0000-0000A2060000}"/>
    <cellStyle name="20% - Accent1 6 7" xfId="477" xr:uid="{00000000-0005-0000-0000-0000A3060000}"/>
    <cellStyle name="20% - Accent1 6 7 2" xfId="12564" xr:uid="{00000000-0005-0000-0000-0000A4060000}"/>
    <cellStyle name="20% - Accent1 6 7 2 2" xfId="26276" xr:uid="{00000000-0005-0000-0000-0000A5060000}"/>
    <cellStyle name="20% - Accent1 6 7 3" xfId="17800" xr:uid="{00000000-0005-0000-0000-0000A6060000}"/>
    <cellStyle name="20% - Accent1 6 8" xfId="478" xr:uid="{00000000-0005-0000-0000-0000A7060000}"/>
    <cellStyle name="20% - Accent1 6 8 2" xfId="13501" xr:uid="{00000000-0005-0000-0000-0000A8060000}"/>
    <cellStyle name="20% - Accent1 6 8 2 2" xfId="27050" xr:uid="{00000000-0005-0000-0000-0000A9060000}"/>
    <cellStyle name="20% - Accent1 6 8 3" xfId="17801" xr:uid="{00000000-0005-0000-0000-0000AA060000}"/>
    <cellStyle name="20% - Accent1 6 9" xfId="479" xr:uid="{00000000-0005-0000-0000-0000AB060000}"/>
    <cellStyle name="20% - Accent1 6 9 2" xfId="14082" xr:uid="{00000000-0005-0000-0000-0000AC060000}"/>
    <cellStyle name="20% - Accent1 6 9 2 2" xfId="27631" xr:uid="{00000000-0005-0000-0000-0000AD060000}"/>
    <cellStyle name="20% - Accent1 6 9 3" xfId="17802" xr:uid="{00000000-0005-0000-0000-0000AE060000}"/>
    <cellStyle name="20% - Accent1 7" xfId="480" xr:uid="{00000000-0005-0000-0000-0000AF060000}"/>
    <cellStyle name="20% - Accent1 7 10" xfId="481" xr:uid="{00000000-0005-0000-0000-0000B0060000}"/>
    <cellStyle name="20% - Accent1 7 10 2" xfId="15988" xr:uid="{00000000-0005-0000-0000-0000B1060000}"/>
    <cellStyle name="20% - Accent1 7 10 2 2" xfId="29395" xr:uid="{00000000-0005-0000-0000-0000B2060000}"/>
    <cellStyle name="20% - Accent1 7 10 3" xfId="17804" xr:uid="{00000000-0005-0000-0000-0000B3060000}"/>
    <cellStyle name="20% - Accent1 7 11" xfId="8883" xr:uid="{00000000-0005-0000-0000-0000B4060000}"/>
    <cellStyle name="20% - Accent1 7 11 2" xfId="23358" xr:uid="{00000000-0005-0000-0000-0000B5060000}"/>
    <cellStyle name="20% - Accent1 7 12" xfId="17803" xr:uid="{00000000-0005-0000-0000-0000B6060000}"/>
    <cellStyle name="20% - Accent1 7 2" xfId="482" xr:uid="{00000000-0005-0000-0000-0000B7060000}"/>
    <cellStyle name="20% - Accent1 7 2 10" xfId="8884" xr:uid="{00000000-0005-0000-0000-0000B8060000}"/>
    <cellStyle name="20% - Accent1 7 2 10 2" xfId="23359" xr:uid="{00000000-0005-0000-0000-0000B9060000}"/>
    <cellStyle name="20% - Accent1 7 2 11" xfId="17805" xr:uid="{00000000-0005-0000-0000-0000BA060000}"/>
    <cellStyle name="20% - Accent1 7 2 2" xfId="483" xr:uid="{00000000-0005-0000-0000-0000BB060000}"/>
    <cellStyle name="20% - Accent1 7 2 2 2" xfId="484" xr:uid="{00000000-0005-0000-0000-0000BC060000}"/>
    <cellStyle name="20% - Accent1 7 2 2 2 2" xfId="10610" xr:uid="{00000000-0005-0000-0000-0000BD060000}"/>
    <cellStyle name="20% - Accent1 7 2 2 2 2 2" xfId="24552" xr:uid="{00000000-0005-0000-0000-0000BE060000}"/>
    <cellStyle name="20% - Accent1 7 2 2 2 3" xfId="17807" xr:uid="{00000000-0005-0000-0000-0000BF060000}"/>
    <cellStyle name="20% - Accent1 7 2 2 3" xfId="485" xr:uid="{00000000-0005-0000-0000-0000C0060000}"/>
    <cellStyle name="20% - Accent1 7 2 2 3 2" xfId="11782" xr:uid="{00000000-0005-0000-0000-0000C1060000}"/>
    <cellStyle name="20% - Accent1 7 2 2 3 2 2" xfId="25497" xr:uid="{00000000-0005-0000-0000-0000C2060000}"/>
    <cellStyle name="20% - Accent1 7 2 2 3 3" xfId="17808" xr:uid="{00000000-0005-0000-0000-0000C3060000}"/>
    <cellStyle name="20% - Accent1 7 2 2 4" xfId="486" xr:uid="{00000000-0005-0000-0000-0000C4060000}"/>
    <cellStyle name="20% - Accent1 7 2 2 4 2" xfId="14635" xr:uid="{00000000-0005-0000-0000-0000C5060000}"/>
    <cellStyle name="20% - Accent1 7 2 2 4 2 2" xfId="28184" xr:uid="{00000000-0005-0000-0000-0000C6060000}"/>
    <cellStyle name="20% - Accent1 7 2 2 4 3" xfId="17809" xr:uid="{00000000-0005-0000-0000-0000C7060000}"/>
    <cellStyle name="20% - Accent1 7 2 2 5" xfId="487" xr:uid="{00000000-0005-0000-0000-0000C8060000}"/>
    <cellStyle name="20% - Accent1 7 2 2 5 2" xfId="16858" xr:uid="{00000000-0005-0000-0000-0000C9060000}"/>
    <cellStyle name="20% - Accent1 7 2 2 5 2 2" xfId="30265" xr:uid="{00000000-0005-0000-0000-0000CA060000}"/>
    <cellStyle name="20% - Accent1 7 2 2 5 3" xfId="17810" xr:uid="{00000000-0005-0000-0000-0000CB060000}"/>
    <cellStyle name="20% - Accent1 7 2 2 6" xfId="8885" xr:uid="{00000000-0005-0000-0000-0000CC060000}"/>
    <cellStyle name="20% - Accent1 7 2 2 6 2" xfId="23360" xr:uid="{00000000-0005-0000-0000-0000CD060000}"/>
    <cellStyle name="20% - Accent1 7 2 2 7" xfId="17806" xr:uid="{00000000-0005-0000-0000-0000CE060000}"/>
    <cellStyle name="20% - Accent1 7 2 3" xfId="488" xr:uid="{00000000-0005-0000-0000-0000CF060000}"/>
    <cellStyle name="20% - Accent1 7 2 3 2" xfId="489" xr:uid="{00000000-0005-0000-0000-0000D0060000}"/>
    <cellStyle name="20% - Accent1 7 2 3 2 2" xfId="14636" xr:uid="{00000000-0005-0000-0000-0000D1060000}"/>
    <cellStyle name="20% - Accent1 7 2 3 2 2 2" xfId="28185" xr:uid="{00000000-0005-0000-0000-0000D2060000}"/>
    <cellStyle name="20% - Accent1 7 2 3 2 3" xfId="17812" xr:uid="{00000000-0005-0000-0000-0000D3060000}"/>
    <cellStyle name="20% - Accent1 7 2 3 3" xfId="10609" xr:uid="{00000000-0005-0000-0000-0000D4060000}"/>
    <cellStyle name="20% - Accent1 7 2 3 3 2" xfId="24551" xr:uid="{00000000-0005-0000-0000-0000D5060000}"/>
    <cellStyle name="20% - Accent1 7 2 3 4" xfId="17811" xr:uid="{00000000-0005-0000-0000-0000D6060000}"/>
    <cellStyle name="20% - Accent1 7 2 4" xfId="490" xr:uid="{00000000-0005-0000-0000-0000D7060000}"/>
    <cellStyle name="20% - Accent1 7 2 4 2" xfId="12246" xr:uid="{00000000-0005-0000-0000-0000D8060000}"/>
    <cellStyle name="20% - Accent1 7 2 4 2 2" xfId="25958" xr:uid="{00000000-0005-0000-0000-0000D9060000}"/>
    <cellStyle name="20% - Accent1 7 2 4 3" xfId="17813" xr:uid="{00000000-0005-0000-0000-0000DA060000}"/>
    <cellStyle name="20% - Accent1 7 2 5" xfId="491" xr:uid="{00000000-0005-0000-0000-0000DB060000}"/>
    <cellStyle name="20% - Accent1 7 2 5 2" xfId="12682" xr:uid="{00000000-0005-0000-0000-0000DC060000}"/>
    <cellStyle name="20% - Accent1 7 2 5 2 2" xfId="26394" xr:uid="{00000000-0005-0000-0000-0000DD060000}"/>
    <cellStyle name="20% - Accent1 7 2 5 3" xfId="17814" xr:uid="{00000000-0005-0000-0000-0000DE060000}"/>
    <cellStyle name="20% - Accent1 7 2 6" xfId="492" xr:uid="{00000000-0005-0000-0000-0000DF060000}"/>
    <cellStyle name="20% - Accent1 7 2 6 2" xfId="13810" xr:uid="{00000000-0005-0000-0000-0000E0060000}"/>
    <cellStyle name="20% - Accent1 7 2 6 2 2" xfId="27359" xr:uid="{00000000-0005-0000-0000-0000E1060000}"/>
    <cellStyle name="20% - Accent1 7 2 6 3" xfId="17815" xr:uid="{00000000-0005-0000-0000-0000E2060000}"/>
    <cellStyle name="20% - Accent1 7 2 7" xfId="493" xr:uid="{00000000-0005-0000-0000-0000E3060000}"/>
    <cellStyle name="20% - Accent1 7 2 7 2" xfId="14391" xr:uid="{00000000-0005-0000-0000-0000E4060000}"/>
    <cellStyle name="20% - Accent1 7 2 7 2 2" xfId="27940" xr:uid="{00000000-0005-0000-0000-0000E5060000}"/>
    <cellStyle name="20% - Accent1 7 2 7 3" xfId="17816" xr:uid="{00000000-0005-0000-0000-0000E6060000}"/>
    <cellStyle name="20% - Accent1 7 2 8" xfId="494" xr:uid="{00000000-0005-0000-0000-0000E7060000}"/>
    <cellStyle name="20% - Accent1 7 2 8 2" xfId="14634" xr:uid="{00000000-0005-0000-0000-0000E8060000}"/>
    <cellStyle name="20% - Accent1 7 2 8 2 2" xfId="28183" xr:uid="{00000000-0005-0000-0000-0000E9060000}"/>
    <cellStyle name="20% - Accent1 7 2 8 3" xfId="17817" xr:uid="{00000000-0005-0000-0000-0000EA060000}"/>
    <cellStyle name="20% - Accent1 7 2 9" xfId="495" xr:uid="{00000000-0005-0000-0000-0000EB060000}"/>
    <cellStyle name="20% - Accent1 7 2 9 2" xfId="16277" xr:uid="{00000000-0005-0000-0000-0000EC060000}"/>
    <cellStyle name="20% - Accent1 7 2 9 2 2" xfId="29684" xr:uid="{00000000-0005-0000-0000-0000ED060000}"/>
    <cellStyle name="20% - Accent1 7 2 9 3" xfId="17818" xr:uid="{00000000-0005-0000-0000-0000EE060000}"/>
    <cellStyle name="20% - Accent1 7 3" xfId="496" xr:uid="{00000000-0005-0000-0000-0000EF060000}"/>
    <cellStyle name="20% - Accent1 7 3 2" xfId="497" xr:uid="{00000000-0005-0000-0000-0000F0060000}"/>
    <cellStyle name="20% - Accent1 7 3 2 2" xfId="10611" xr:uid="{00000000-0005-0000-0000-0000F1060000}"/>
    <cellStyle name="20% - Accent1 7 3 2 2 2" xfId="24553" xr:uid="{00000000-0005-0000-0000-0000F2060000}"/>
    <cellStyle name="20% - Accent1 7 3 2 3" xfId="17820" xr:uid="{00000000-0005-0000-0000-0000F3060000}"/>
    <cellStyle name="20% - Accent1 7 3 3" xfId="498" xr:uid="{00000000-0005-0000-0000-0000F4060000}"/>
    <cellStyle name="20% - Accent1 7 3 3 2" xfId="12573" xr:uid="{00000000-0005-0000-0000-0000F5060000}"/>
    <cellStyle name="20% - Accent1 7 3 3 2 2" xfId="26285" xr:uid="{00000000-0005-0000-0000-0000F6060000}"/>
    <cellStyle name="20% - Accent1 7 3 3 3" xfId="17821" xr:uid="{00000000-0005-0000-0000-0000F7060000}"/>
    <cellStyle name="20% - Accent1 7 3 4" xfId="499" xr:uid="{00000000-0005-0000-0000-0000F8060000}"/>
    <cellStyle name="20% - Accent1 7 3 4 2" xfId="14637" xr:uid="{00000000-0005-0000-0000-0000F9060000}"/>
    <cellStyle name="20% - Accent1 7 3 4 2 2" xfId="28186" xr:uid="{00000000-0005-0000-0000-0000FA060000}"/>
    <cellStyle name="20% - Accent1 7 3 4 3" xfId="17822" xr:uid="{00000000-0005-0000-0000-0000FB060000}"/>
    <cellStyle name="20% - Accent1 7 3 5" xfId="500" xr:uid="{00000000-0005-0000-0000-0000FC060000}"/>
    <cellStyle name="20% - Accent1 7 3 5 2" xfId="16569" xr:uid="{00000000-0005-0000-0000-0000FD060000}"/>
    <cellStyle name="20% - Accent1 7 3 5 2 2" xfId="29976" xr:uid="{00000000-0005-0000-0000-0000FE060000}"/>
    <cellStyle name="20% - Accent1 7 3 5 3" xfId="17823" xr:uid="{00000000-0005-0000-0000-0000FF060000}"/>
    <cellStyle name="20% - Accent1 7 3 6" xfId="8886" xr:uid="{00000000-0005-0000-0000-000000070000}"/>
    <cellStyle name="20% - Accent1 7 3 6 2" xfId="23361" xr:uid="{00000000-0005-0000-0000-000001070000}"/>
    <cellStyle name="20% - Accent1 7 3 7" xfId="17819" xr:uid="{00000000-0005-0000-0000-000002070000}"/>
    <cellStyle name="20% - Accent1 7 4" xfId="501" xr:uid="{00000000-0005-0000-0000-000003070000}"/>
    <cellStyle name="20% - Accent1 7 4 2" xfId="502" xr:uid="{00000000-0005-0000-0000-000004070000}"/>
    <cellStyle name="20% - Accent1 7 4 2 2" xfId="14638" xr:uid="{00000000-0005-0000-0000-000005070000}"/>
    <cellStyle name="20% - Accent1 7 4 2 2 2" xfId="28187" xr:uid="{00000000-0005-0000-0000-000006070000}"/>
    <cellStyle name="20% - Accent1 7 4 2 3" xfId="17825" xr:uid="{00000000-0005-0000-0000-000007070000}"/>
    <cellStyle name="20% - Accent1 7 4 3" xfId="10608" xr:uid="{00000000-0005-0000-0000-000008070000}"/>
    <cellStyle name="20% - Accent1 7 4 3 2" xfId="24550" xr:uid="{00000000-0005-0000-0000-000009070000}"/>
    <cellStyle name="20% - Accent1 7 4 4" xfId="17824" xr:uid="{00000000-0005-0000-0000-00000A070000}"/>
    <cellStyle name="20% - Accent1 7 5" xfId="503" xr:uid="{00000000-0005-0000-0000-00000B070000}"/>
    <cellStyle name="20% - Accent1 7 5 2" xfId="11944" xr:uid="{00000000-0005-0000-0000-00000C070000}"/>
    <cellStyle name="20% - Accent1 7 5 2 2" xfId="25659" xr:uid="{00000000-0005-0000-0000-00000D070000}"/>
    <cellStyle name="20% - Accent1 7 5 3" xfId="17826" xr:uid="{00000000-0005-0000-0000-00000E070000}"/>
    <cellStyle name="20% - Accent1 7 6" xfId="504" xr:uid="{00000000-0005-0000-0000-00000F070000}"/>
    <cellStyle name="20% - Accent1 7 6 2" xfId="12592" xr:uid="{00000000-0005-0000-0000-000010070000}"/>
    <cellStyle name="20% - Accent1 7 6 2 2" xfId="26304" xr:uid="{00000000-0005-0000-0000-000011070000}"/>
    <cellStyle name="20% - Accent1 7 6 3" xfId="17827" xr:uid="{00000000-0005-0000-0000-000012070000}"/>
    <cellStyle name="20% - Accent1 7 7" xfId="505" xr:uid="{00000000-0005-0000-0000-000013070000}"/>
    <cellStyle name="20% - Accent1 7 7 2" xfId="13521" xr:uid="{00000000-0005-0000-0000-000014070000}"/>
    <cellStyle name="20% - Accent1 7 7 2 2" xfId="27070" xr:uid="{00000000-0005-0000-0000-000015070000}"/>
    <cellStyle name="20% - Accent1 7 7 3" xfId="17828" xr:uid="{00000000-0005-0000-0000-000016070000}"/>
    <cellStyle name="20% - Accent1 7 8" xfId="506" xr:uid="{00000000-0005-0000-0000-000017070000}"/>
    <cellStyle name="20% - Accent1 7 8 2" xfId="14102" xr:uid="{00000000-0005-0000-0000-000018070000}"/>
    <cellStyle name="20% - Accent1 7 8 2 2" xfId="27651" xr:uid="{00000000-0005-0000-0000-000019070000}"/>
    <cellStyle name="20% - Accent1 7 8 3" xfId="17829" xr:uid="{00000000-0005-0000-0000-00001A070000}"/>
    <cellStyle name="20% - Accent1 7 9" xfId="507" xr:uid="{00000000-0005-0000-0000-00001B070000}"/>
    <cellStyle name="20% - Accent1 7 9 2" xfId="14633" xr:uid="{00000000-0005-0000-0000-00001C070000}"/>
    <cellStyle name="20% - Accent1 7 9 2 2" xfId="28182" xr:uid="{00000000-0005-0000-0000-00001D070000}"/>
    <cellStyle name="20% - Accent1 7 9 3" xfId="17830" xr:uid="{00000000-0005-0000-0000-00001E070000}"/>
    <cellStyle name="20% - Accent1 8" xfId="508" xr:uid="{00000000-0005-0000-0000-00001F070000}"/>
    <cellStyle name="20% - Accent1 8 10" xfId="8887" xr:uid="{00000000-0005-0000-0000-000020070000}"/>
    <cellStyle name="20% - Accent1 8 10 2" xfId="23362" xr:uid="{00000000-0005-0000-0000-000021070000}"/>
    <cellStyle name="20% - Accent1 8 11" xfId="17831" xr:uid="{00000000-0005-0000-0000-000022070000}"/>
    <cellStyle name="20% - Accent1 8 2" xfId="509" xr:uid="{00000000-0005-0000-0000-000023070000}"/>
    <cellStyle name="20% - Accent1 8 2 2" xfId="510" xr:uid="{00000000-0005-0000-0000-000024070000}"/>
    <cellStyle name="20% - Accent1 8 2 2 2" xfId="10613" xr:uid="{00000000-0005-0000-0000-000025070000}"/>
    <cellStyle name="20% - Accent1 8 2 2 2 2" xfId="24555" xr:uid="{00000000-0005-0000-0000-000026070000}"/>
    <cellStyle name="20% - Accent1 8 2 2 3" xfId="17833" xr:uid="{00000000-0005-0000-0000-000027070000}"/>
    <cellStyle name="20% - Accent1 8 2 3" xfId="511" xr:uid="{00000000-0005-0000-0000-000028070000}"/>
    <cellStyle name="20% - Accent1 8 2 3 2" xfId="12714" xr:uid="{00000000-0005-0000-0000-000029070000}"/>
    <cellStyle name="20% - Accent1 8 2 3 2 2" xfId="26426" xr:uid="{00000000-0005-0000-0000-00002A070000}"/>
    <cellStyle name="20% - Accent1 8 2 3 3" xfId="17834" xr:uid="{00000000-0005-0000-0000-00002B070000}"/>
    <cellStyle name="20% - Accent1 8 2 4" xfId="512" xr:uid="{00000000-0005-0000-0000-00002C070000}"/>
    <cellStyle name="20% - Accent1 8 2 4 2" xfId="14640" xr:uid="{00000000-0005-0000-0000-00002D070000}"/>
    <cellStyle name="20% - Accent1 8 2 4 2 2" xfId="28189" xr:uid="{00000000-0005-0000-0000-00002E070000}"/>
    <cellStyle name="20% - Accent1 8 2 4 3" xfId="17835" xr:uid="{00000000-0005-0000-0000-00002F070000}"/>
    <cellStyle name="20% - Accent1 8 2 5" xfId="513" xr:uid="{00000000-0005-0000-0000-000030070000}"/>
    <cellStyle name="20% - Accent1 8 2 5 2" xfId="16712" xr:uid="{00000000-0005-0000-0000-000031070000}"/>
    <cellStyle name="20% - Accent1 8 2 5 2 2" xfId="30119" xr:uid="{00000000-0005-0000-0000-000032070000}"/>
    <cellStyle name="20% - Accent1 8 2 5 3" xfId="17836" xr:uid="{00000000-0005-0000-0000-000033070000}"/>
    <cellStyle name="20% - Accent1 8 2 6" xfId="8888" xr:uid="{00000000-0005-0000-0000-000034070000}"/>
    <cellStyle name="20% - Accent1 8 2 6 2" xfId="23363" xr:uid="{00000000-0005-0000-0000-000035070000}"/>
    <cellStyle name="20% - Accent1 8 2 7" xfId="17832" xr:uid="{00000000-0005-0000-0000-000036070000}"/>
    <cellStyle name="20% - Accent1 8 3" xfId="514" xr:uid="{00000000-0005-0000-0000-000037070000}"/>
    <cellStyle name="20% - Accent1 8 3 2" xfId="515" xr:uid="{00000000-0005-0000-0000-000038070000}"/>
    <cellStyle name="20% - Accent1 8 3 2 2" xfId="14641" xr:uid="{00000000-0005-0000-0000-000039070000}"/>
    <cellStyle name="20% - Accent1 8 3 2 2 2" xfId="28190" xr:uid="{00000000-0005-0000-0000-00003A070000}"/>
    <cellStyle name="20% - Accent1 8 3 2 3" xfId="17838" xr:uid="{00000000-0005-0000-0000-00003B070000}"/>
    <cellStyle name="20% - Accent1 8 3 3" xfId="10612" xr:uid="{00000000-0005-0000-0000-00003C070000}"/>
    <cellStyle name="20% - Accent1 8 3 3 2" xfId="24554" xr:uid="{00000000-0005-0000-0000-00003D070000}"/>
    <cellStyle name="20% - Accent1 8 3 4" xfId="17837" xr:uid="{00000000-0005-0000-0000-00003E070000}"/>
    <cellStyle name="20% - Accent1 8 4" xfId="516" xr:uid="{00000000-0005-0000-0000-00003F070000}"/>
    <cellStyle name="20% - Accent1 8 4 2" xfId="12090" xr:uid="{00000000-0005-0000-0000-000040070000}"/>
    <cellStyle name="20% - Accent1 8 4 2 2" xfId="25804" xr:uid="{00000000-0005-0000-0000-000041070000}"/>
    <cellStyle name="20% - Accent1 8 4 3" xfId="17839" xr:uid="{00000000-0005-0000-0000-000042070000}"/>
    <cellStyle name="20% - Accent1 8 5" xfId="517" xr:uid="{00000000-0005-0000-0000-000043070000}"/>
    <cellStyle name="20% - Accent1 8 5 2" xfId="12580" xr:uid="{00000000-0005-0000-0000-000044070000}"/>
    <cellStyle name="20% - Accent1 8 5 2 2" xfId="26292" xr:uid="{00000000-0005-0000-0000-000045070000}"/>
    <cellStyle name="20% - Accent1 8 5 3" xfId="17840" xr:uid="{00000000-0005-0000-0000-000046070000}"/>
    <cellStyle name="20% - Accent1 8 6" xfId="518" xr:uid="{00000000-0005-0000-0000-000047070000}"/>
    <cellStyle name="20% - Accent1 8 6 2" xfId="13664" xr:uid="{00000000-0005-0000-0000-000048070000}"/>
    <cellStyle name="20% - Accent1 8 6 2 2" xfId="27213" xr:uid="{00000000-0005-0000-0000-000049070000}"/>
    <cellStyle name="20% - Accent1 8 6 3" xfId="17841" xr:uid="{00000000-0005-0000-0000-00004A070000}"/>
    <cellStyle name="20% - Accent1 8 7" xfId="519" xr:uid="{00000000-0005-0000-0000-00004B070000}"/>
    <cellStyle name="20% - Accent1 8 7 2" xfId="14245" xr:uid="{00000000-0005-0000-0000-00004C070000}"/>
    <cellStyle name="20% - Accent1 8 7 2 2" xfId="27794" xr:uid="{00000000-0005-0000-0000-00004D070000}"/>
    <cellStyle name="20% - Accent1 8 7 3" xfId="17842" xr:uid="{00000000-0005-0000-0000-00004E070000}"/>
    <cellStyle name="20% - Accent1 8 8" xfId="520" xr:uid="{00000000-0005-0000-0000-00004F070000}"/>
    <cellStyle name="20% - Accent1 8 8 2" xfId="14639" xr:uid="{00000000-0005-0000-0000-000050070000}"/>
    <cellStyle name="20% - Accent1 8 8 2 2" xfId="28188" xr:uid="{00000000-0005-0000-0000-000051070000}"/>
    <cellStyle name="20% - Accent1 8 8 3" xfId="17843" xr:uid="{00000000-0005-0000-0000-000052070000}"/>
    <cellStyle name="20% - Accent1 8 9" xfId="521" xr:uid="{00000000-0005-0000-0000-000053070000}"/>
    <cellStyle name="20% - Accent1 8 9 2" xfId="16131" xr:uid="{00000000-0005-0000-0000-000054070000}"/>
    <cellStyle name="20% - Accent1 8 9 2 2" xfId="29538" xr:uid="{00000000-0005-0000-0000-000055070000}"/>
    <cellStyle name="20% - Accent1 8 9 3" xfId="17844" xr:uid="{00000000-0005-0000-0000-000056070000}"/>
    <cellStyle name="20% - Accent1 9" xfId="522" xr:uid="{00000000-0005-0000-0000-000057070000}"/>
    <cellStyle name="20% - Accent1 9 2" xfId="523" xr:uid="{00000000-0005-0000-0000-000058070000}"/>
    <cellStyle name="20% - Accent1 9 2 2" xfId="10614" xr:uid="{00000000-0005-0000-0000-000059070000}"/>
    <cellStyle name="20% - Accent1 9 2 2 2" xfId="24556" xr:uid="{00000000-0005-0000-0000-00005A070000}"/>
    <cellStyle name="20% - Accent1 9 2 3" xfId="17846" xr:uid="{00000000-0005-0000-0000-00005B070000}"/>
    <cellStyle name="20% - Accent1 9 3" xfId="524" xr:uid="{00000000-0005-0000-0000-00005C070000}"/>
    <cellStyle name="20% - Accent1 9 3 2" xfId="12583" xr:uid="{00000000-0005-0000-0000-00005D070000}"/>
    <cellStyle name="20% - Accent1 9 3 2 2" xfId="26295" xr:uid="{00000000-0005-0000-0000-00005E070000}"/>
    <cellStyle name="20% - Accent1 9 3 3" xfId="17847" xr:uid="{00000000-0005-0000-0000-00005F070000}"/>
    <cellStyle name="20% - Accent1 9 4" xfId="525" xr:uid="{00000000-0005-0000-0000-000060070000}"/>
    <cellStyle name="20% - Accent1 9 4 2" xfId="14642" xr:uid="{00000000-0005-0000-0000-000061070000}"/>
    <cellStyle name="20% - Accent1 9 4 2 2" xfId="28191" xr:uid="{00000000-0005-0000-0000-000062070000}"/>
    <cellStyle name="20% - Accent1 9 4 3" xfId="17848" xr:uid="{00000000-0005-0000-0000-000063070000}"/>
    <cellStyle name="20% - Accent1 9 5" xfId="526" xr:uid="{00000000-0005-0000-0000-000064070000}"/>
    <cellStyle name="20% - Accent1 9 5 2" xfId="17096" xr:uid="{00000000-0005-0000-0000-000065070000}"/>
    <cellStyle name="20% - Accent1 9 5 2 2" xfId="30455" xr:uid="{00000000-0005-0000-0000-000066070000}"/>
    <cellStyle name="20% - Accent1 9 5 3" xfId="17849" xr:uid="{00000000-0005-0000-0000-000067070000}"/>
    <cellStyle name="20% - Accent1 9 6" xfId="8889" xr:uid="{00000000-0005-0000-0000-000068070000}"/>
    <cellStyle name="20% - Accent1 9 6 2" xfId="23364" xr:uid="{00000000-0005-0000-0000-000069070000}"/>
    <cellStyle name="20% - Accent1 9 7" xfId="17845" xr:uid="{00000000-0005-0000-0000-00006A070000}"/>
    <cellStyle name="20% - Accent2" xfId="32" builtinId="34" customBuiltin="1"/>
    <cellStyle name="20% - Accent2 10" xfId="527" xr:uid="{00000000-0005-0000-0000-00006C070000}"/>
    <cellStyle name="20% - Accent2 10 2" xfId="528" xr:uid="{00000000-0005-0000-0000-00006D070000}"/>
    <cellStyle name="20% - Accent2 10 2 2" xfId="529" xr:uid="{00000000-0005-0000-0000-00006E070000}"/>
    <cellStyle name="20% - Accent2 10 2 2 2" xfId="12582" xr:uid="{00000000-0005-0000-0000-00006F070000}"/>
    <cellStyle name="20% - Accent2 10 2 2 2 2" xfId="26294" xr:uid="{00000000-0005-0000-0000-000070070000}"/>
    <cellStyle name="20% - Accent2 10 2 2 3" xfId="17852" xr:uid="{00000000-0005-0000-0000-000071070000}"/>
    <cellStyle name="20% - Accent2 10 2 3" xfId="530" xr:uid="{00000000-0005-0000-0000-000072070000}"/>
    <cellStyle name="20% - Accent2 10 2 3 2" xfId="14645" xr:uid="{00000000-0005-0000-0000-000073070000}"/>
    <cellStyle name="20% - Accent2 10 2 3 2 2" xfId="28194" xr:uid="{00000000-0005-0000-0000-000074070000}"/>
    <cellStyle name="20% - Accent2 10 2 3 3" xfId="17853" xr:uid="{00000000-0005-0000-0000-000075070000}"/>
    <cellStyle name="20% - Accent2 10 2 4" xfId="10616" xr:uid="{00000000-0005-0000-0000-000076070000}"/>
    <cellStyle name="20% - Accent2 10 2 4 2" xfId="24558" xr:uid="{00000000-0005-0000-0000-000077070000}"/>
    <cellStyle name="20% - Accent2 10 2 5" xfId="17851" xr:uid="{00000000-0005-0000-0000-000078070000}"/>
    <cellStyle name="20% - Accent2 10 3" xfId="531" xr:uid="{00000000-0005-0000-0000-000079070000}"/>
    <cellStyle name="20% - Accent2 10 3 2" xfId="12404" xr:uid="{00000000-0005-0000-0000-00007A070000}"/>
    <cellStyle name="20% - Accent2 10 3 2 2" xfId="26116" xr:uid="{00000000-0005-0000-0000-00007B070000}"/>
    <cellStyle name="20% - Accent2 10 3 3" xfId="17854" xr:uid="{00000000-0005-0000-0000-00007C070000}"/>
    <cellStyle name="20% - Accent2 10 4" xfId="532" xr:uid="{00000000-0005-0000-0000-00007D070000}"/>
    <cellStyle name="20% - Accent2 10 4 2" xfId="14644" xr:uid="{00000000-0005-0000-0000-00007E070000}"/>
    <cellStyle name="20% - Accent2 10 4 2 2" xfId="28193" xr:uid="{00000000-0005-0000-0000-00007F070000}"/>
    <cellStyle name="20% - Accent2 10 4 3" xfId="17855" xr:uid="{00000000-0005-0000-0000-000080070000}"/>
    <cellStyle name="20% - Accent2 10 5" xfId="533" xr:uid="{00000000-0005-0000-0000-000081070000}"/>
    <cellStyle name="20% - Accent2 10 5 2" xfId="17186" xr:uid="{00000000-0005-0000-0000-000082070000}"/>
    <cellStyle name="20% - Accent2 10 5 2 2" xfId="30545" xr:uid="{00000000-0005-0000-0000-000083070000}"/>
    <cellStyle name="20% - Accent2 10 5 3" xfId="17856" xr:uid="{00000000-0005-0000-0000-000084070000}"/>
    <cellStyle name="20% - Accent2 10 6" xfId="8891" xr:uid="{00000000-0005-0000-0000-000085070000}"/>
    <cellStyle name="20% - Accent2 10 6 2" xfId="23366" xr:uid="{00000000-0005-0000-0000-000086070000}"/>
    <cellStyle name="20% - Accent2 10 7" xfId="17850" xr:uid="{00000000-0005-0000-0000-000087070000}"/>
    <cellStyle name="20% - Accent2 11" xfId="534" xr:uid="{00000000-0005-0000-0000-000088070000}"/>
    <cellStyle name="20% - Accent2 11 2" xfId="535" xr:uid="{00000000-0005-0000-0000-000089070000}"/>
    <cellStyle name="20% - Accent2 11 2 2" xfId="10617" xr:uid="{00000000-0005-0000-0000-00008A070000}"/>
    <cellStyle name="20% - Accent2 11 2 2 2" xfId="24559" xr:uid="{00000000-0005-0000-0000-00008B070000}"/>
    <cellStyle name="20% - Accent2 11 2 3" xfId="17858" xr:uid="{00000000-0005-0000-0000-00008C070000}"/>
    <cellStyle name="20% - Accent2 11 3" xfId="536" xr:uid="{00000000-0005-0000-0000-00008D070000}"/>
    <cellStyle name="20% - Accent2 11 3 2" xfId="12538" xr:uid="{00000000-0005-0000-0000-00008E070000}"/>
    <cellStyle name="20% - Accent2 11 3 2 2" xfId="26250" xr:uid="{00000000-0005-0000-0000-00008F070000}"/>
    <cellStyle name="20% - Accent2 11 3 3" xfId="17859" xr:uid="{00000000-0005-0000-0000-000090070000}"/>
    <cellStyle name="20% - Accent2 11 4" xfId="537" xr:uid="{00000000-0005-0000-0000-000091070000}"/>
    <cellStyle name="20% - Accent2 11 4 2" xfId="14646" xr:uid="{00000000-0005-0000-0000-000092070000}"/>
    <cellStyle name="20% - Accent2 11 4 2 2" xfId="28195" xr:uid="{00000000-0005-0000-0000-000093070000}"/>
    <cellStyle name="20% - Accent2 11 4 3" xfId="17860" xr:uid="{00000000-0005-0000-0000-000094070000}"/>
    <cellStyle name="20% - Accent2 11 5" xfId="538" xr:uid="{00000000-0005-0000-0000-000095070000}"/>
    <cellStyle name="20% - Accent2 11 5 2" xfId="17275" xr:uid="{00000000-0005-0000-0000-000096070000}"/>
    <cellStyle name="20% - Accent2 11 5 2 2" xfId="30634" xr:uid="{00000000-0005-0000-0000-000097070000}"/>
    <cellStyle name="20% - Accent2 11 5 3" xfId="17861" xr:uid="{00000000-0005-0000-0000-000098070000}"/>
    <cellStyle name="20% - Accent2 11 6" xfId="8892" xr:uid="{00000000-0005-0000-0000-000099070000}"/>
    <cellStyle name="20% - Accent2 11 6 2" xfId="23367" xr:uid="{00000000-0005-0000-0000-00009A070000}"/>
    <cellStyle name="20% - Accent2 11 7" xfId="17857" xr:uid="{00000000-0005-0000-0000-00009B070000}"/>
    <cellStyle name="20% - Accent2 12" xfId="539" xr:uid="{00000000-0005-0000-0000-00009C070000}"/>
    <cellStyle name="20% - Accent2 12 2" xfId="540" xr:uid="{00000000-0005-0000-0000-00009D070000}"/>
    <cellStyle name="20% - Accent2 12 2 2" xfId="541" xr:uid="{00000000-0005-0000-0000-00009E070000}"/>
    <cellStyle name="20% - Accent2 12 2 2 2" xfId="10619" xr:uid="{00000000-0005-0000-0000-00009F070000}"/>
    <cellStyle name="20% - Accent2 12 2 2 2 2" xfId="24561" xr:uid="{00000000-0005-0000-0000-0000A0070000}"/>
    <cellStyle name="20% - Accent2 12 2 2 3" xfId="17864" xr:uid="{00000000-0005-0000-0000-0000A1070000}"/>
    <cellStyle name="20% - Accent2 12 2 3" xfId="542" xr:uid="{00000000-0005-0000-0000-0000A2070000}"/>
    <cellStyle name="20% - Accent2 12 2 3 2" xfId="12456" xr:uid="{00000000-0005-0000-0000-0000A3070000}"/>
    <cellStyle name="20% - Accent2 12 2 3 2 2" xfId="26168" xr:uid="{00000000-0005-0000-0000-0000A4070000}"/>
    <cellStyle name="20% - Accent2 12 2 3 3" xfId="17865" xr:uid="{00000000-0005-0000-0000-0000A5070000}"/>
    <cellStyle name="20% - Accent2 12 2 4" xfId="543" xr:uid="{00000000-0005-0000-0000-0000A6070000}"/>
    <cellStyle name="20% - Accent2 12 2 4 2" xfId="14648" xr:uid="{00000000-0005-0000-0000-0000A7070000}"/>
    <cellStyle name="20% - Accent2 12 2 4 2 2" xfId="28197" xr:uid="{00000000-0005-0000-0000-0000A8070000}"/>
    <cellStyle name="20% - Accent2 12 2 4 3" xfId="17866" xr:uid="{00000000-0005-0000-0000-0000A9070000}"/>
    <cellStyle name="20% - Accent2 12 2 5" xfId="8894" xr:uid="{00000000-0005-0000-0000-0000AA070000}"/>
    <cellStyle name="20% - Accent2 12 2 5 2" xfId="23369" xr:uid="{00000000-0005-0000-0000-0000AB070000}"/>
    <cellStyle name="20% - Accent2 12 2 6" xfId="17863" xr:uid="{00000000-0005-0000-0000-0000AC070000}"/>
    <cellStyle name="20% - Accent2 12 3" xfId="544" xr:uid="{00000000-0005-0000-0000-0000AD070000}"/>
    <cellStyle name="20% - Accent2 12 3 2" xfId="10618" xr:uid="{00000000-0005-0000-0000-0000AE070000}"/>
    <cellStyle name="20% - Accent2 12 3 2 2" xfId="24560" xr:uid="{00000000-0005-0000-0000-0000AF070000}"/>
    <cellStyle name="20% - Accent2 12 3 3" xfId="17867" xr:uid="{00000000-0005-0000-0000-0000B0070000}"/>
    <cellStyle name="20% - Accent2 12 4" xfId="545" xr:uid="{00000000-0005-0000-0000-0000B1070000}"/>
    <cellStyle name="20% - Accent2 12 4 2" xfId="12558" xr:uid="{00000000-0005-0000-0000-0000B2070000}"/>
    <cellStyle name="20% - Accent2 12 4 2 2" xfId="26270" xr:uid="{00000000-0005-0000-0000-0000B3070000}"/>
    <cellStyle name="20% - Accent2 12 4 3" xfId="17868" xr:uid="{00000000-0005-0000-0000-0000B4070000}"/>
    <cellStyle name="20% - Accent2 12 5" xfId="546" xr:uid="{00000000-0005-0000-0000-0000B5070000}"/>
    <cellStyle name="20% - Accent2 12 5 2" xfId="14647" xr:uid="{00000000-0005-0000-0000-0000B6070000}"/>
    <cellStyle name="20% - Accent2 12 5 2 2" xfId="28196" xr:uid="{00000000-0005-0000-0000-0000B7070000}"/>
    <cellStyle name="20% - Accent2 12 5 3" xfId="17869" xr:uid="{00000000-0005-0000-0000-0000B8070000}"/>
    <cellStyle name="20% - Accent2 12 6" xfId="547" xr:uid="{00000000-0005-0000-0000-0000B9070000}"/>
    <cellStyle name="20% - Accent2 12 6 2" xfId="16427" xr:uid="{00000000-0005-0000-0000-0000BA070000}"/>
    <cellStyle name="20% - Accent2 12 6 2 2" xfId="29834" xr:uid="{00000000-0005-0000-0000-0000BB070000}"/>
    <cellStyle name="20% - Accent2 12 6 3" xfId="17870" xr:uid="{00000000-0005-0000-0000-0000BC070000}"/>
    <cellStyle name="20% - Accent2 12 7" xfId="8893" xr:uid="{00000000-0005-0000-0000-0000BD070000}"/>
    <cellStyle name="20% - Accent2 12 7 2" xfId="23368" xr:uid="{00000000-0005-0000-0000-0000BE070000}"/>
    <cellStyle name="20% - Accent2 12 8" xfId="17862" xr:uid="{00000000-0005-0000-0000-0000BF070000}"/>
    <cellStyle name="20% - Accent2 13" xfId="548" xr:uid="{00000000-0005-0000-0000-0000C0070000}"/>
    <cellStyle name="20% - Accent2 13 2" xfId="549" xr:uid="{00000000-0005-0000-0000-0000C1070000}"/>
    <cellStyle name="20% - Accent2 13 2 2" xfId="10620" xr:uid="{00000000-0005-0000-0000-0000C2070000}"/>
    <cellStyle name="20% - Accent2 13 2 2 2" xfId="24562" xr:uid="{00000000-0005-0000-0000-0000C3070000}"/>
    <cellStyle name="20% - Accent2 13 2 3" xfId="17872" xr:uid="{00000000-0005-0000-0000-0000C4070000}"/>
    <cellStyle name="20% - Accent2 13 3" xfId="550" xr:uid="{00000000-0005-0000-0000-0000C5070000}"/>
    <cellStyle name="20% - Accent2 13 3 2" xfId="12560" xr:uid="{00000000-0005-0000-0000-0000C6070000}"/>
    <cellStyle name="20% - Accent2 13 3 2 2" xfId="26272" xr:uid="{00000000-0005-0000-0000-0000C7070000}"/>
    <cellStyle name="20% - Accent2 13 3 3" xfId="17873" xr:uid="{00000000-0005-0000-0000-0000C8070000}"/>
    <cellStyle name="20% - Accent2 13 4" xfId="551" xr:uid="{00000000-0005-0000-0000-0000C9070000}"/>
    <cellStyle name="20% - Accent2 13 4 2" xfId="14649" xr:uid="{00000000-0005-0000-0000-0000CA070000}"/>
    <cellStyle name="20% - Accent2 13 4 2 2" xfId="28198" xr:uid="{00000000-0005-0000-0000-0000CB070000}"/>
    <cellStyle name="20% - Accent2 13 4 3" xfId="17874" xr:uid="{00000000-0005-0000-0000-0000CC070000}"/>
    <cellStyle name="20% - Accent2 13 5" xfId="8895" xr:uid="{00000000-0005-0000-0000-0000CD070000}"/>
    <cellStyle name="20% - Accent2 13 5 2" xfId="23370" xr:uid="{00000000-0005-0000-0000-0000CE070000}"/>
    <cellStyle name="20% - Accent2 13 6" xfId="17871" xr:uid="{00000000-0005-0000-0000-0000CF070000}"/>
    <cellStyle name="20% - Accent2 14" xfId="552" xr:uid="{00000000-0005-0000-0000-0000D0070000}"/>
    <cellStyle name="20% - Accent2 14 2" xfId="553" xr:uid="{00000000-0005-0000-0000-0000D1070000}"/>
    <cellStyle name="20% - Accent2 14 2 2" xfId="10621" xr:uid="{00000000-0005-0000-0000-0000D2070000}"/>
    <cellStyle name="20% - Accent2 14 2 2 2" xfId="24563" xr:uid="{00000000-0005-0000-0000-0000D3070000}"/>
    <cellStyle name="20% - Accent2 14 2 3" xfId="17876" xr:uid="{00000000-0005-0000-0000-0000D4070000}"/>
    <cellStyle name="20% - Accent2 14 3" xfId="554" xr:uid="{00000000-0005-0000-0000-0000D5070000}"/>
    <cellStyle name="20% - Accent2 14 3 2" xfId="12776" xr:uid="{00000000-0005-0000-0000-0000D6070000}"/>
    <cellStyle name="20% - Accent2 14 3 2 2" xfId="26488" xr:uid="{00000000-0005-0000-0000-0000D7070000}"/>
    <cellStyle name="20% - Accent2 14 3 3" xfId="17877" xr:uid="{00000000-0005-0000-0000-0000D8070000}"/>
    <cellStyle name="20% - Accent2 14 4" xfId="555" xr:uid="{00000000-0005-0000-0000-0000D9070000}"/>
    <cellStyle name="20% - Accent2 14 4 2" xfId="14650" xr:uid="{00000000-0005-0000-0000-0000DA070000}"/>
    <cellStyle name="20% - Accent2 14 4 2 2" xfId="28199" xr:uid="{00000000-0005-0000-0000-0000DB070000}"/>
    <cellStyle name="20% - Accent2 14 4 3" xfId="17878" xr:uid="{00000000-0005-0000-0000-0000DC070000}"/>
    <cellStyle name="20% - Accent2 14 5" xfId="8896" xr:uid="{00000000-0005-0000-0000-0000DD070000}"/>
    <cellStyle name="20% - Accent2 14 5 2" xfId="23371" xr:uid="{00000000-0005-0000-0000-0000DE070000}"/>
    <cellStyle name="20% - Accent2 14 6" xfId="17875" xr:uid="{00000000-0005-0000-0000-0000DF070000}"/>
    <cellStyle name="20% - Accent2 15" xfId="556" xr:uid="{00000000-0005-0000-0000-0000E0070000}"/>
    <cellStyle name="20% - Accent2 15 2" xfId="557" xr:uid="{00000000-0005-0000-0000-0000E1070000}"/>
    <cellStyle name="20% - Accent2 15 2 2" xfId="10622" xr:uid="{00000000-0005-0000-0000-0000E2070000}"/>
    <cellStyle name="20% - Accent2 15 2 2 2" xfId="24564" xr:uid="{00000000-0005-0000-0000-0000E3070000}"/>
    <cellStyle name="20% - Accent2 15 2 3" xfId="17880" xr:uid="{00000000-0005-0000-0000-0000E4070000}"/>
    <cellStyle name="20% - Accent2 15 3" xfId="558" xr:uid="{00000000-0005-0000-0000-0000E5070000}"/>
    <cellStyle name="20% - Accent2 15 3 2" xfId="12665" xr:uid="{00000000-0005-0000-0000-0000E6070000}"/>
    <cellStyle name="20% - Accent2 15 3 2 2" xfId="26377" xr:uid="{00000000-0005-0000-0000-0000E7070000}"/>
    <cellStyle name="20% - Accent2 15 3 3" xfId="17881" xr:uid="{00000000-0005-0000-0000-0000E8070000}"/>
    <cellStyle name="20% - Accent2 15 4" xfId="559" xr:uid="{00000000-0005-0000-0000-0000E9070000}"/>
    <cellStyle name="20% - Accent2 15 4 2" xfId="14651" xr:uid="{00000000-0005-0000-0000-0000EA070000}"/>
    <cellStyle name="20% - Accent2 15 4 2 2" xfId="28200" xr:uid="{00000000-0005-0000-0000-0000EB070000}"/>
    <cellStyle name="20% - Accent2 15 4 3" xfId="17882" xr:uid="{00000000-0005-0000-0000-0000EC070000}"/>
    <cellStyle name="20% - Accent2 15 5" xfId="8897" xr:uid="{00000000-0005-0000-0000-0000ED070000}"/>
    <cellStyle name="20% - Accent2 15 5 2" xfId="23372" xr:uid="{00000000-0005-0000-0000-0000EE070000}"/>
    <cellStyle name="20% - Accent2 15 6" xfId="17879" xr:uid="{00000000-0005-0000-0000-0000EF070000}"/>
    <cellStyle name="20% - Accent2 16" xfId="560" xr:uid="{00000000-0005-0000-0000-0000F0070000}"/>
    <cellStyle name="20% - Accent2 16 2" xfId="561" xr:uid="{00000000-0005-0000-0000-0000F1070000}"/>
    <cellStyle name="20% - Accent2 16 2 2" xfId="10623" xr:uid="{00000000-0005-0000-0000-0000F2070000}"/>
    <cellStyle name="20% - Accent2 16 2 2 2" xfId="24565" xr:uid="{00000000-0005-0000-0000-0000F3070000}"/>
    <cellStyle name="20% - Accent2 16 2 3" xfId="17884" xr:uid="{00000000-0005-0000-0000-0000F4070000}"/>
    <cellStyle name="20% - Accent2 16 3" xfId="562" xr:uid="{00000000-0005-0000-0000-0000F5070000}"/>
    <cellStyle name="20% - Accent2 16 3 2" xfId="12417" xr:uid="{00000000-0005-0000-0000-0000F6070000}"/>
    <cellStyle name="20% - Accent2 16 3 2 2" xfId="26129" xr:uid="{00000000-0005-0000-0000-0000F7070000}"/>
    <cellStyle name="20% - Accent2 16 3 3" xfId="17885" xr:uid="{00000000-0005-0000-0000-0000F8070000}"/>
    <cellStyle name="20% - Accent2 16 4" xfId="563" xr:uid="{00000000-0005-0000-0000-0000F9070000}"/>
    <cellStyle name="20% - Accent2 16 4 2" xfId="14652" xr:uid="{00000000-0005-0000-0000-0000FA070000}"/>
    <cellStyle name="20% - Accent2 16 4 2 2" xfId="28201" xr:uid="{00000000-0005-0000-0000-0000FB070000}"/>
    <cellStyle name="20% - Accent2 16 4 3" xfId="17886" xr:uid="{00000000-0005-0000-0000-0000FC070000}"/>
    <cellStyle name="20% - Accent2 16 5" xfId="8898" xr:uid="{00000000-0005-0000-0000-0000FD070000}"/>
    <cellStyle name="20% - Accent2 16 5 2" xfId="23373" xr:uid="{00000000-0005-0000-0000-0000FE070000}"/>
    <cellStyle name="20% - Accent2 16 6" xfId="17883" xr:uid="{00000000-0005-0000-0000-0000FF070000}"/>
    <cellStyle name="20% - Accent2 17" xfId="564" xr:uid="{00000000-0005-0000-0000-000000080000}"/>
    <cellStyle name="20% - Accent2 17 2" xfId="565" xr:uid="{00000000-0005-0000-0000-000001080000}"/>
    <cellStyle name="20% - Accent2 17 2 2" xfId="10624" xr:uid="{00000000-0005-0000-0000-000002080000}"/>
    <cellStyle name="20% - Accent2 17 2 2 2" xfId="24566" xr:uid="{00000000-0005-0000-0000-000003080000}"/>
    <cellStyle name="20% - Accent2 17 2 3" xfId="17888" xr:uid="{00000000-0005-0000-0000-000004080000}"/>
    <cellStyle name="20% - Accent2 17 3" xfId="566" xr:uid="{00000000-0005-0000-0000-000005080000}"/>
    <cellStyle name="20% - Accent2 17 3 2" xfId="12525" xr:uid="{00000000-0005-0000-0000-000006080000}"/>
    <cellStyle name="20% - Accent2 17 3 2 2" xfId="26237" xr:uid="{00000000-0005-0000-0000-000007080000}"/>
    <cellStyle name="20% - Accent2 17 3 3" xfId="17889" xr:uid="{00000000-0005-0000-0000-000008080000}"/>
    <cellStyle name="20% - Accent2 17 4" xfId="567" xr:uid="{00000000-0005-0000-0000-000009080000}"/>
    <cellStyle name="20% - Accent2 17 4 2" xfId="14653" xr:uid="{00000000-0005-0000-0000-00000A080000}"/>
    <cellStyle name="20% - Accent2 17 4 2 2" xfId="28202" xr:uid="{00000000-0005-0000-0000-00000B080000}"/>
    <cellStyle name="20% - Accent2 17 4 3" xfId="17890" xr:uid="{00000000-0005-0000-0000-00000C080000}"/>
    <cellStyle name="20% - Accent2 17 5" xfId="8899" xr:uid="{00000000-0005-0000-0000-00000D080000}"/>
    <cellStyle name="20% - Accent2 17 5 2" xfId="23374" xr:uid="{00000000-0005-0000-0000-00000E080000}"/>
    <cellStyle name="20% - Accent2 17 6" xfId="17887" xr:uid="{00000000-0005-0000-0000-00000F080000}"/>
    <cellStyle name="20% - Accent2 18" xfId="568" xr:uid="{00000000-0005-0000-0000-000010080000}"/>
    <cellStyle name="20% - Accent2 18 2" xfId="569" xr:uid="{00000000-0005-0000-0000-000011080000}"/>
    <cellStyle name="20% - Accent2 18 2 2" xfId="10625" xr:uid="{00000000-0005-0000-0000-000012080000}"/>
    <cellStyle name="20% - Accent2 18 2 2 2" xfId="24567" xr:uid="{00000000-0005-0000-0000-000013080000}"/>
    <cellStyle name="20% - Accent2 18 2 3" xfId="17892" xr:uid="{00000000-0005-0000-0000-000014080000}"/>
    <cellStyle name="20% - Accent2 18 3" xfId="570" xr:uid="{00000000-0005-0000-0000-000015080000}"/>
    <cellStyle name="20% - Accent2 18 3 2" xfId="12740" xr:uid="{00000000-0005-0000-0000-000016080000}"/>
    <cellStyle name="20% - Accent2 18 3 2 2" xfId="26452" xr:uid="{00000000-0005-0000-0000-000017080000}"/>
    <cellStyle name="20% - Accent2 18 3 3" xfId="17893" xr:uid="{00000000-0005-0000-0000-000018080000}"/>
    <cellStyle name="20% - Accent2 18 4" xfId="571" xr:uid="{00000000-0005-0000-0000-000019080000}"/>
    <cellStyle name="20% - Accent2 18 4 2" xfId="14654" xr:uid="{00000000-0005-0000-0000-00001A080000}"/>
    <cellStyle name="20% - Accent2 18 4 2 2" xfId="28203" xr:uid="{00000000-0005-0000-0000-00001B080000}"/>
    <cellStyle name="20% - Accent2 18 4 3" xfId="17894" xr:uid="{00000000-0005-0000-0000-00001C080000}"/>
    <cellStyle name="20% - Accent2 18 5" xfId="8900" xr:uid="{00000000-0005-0000-0000-00001D080000}"/>
    <cellStyle name="20% - Accent2 18 5 2" xfId="23375" xr:uid="{00000000-0005-0000-0000-00001E080000}"/>
    <cellStyle name="20% - Accent2 18 6" xfId="17891" xr:uid="{00000000-0005-0000-0000-00001F080000}"/>
    <cellStyle name="20% - Accent2 19" xfId="572" xr:uid="{00000000-0005-0000-0000-000020080000}"/>
    <cellStyle name="20% - Accent2 19 2" xfId="573" xr:uid="{00000000-0005-0000-0000-000021080000}"/>
    <cellStyle name="20% - Accent2 19 2 2" xfId="11711" xr:uid="{00000000-0005-0000-0000-000022080000}"/>
    <cellStyle name="20% - Accent2 19 2 2 2" xfId="25431" xr:uid="{00000000-0005-0000-0000-000023080000}"/>
    <cellStyle name="20% - Accent2 19 2 3" xfId="17896" xr:uid="{00000000-0005-0000-0000-000024080000}"/>
    <cellStyle name="20% - Accent2 19 3" xfId="574" xr:uid="{00000000-0005-0000-0000-000025080000}"/>
    <cellStyle name="20% - Accent2 19 3 2" xfId="12630" xr:uid="{00000000-0005-0000-0000-000026080000}"/>
    <cellStyle name="20% - Accent2 19 3 2 2" xfId="26342" xr:uid="{00000000-0005-0000-0000-000027080000}"/>
    <cellStyle name="20% - Accent2 19 3 3" xfId="17897" xr:uid="{00000000-0005-0000-0000-000028080000}"/>
    <cellStyle name="20% - Accent2 19 4" xfId="575" xr:uid="{00000000-0005-0000-0000-000029080000}"/>
    <cellStyle name="20% - Accent2 19 4 2" xfId="14655" xr:uid="{00000000-0005-0000-0000-00002A080000}"/>
    <cellStyle name="20% - Accent2 19 4 2 2" xfId="28204" xr:uid="{00000000-0005-0000-0000-00002B080000}"/>
    <cellStyle name="20% - Accent2 19 4 3" xfId="17898" xr:uid="{00000000-0005-0000-0000-00002C080000}"/>
    <cellStyle name="20% - Accent2 19 5" xfId="10463" xr:uid="{00000000-0005-0000-0000-00002D080000}"/>
    <cellStyle name="20% - Accent2 19 5 2" xfId="24422" xr:uid="{00000000-0005-0000-0000-00002E080000}"/>
    <cellStyle name="20% - Accent2 19 6" xfId="17895" xr:uid="{00000000-0005-0000-0000-00002F080000}"/>
    <cellStyle name="20% - Accent2 2" xfId="576" xr:uid="{00000000-0005-0000-0000-000030080000}"/>
    <cellStyle name="20% - Accent2 2 10" xfId="577" xr:uid="{00000000-0005-0000-0000-000031080000}"/>
    <cellStyle name="20% - Accent2 2 10 2" xfId="578" xr:uid="{00000000-0005-0000-0000-000032080000}"/>
    <cellStyle name="20% - Accent2 2 10 2 2" xfId="14657" xr:uid="{00000000-0005-0000-0000-000033080000}"/>
    <cellStyle name="20% - Accent2 2 10 2 2 2" xfId="28206" xr:uid="{00000000-0005-0000-0000-000034080000}"/>
    <cellStyle name="20% - Accent2 2 10 2 3" xfId="17901" xr:uid="{00000000-0005-0000-0000-000035080000}"/>
    <cellStyle name="20% - Accent2 2 10 3" xfId="11838" xr:uid="{00000000-0005-0000-0000-000036080000}"/>
    <cellStyle name="20% - Accent2 2 10 3 2" xfId="25553" xr:uid="{00000000-0005-0000-0000-000037080000}"/>
    <cellStyle name="20% - Accent2 2 10 4" xfId="17900" xr:uid="{00000000-0005-0000-0000-000038080000}"/>
    <cellStyle name="20% - Accent2 2 11" xfId="579" xr:uid="{00000000-0005-0000-0000-000039080000}"/>
    <cellStyle name="20% - Accent2 2 11 2" xfId="11764" xr:uid="{00000000-0005-0000-0000-00003A080000}"/>
    <cellStyle name="20% - Accent2 2 11 2 2" xfId="25479" xr:uid="{00000000-0005-0000-0000-00003B080000}"/>
    <cellStyle name="20% - Accent2 2 11 3" xfId="17902" xr:uid="{00000000-0005-0000-0000-00003C080000}"/>
    <cellStyle name="20% - Accent2 2 12" xfId="580" xr:uid="{00000000-0005-0000-0000-00003D080000}"/>
    <cellStyle name="20% - Accent2 2 12 2" xfId="13437" xr:uid="{00000000-0005-0000-0000-00003E080000}"/>
    <cellStyle name="20% - Accent2 2 12 2 2" xfId="26986" xr:uid="{00000000-0005-0000-0000-00003F080000}"/>
    <cellStyle name="20% - Accent2 2 12 3" xfId="17903" xr:uid="{00000000-0005-0000-0000-000040080000}"/>
    <cellStyle name="20% - Accent2 2 13" xfId="581" xr:uid="{00000000-0005-0000-0000-000041080000}"/>
    <cellStyle name="20% - Accent2 2 13 2" xfId="14018" xr:uid="{00000000-0005-0000-0000-000042080000}"/>
    <cellStyle name="20% - Accent2 2 13 2 2" xfId="27567" xr:uid="{00000000-0005-0000-0000-000043080000}"/>
    <cellStyle name="20% - Accent2 2 13 3" xfId="17904" xr:uid="{00000000-0005-0000-0000-000044080000}"/>
    <cellStyle name="20% - Accent2 2 14" xfId="582" xr:uid="{00000000-0005-0000-0000-000045080000}"/>
    <cellStyle name="20% - Accent2 2 14 2" xfId="14656" xr:uid="{00000000-0005-0000-0000-000046080000}"/>
    <cellStyle name="20% - Accent2 2 14 2 2" xfId="28205" xr:uid="{00000000-0005-0000-0000-000047080000}"/>
    <cellStyle name="20% - Accent2 2 14 3" xfId="17905" xr:uid="{00000000-0005-0000-0000-000048080000}"/>
    <cellStyle name="20% - Accent2 2 15" xfId="583" xr:uid="{00000000-0005-0000-0000-000049080000}"/>
    <cellStyle name="20% - Accent2 2 15 2" xfId="15904" xr:uid="{00000000-0005-0000-0000-00004A080000}"/>
    <cellStyle name="20% - Accent2 2 15 2 2" xfId="29311" xr:uid="{00000000-0005-0000-0000-00004B080000}"/>
    <cellStyle name="20% - Accent2 2 15 3" xfId="17906" xr:uid="{00000000-0005-0000-0000-00004C080000}"/>
    <cellStyle name="20% - Accent2 2 16" xfId="8901" xr:uid="{00000000-0005-0000-0000-00004D080000}"/>
    <cellStyle name="20% - Accent2 2 16 2" xfId="23376" xr:uid="{00000000-0005-0000-0000-00004E080000}"/>
    <cellStyle name="20% - Accent2 2 17" xfId="17899" xr:uid="{00000000-0005-0000-0000-00004F080000}"/>
    <cellStyle name="20% - Accent2 2 18" xfId="33066" xr:uid="{00000000-0005-0000-0000-000050080000}"/>
    <cellStyle name="20% - Accent2 2 2" xfId="584" xr:uid="{00000000-0005-0000-0000-000051080000}"/>
    <cellStyle name="20% - Accent2 2 2 10" xfId="585" xr:uid="{00000000-0005-0000-0000-000052080000}"/>
    <cellStyle name="20% - Accent2 2 2 10 2" xfId="14658" xr:uid="{00000000-0005-0000-0000-000053080000}"/>
    <cellStyle name="20% - Accent2 2 2 10 2 2" xfId="28207" xr:uid="{00000000-0005-0000-0000-000054080000}"/>
    <cellStyle name="20% - Accent2 2 2 10 3" xfId="17908" xr:uid="{00000000-0005-0000-0000-000055080000}"/>
    <cellStyle name="20% - Accent2 2 2 11" xfId="586" xr:uid="{00000000-0005-0000-0000-000056080000}"/>
    <cellStyle name="20% - Accent2 2 2 11 2" xfId="15950" xr:uid="{00000000-0005-0000-0000-000057080000}"/>
    <cellStyle name="20% - Accent2 2 2 11 2 2" xfId="29357" xr:uid="{00000000-0005-0000-0000-000058080000}"/>
    <cellStyle name="20% - Accent2 2 2 11 3" xfId="17909" xr:uid="{00000000-0005-0000-0000-000059080000}"/>
    <cellStyle name="20% - Accent2 2 2 12" xfId="8902" xr:uid="{00000000-0005-0000-0000-00005A080000}"/>
    <cellStyle name="20% - Accent2 2 2 12 2" xfId="23377" xr:uid="{00000000-0005-0000-0000-00005B080000}"/>
    <cellStyle name="20% - Accent2 2 2 13" xfId="17907" xr:uid="{00000000-0005-0000-0000-00005C080000}"/>
    <cellStyle name="20% - Accent2 2 2 2" xfId="587" xr:uid="{00000000-0005-0000-0000-00005D080000}"/>
    <cellStyle name="20% - Accent2 2 2 2 10" xfId="588" xr:uid="{00000000-0005-0000-0000-00005E080000}"/>
    <cellStyle name="20% - Accent2 2 2 2 10 2" xfId="16093" xr:uid="{00000000-0005-0000-0000-00005F080000}"/>
    <cellStyle name="20% - Accent2 2 2 2 10 2 2" xfId="29500" xr:uid="{00000000-0005-0000-0000-000060080000}"/>
    <cellStyle name="20% - Accent2 2 2 2 10 3" xfId="17911" xr:uid="{00000000-0005-0000-0000-000061080000}"/>
    <cellStyle name="20% - Accent2 2 2 2 11" xfId="8903" xr:uid="{00000000-0005-0000-0000-000062080000}"/>
    <cellStyle name="20% - Accent2 2 2 2 11 2" xfId="23378" xr:uid="{00000000-0005-0000-0000-000063080000}"/>
    <cellStyle name="20% - Accent2 2 2 2 12" xfId="17910" xr:uid="{00000000-0005-0000-0000-000064080000}"/>
    <cellStyle name="20% - Accent2 2 2 2 2" xfId="589" xr:uid="{00000000-0005-0000-0000-000065080000}"/>
    <cellStyle name="20% - Accent2 2 2 2 2 10" xfId="8904" xr:uid="{00000000-0005-0000-0000-000066080000}"/>
    <cellStyle name="20% - Accent2 2 2 2 2 10 2" xfId="23379" xr:uid="{00000000-0005-0000-0000-000067080000}"/>
    <cellStyle name="20% - Accent2 2 2 2 2 11" xfId="17912" xr:uid="{00000000-0005-0000-0000-000068080000}"/>
    <cellStyle name="20% - Accent2 2 2 2 2 2" xfId="590" xr:uid="{00000000-0005-0000-0000-000069080000}"/>
    <cellStyle name="20% - Accent2 2 2 2 2 2 2" xfId="591" xr:uid="{00000000-0005-0000-0000-00006A080000}"/>
    <cellStyle name="20% - Accent2 2 2 2 2 2 2 2" xfId="10630" xr:uid="{00000000-0005-0000-0000-00006B080000}"/>
    <cellStyle name="20% - Accent2 2 2 2 2 2 2 2 2" xfId="24572" xr:uid="{00000000-0005-0000-0000-00006C080000}"/>
    <cellStyle name="20% - Accent2 2 2 2 2 2 2 3" xfId="17914" xr:uid="{00000000-0005-0000-0000-00006D080000}"/>
    <cellStyle name="20% - Accent2 2 2 2 2 2 3" xfId="592" xr:uid="{00000000-0005-0000-0000-00006E080000}"/>
    <cellStyle name="20% - Accent2 2 2 2 2 2 3 2" xfId="12662" xr:uid="{00000000-0005-0000-0000-00006F080000}"/>
    <cellStyle name="20% - Accent2 2 2 2 2 2 3 2 2" xfId="26374" xr:uid="{00000000-0005-0000-0000-000070080000}"/>
    <cellStyle name="20% - Accent2 2 2 2 2 2 3 3" xfId="17915" xr:uid="{00000000-0005-0000-0000-000071080000}"/>
    <cellStyle name="20% - Accent2 2 2 2 2 2 4" xfId="593" xr:uid="{00000000-0005-0000-0000-000072080000}"/>
    <cellStyle name="20% - Accent2 2 2 2 2 2 4 2" xfId="14661" xr:uid="{00000000-0005-0000-0000-000073080000}"/>
    <cellStyle name="20% - Accent2 2 2 2 2 2 4 2 2" xfId="28210" xr:uid="{00000000-0005-0000-0000-000074080000}"/>
    <cellStyle name="20% - Accent2 2 2 2 2 2 4 3" xfId="17916" xr:uid="{00000000-0005-0000-0000-000075080000}"/>
    <cellStyle name="20% - Accent2 2 2 2 2 2 5" xfId="594" xr:uid="{00000000-0005-0000-0000-000076080000}"/>
    <cellStyle name="20% - Accent2 2 2 2 2 2 5 2" xfId="16963" xr:uid="{00000000-0005-0000-0000-000077080000}"/>
    <cellStyle name="20% - Accent2 2 2 2 2 2 5 2 2" xfId="30370" xr:uid="{00000000-0005-0000-0000-000078080000}"/>
    <cellStyle name="20% - Accent2 2 2 2 2 2 5 3" xfId="17917" xr:uid="{00000000-0005-0000-0000-000079080000}"/>
    <cellStyle name="20% - Accent2 2 2 2 2 2 6" xfId="8905" xr:uid="{00000000-0005-0000-0000-00007A080000}"/>
    <cellStyle name="20% - Accent2 2 2 2 2 2 6 2" xfId="23380" xr:uid="{00000000-0005-0000-0000-00007B080000}"/>
    <cellStyle name="20% - Accent2 2 2 2 2 2 7" xfId="17913" xr:uid="{00000000-0005-0000-0000-00007C080000}"/>
    <cellStyle name="20% - Accent2 2 2 2 2 3" xfId="595" xr:uid="{00000000-0005-0000-0000-00007D080000}"/>
    <cellStyle name="20% - Accent2 2 2 2 2 3 2" xfId="596" xr:uid="{00000000-0005-0000-0000-00007E080000}"/>
    <cellStyle name="20% - Accent2 2 2 2 2 3 2 2" xfId="14662" xr:uid="{00000000-0005-0000-0000-00007F080000}"/>
    <cellStyle name="20% - Accent2 2 2 2 2 3 2 2 2" xfId="28211" xr:uid="{00000000-0005-0000-0000-000080080000}"/>
    <cellStyle name="20% - Accent2 2 2 2 2 3 2 3" xfId="17919" xr:uid="{00000000-0005-0000-0000-000081080000}"/>
    <cellStyle name="20% - Accent2 2 2 2 2 3 3" xfId="10629" xr:uid="{00000000-0005-0000-0000-000082080000}"/>
    <cellStyle name="20% - Accent2 2 2 2 2 3 3 2" xfId="24571" xr:uid="{00000000-0005-0000-0000-000083080000}"/>
    <cellStyle name="20% - Accent2 2 2 2 2 3 4" xfId="17918" xr:uid="{00000000-0005-0000-0000-000084080000}"/>
    <cellStyle name="20% - Accent2 2 2 2 2 4" xfId="597" xr:uid="{00000000-0005-0000-0000-000085080000}"/>
    <cellStyle name="20% - Accent2 2 2 2 2 4 2" xfId="12351" xr:uid="{00000000-0005-0000-0000-000086080000}"/>
    <cellStyle name="20% - Accent2 2 2 2 2 4 2 2" xfId="26063" xr:uid="{00000000-0005-0000-0000-000087080000}"/>
    <cellStyle name="20% - Accent2 2 2 2 2 4 3" xfId="17920" xr:uid="{00000000-0005-0000-0000-000088080000}"/>
    <cellStyle name="20% - Accent2 2 2 2 2 5" xfId="598" xr:uid="{00000000-0005-0000-0000-000089080000}"/>
    <cellStyle name="20% - Accent2 2 2 2 2 5 2" xfId="12790" xr:uid="{00000000-0005-0000-0000-00008A080000}"/>
    <cellStyle name="20% - Accent2 2 2 2 2 5 2 2" xfId="26502" xr:uid="{00000000-0005-0000-0000-00008B080000}"/>
    <cellStyle name="20% - Accent2 2 2 2 2 5 3" xfId="17921" xr:uid="{00000000-0005-0000-0000-00008C080000}"/>
    <cellStyle name="20% - Accent2 2 2 2 2 6" xfId="599" xr:uid="{00000000-0005-0000-0000-00008D080000}"/>
    <cellStyle name="20% - Accent2 2 2 2 2 6 2" xfId="13915" xr:uid="{00000000-0005-0000-0000-00008E080000}"/>
    <cellStyle name="20% - Accent2 2 2 2 2 6 2 2" xfId="27464" xr:uid="{00000000-0005-0000-0000-00008F080000}"/>
    <cellStyle name="20% - Accent2 2 2 2 2 6 3" xfId="17922" xr:uid="{00000000-0005-0000-0000-000090080000}"/>
    <cellStyle name="20% - Accent2 2 2 2 2 7" xfId="600" xr:uid="{00000000-0005-0000-0000-000091080000}"/>
    <cellStyle name="20% - Accent2 2 2 2 2 7 2" xfId="14496" xr:uid="{00000000-0005-0000-0000-000092080000}"/>
    <cellStyle name="20% - Accent2 2 2 2 2 7 2 2" xfId="28045" xr:uid="{00000000-0005-0000-0000-000093080000}"/>
    <cellStyle name="20% - Accent2 2 2 2 2 7 3" xfId="17923" xr:uid="{00000000-0005-0000-0000-000094080000}"/>
    <cellStyle name="20% - Accent2 2 2 2 2 8" xfId="601" xr:uid="{00000000-0005-0000-0000-000095080000}"/>
    <cellStyle name="20% - Accent2 2 2 2 2 8 2" xfId="14660" xr:uid="{00000000-0005-0000-0000-000096080000}"/>
    <cellStyle name="20% - Accent2 2 2 2 2 8 2 2" xfId="28209" xr:uid="{00000000-0005-0000-0000-000097080000}"/>
    <cellStyle name="20% - Accent2 2 2 2 2 8 3" xfId="17924" xr:uid="{00000000-0005-0000-0000-000098080000}"/>
    <cellStyle name="20% - Accent2 2 2 2 2 9" xfId="602" xr:uid="{00000000-0005-0000-0000-000099080000}"/>
    <cellStyle name="20% - Accent2 2 2 2 2 9 2" xfId="16382" xr:uid="{00000000-0005-0000-0000-00009A080000}"/>
    <cellStyle name="20% - Accent2 2 2 2 2 9 2 2" xfId="29789" xr:uid="{00000000-0005-0000-0000-00009B080000}"/>
    <cellStyle name="20% - Accent2 2 2 2 2 9 3" xfId="17925" xr:uid="{00000000-0005-0000-0000-00009C080000}"/>
    <cellStyle name="20% - Accent2 2 2 2 3" xfId="603" xr:uid="{00000000-0005-0000-0000-00009D080000}"/>
    <cellStyle name="20% - Accent2 2 2 2 3 2" xfId="604" xr:uid="{00000000-0005-0000-0000-00009E080000}"/>
    <cellStyle name="20% - Accent2 2 2 2 3 2 2" xfId="10631" xr:uid="{00000000-0005-0000-0000-00009F080000}"/>
    <cellStyle name="20% - Accent2 2 2 2 3 2 2 2" xfId="24573" xr:uid="{00000000-0005-0000-0000-0000A0080000}"/>
    <cellStyle name="20% - Accent2 2 2 2 3 2 3" xfId="17927" xr:uid="{00000000-0005-0000-0000-0000A1080000}"/>
    <cellStyle name="20% - Accent2 2 2 2 3 3" xfId="605" xr:uid="{00000000-0005-0000-0000-0000A2080000}"/>
    <cellStyle name="20% - Accent2 2 2 2 3 3 2" xfId="12557" xr:uid="{00000000-0005-0000-0000-0000A3080000}"/>
    <cellStyle name="20% - Accent2 2 2 2 3 3 2 2" xfId="26269" xr:uid="{00000000-0005-0000-0000-0000A4080000}"/>
    <cellStyle name="20% - Accent2 2 2 2 3 3 3" xfId="17928" xr:uid="{00000000-0005-0000-0000-0000A5080000}"/>
    <cellStyle name="20% - Accent2 2 2 2 3 4" xfId="606" xr:uid="{00000000-0005-0000-0000-0000A6080000}"/>
    <cellStyle name="20% - Accent2 2 2 2 3 4 2" xfId="14663" xr:uid="{00000000-0005-0000-0000-0000A7080000}"/>
    <cellStyle name="20% - Accent2 2 2 2 3 4 2 2" xfId="28212" xr:uid="{00000000-0005-0000-0000-0000A8080000}"/>
    <cellStyle name="20% - Accent2 2 2 2 3 4 3" xfId="17929" xr:uid="{00000000-0005-0000-0000-0000A9080000}"/>
    <cellStyle name="20% - Accent2 2 2 2 3 5" xfId="607" xr:uid="{00000000-0005-0000-0000-0000AA080000}"/>
    <cellStyle name="20% - Accent2 2 2 2 3 5 2" xfId="16674" xr:uid="{00000000-0005-0000-0000-0000AB080000}"/>
    <cellStyle name="20% - Accent2 2 2 2 3 5 2 2" xfId="30081" xr:uid="{00000000-0005-0000-0000-0000AC080000}"/>
    <cellStyle name="20% - Accent2 2 2 2 3 5 3" xfId="17930" xr:uid="{00000000-0005-0000-0000-0000AD080000}"/>
    <cellStyle name="20% - Accent2 2 2 2 3 6" xfId="8906" xr:uid="{00000000-0005-0000-0000-0000AE080000}"/>
    <cellStyle name="20% - Accent2 2 2 2 3 6 2" xfId="23381" xr:uid="{00000000-0005-0000-0000-0000AF080000}"/>
    <cellStyle name="20% - Accent2 2 2 2 3 7" xfId="17926" xr:uid="{00000000-0005-0000-0000-0000B0080000}"/>
    <cellStyle name="20% - Accent2 2 2 2 4" xfId="608" xr:uid="{00000000-0005-0000-0000-0000B1080000}"/>
    <cellStyle name="20% - Accent2 2 2 2 4 2" xfId="609" xr:uid="{00000000-0005-0000-0000-0000B2080000}"/>
    <cellStyle name="20% - Accent2 2 2 2 4 2 2" xfId="14664" xr:uid="{00000000-0005-0000-0000-0000B3080000}"/>
    <cellStyle name="20% - Accent2 2 2 2 4 2 2 2" xfId="28213" xr:uid="{00000000-0005-0000-0000-0000B4080000}"/>
    <cellStyle name="20% - Accent2 2 2 2 4 2 3" xfId="17932" xr:uid="{00000000-0005-0000-0000-0000B5080000}"/>
    <cellStyle name="20% - Accent2 2 2 2 4 3" xfId="10628" xr:uid="{00000000-0005-0000-0000-0000B6080000}"/>
    <cellStyle name="20% - Accent2 2 2 2 4 3 2" xfId="24570" xr:uid="{00000000-0005-0000-0000-0000B7080000}"/>
    <cellStyle name="20% - Accent2 2 2 2 4 4" xfId="17931" xr:uid="{00000000-0005-0000-0000-0000B8080000}"/>
    <cellStyle name="20% - Accent2 2 2 2 5" xfId="610" xr:uid="{00000000-0005-0000-0000-0000B9080000}"/>
    <cellStyle name="20% - Accent2 2 2 2 5 2" xfId="12051" xr:uid="{00000000-0005-0000-0000-0000BA080000}"/>
    <cellStyle name="20% - Accent2 2 2 2 5 2 2" xfId="25766" xr:uid="{00000000-0005-0000-0000-0000BB080000}"/>
    <cellStyle name="20% - Accent2 2 2 2 5 3" xfId="17933" xr:uid="{00000000-0005-0000-0000-0000BC080000}"/>
    <cellStyle name="20% - Accent2 2 2 2 6" xfId="611" xr:uid="{00000000-0005-0000-0000-0000BD080000}"/>
    <cellStyle name="20% - Accent2 2 2 2 6 2" xfId="12760" xr:uid="{00000000-0005-0000-0000-0000BE080000}"/>
    <cellStyle name="20% - Accent2 2 2 2 6 2 2" xfId="26472" xr:uid="{00000000-0005-0000-0000-0000BF080000}"/>
    <cellStyle name="20% - Accent2 2 2 2 6 3" xfId="17934" xr:uid="{00000000-0005-0000-0000-0000C0080000}"/>
    <cellStyle name="20% - Accent2 2 2 2 7" xfId="612" xr:uid="{00000000-0005-0000-0000-0000C1080000}"/>
    <cellStyle name="20% - Accent2 2 2 2 7 2" xfId="13626" xr:uid="{00000000-0005-0000-0000-0000C2080000}"/>
    <cellStyle name="20% - Accent2 2 2 2 7 2 2" xfId="27175" xr:uid="{00000000-0005-0000-0000-0000C3080000}"/>
    <cellStyle name="20% - Accent2 2 2 2 7 3" xfId="17935" xr:uid="{00000000-0005-0000-0000-0000C4080000}"/>
    <cellStyle name="20% - Accent2 2 2 2 8" xfId="613" xr:uid="{00000000-0005-0000-0000-0000C5080000}"/>
    <cellStyle name="20% - Accent2 2 2 2 8 2" xfId="14207" xr:uid="{00000000-0005-0000-0000-0000C6080000}"/>
    <cellStyle name="20% - Accent2 2 2 2 8 2 2" xfId="27756" xr:uid="{00000000-0005-0000-0000-0000C7080000}"/>
    <cellStyle name="20% - Accent2 2 2 2 8 3" xfId="17936" xr:uid="{00000000-0005-0000-0000-0000C8080000}"/>
    <cellStyle name="20% - Accent2 2 2 2 9" xfId="614" xr:uid="{00000000-0005-0000-0000-0000C9080000}"/>
    <cellStyle name="20% - Accent2 2 2 2 9 2" xfId="14659" xr:uid="{00000000-0005-0000-0000-0000CA080000}"/>
    <cellStyle name="20% - Accent2 2 2 2 9 2 2" xfId="28208" xr:uid="{00000000-0005-0000-0000-0000CB080000}"/>
    <cellStyle name="20% - Accent2 2 2 2 9 3" xfId="17937" xr:uid="{00000000-0005-0000-0000-0000CC080000}"/>
    <cellStyle name="20% - Accent2 2 2 3" xfId="615" xr:uid="{00000000-0005-0000-0000-0000CD080000}"/>
    <cellStyle name="20% - Accent2 2 2 3 10" xfId="8907" xr:uid="{00000000-0005-0000-0000-0000CE080000}"/>
    <cellStyle name="20% - Accent2 2 2 3 10 2" xfId="23382" xr:uid="{00000000-0005-0000-0000-0000CF080000}"/>
    <cellStyle name="20% - Accent2 2 2 3 11" xfId="17938" xr:uid="{00000000-0005-0000-0000-0000D0080000}"/>
    <cellStyle name="20% - Accent2 2 2 3 2" xfId="616" xr:uid="{00000000-0005-0000-0000-0000D1080000}"/>
    <cellStyle name="20% - Accent2 2 2 3 2 2" xfId="617" xr:uid="{00000000-0005-0000-0000-0000D2080000}"/>
    <cellStyle name="20% - Accent2 2 2 3 2 2 2" xfId="10633" xr:uid="{00000000-0005-0000-0000-0000D3080000}"/>
    <cellStyle name="20% - Accent2 2 2 3 2 2 2 2" xfId="24575" xr:uid="{00000000-0005-0000-0000-0000D4080000}"/>
    <cellStyle name="20% - Accent2 2 2 3 2 2 3" xfId="17940" xr:uid="{00000000-0005-0000-0000-0000D5080000}"/>
    <cellStyle name="20% - Accent2 2 2 3 2 3" xfId="618" xr:uid="{00000000-0005-0000-0000-0000D6080000}"/>
    <cellStyle name="20% - Accent2 2 2 3 2 3 2" xfId="12749" xr:uid="{00000000-0005-0000-0000-0000D7080000}"/>
    <cellStyle name="20% - Accent2 2 2 3 2 3 2 2" xfId="26461" xr:uid="{00000000-0005-0000-0000-0000D8080000}"/>
    <cellStyle name="20% - Accent2 2 2 3 2 3 3" xfId="17941" xr:uid="{00000000-0005-0000-0000-0000D9080000}"/>
    <cellStyle name="20% - Accent2 2 2 3 2 4" xfId="619" xr:uid="{00000000-0005-0000-0000-0000DA080000}"/>
    <cellStyle name="20% - Accent2 2 2 3 2 4 2" xfId="14666" xr:uid="{00000000-0005-0000-0000-0000DB080000}"/>
    <cellStyle name="20% - Accent2 2 2 3 2 4 2 2" xfId="28215" xr:uid="{00000000-0005-0000-0000-0000DC080000}"/>
    <cellStyle name="20% - Accent2 2 2 3 2 4 3" xfId="17942" xr:uid="{00000000-0005-0000-0000-0000DD080000}"/>
    <cellStyle name="20% - Accent2 2 2 3 2 5" xfId="620" xr:uid="{00000000-0005-0000-0000-0000DE080000}"/>
    <cellStyle name="20% - Accent2 2 2 3 2 5 2" xfId="16820" xr:uid="{00000000-0005-0000-0000-0000DF080000}"/>
    <cellStyle name="20% - Accent2 2 2 3 2 5 2 2" xfId="30227" xr:uid="{00000000-0005-0000-0000-0000E0080000}"/>
    <cellStyle name="20% - Accent2 2 2 3 2 5 3" xfId="17943" xr:uid="{00000000-0005-0000-0000-0000E1080000}"/>
    <cellStyle name="20% - Accent2 2 2 3 2 6" xfId="8908" xr:uid="{00000000-0005-0000-0000-0000E2080000}"/>
    <cellStyle name="20% - Accent2 2 2 3 2 6 2" xfId="23383" xr:uid="{00000000-0005-0000-0000-0000E3080000}"/>
    <cellStyle name="20% - Accent2 2 2 3 2 7" xfId="17939" xr:uid="{00000000-0005-0000-0000-0000E4080000}"/>
    <cellStyle name="20% - Accent2 2 2 3 3" xfId="621" xr:uid="{00000000-0005-0000-0000-0000E5080000}"/>
    <cellStyle name="20% - Accent2 2 2 3 3 2" xfId="622" xr:uid="{00000000-0005-0000-0000-0000E6080000}"/>
    <cellStyle name="20% - Accent2 2 2 3 3 2 2" xfId="14667" xr:uid="{00000000-0005-0000-0000-0000E7080000}"/>
    <cellStyle name="20% - Accent2 2 2 3 3 2 2 2" xfId="28216" xr:uid="{00000000-0005-0000-0000-0000E8080000}"/>
    <cellStyle name="20% - Accent2 2 2 3 3 2 3" xfId="17945" xr:uid="{00000000-0005-0000-0000-0000E9080000}"/>
    <cellStyle name="20% - Accent2 2 2 3 3 3" xfId="10632" xr:uid="{00000000-0005-0000-0000-0000EA080000}"/>
    <cellStyle name="20% - Accent2 2 2 3 3 3 2" xfId="24574" xr:uid="{00000000-0005-0000-0000-0000EB080000}"/>
    <cellStyle name="20% - Accent2 2 2 3 3 4" xfId="17944" xr:uid="{00000000-0005-0000-0000-0000EC080000}"/>
    <cellStyle name="20% - Accent2 2 2 3 4" xfId="623" xr:uid="{00000000-0005-0000-0000-0000ED080000}"/>
    <cellStyle name="20% - Accent2 2 2 3 4 2" xfId="12208" xr:uid="{00000000-0005-0000-0000-0000EE080000}"/>
    <cellStyle name="20% - Accent2 2 2 3 4 2 2" xfId="25920" xr:uid="{00000000-0005-0000-0000-0000EF080000}"/>
    <cellStyle name="20% - Accent2 2 2 3 4 3" xfId="17946" xr:uid="{00000000-0005-0000-0000-0000F0080000}"/>
    <cellStyle name="20% - Accent2 2 2 3 5" xfId="624" xr:uid="{00000000-0005-0000-0000-0000F1080000}"/>
    <cellStyle name="20% - Accent2 2 2 3 5 2" xfId="12663" xr:uid="{00000000-0005-0000-0000-0000F2080000}"/>
    <cellStyle name="20% - Accent2 2 2 3 5 2 2" xfId="26375" xr:uid="{00000000-0005-0000-0000-0000F3080000}"/>
    <cellStyle name="20% - Accent2 2 2 3 5 3" xfId="17947" xr:uid="{00000000-0005-0000-0000-0000F4080000}"/>
    <cellStyle name="20% - Accent2 2 2 3 6" xfId="625" xr:uid="{00000000-0005-0000-0000-0000F5080000}"/>
    <cellStyle name="20% - Accent2 2 2 3 6 2" xfId="13772" xr:uid="{00000000-0005-0000-0000-0000F6080000}"/>
    <cellStyle name="20% - Accent2 2 2 3 6 2 2" xfId="27321" xr:uid="{00000000-0005-0000-0000-0000F7080000}"/>
    <cellStyle name="20% - Accent2 2 2 3 6 3" xfId="17948" xr:uid="{00000000-0005-0000-0000-0000F8080000}"/>
    <cellStyle name="20% - Accent2 2 2 3 7" xfId="626" xr:uid="{00000000-0005-0000-0000-0000F9080000}"/>
    <cellStyle name="20% - Accent2 2 2 3 7 2" xfId="14353" xr:uid="{00000000-0005-0000-0000-0000FA080000}"/>
    <cellStyle name="20% - Accent2 2 2 3 7 2 2" xfId="27902" xr:uid="{00000000-0005-0000-0000-0000FB080000}"/>
    <cellStyle name="20% - Accent2 2 2 3 7 3" xfId="17949" xr:uid="{00000000-0005-0000-0000-0000FC080000}"/>
    <cellStyle name="20% - Accent2 2 2 3 8" xfId="627" xr:uid="{00000000-0005-0000-0000-0000FD080000}"/>
    <cellStyle name="20% - Accent2 2 2 3 8 2" xfId="14665" xr:uid="{00000000-0005-0000-0000-0000FE080000}"/>
    <cellStyle name="20% - Accent2 2 2 3 8 2 2" xfId="28214" xr:uid="{00000000-0005-0000-0000-0000FF080000}"/>
    <cellStyle name="20% - Accent2 2 2 3 8 3" xfId="17950" xr:uid="{00000000-0005-0000-0000-000000090000}"/>
    <cellStyle name="20% - Accent2 2 2 3 9" xfId="628" xr:uid="{00000000-0005-0000-0000-000001090000}"/>
    <cellStyle name="20% - Accent2 2 2 3 9 2" xfId="16239" xr:uid="{00000000-0005-0000-0000-000002090000}"/>
    <cellStyle name="20% - Accent2 2 2 3 9 2 2" xfId="29646" xr:uid="{00000000-0005-0000-0000-000003090000}"/>
    <cellStyle name="20% - Accent2 2 2 3 9 3" xfId="17951" xr:uid="{00000000-0005-0000-0000-000004090000}"/>
    <cellStyle name="20% - Accent2 2 2 4" xfId="629" xr:uid="{00000000-0005-0000-0000-000005090000}"/>
    <cellStyle name="20% - Accent2 2 2 4 2" xfId="630" xr:uid="{00000000-0005-0000-0000-000006090000}"/>
    <cellStyle name="20% - Accent2 2 2 4 2 2" xfId="10634" xr:uid="{00000000-0005-0000-0000-000007090000}"/>
    <cellStyle name="20% - Accent2 2 2 4 2 2 2" xfId="24576" xr:uid="{00000000-0005-0000-0000-000008090000}"/>
    <cellStyle name="20% - Accent2 2 2 4 2 3" xfId="17953" xr:uid="{00000000-0005-0000-0000-000009090000}"/>
    <cellStyle name="20% - Accent2 2 2 4 3" xfId="631" xr:uid="{00000000-0005-0000-0000-00000A090000}"/>
    <cellStyle name="20% - Accent2 2 2 4 3 2" xfId="12550" xr:uid="{00000000-0005-0000-0000-00000B090000}"/>
    <cellStyle name="20% - Accent2 2 2 4 3 2 2" xfId="26262" xr:uid="{00000000-0005-0000-0000-00000C090000}"/>
    <cellStyle name="20% - Accent2 2 2 4 3 3" xfId="17954" xr:uid="{00000000-0005-0000-0000-00000D090000}"/>
    <cellStyle name="20% - Accent2 2 2 4 4" xfId="632" xr:uid="{00000000-0005-0000-0000-00000E090000}"/>
    <cellStyle name="20% - Accent2 2 2 4 4 2" xfId="14668" xr:uid="{00000000-0005-0000-0000-00000F090000}"/>
    <cellStyle name="20% - Accent2 2 2 4 4 2 2" xfId="28217" xr:uid="{00000000-0005-0000-0000-000010090000}"/>
    <cellStyle name="20% - Accent2 2 2 4 4 3" xfId="17955" xr:uid="{00000000-0005-0000-0000-000011090000}"/>
    <cellStyle name="20% - Accent2 2 2 4 5" xfId="633" xr:uid="{00000000-0005-0000-0000-000012090000}"/>
    <cellStyle name="20% - Accent2 2 2 4 5 2" xfId="17167" xr:uid="{00000000-0005-0000-0000-000013090000}"/>
    <cellStyle name="20% - Accent2 2 2 4 5 2 2" xfId="30526" xr:uid="{00000000-0005-0000-0000-000014090000}"/>
    <cellStyle name="20% - Accent2 2 2 4 5 3" xfId="17956" xr:uid="{00000000-0005-0000-0000-000015090000}"/>
    <cellStyle name="20% - Accent2 2 2 4 6" xfId="8909" xr:uid="{00000000-0005-0000-0000-000016090000}"/>
    <cellStyle name="20% - Accent2 2 2 4 6 2" xfId="23384" xr:uid="{00000000-0005-0000-0000-000017090000}"/>
    <cellStyle name="20% - Accent2 2 2 4 7" xfId="17952" xr:uid="{00000000-0005-0000-0000-000018090000}"/>
    <cellStyle name="20% - Accent2 2 2 5" xfId="634" xr:uid="{00000000-0005-0000-0000-000019090000}"/>
    <cellStyle name="20% - Accent2 2 2 5 2" xfId="635" xr:uid="{00000000-0005-0000-0000-00001A090000}"/>
    <cellStyle name="20% - Accent2 2 2 5 2 2" xfId="14669" xr:uid="{00000000-0005-0000-0000-00001B090000}"/>
    <cellStyle name="20% - Accent2 2 2 5 2 2 2" xfId="28218" xr:uid="{00000000-0005-0000-0000-00001C090000}"/>
    <cellStyle name="20% - Accent2 2 2 5 2 3" xfId="17958" xr:uid="{00000000-0005-0000-0000-00001D090000}"/>
    <cellStyle name="20% - Accent2 2 2 5 3" xfId="636" xr:uid="{00000000-0005-0000-0000-00001E090000}"/>
    <cellStyle name="20% - Accent2 2 2 5 3 2" xfId="17256" xr:uid="{00000000-0005-0000-0000-00001F090000}"/>
    <cellStyle name="20% - Accent2 2 2 5 3 2 2" xfId="30615" xr:uid="{00000000-0005-0000-0000-000020090000}"/>
    <cellStyle name="20% - Accent2 2 2 5 3 3" xfId="17959" xr:uid="{00000000-0005-0000-0000-000021090000}"/>
    <cellStyle name="20% - Accent2 2 2 5 4" xfId="10627" xr:uid="{00000000-0005-0000-0000-000022090000}"/>
    <cellStyle name="20% - Accent2 2 2 5 4 2" xfId="24569" xr:uid="{00000000-0005-0000-0000-000023090000}"/>
    <cellStyle name="20% - Accent2 2 2 5 5" xfId="17957" xr:uid="{00000000-0005-0000-0000-000024090000}"/>
    <cellStyle name="20% - Accent2 2 2 6" xfId="637" xr:uid="{00000000-0005-0000-0000-000025090000}"/>
    <cellStyle name="20% - Accent2 2 2 6 2" xfId="638" xr:uid="{00000000-0005-0000-0000-000026090000}"/>
    <cellStyle name="20% - Accent2 2 2 6 2 2" xfId="16531" xr:uid="{00000000-0005-0000-0000-000027090000}"/>
    <cellStyle name="20% - Accent2 2 2 6 2 2 2" xfId="29938" xr:uid="{00000000-0005-0000-0000-000028090000}"/>
    <cellStyle name="20% - Accent2 2 2 6 2 3" xfId="17961" xr:uid="{00000000-0005-0000-0000-000029090000}"/>
    <cellStyle name="20% - Accent2 2 2 6 3" xfId="11906" xr:uid="{00000000-0005-0000-0000-00002A090000}"/>
    <cellStyle name="20% - Accent2 2 2 6 3 2" xfId="25621" xr:uid="{00000000-0005-0000-0000-00002B090000}"/>
    <cellStyle name="20% - Accent2 2 2 6 4" xfId="17960" xr:uid="{00000000-0005-0000-0000-00002C090000}"/>
    <cellStyle name="20% - Accent2 2 2 7" xfId="639" xr:uid="{00000000-0005-0000-0000-00002D090000}"/>
    <cellStyle name="20% - Accent2 2 2 7 2" xfId="11873" xr:uid="{00000000-0005-0000-0000-00002E090000}"/>
    <cellStyle name="20% - Accent2 2 2 7 2 2" xfId="25588" xr:uid="{00000000-0005-0000-0000-00002F090000}"/>
    <cellStyle name="20% - Accent2 2 2 7 3" xfId="17962" xr:uid="{00000000-0005-0000-0000-000030090000}"/>
    <cellStyle name="20% - Accent2 2 2 8" xfId="640" xr:uid="{00000000-0005-0000-0000-000031090000}"/>
    <cellStyle name="20% - Accent2 2 2 8 2" xfId="13483" xr:uid="{00000000-0005-0000-0000-000032090000}"/>
    <cellStyle name="20% - Accent2 2 2 8 2 2" xfId="27032" xr:uid="{00000000-0005-0000-0000-000033090000}"/>
    <cellStyle name="20% - Accent2 2 2 8 3" xfId="17963" xr:uid="{00000000-0005-0000-0000-000034090000}"/>
    <cellStyle name="20% - Accent2 2 2 9" xfId="641" xr:uid="{00000000-0005-0000-0000-000035090000}"/>
    <cellStyle name="20% - Accent2 2 2 9 2" xfId="14064" xr:uid="{00000000-0005-0000-0000-000036090000}"/>
    <cellStyle name="20% - Accent2 2 2 9 2 2" xfId="27613" xr:uid="{00000000-0005-0000-0000-000037090000}"/>
    <cellStyle name="20% - Accent2 2 2 9 3" xfId="17964" xr:uid="{00000000-0005-0000-0000-000038090000}"/>
    <cellStyle name="20% - Accent2 2 3" xfId="642" xr:uid="{00000000-0005-0000-0000-000039090000}"/>
    <cellStyle name="20% - Accent2 2 3 10" xfId="643" xr:uid="{00000000-0005-0000-0000-00003A090000}"/>
    <cellStyle name="20% - Accent2 2 3 10 2" xfId="16047" xr:uid="{00000000-0005-0000-0000-00003B090000}"/>
    <cellStyle name="20% - Accent2 2 3 10 2 2" xfId="29454" xr:uid="{00000000-0005-0000-0000-00003C090000}"/>
    <cellStyle name="20% - Accent2 2 3 10 3" xfId="17966" xr:uid="{00000000-0005-0000-0000-00003D090000}"/>
    <cellStyle name="20% - Accent2 2 3 11" xfId="8910" xr:uid="{00000000-0005-0000-0000-00003E090000}"/>
    <cellStyle name="20% - Accent2 2 3 11 2" xfId="23385" xr:uid="{00000000-0005-0000-0000-00003F090000}"/>
    <cellStyle name="20% - Accent2 2 3 12" xfId="17965" xr:uid="{00000000-0005-0000-0000-000040090000}"/>
    <cellStyle name="20% - Accent2 2 3 2" xfId="644" xr:uid="{00000000-0005-0000-0000-000041090000}"/>
    <cellStyle name="20% - Accent2 2 3 2 10" xfId="8911" xr:uid="{00000000-0005-0000-0000-000042090000}"/>
    <cellStyle name="20% - Accent2 2 3 2 10 2" xfId="23386" xr:uid="{00000000-0005-0000-0000-000043090000}"/>
    <cellStyle name="20% - Accent2 2 3 2 11" xfId="17967" xr:uid="{00000000-0005-0000-0000-000044090000}"/>
    <cellStyle name="20% - Accent2 2 3 2 2" xfId="645" xr:uid="{00000000-0005-0000-0000-000045090000}"/>
    <cellStyle name="20% - Accent2 2 3 2 2 2" xfId="646" xr:uid="{00000000-0005-0000-0000-000046090000}"/>
    <cellStyle name="20% - Accent2 2 3 2 2 2 2" xfId="10637" xr:uid="{00000000-0005-0000-0000-000047090000}"/>
    <cellStyle name="20% - Accent2 2 3 2 2 2 2 2" xfId="24579" xr:uid="{00000000-0005-0000-0000-000048090000}"/>
    <cellStyle name="20% - Accent2 2 3 2 2 2 3" xfId="17969" xr:uid="{00000000-0005-0000-0000-000049090000}"/>
    <cellStyle name="20% - Accent2 2 3 2 2 3" xfId="647" xr:uid="{00000000-0005-0000-0000-00004A090000}"/>
    <cellStyle name="20% - Accent2 2 3 2 2 3 2" xfId="12647" xr:uid="{00000000-0005-0000-0000-00004B090000}"/>
    <cellStyle name="20% - Accent2 2 3 2 2 3 2 2" xfId="26359" xr:uid="{00000000-0005-0000-0000-00004C090000}"/>
    <cellStyle name="20% - Accent2 2 3 2 2 3 3" xfId="17970" xr:uid="{00000000-0005-0000-0000-00004D090000}"/>
    <cellStyle name="20% - Accent2 2 3 2 2 4" xfId="648" xr:uid="{00000000-0005-0000-0000-00004E090000}"/>
    <cellStyle name="20% - Accent2 2 3 2 2 4 2" xfId="14672" xr:uid="{00000000-0005-0000-0000-00004F090000}"/>
    <cellStyle name="20% - Accent2 2 3 2 2 4 2 2" xfId="28221" xr:uid="{00000000-0005-0000-0000-000050090000}"/>
    <cellStyle name="20% - Accent2 2 3 2 2 4 3" xfId="17971" xr:uid="{00000000-0005-0000-0000-000051090000}"/>
    <cellStyle name="20% - Accent2 2 3 2 2 5" xfId="649" xr:uid="{00000000-0005-0000-0000-000052090000}"/>
    <cellStyle name="20% - Accent2 2 3 2 2 5 2" xfId="16917" xr:uid="{00000000-0005-0000-0000-000053090000}"/>
    <cellStyle name="20% - Accent2 2 3 2 2 5 2 2" xfId="30324" xr:uid="{00000000-0005-0000-0000-000054090000}"/>
    <cellStyle name="20% - Accent2 2 3 2 2 5 3" xfId="17972" xr:uid="{00000000-0005-0000-0000-000055090000}"/>
    <cellStyle name="20% - Accent2 2 3 2 2 6" xfId="8912" xr:uid="{00000000-0005-0000-0000-000056090000}"/>
    <cellStyle name="20% - Accent2 2 3 2 2 6 2" xfId="23387" xr:uid="{00000000-0005-0000-0000-000057090000}"/>
    <cellStyle name="20% - Accent2 2 3 2 2 7" xfId="17968" xr:uid="{00000000-0005-0000-0000-000058090000}"/>
    <cellStyle name="20% - Accent2 2 3 2 3" xfId="650" xr:uid="{00000000-0005-0000-0000-000059090000}"/>
    <cellStyle name="20% - Accent2 2 3 2 3 2" xfId="651" xr:uid="{00000000-0005-0000-0000-00005A090000}"/>
    <cellStyle name="20% - Accent2 2 3 2 3 2 2" xfId="14673" xr:uid="{00000000-0005-0000-0000-00005B090000}"/>
    <cellStyle name="20% - Accent2 2 3 2 3 2 2 2" xfId="28222" xr:uid="{00000000-0005-0000-0000-00005C090000}"/>
    <cellStyle name="20% - Accent2 2 3 2 3 2 3" xfId="17974" xr:uid="{00000000-0005-0000-0000-00005D090000}"/>
    <cellStyle name="20% - Accent2 2 3 2 3 3" xfId="10636" xr:uid="{00000000-0005-0000-0000-00005E090000}"/>
    <cellStyle name="20% - Accent2 2 3 2 3 3 2" xfId="24578" xr:uid="{00000000-0005-0000-0000-00005F090000}"/>
    <cellStyle name="20% - Accent2 2 3 2 3 4" xfId="17973" xr:uid="{00000000-0005-0000-0000-000060090000}"/>
    <cellStyle name="20% - Accent2 2 3 2 4" xfId="652" xr:uid="{00000000-0005-0000-0000-000061090000}"/>
    <cellStyle name="20% - Accent2 2 3 2 4 2" xfId="12305" xr:uid="{00000000-0005-0000-0000-000062090000}"/>
    <cellStyle name="20% - Accent2 2 3 2 4 2 2" xfId="26017" xr:uid="{00000000-0005-0000-0000-000063090000}"/>
    <cellStyle name="20% - Accent2 2 3 2 4 3" xfId="17975" xr:uid="{00000000-0005-0000-0000-000064090000}"/>
    <cellStyle name="20% - Accent2 2 3 2 5" xfId="653" xr:uid="{00000000-0005-0000-0000-000065090000}"/>
    <cellStyle name="20% - Accent2 2 3 2 5 2" xfId="12423" xr:uid="{00000000-0005-0000-0000-000066090000}"/>
    <cellStyle name="20% - Accent2 2 3 2 5 2 2" xfId="26135" xr:uid="{00000000-0005-0000-0000-000067090000}"/>
    <cellStyle name="20% - Accent2 2 3 2 5 3" xfId="17976" xr:uid="{00000000-0005-0000-0000-000068090000}"/>
    <cellStyle name="20% - Accent2 2 3 2 6" xfId="654" xr:uid="{00000000-0005-0000-0000-000069090000}"/>
    <cellStyle name="20% - Accent2 2 3 2 6 2" xfId="13869" xr:uid="{00000000-0005-0000-0000-00006A090000}"/>
    <cellStyle name="20% - Accent2 2 3 2 6 2 2" xfId="27418" xr:uid="{00000000-0005-0000-0000-00006B090000}"/>
    <cellStyle name="20% - Accent2 2 3 2 6 3" xfId="17977" xr:uid="{00000000-0005-0000-0000-00006C090000}"/>
    <cellStyle name="20% - Accent2 2 3 2 7" xfId="655" xr:uid="{00000000-0005-0000-0000-00006D090000}"/>
    <cellStyle name="20% - Accent2 2 3 2 7 2" xfId="14450" xr:uid="{00000000-0005-0000-0000-00006E090000}"/>
    <cellStyle name="20% - Accent2 2 3 2 7 2 2" xfId="27999" xr:uid="{00000000-0005-0000-0000-00006F090000}"/>
    <cellStyle name="20% - Accent2 2 3 2 7 3" xfId="17978" xr:uid="{00000000-0005-0000-0000-000070090000}"/>
    <cellStyle name="20% - Accent2 2 3 2 8" xfId="656" xr:uid="{00000000-0005-0000-0000-000071090000}"/>
    <cellStyle name="20% - Accent2 2 3 2 8 2" xfId="14671" xr:uid="{00000000-0005-0000-0000-000072090000}"/>
    <cellStyle name="20% - Accent2 2 3 2 8 2 2" xfId="28220" xr:uid="{00000000-0005-0000-0000-000073090000}"/>
    <cellStyle name="20% - Accent2 2 3 2 8 3" xfId="17979" xr:uid="{00000000-0005-0000-0000-000074090000}"/>
    <cellStyle name="20% - Accent2 2 3 2 9" xfId="657" xr:uid="{00000000-0005-0000-0000-000075090000}"/>
    <cellStyle name="20% - Accent2 2 3 2 9 2" xfId="16336" xr:uid="{00000000-0005-0000-0000-000076090000}"/>
    <cellStyle name="20% - Accent2 2 3 2 9 2 2" xfId="29743" xr:uid="{00000000-0005-0000-0000-000077090000}"/>
    <cellStyle name="20% - Accent2 2 3 2 9 3" xfId="17980" xr:uid="{00000000-0005-0000-0000-000078090000}"/>
    <cellStyle name="20% - Accent2 2 3 3" xfId="658" xr:uid="{00000000-0005-0000-0000-000079090000}"/>
    <cellStyle name="20% - Accent2 2 3 3 2" xfId="659" xr:uid="{00000000-0005-0000-0000-00007A090000}"/>
    <cellStyle name="20% - Accent2 2 3 3 2 2" xfId="10638" xr:uid="{00000000-0005-0000-0000-00007B090000}"/>
    <cellStyle name="20% - Accent2 2 3 3 2 2 2" xfId="24580" xr:uid="{00000000-0005-0000-0000-00007C090000}"/>
    <cellStyle name="20% - Accent2 2 3 3 2 3" xfId="17982" xr:uid="{00000000-0005-0000-0000-00007D090000}"/>
    <cellStyle name="20% - Accent2 2 3 3 3" xfId="660" xr:uid="{00000000-0005-0000-0000-00007E090000}"/>
    <cellStyle name="20% - Accent2 2 3 3 3 2" xfId="12678" xr:uid="{00000000-0005-0000-0000-00007F090000}"/>
    <cellStyle name="20% - Accent2 2 3 3 3 2 2" xfId="26390" xr:uid="{00000000-0005-0000-0000-000080090000}"/>
    <cellStyle name="20% - Accent2 2 3 3 3 3" xfId="17983" xr:uid="{00000000-0005-0000-0000-000081090000}"/>
    <cellStyle name="20% - Accent2 2 3 3 4" xfId="661" xr:uid="{00000000-0005-0000-0000-000082090000}"/>
    <cellStyle name="20% - Accent2 2 3 3 4 2" xfId="14674" xr:uid="{00000000-0005-0000-0000-000083090000}"/>
    <cellStyle name="20% - Accent2 2 3 3 4 2 2" xfId="28223" xr:uid="{00000000-0005-0000-0000-000084090000}"/>
    <cellStyle name="20% - Accent2 2 3 3 4 3" xfId="17984" xr:uid="{00000000-0005-0000-0000-000085090000}"/>
    <cellStyle name="20% - Accent2 2 3 3 5" xfId="662" xr:uid="{00000000-0005-0000-0000-000086090000}"/>
    <cellStyle name="20% - Accent2 2 3 3 5 2" xfId="16628" xr:uid="{00000000-0005-0000-0000-000087090000}"/>
    <cellStyle name="20% - Accent2 2 3 3 5 2 2" xfId="30035" xr:uid="{00000000-0005-0000-0000-000088090000}"/>
    <cellStyle name="20% - Accent2 2 3 3 5 3" xfId="17985" xr:uid="{00000000-0005-0000-0000-000089090000}"/>
    <cellStyle name="20% - Accent2 2 3 3 6" xfId="8913" xr:uid="{00000000-0005-0000-0000-00008A090000}"/>
    <cellStyle name="20% - Accent2 2 3 3 6 2" xfId="23388" xr:uid="{00000000-0005-0000-0000-00008B090000}"/>
    <cellStyle name="20% - Accent2 2 3 3 7" xfId="17981" xr:uid="{00000000-0005-0000-0000-00008C090000}"/>
    <cellStyle name="20% - Accent2 2 3 4" xfId="663" xr:uid="{00000000-0005-0000-0000-00008D090000}"/>
    <cellStyle name="20% - Accent2 2 3 4 2" xfId="664" xr:uid="{00000000-0005-0000-0000-00008E090000}"/>
    <cellStyle name="20% - Accent2 2 3 4 2 2" xfId="14675" xr:uid="{00000000-0005-0000-0000-00008F090000}"/>
    <cellStyle name="20% - Accent2 2 3 4 2 2 2" xfId="28224" xr:uid="{00000000-0005-0000-0000-000090090000}"/>
    <cellStyle name="20% - Accent2 2 3 4 2 3" xfId="17987" xr:uid="{00000000-0005-0000-0000-000091090000}"/>
    <cellStyle name="20% - Accent2 2 3 4 3" xfId="10635" xr:uid="{00000000-0005-0000-0000-000092090000}"/>
    <cellStyle name="20% - Accent2 2 3 4 3 2" xfId="24577" xr:uid="{00000000-0005-0000-0000-000093090000}"/>
    <cellStyle name="20% - Accent2 2 3 4 4" xfId="17986" xr:uid="{00000000-0005-0000-0000-000094090000}"/>
    <cellStyle name="20% - Accent2 2 3 5" xfId="665" xr:uid="{00000000-0005-0000-0000-000095090000}"/>
    <cellStyle name="20% - Accent2 2 3 5 2" xfId="12005" xr:uid="{00000000-0005-0000-0000-000096090000}"/>
    <cellStyle name="20% - Accent2 2 3 5 2 2" xfId="25720" xr:uid="{00000000-0005-0000-0000-000097090000}"/>
    <cellStyle name="20% - Accent2 2 3 5 3" xfId="17988" xr:uid="{00000000-0005-0000-0000-000098090000}"/>
    <cellStyle name="20% - Accent2 2 3 6" xfId="666" xr:uid="{00000000-0005-0000-0000-000099090000}"/>
    <cellStyle name="20% - Accent2 2 3 6 2" xfId="12605" xr:uid="{00000000-0005-0000-0000-00009A090000}"/>
    <cellStyle name="20% - Accent2 2 3 6 2 2" xfId="26317" xr:uid="{00000000-0005-0000-0000-00009B090000}"/>
    <cellStyle name="20% - Accent2 2 3 6 3" xfId="17989" xr:uid="{00000000-0005-0000-0000-00009C090000}"/>
    <cellStyle name="20% - Accent2 2 3 7" xfId="667" xr:uid="{00000000-0005-0000-0000-00009D090000}"/>
    <cellStyle name="20% - Accent2 2 3 7 2" xfId="13580" xr:uid="{00000000-0005-0000-0000-00009E090000}"/>
    <cellStyle name="20% - Accent2 2 3 7 2 2" xfId="27129" xr:uid="{00000000-0005-0000-0000-00009F090000}"/>
    <cellStyle name="20% - Accent2 2 3 7 3" xfId="17990" xr:uid="{00000000-0005-0000-0000-0000A0090000}"/>
    <cellStyle name="20% - Accent2 2 3 8" xfId="668" xr:uid="{00000000-0005-0000-0000-0000A1090000}"/>
    <cellStyle name="20% - Accent2 2 3 8 2" xfId="14161" xr:uid="{00000000-0005-0000-0000-0000A2090000}"/>
    <cellStyle name="20% - Accent2 2 3 8 2 2" xfId="27710" xr:uid="{00000000-0005-0000-0000-0000A3090000}"/>
    <cellStyle name="20% - Accent2 2 3 8 3" xfId="17991" xr:uid="{00000000-0005-0000-0000-0000A4090000}"/>
    <cellStyle name="20% - Accent2 2 3 9" xfId="669" xr:uid="{00000000-0005-0000-0000-0000A5090000}"/>
    <cellStyle name="20% - Accent2 2 3 9 2" xfId="14670" xr:uid="{00000000-0005-0000-0000-0000A6090000}"/>
    <cellStyle name="20% - Accent2 2 3 9 2 2" xfId="28219" xr:uid="{00000000-0005-0000-0000-0000A7090000}"/>
    <cellStyle name="20% - Accent2 2 3 9 3" xfId="17992" xr:uid="{00000000-0005-0000-0000-0000A8090000}"/>
    <cellStyle name="20% - Accent2 2 4" xfId="670" xr:uid="{00000000-0005-0000-0000-0000A9090000}"/>
    <cellStyle name="20% - Accent2 2 4 10" xfId="8914" xr:uid="{00000000-0005-0000-0000-0000AA090000}"/>
    <cellStyle name="20% - Accent2 2 4 10 2" xfId="23389" xr:uid="{00000000-0005-0000-0000-0000AB090000}"/>
    <cellStyle name="20% - Accent2 2 4 11" xfId="17993" xr:uid="{00000000-0005-0000-0000-0000AC090000}"/>
    <cellStyle name="20% - Accent2 2 4 2" xfId="671" xr:uid="{00000000-0005-0000-0000-0000AD090000}"/>
    <cellStyle name="20% - Accent2 2 4 2 2" xfId="672" xr:uid="{00000000-0005-0000-0000-0000AE090000}"/>
    <cellStyle name="20% - Accent2 2 4 2 2 2" xfId="10640" xr:uid="{00000000-0005-0000-0000-0000AF090000}"/>
    <cellStyle name="20% - Accent2 2 4 2 2 2 2" xfId="24582" xr:uid="{00000000-0005-0000-0000-0000B0090000}"/>
    <cellStyle name="20% - Accent2 2 4 2 2 3" xfId="17995" xr:uid="{00000000-0005-0000-0000-0000B1090000}"/>
    <cellStyle name="20% - Accent2 2 4 2 3" xfId="673" xr:uid="{00000000-0005-0000-0000-0000B2090000}"/>
    <cellStyle name="20% - Accent2 2 4 2 3 2" xfId="12774" xr:uid="{00000000-0005-0000-0000-0000B3090000}"/>
    <cellStyle name="20% - Accent2 2 4 2 3 2 2" xfId="26486" xr:uid="{00000000-0005-0000-0000-0000B4090000}"/>
    <cellStyle name="20% - Accent2 2 4 2 3 3" xfId="17996" xr:uid="{00000000-0005-0000-0000-0000B5090000}"/>
    <cellStyle name="20% - Accent2 2 4 2 4" xfId="674" xr:uid="{00000000-0005-0000-0000-0000B6090000}"/>
    <cellStyle name="20% - Accent2 2 4 2 4 2" xfId="14677" xr:uid="{00000000-0005-0000-0000-0000B7090000}"/>
    <cellStyle name="20% - Accent2 2 4 2 4 2 2" xfId="28226" xr:uid="{00000000-0005-0000-0000-0000B8090000}"/>
    <cellStyle name="20% - Accent2 2 4 2 4 3" xfId="17997" xr:uid="{00000000-0005-0000-0000-0000B9090000}"/>
    <cellStyle name="20% - Accent2 2 4 2 5" xfId="675" xr:uid="{00000000-0005-0000-0000-0000BA090000}"/>
    <cellStyle name="20% - Accent2 2 4 2 5 2" xfId="16774" xr:uid="{00000000-0005-0000-0000-0000BB090000}"/>
    <cellStyle name="20% - Accent2 2 4 2 5 2 2" xfId="30181" xr:uid="{00000000-0005-0000-0000-0000BC090000}"/>
    <cellStyle name="20% - Accent2 2 4 2 5 3" xfId="17998" xr:uid="{00000000-0005-0000-0000-0000BD090000}"/>
    <cellStyle name="20% - Accent2 2 4 2 6" xfId="8915" xr:uid="{00000000-0005-0000-0000-0000BE090000}"/>
    <cellStyle name="20% - Accent2 2 4 2 6 2" xfId="23390" xr:uid="{00000000-0005-0000-0000-0000BF090000}"/>
    <cellStyle name="20% - Accent2 2 4 2 7" xfId="17994" xr:uid="{00000000-0005-0000-0000-0000C0090000}"/>
    <cellStyle name="20% - Accent2 2 4 3" xfId="676" xr:uid="{00000000-0005-0000-0000-0000C1090000}"/>
    <cellStyle name="20% - Accent2 2 4 3 2" xfId="677" xr:uid="{00000000-0005-0000-0000-0000C2090000}"/>
    <cellStyle name="20% - Accent2 2 4 3 2 2" xfId="14678" xr:uid="{00000000-0005-0000-0000-0000C3090000}"/>
    <cellStyle name="20% - Accent2 2 4 3 2 2 2" xfId="28227" xr:uid="{00000000-0005-0000-0000-0000C4090000}"/>
    <cellStyle name="20% - Accent2 2 4 3 2 3" xfId="18000" xr:uid="{00000000-0005-0000-0000-0000C5090000}"/>
    <cellStyle name="20% - Accent2 2 4 3 3" xfId="10639" xr:uid="{00000000-0005-0000-0000-0000C6090000}"/>
    <cellStyle name="20% - Accent2 2 4 3 3 2" xfId="24581" xr:uid="{00000000-0005-0000-0000-0000C7090000}"/>
    <cellStyle name="20% - Accent2 2 4 3 4" xfId="17999" xr:uid="{00000000-0005-0000-0000-0000C8090000}"/>
    <cellStyle name="20% - Accent2 2 4 4" xfId="678" xr:uid="{00000000-0005-0000-0000-0000C9090000}"/>
    <cellStyle name="20% - Accent2 2 4 4 2" xfId="12162" xr:uid="{00000000-0005-0000-0000-0000CA090000}"/>
    <cellStyle name="20% - Accent2 2 4 4 2 2" xfId="25874" xr:uid="{00000000-0005-0000-0000-0000CB090000}"/>
    <cellStyle name="20% - Accent2 2 4 4 3" xfId="18001" xr:uid="{00000000-0005-0000-0000-0000CC090000}"/>
    <cellStyle name="20% - Accent2 2 4 5" xfId="679" xr:uid="{00000000-0005-0000-0000-0000CD090000}"/>
    <cellStyle name="20% - Accent2 2 4 5 2" xfId="12679" xr:uid="{00000000-0005-0000-0000-0000CE090000}"/>
    <cellStyle name="20% - Accent2 2 4 5 2 2" xfId="26391" xr:uid="{00000000-0005-0000-0000-0000CF090000}"/>
    <cellStyle name="20% - Accent2 2 4 5 3" xfId="18002" xr:uid="{00000000-0005-0000-0000-0000D0090000}"/>
    <cellStyle name="20% - Accent2 2 4 6" xfId="680" xr:uid="{00000000-0005-0000-0000-0000D1090000}"/>
    <cellStyle name="20% - Accent2 2 4 6 2" xfId="13726" xr:uid="{00000000-0005-0000-0000-0000D2090000}"/>
    <cellStyle name="20% - Accent2 2 4 6 2 2" xfId="27275" xr:uid="{00000000-0005-0000-0000-0000D3090000}"/>
    <cellStyle name="20% - Accent2 2 4 6 3" xfId="18003" xr:uid="{00000000-0005-0000-0000-0000D4090000}"/>
    <cellStyle name="20% - Accent2 2 4 7" xfId="681" xr:uid="{00000000-0005-0000-0000-0000D5090000}"/>
    <cellStyle name="20% - Accent2 2 4 7 2" xfId="14307" xr:uid="{00000000-0005-0000-0000-0000D6090000}"/>
    <cellStyle name="20% - Accent2 2 4 7 2 2" xfId="27856" xr:uid="{00000000-0005-0000-0000-0000D7090000}"/>
    <cellStyle name="20% - Accent2 2 4 7 3" xfId="18004" xr:uid="{00000000-0005-0000-0000-0000D8090000}"/>
    <cellStyle name="20% - Accent2 2 4 8" xfId="682" xr:uid="{00000000-0005-0000-0000-0000D9090000}"/>
    <cellStyle name="20% - Accent2 2 4 8 2" xfId="14676" xr:uid="{00000000-0005-0000-0000-0000DA090000}"/>
    <cellStyle name="20% - Accent2 2 4 8 2 2" xfId="28225" xr:uid="{00000000-0005-0000-0000-0000DB090000}"/>
    <cellStyle name="20% - Accent2 2 4 8 3" xfId="18005" xr:uid="{00000000-0005-0000-0000-0000DC090000}"/>
    <cellStyle name="20% - Accent2 2 4 9" xfId="683" xr:uid="{00000000-0005-0000-0000-0000DD090000}"/>
    <cellStyle name="20% - Accent2 2 4 9 2" xfId="16193" xr:uid="{00000000-0005-0000-0000-0000DE090000}"/>
    <cellStyle name="20% - Accent2 2 4 9 2 2" xfId="29600" xr:uid="{00000000-0005-0000-0000-0000DF090000}"/>
    <cellStyle name="20% - Accent2 2 4 9 3" xfId="18006" xr:uid="{00000000-0005-0000-0000-0000E0090000}"/>
    <cellStyle name="20% - Accent2 2 5" xfId="684" xr:uid="{00000000-0005-0000-0000-0000E1090000}"/>
    <cellStyle name="20% - Accent2 2 5 2" xfId="685" xr:uid="{00000000-0005-0000-0000-0000E2090000}"/>
    <cellStyle name="20% - Accent2 2 5 2 2" xfId="686" xr:uid="{00000000-0005-0000-0000-0000E3090000}"/>
    <cellStyle name="20% - Accent2 2 5 2 2 2" xfId="10642" xr:uid="{00000000-0005-0000-0000-0000E4090000}"/>
    <cellStyle name="20% - Accent2 2 5 2 2 2 2" xfId="24584" xr:uid="{00000000-0005-0000-0000-0000E5090000}"/>
    <cellStyle name="20% - Accent2 2 5 2 2 3" xfId="18009" xr:uid="{00000000-0005-0000-0000-0000E6090000}"/>
    <cellStyle name="20% - Accent2 2 5 2 3" xfId="687" xr:uid="{00000000-0005-0000-0000-0000E7090000}"/>
    <cellStyle name="20% - Accent2 2 5 2 3 2" xfId="12533" xr:uid="{00000000-0005-0000-0000-0000E8090000}"/>
    <cellStyle name="20% - Accent2 2 5 2 3 2 2" xfId="26245" xr:uid="{00000000-0005-0000-0000-0000E9090000}"/>
    <cellStyle name="20% - Accent2 2 5 2 3 3" xfId="18010" xr:uid="{00000000-0005-0000-0000-0000EA090000}"/>
    <cellStyle name="20% - Accent2 2 5 2 4" xfId="688" xr:uid="{00000000-0005-0000-0000-0000EB090000}"/>
    <cellStyle name="20% - Accent2 2 5 2 4 2" xfId="14680" xr:uid="{00000000-0005-0000-0000-0000EC090000}"/>
    <cellStyle name="20% - Accent2 2 5 2 4 2 2" xfId="28229" xr:uid="{00000000-0005-0000-0000-0000ED090000}"/>
    <cellStyle name="20% - Accent2 2 5 2 4 3" xfId="18011" xr:uid="{00000000-0005-0000-0000-0000EE090000}"/>
    <cellStyle name="20% - Accent2 2 5 2 5" xfId="8917" xr:uid="{00000000-0005-0000-0000-0000EF090000}"/>
    <cellStyle name="20% - Accent2 2 5 2 5 2" xfId="23392" xr:uid="{00000000-0005-0000-0000-0000F0090000}"/>
    <cellStyle name="20% - Accent2 2 5 2 6" xfId="18008" xr:uid="{00000000-0005-0000-0000-0000F1090000}"/>
    <cellStyle name="20% - Accent2 2 5 3" xfId="689" xr:uid="{00000000-0005-0000-0000-0000F2090000}"/>
    <cellStyle name="20% - Accent2 2 5 3 2" xfId="10641" xr:uid="{00000000-0005-0000-0000-0000F3090000}"/>
    <cellStyle name="20% - Accent2 2 5 3 2 2" xfId="24583" xr:uid="{00000000-0005-0000-0000-0000F4090000}"/>
    <cellStyle name="20% - Accent2 2 5 3 3" xfId="18012" xr:uid="{00000000-0005-0000-0000-0000F5090000}"/>
    <cellStyle name="20% - Accent2 2 5 4" xfId="690" xr:uid="{00000000-0005-0000-0000-0000F6090000}"/>
    <cellStyle name="20% - Accent2 2 5 4 2" xfId="12523" xr:uid="{00000000-0005-0000-0000-0000F7090000}"/>
    <cellStyle name="20% - Accent2 2 5 4 2 2" xfId="26235" xr:uid="{00000000-0005-0000-0000-0000F8090000}"/>
    <cellStyle name="20% - Accent2 2 5 4 3" xfId="18013" xr:uid="{00000000-0005-0000-0000-0000F9090000}"/>
    <cellStyle name="20% - Accent2 2 5 5" xfId="691" xr:uid="{00000000-0005-0000-0000-0000FA090000}"/>
    <cellStyle name="20% - Accent2 2 5 5 2" xfId="14679" xr:uid="{00000000-0005-0000-0000-0000FB090000}"/>
    <cellStyle name="20% - Accent2 2 5 5 2 2" xfId="28228" xr:uid="{00000000-0005-0000-0000-0000FC090000}"/>
    <cellStyle name="20% - Accent2 2 5 5 3" xfId="18014" xr:uid="{00000000-0005-0000-0000-0000FD090000}"/>
    <cellStyle name="20% - Accent2 2 5 6" xfId="692" xr:uid="{00000000-0005-0000-0000-0000FE090000}"/>
    <cellStyle name="20% - Accent2 2 5 6 2" xfId="17008" xr:uid="{00000000-0005-0000-0000-0000FF090000}"/>
    <cellStyle name="20% - Accent2 2 5 6 2 2" xfId="30415" xr:uid="{00000000-0005-0000-0000-0000000A0000}"/>
    <cellStyle name="20% - Accent2 2 5 6 3" xfId="18015" xr:uid="{00000000-0005-0000-0000-0000010A0000}"/>
    <cellStyle name="20% - Accent2 2 5 7" xfId="8916" xr:uid="{00000000-0005-0000-0000-0000020A0000}"/>
    <cellStyle name="20% - Accent2 2 5 7 2" xfId="23391" xr:uid="{00000000-0005-0000-0000-0000030A0000}"/>
    <cellStyle name="20% - Accent2 2 5 8" xfId="18007" xr:uid="{00000000-0005-0000-0000-0000040A0000}"/>
    <cellStyle name="20% - Accent2 2 6" xfId="693" xr:uid="{00000000-0005-0000-0000-0000050A0000}"/>
    <cellStyle name="20% - Accent2 2 6 2" xfId="694" xr:uid="{00000000-0005-0000-0000-0000060A0000}"/>
    <cellStyle name="20% - Accent2 2 6 2 2" xfId="10643" xr:uid="{00000000-0005-0000-0000-0000070A0000}"/>
    <cellStyle name="20% - Accent2 2 6 2 2 2" xfId="24585" xr:uid="{00000000-0005-0000-0000-0000080A0000}"/>
    <cellStyle name="20% - Accent2 2 6 2 3" xfId="18017" xr:uid="{00000000-0005-0000-0000-0000090A0000}"/>
    <cellStyle name="20% - Accent2 2 6 3" xfId="695" xr:uid="{00000000-0005-0000-0000-00000A0A0000}"/>
    <cellStyle name="20% - Accent2 2 6 3 2" xfId="12690" xr:uid="{00000000-0005-0000-0000-00000B0A0000}"/>
    <cellStyle name="20% - Accent2 2 6 3 2 2" xfId="26402" xr:uid="{00000000-0005-0000-0000-00000C0A0000}"/>
    <cellStyle name="20% - Accent2 2 6 3 3" xfId="18018" xr:uid="{00000000-0005-0000-0000-00000D0A0000}"/>
    <cellStyle name="20% - Accent2 2 6 4" xfId="696" xr:uid="{00000000-0005-0000-0000-00000E0A0000}"/>
    <cellStyle name="20% - Accent2 2 6 4 2" xfId="14681" xr:uid="{00000000-0005-0000-0000-00000F0A0000}"/>
    <cellStyle name="20% - Accent2 2 6 4 2 2" xfId="28230" xr:uid="{00000000-0005-0000-0000-0000100A0000}"/>
    <cellStyle name="20% - Accent2 2 6 4 3" xfId="18019" xr:uid="{00000000-0005-0000-0000-0000110A0000}"/>
    <cellStyle name="20% - Accent2 2 6 5" xfId="697" xr:uid="{00000000-0005-0000-0000-0000120A0000}"/>
    <cellStyle name="20% - Accent2 2 6 5 2" xfId="17121" xr:uid="{00000000-0005-0000-0000-0000130A0000}"/>
    <cellStyle name="20% - Accent2 2 6 5 2 2" xfId="30480" xr:uid="{00000000-0005-0000-0000-0000140A0000}"/>
    <cellStyle name="20% - Accent2 2 6 5 3" xfId="18020" xr:uid="{00000000-0005-0000-0000-0000150A0000}"/>
    <cellStyle name="20% - Accent2 2 6 6" xfId="8918" xr:uid="{00000000-0005-0000-0000-0000160A0000}"/>
    <cellStyle name="20% - Accent2 2 6 6 2" xfId="23393" xr:uid="{00000000-0005-0000-0000-0000170A0000}"/>
    <cellStyle name="20% - Accent2 2 6 7" xfId="18016" xr:uid="{00000000-0005-0000-0000-0000180A0000}"/>
    <cellStyle name="20% - Accent2 2 7" xfId="698" xr:uid="{00000000-0005-0000-0000-0000190A0000}"/>
    <cellStyle name="20% - Accent2 2 7 2" xfId="699" xr:uid="{00000000-0005-0000-0000-00001A0A0000}"/>
    <cellStyle name="20% - Accent2 2 7 2 2" xfId="10644" xr:uid="{00000000-0005-0000-0000-00001B0A0000}"/>
    <cellStyle name="20% - Accent2 2 7 2 2 2" xfId="24586" xr:uid="{00000000-0005-0000-0000-00001C0A0000}"/>
    <cellStyle name="20% - Accent2 2 7 2 3" xfId="18022" xr:uid="{00000000-0005-0000-0000-00001D0A0000}"/>
    <cellStyle name="20% - Accent2 2 7 3" xfId="700" xr:uid="{00000000-0005-0000-0000-00001E0A0000}"/>
    <cellStyle name="20% - Accent2 2 7 3 2" xfId="12466" xr:uid="{00000000-0005-0000-0000-00001F0A0000}"/>
    <cellStyle name="20% - Accent2 2 7 3 2 2" xfId="26178" xr:uid="{00000000-0005-0000-0000-0000200A0000}"/>
    <cellStyle name="20% - Accent2 2 7 3 3" xfId="18023" xr:uid="{00000000-0005-0000-0000-0000210A0000}"/>
    <cellStyle name="20% - Accent2 2 7 4" xfId="701" xr:uid="{00000000-0005-0000-0000-0000220A0000}"/>
    <cellStyle name="20% - Accent2 2 7 4 2" xfId="14682" xr:uid="{00000000-0005-0000-0000-0000230A0000}"/>
    <cellStyle name="20% - Accent2 2 7 4 2 2" xfId="28231" xr:uid="{00000000-0005-0000-0000-0000240A0000}"/>
    <cellStyle name="20% - Accent2 2 7 4 3" xfId="18024" xr:uid="{00000000-0005-0000-0000-0000250A0000}"/>
    <cellStyle name="20% - Accent2 2 7 5" xfId="702" xr:uid="{00000000-0005-0000-0000-0000260A0000}"/>
    <cellStyle name="20% - Accent2 2 7 5 2" xfId="17210" xr:uid="{00000000-0005-0000-0000-0000270A0000}"/>
    <cellStyle name="20% - Accent2 2 7 5 2 2" xfId="30569" xr:uid="{00000000-0005-0000-0000-0000280A0000}"/>
    <cellStyle name="20% - Accent2 2 7 5 3" xfId="18025" xr:uid="{00000000-0005-0000-0000-0000290A0000}"/>
    <cellStyle name="20% - Accent2 2 7 6" xfId="8919" xr:uid="{00000000-0005-0000-0000-00002A0A0000}"/>
    <cellStyle name="20% - Accent2 2 7 6 2" xfId="23394" xr:uid="{00000000-0005-0000-0000-00002B0A0000}"/>
    <cellStyle name="20% - Accent2 2 7 7" xfId="18021" xr:uid="{00000000-0005-0000-0000-00002C0A0000}"/>
    <cellStyle name="20% - Accent2 2 8" xfId="703" xr:uid="{00000000-0005-0000-0000-00002D0A0000}"/>
    <cellStyle name="20% - Accent2 2 8 2" xfId="704" xr:uid="{00000000-0005-0000-0000-00002E0A0000}"/>
    <cellStyle name="20% - Accent2 2 8 2 2" xfId="12572" xr:uid="{00000000-0005-0000-0000-00002F0A0000}"/>
    <cellStyle name="20% - Accent2 2 8 2 2 2" xfId="26284" xr:uid="{00000000-0005-0000-0000-0000300A0000}"/>
    <cellStyle name="20% - Accent2 2 8 2 3" xfId="18027" xr:uid="{00000000-0005-0000-0000-0000310A0000}"/>
    <cellStyle name="20% - Accent2 2 8 3" xfId="705" xr:uid="{00000000-0005-0000-0000-0000320A0000}"/>
    <cellStyle name="20% - Accent2 2 8 3 2" xfId="14683" xr:uid="{00000000-0005-0000-0000-0000330A0000}"/>
    <cellStyle name="20% - Accent2 2 8 3 2 2" xfId="28232" xr:uid="{00000000-0005-0000-0000-0000340A0000}"/>
    <cellStyle name="20% - Accent2 2 8 3 3" xfId="18028" xr:uid="{00000000-0005-0000-0000-0000350A0000}"/>
    <cellStyle name="20% - Accent2 2 8 4" xfId="706" xr:uid="{00000000-0005-0000-0000-0000360A0000}"/>
    <cellStyle name="20% - Accent2 2 8 4 2" xfId="16485" xr:uid="{00000000-0005-0000-0000-0000370A0000}"/>
    <cellStyle name="20% - Accent2 2 8 4 2 2" xfId="29892" xr:uid="{00000000-0005-0000-0000-0000380A0000}"/>
    <cellStyle name="20% - Accent2 2 8 4 3" xfId="18029" xr:uid="{00000000-0005-0000-0000-0000390A0000}"/>
    <cellStyle name="20% - Accent2 2 8 5" xfId="10529" xr:uid="{00000000-0005-0000-0000-00003A0A0000}"/>
    <cellStyle name="20% - Accent2 2 8 5 2" xfId="24471" xr:uid="{00000000-0005-0000-0000-00003B0A0000}"/>
    <cellStyle name="20% - Accent2 2 8 6" xfId="18026" xr:uid="{00000000-0005-0000-0000-00003C0A0000}"/>
    <cellStyle name="20% - Accent2 2 9" xfId="707" xr:uid="{00000000-0005-0000-0000-00003D0A0000}"/>
    <cellStyle name="20% - Accent2 2 9 2" xfId="708" xr:uid="{00000000-0005-0000-0000-00003E0A0000}"/>
    <cellStyle name="20% - Accent2 2 9 2 2" xfId="12789" xr:uid="{00000000-0005-0000-0000-00003F0A0000}"/>
    <cellStyle name="20% - Accent2 2 9 2 2 2" xfId="26501" xr:uid="{00000000-0005-0000-0000-0000400A0000}"/>
    <cellStyle name="20% - Accent2 2 9 2 3" xfId="18031" xr:uid="{00000000-0005-0000-0000-0000410A0000}"/>
    <cellStyle name="20% - Accent2 2 9 3" xfId="709" xr:uid="{00000000-0005-0000-0000-0000420A0000}"/>
    <cellStyle name="20% - Accent2 2 9 3 2" xfId="14684" xr:uid="{00000000-0005-0000-0000-0000430A0000}"/>
    <cellStyle name="20% - Accent2 2 9 3 2 2" xfId="28233" xr:uid="{00000000-0005-0000-0000-0000440A0000}"/>
    <cellStyle name="20% - Accent2 2 9 3 3" xfId="18032" xr:uid="{00000000-0005-0000-0000-0000450A0000}"/>
    <cellStyle name="20% - Accent2 2 9 4" xfId="10626" xr:uid="{00000000-0005-0000-0000-0000460A0000}"/>
    <cellStyle name="20% - Accent2 2 9 4 2" xfId="24568" xr:uid="{00000000-0005-0000-0000-0000470A0000}"/>
    <cellStyle name="20% - Accent2 2 9 5" xfId="18030" xr:uid="{00000000-0005-0000-0000-0000480A0000}"/>
    <cellStyle name="20% - Accent2 20" xfId="710" xr:uid="{00000000-0005-0000-0000-0000490A0000}"/>
    <cellStyle name="20% - Accent2 20 2" xfId="711" xr:uid="{00000000-0005-0000-0000-00004A0A0000}"/>
    <cellStyle name="20% - Accent2 20 2 2" xfId="12677" xr:uid="{00000000-0005-0000-0000-00004B0A0000}"/>
    <cellStyle name="20% - Accent2 20 2 2 2" xfId="26389" xr:uid="{00000000-0005-0000-0000-00004C0A0000}"/>
    <cellStyle name="20% - Accent2 20 2 3" xfId="18034" xr:uid="{00000000-0005-0000-0000-00004D0A0000}"/>
    <cellStyle name="20% - Accent2 20 3" xfId="712" xr:uid="{00000000-0005-0000-0000-00004E0A0000}"/>
    <cellStyle name="20% - Accent2 20 3 2" xfId="14685" xr:uid="{00000000-0005-0000-0000-00004F0A0000}"/>
    <cellStyle name="20% - Accent2 20 3 2 2" xfId="28234" xr:uid="{00000000-0005-0000-0000-0000500A0000}"/>
    <cellStyle name="20% - Accent2 20 3 3" xfId="18035" xr:uid="{00000000-0005-0000-0000-0000510A0000}"/>
    <cellStyle name="20% - Accent2 20 4" xfId="10504" xr:uid="{00000000-0005-0000-0000-0000520A0000}"/>
    <cellStyle name="20% - Accent2 20 4 2" xfId="24452" xr:uid="{00000000-0005-0000-0000-0000530A0000}"/>
    <cellStyle name="20% - Accent2 20 5" xfId="18033" xr:uid="{00000000-0005-0000-0000-0000540A0000}"/>
    <cellStyle name="20% - Accent2 21" xfId="713" xr:uid="{00000000-0005-0000-0000-0000550A0000}"/>
    <cellStyle name="20% - Accent2 21 2" xfId="714" xr:uid="{00000000-0005-0000-0000-0000560A0000}"/>
    <cellStyle name="20% - Accent2 21 2 2" xfId="12539" xr:uid="{00000000-0005-0000-0000-0000570A0000}"/>
    <cellStyle name="20% - Accent2 21 2 2 2" xfId="26251" xr:uid="{00000000-0005-0000-0000-0000580A0000}"/>
    <cellStyle name="20% - Accent2 21 2 3" xfId="18037" xr:uid="{00000000-0005-0000-0000-0000590A0000}"/>
    <cellStyle name="20% - Accent2 21 3" xfId="715" xr:uid="{00000000-0005-0000-0000-00005A0A0000}"/>
    <cellStyle name="20% - Accent2 21 3 2" xfId="14686" xr:uid="{00000000-0005-0000-0000-00005B0A0000}"/>
    <cellStyle name="20% - Accent2 21 3 2 2" xfId="28235" xr:uid="{00000000-0005-0000-0000-00005C0A0000}"/>
    <cellStyle name="20% - Accent2 21 3 3" xfId="18038" xr:uid="{00000000-0005-0000-0000-00005D0A0000}"/>
    <cellStyle name="20% - Accent2 21 4" xfId="10615" xr:uid="{00000000-0005-0000-0000-00005E0A0000}"/>
    <cellStyle name="20% - Accent2 21 4 2" xfId="24557" xr:uid="{00000000-0005-0000-0000-00005F0A0000}"/>
    <cellStyle name="20% - Accent2 21 5" xfId="18036" xr:uid="{00000000-0005-0000-0000-0000600A0000}"/>
    <cellStyle name="20% - Accent2 22" xfId="716" xr:uid="{00000000-0005-0000-0000-0000610A0000}"/>
    <cellStyle name="20% - Accent2 22 2" xfId="11740" xr:uid="{00000000-0005-0000-0000-0000620A0000}"/>
    <cellStyle name="20% - Accent2 22 2 2" xfId="25455" xr:uid="{00000000-0005-0000-0000-0000630A0000}"/>
    <cellStyle name="20% - Accent2 22 3" xfId="18039" xr:uid="{00000000-0005-0000-0000-0000640A0000}"/>
    <cellStyle name="20% - Accent2 23" xfId="717" xr:uid="{00000000-0005-0000-0000-0000650A0000}"/>
    <cellStyle name="20% - Accent2 23 2" xfId="12778" xr:uid="{00000000-0005-0000-0000-0000660A0000}"/>
    <cellStyle name="20% - Accent2 23 2 2" xfId="26490" xr:uid="{00000000-0005-0000-0000-0000670A0000}"/>
    <cellStyle name="20% - Accent2 23 3" xfId="18040" xr:uid="{00000000-0005-0000-0000-0000680A0000}"/>
    <cellStyle name="20% - Accent2 24" xfId="718" xr:uid="{00000000-0005-0000-0000-0000690A0000}"/>
    <cellStyle name="20% - Accent2 24 2" xfId="13379" xr:uid="{00000000-0005-0000-0000-00006A0A0000}"/>
    <cellStyle name="20% - Accent2 24 2 2" xfId="26928" xr:uid="{00000000-0005-0000-0000-00006B0A0000}"/>
    <cellStyle name="20% - Accent2 24 3" xfId="18041" xr:uid="{00000000-0005-0000-0000-00006C0A0000}"/>
    <cellStyle name="20% - Accent2 25" xfId="719" xr:uid="{00000000-0005-0000-0000-00006D0A0000}"/>
    <cellStyle name="20% - Accent2 25 2" xfId="13960" xr:uid="{00000000-0005-0000-0000-00006E0A0000}"/>
    <cellStyle name="20% - Accent2 25 2 2" xfId="27509" xr:uid="{00000000-0005-0000-0000-00006F0A0000}"/>
    <cellStyle name="20% - Accent2 25 3" xfId="18042" xr:uid="{00000000-0005-0000-0000-0000700A0000}"/>
    <cellStyle name="20% - Accent2 26" xfId="720" xr:uid="{00000000-0005-0000-0000-0000710A0000}"/>
    <cellStyle name="20% - Accent2 26 2" xfId="14643" xr:uid="{00000000-0005-0000-0000-0000720A0000}"/>
    <cellStyle name="20% - Accent2 26 2 2" xfId="28192" xr:uid="{00000000-0005-0000-0000-0000730A0000}"/>
    <cellStyle name="20% - Accent2 26 3" xfId="18043" xr:uid="{00000000-0005-0000-0000-0000740A0000}"/>
    <cellStyle name="20% - Accent2 27" xfId="721" xr:uid="{00000000-0005-0000-0000-0000750A0000}"/>
    <cellStyle name="20% - Accent2 27 2" xfId="15839" xr:uid="{00000000-0005-0000-0000-0000760A0000}"/>
    <cellStyle name="20% - Accent2 27 2 2" xfId="29246" xr:uid="{00000000-0005-0000-0000-0000770A0000}"/>
    <cellStyle name="20% - Accent2 27 3" xfId="18044" xr:uid="{00000000-0005-0000-0000-0000780A0000}"/>
    <cellStyle name="20% - Accent2 28" xfId="722" xr:uid="{00000000-0005-0000-0000-0000790A0000}"/>
    <cellStyle name="20% - Accent2 28 2" xfId="15846" xr:uid="{00000000-0005-0000-0000-00007A0A0000}"/>
    <cellStyle name="20% - Accent2 28 2 2" xfId="29253" xr:uid="{00000000-0005-0000-0000-00007B0A0000}"/>
    <cellStyle name="20% - Accent2 28 3" xfId="18045" xr:uid="{00000000-0005-0000-0000-00007C0A0000}"/>
    <cellStyle name="20% - Accent2 29" xfId="723" xr:uid="{00000000-0005-0000-0000-00007D0A0000}"/>
    <cellStyle name="20% - Accent2 29 2" xfId="8890" xr:uid="{00000000-0005-0000-0000-00007E0A0000}"/>
    <cellStyle name="20% - Accent2 29 2 2" xfId="23365" xr:uid="{00000000-0005-0000-0000-00007F0A0000}"/>
    <cellStyle name="20% - Accent2 29 3" xfId="18046" xr:uid="{00000000-0005-0000-0000-0000800A0000}"/>
    <cellStyle name="20% - Accent2 3" xfId="724" xr:uid="{00000000-0005-0000-0000-0000810A0000}"/>
    <cellStyle name="20% - Accent2 3 10" xfId="725" xr:uid="{00000000-0005-0000-0000-0000820A0000}"/>
    <cellStyle name="20% - Accent2 3 10 2" xfId="14041" xr:uid="{00000000-0005-0000-0000-0000830A0000}"/>
    <cellStyle name="20% - Accent2 3 10 2 2" xfId="27590" xr:uid="{00000000-0005-0000-0000-0000840A0000}"/>
    <cellStyle name="20% - Accent2 3 10 3" xfId="18048" xr:uid="{00000000-0005-0000-0000-0000850A0000}"/>
    <cellStyle name="20% - Accent2 3 11" xfId="726" xr:uid="{00000000-0005-0000-0000-0000860A0000}"/>
    <cellStyle name="20% - Accent2 3 11 2" xfId="14687" xr:uid="{00000000-0005-0000-0000-0000870A0000}"/>
    <cellStyle name="20% - Accent2 3 11 2 2" xfId="28236" xr:uid="{00000000-0005-0000-0000-0000880A0000}"/>
    <cellStyle name="20% - Accent2 3 11 3" xfId="18049" xr:uid="{00000000-0005-0000-0000-0000890A0000}"/>
    <cellStyle name="20% - Accent2 3 12" xfId="727" xr:uid="{00000000-0005-0000-0000-00008A0A0000}"/>
    <cellStyle name="20% - Accent2 3 12 2" xfId="15927" xr:uid="{00000000-0005-0000-0000-00008B0A0000}"/>
    <cellStyle name="20% - Accent2 3 12 2 2" xfId="29334" xr:uid="{00000000-0005-0000-0000-00008C0A0000}"/>
    <cellStyle name="20% - Accent2 3 12 3" xfId="18050" xr:uid="{00000000-0005-0000-0000-00008D0A0000}"/>
    <cellStyle name="20% - Accent2 3 13" xfId="8920" xr:uid="{00000000-0005-0000-0000-00008E0A0000}"/>
    <cellStyle name="20% - Accent2 3 13 2" xfId="23395" xr:uid="{00000000-0005-0000-0000-00008F0A0000}"/>
    <cellStyle name="20% - Accent2 3 14" xfId="18047" xr:uid="{00000000-0005-0000-0000-0000900A0000}"/>
    <cellStyle name="20% - Accent2 3 2" xfId="728" xr:uid="{00000000-0005-0000-0000-0000910A0000}"/>
    <cellStyle name="20% - Accent2 3 2 10" xfId="729" xr:uid="{00000000-0005-0000-0000-0000920A0000}"/>
    <cellStyle name="20% - Accent2 3 2 10 2" xfId="16070" xr:uid="{00000000-0005-0000-0000-0000930A0000}"/>
    <cellStyle name="20% - Accent2 3 2 10 2 2" xfId="29477" xr:uid="{00000000-0005-0000-0000-0000940A0000}"/>
    <cellStyle name="20% - Accent2 3 2 10 3" xfId="18052" xr:uid="{00000000-0005-0000-0000-0000950A0000}"/>
    <cellStyle name="20% - Accent2 3 2 11" xfId="8921" xr:uid="{00000000-0005-0000-0000-0000960A0000}"/>
    <cellStyle name="20% - Accent2 3 2 11 2" xfId="23396" xr:uid="{00000000-0005-0000-0000-0000970A0000}"/>
    <cellStyle name="20% - Accent2 3 2 12" xfId="18051" xr:uid="{00000000-0005-0000-0000-0000980A0000}"/>
    <cellStyle name="20% - Accent2 3 2 2" xfId="730" xr:uid="{00000000-0005-0000-0000-0000990A0000}"/>
    <cellStyle name="20% - Accent2 3 2 2 10" xfId="8922" xr:uid="{00000000-0005-0000-0000-00009A0A0000}"/>
    <cellStyle name="20% - Accent2 3 2 2 10 2" xfId="23397" xr:uid="{00000000-0005-0000-0000-00009B0A0000}"/>
    <cellStyle name="20% - Accent2 3 2 2 11" xfId="18053" xr:uid="{00000000-0005-0000-0000-00009C0A0000}"/>
    <cellStyle name="20% - Accent2 3 2 2 2" xfId="731" xr:uid="{00000000-0005-0000-0000-00009D0A0000}"/>
    <cellStyle name="20% - Accent2 3 2 2 2 2" xfId="732" xr:uid="{00000000-0005-0000-0000-00009E0A0000}"/>
    <cellStyle name="20% - Accent2 3 2 2 2 2 2" xfId="10648" xr:uid="{00000000-0005-0000-0000-00009F0A0000}"/>
    <cellStyle name="20% - Accent2 3 2 2 2 2 2 2" xfId="24590" xr:uid="{00000000-0005-0000-0000-0000A00A0000}"/>
    <cellStyle name="20% - Accent2 3 2 2 2 2 3" xfId="18055" xr:uid="{00000000-0005-0000-0000-0000A10A0000}"/>
    <cellStyle name="20% - Accent2 3 2 2 2 3" xfId="733" xr:uid="{00000000-0005-0000-0000-0000A20A0000}"/>
    <cellStyle name="20% - Accent2 3 2 2 2 3 2" xfId="12730" xr:uid="{00000000-0005-0000-0000-0000A30A0000}"/>
    <cellStyle name="20% - Accent2 3 2 2 2 3 2 2" xfId="26442" xr:uid="{00000000-0005-0000-0000-0000A40A0000}"/>
    <cellStyle name="20% - Accent2 3 2 2 2 3 3" xfId="18056" xr:uid="{00000000-0005-0000-0000-0000A50A0000}"/>
    <cellStyle name="20% - Accent2 3 2 2 2 4" xfId="734" xr:uid="{00000000-0005-0000-0000-0000A60A0000}"/>
    <cellStyle name="20% - Accent2 3 2 2 2 4 2" xfId="14690" xr:uid="{00000000-0005-0000-0000-0000A70A0000}"/>
    <cellStyle name="20% - Accent2 3 2 2 2 4 2 2" xfId="28239" xr:uid="{00000000-0005-0000-0000-0000A80A0000}"/>
    <cellStyle name="20% - Accent2 3 2 2 2 4 3" xfId="18057" xr:uid="{00000000-0005-0000-0000-0000A90A0000}"/>
    <cellStyle name="20% - Accent2 3 2 2 2 5" xfId="735" xr:uid="{00000000-0005-0000-0000-0000AA0A0000}"/>
    <cellStyle name="20% - Accent2 3 2 2 2 5 2" xfId="16940" xr:uid="{00000000-0005-0000-0000-0000AB0A0000}"/>
    <cellStyle name="20% - Accent2 3 2 2 2 5 2 2" xfId="30347" xr:uid="{00000000-0005-0000-0000-0000AC0A0000}"/>
    <cellStyle name="20% - Accent2 3 2 2 2 5 3" xfId="18058" xr:uid="{00000000-0005-0000-0000-0000AD0A0000}"/>
    <cellStyle name="20% - Accent2 3 2 2 2 6" xfId="8923" xr:uid="{00000000-0005-0000-0000-0000AE0A0000}"/>
    <cellStyle name="20% - Accent2 3 2 2 2 6 2" xfId="23398" xr:uid="{00000000-0005-0000-0000-0000AF0A0000}"/>
    <cellStyle name="20% - Accent2 3 2 2 2 7" xfId="18054" xr:uid="{00000000-0005-0000-0000-0000B00A0000}"/>
    <cellStyle name="20% - Accent2 3 2 2 3" xfId="736" xr:uid="{00000000-0005-0000-0000-0000B10A0000}"/>
    <cellStyle name="20% - Accent2 3 2 2 3 2" xfId="737" xr:uid="{00000000-0005-0000-0000-0000B20A0000}"/>
    <cellStyle name="20% - Accent2 3 2 2 3 2 2" xfId="14691" xr:uid="{00000000-0005-0000-0000-0000B30A0000}"/>
    <cellStyle name="20% - Accent2 3 2 2 3 2 2 2" xfId="28240" xr:uid="{00000000-0005-0000-0000-0000B40A0000}"/>
    <cellStyle name="20% - Accent2 3 2 2 3 2 3" xfId="18060" xr:uid="{00000000-0005-0000-0000-0000B50A0000}"/>
    <cellStyle name="20% - Accent2 3 2 2 3 3" xfId="10647" xr:uid="{00000000-0005-0000-0000-0000B60A0000}"/>
    <cellStyle name="20% - Accent2 3 2 2 3 3 2" xfId="24589" xr:uid="{00000000-0005-0000-0000-0000B70A0000}"/>
    <cellStyle name="20% - Accent2 3 2 2 3 4" xfId="18059" xr:uid="{00000000-0005-0000-0000-0000B80A0000}"/>
    <cellStyle name="20% - Accent2 3 2 2 4" xfId="738" xr:uid="{00000000-0005-0000-0000-0000B90A0000}"/>
    <cellStyle name="20% - Accent2 3 2 2 4 2" xfId="12328" xr:uid="{00000000-0005-0000-0000-0000BA0A0000}"/>
    <cellStyle name="20% - Accent2 3 2 2 4 2 2" xfId="26040" xr:uid="{00000000-0005-0000-0000-0000BB0A0000}"/>
    <cellStyle name="20% - Accent2 3 2 2 4 3" xfId="18061" xr:uid="{00000000-0005-0000-0000-0000BC0A0000}"/>
    <cellStyle name="20% - Accent2 3 2 2 5" xfId="739" xr:uid="{00000000-0005-0000-0000-0000BD0A0000}"/>
    <cellStyle name="20% - Accent2 3 2 2 5 2" xfId="12756" xr:uid="{00000000-0005-0000-0000-0000BE0A0000}"/>
    <cellStyle name="20% - Accent2 3 2 2 5 2 2" xfId="26468" xr:uid="{00000000-0005-0000-0000-0000BF0A0000}"/>
    <cellStyle name="20% - Accent2 3 2 2 5 3" xfId="18062" xr:uid="{00000000-0005-0000-0000-0000C00A0000}"/>
    <cellStyle name="20% - Accent2 3 2 2 6" xfId="740" xr:uid="{00000000-0005-0000-0000-0000C10A0000}"/>
    <cellStyle name="20% - Accent2 3 2 2 6 2" xfId="13892" xr:uid="{00000000-0005-0000-0000-0000C20A0000}"/>
    <cellStyle name="20% - Accent2 3 2 2 6 2 2" xfId="27441" xr:uid="{00000000-0005-0000-0000-0000C30A0000}"/>
    <cellStyle name="20% - Accent2 3 2 2 6 3" xfId="18063" xr:uid="{00000000-0005-0000-0000-0000C40A0000}"/>
    <cellStyle name="20% - Accent2 3 2 2 7" xfId="741" xr:uid="{00000000-0005-0000-0000-0000C50A0000}"/>
    <cellStyle name="20% - Accent2 3 2 2 7 2" xfId="14473" xr:uid="{00000000-0005-0000-0000-0000C60A0000}"/>
    <cellStyle name="20% - Accent2 3 2 2 7 2 2" xfId="28022" xr:uid="{00000000-0005-0000-0000-0000C70A0000}"/>
    <cellStyle name="20% - Accent2 3 2 2 7 3" xfId="18064" xr:uid="{00000000-0005-0000-0000-0000C80A0000}"/>
    <cellStyle name="20% - Accent2 3 2 2 8" xfId="742" xr:uid="{00000000-0005-0000-0000-0000C90A0000}"/>
    <cellStyle name="20% - Accent2 3 2 2 8 2" xfId="14689" xr:uid="{00000000-0005-0000-0000-0000CA0A0000}"/>
    <cellStyle name="20% - Accent2 3 2 2 8 2 2" xfId="28238" xr:uid="{00000000-0005-0000-0000-0000CB0A0000}"/>
    <cellStyle name="20% - Accent2 3 2 2 8 3" xfId="18065" xr:uid="{00000000-0005-0000-0000-0000CC0A0000}"/>
    <cellStyle name="20% - Accent2 3 2 2 9" xfId="743" xr:uid="{00000000-0005-0000-0000-0000CD0A0000}"/>
    <cellStyle name="20% - Accent2 3 2 2 9 2" xfId="16359" xr:uid="{00000000-0005-0000-0000-0000CE0A0000}"/>
    <cellStyle name="20% - Accent2 3 2 2 9 2 2" xfId="29766" xr:uid="{00000000-0005-0000-0000-0000CF0A0000}"/>
    <cellStyle name="20% - Accent2 3 2 2 9 3" xfId="18066" xr:uid="{00000000-0005-0000-0000-0000D00A0000}"/>
    <cellStyle name="20% - Accent2 3 2 3" xfId="744" xr:uid="{00000000-0005-0000-0000-0000D10A0000}"/>
    <cellStyle name="20% - Accent2 3 2 3 2" xfId="745" xr:uid="{00000000-0005-0000-0000-0000D20A0000}"/>
    <cellStyle name="20% - Accent2 3 2 3 2 2" xfId="10649" xr:uid="{00000000-0005-0000-0000-0000D30A0000}"/>
    <cellStyle name="20% - Accent2 3 2 3 2 2 2" xfId="24591" xr:uid="{00000000-0005-0000-0000-0000D40A0000}"/>
    <cellStyle name="20% - Accent2 3 2 3 2 3" xfId="18068" xr:uid="{00000000-0005-0000-0000-0000D50A0000}"/>
    <cellStyle name="20% - Accent2 3 2 3 3" xfId="746" xr:uid="{00000000-0005-0000-0000-0000D60A0000}"/>
    <cellStyle name="20% - Accent2 3 2 3 3 2" xfId="12652" xr:uid="{00000000-0005-0000-0000-0000D70A0000}"/>
    <cellStyle name="20% - Accent2 3 2 3 3 2 2" xfId="26364" xr:uid="{00000000-0005-0000-0000-0000D80A0000}"/>
    <cellStyle name="20% - Accent2 3 2 3 3 3" xfId="18069" xr:uid="{00000000-0005-0000-0000-0000D90A0000}"/>
    <cellStyle name="20% - Accent2 3 2 3 4" xfId="747" xr:uid="{00000000-0005-0000-0000-0000DA0A0000}"/>
    <cellStyle name="20% - Accent2 3 2 3 4 2" xfId="14692" xr:uid="{00000000-0005-0000-0000-0000DB0A0000}"/>
    <cellStyle name="20% - Accent2 3 2 3 4 2 2" xfId="28241" xr:uid="{00000000-0005-0000-0000-0000DC0A0000}"/>
    <cellStyle name="20% - Accent2 3 2 3 4 3" xfId="18070" xr:uid="{00000000-0005-0000-0000-0000DD0A0000}"/>
    <cellStyle name="20% - Accent2 3 2 3 5" xfId="748" xr:uid="{00000000-0005-0000-0000-0000DE0A0000}"/>
    <cellStyle name="20% - Accent2 3 2 3 5 2" xfId="16651" xr:uid="{00000000-0005-0000-0000-0000DF0A0000}"/>
    <cellStyle name="20% - Accent2 3 2 3 5 2 2" xfId="30058" xr:uid="{00000000-0005-0000-0000-0000E00A0000}"/>
    <cellStyle name="20% - Accent2 3 2 3 5 3" xfId="18071" xr:uid="{00000000-0005-0000-0000-0000E10A0000}"/>
    <cellStyle name="20% - Accent2 3 2 3 6" xfId="8924" xr:uid="{00000000-0005-0000-0000-0000E20A0000}"/>
    <cellStyle name="20% - Accent2 3 2 3 6 2" xfId="23399" xr:uid="{00000000-0005-0000-0000-0000E30A0000}"/>
    <cellStyle name="20% - Accent2 3 2 3 7" xfId="18067" xr:uid="{00000000-0005-0000-0000-0000E40A0000}"/>
    <cellStyle name="20% - Accent2 3 2 4" xfId="749" xr:uid="{00000000-0005-0000-0000-0000E50A0000}"/>
    <cellStyle name="20% - Accent2 3 2 4 2" xfId="750" xr:uid="{00000000-0005-0000-0000-0000E60A0000}"/>
    <cellStyle name="20% - Accent2 3 2 4 2 2" xfId="14693" xr:uid="{00000000-0005-0000-0000-0000E70A0000}"/>
    <cellStyle name="20% - Accent2 3 2 4 2 2 2" xfId="28242" xr:uid="{00000000-0005-0000-0000-0000E80A0000}"/>
    <cellStyle name="20% - Accent2 3 2 4 2 3" xfId="18073" xr:uid="{00000000-0005-0000-0000-0000E90A0000}"/>
    <cellStyle name="20% - Accent2 3 2 4 3" xfId="10646" xr:uid="{00000000-0005-0000-0000-0000EA0A0000}"/>
    <cellStyle name="20% - Accent2 3 2 4 3 2" xfId="24588" xr:uid="{00000000-0005-0000-0000-0000EB0A0000}"/>
    <cellStyle name="20% - Accent2 3 2 4 4" xfId="18072" xr:uid="{00000000-0005-0000-0000-0000EC0A0000}"/>
    <cellStyle name="20% - Accent2 3 2 5" xfId="751" xr:uid="{00000000-0005-0000-0000-0000ED0A0000}"/>
    <cellStyle name="20% - Accent2 3 2 5 2" xfId="12028" xr:uid="{00000000-0005-0000-0000-0000EE0A0000}"/>
    <cellStyle name="20% - Accent2 3 2 5 2 2" xfId="25743" xr:uid="{00000000-0005-0000-0000-0000EF0A0000}"/>
    <cellStyle name="20% - Accent2 3 2 5 3" xfId="18074" xr:uid="{00000000-0005-0000-0000-0000F00A0000}"/>
    <cellStyle name="20% - Accent2 3 2 6" xfId="752" xr:uid="{00000000-0005-0000-0000-0000F10A0000}"/>
    <cellStyle name="20% - Accent2 3 2 6 2" xfId="12642" xr:uid="{00000000-0005-0000-0000-0000F20A0000}"/>
    <cellStyle name="20% - Accent2 3 2 6 2 2" xfId="26354" xr:uid="{00000000-0005-0000-0000-0000F30A0000}"/>
    <cellStyle name="20% - Accent2 3 2 6 3" xfId="18075" xr:uid="{00000000-0005-0000-0000-0000F40A0000}"/>
    <cellStyle name="20% - Accent2 3 2 7" xfId="753" xr:uid="{00000000-0005-0000-0000-0000F50A0000}"/>
    <cellStyle name="20% - Accent2 3 2 7 2" xfId="13603" xr:uid="{00000000-0005-0000-0000-0000F60A0000}"/>
    <cellStyle name="20% - Accent2 3 2 7 2 2" xfId="27152" xr:uid="{00000000-0005-0000-0000-0000F70A0000}"/>
    <cellStyle name="20% - Accent2 3 2 7 3" xfId="18076" xr:uid="{00000000-0005-0000-0000-0000F80A0000}"/>
    <cellStyle name="20% - Accent2 3 2 8" xfId="754" xr:uid="{00000000-0005-0000-0000-0000F90A0000}"/>
    <cellStyle name="20% - Accent2 3 2 8 2" xfId="14184" xr:uid="{00000000-0005-0000-0000-0000FA0A0000}"/>
    <cellStyle name="20% - Accent2 3 2 8 2 2" xfId="27733" xr:uid="{00000000-0005-0000-0000-0000FB0A0000}"/>
    <cellStyle name="20% - Accent2 3 2 8 3" xfId="18077" xr:uid="{00000000-0005-0000-0000-0000FC0A0000}"/>
    <cellStyle name="20% - Accent2 3 2 9" xfId="755" xr:uid="{00000000-0005-0000-0000-0000FD0A0000}"/>
    <cellStyle name="20% - Accent2 3 2 9 2" xfId="14688" xr:uid="{00000000-0005-0000-0000-0000FE0A0000}"/>
    <cellStyle name="20% - Accent2 3 2 9 2 2" xfId="28237" xr:uid="{00000000-0005-0000-0000-0000FF0A0000}"/>
    <cellStyle name="20% - Accent2 3 2 9 3" xfId="18078" xr:uid="{00000000-0005-0000-0000-0000000B0000}"/>
    <cellStyle name="20% - Accent2 3 3" xfId="756" xr:uid="{00000000-0005-0000-0000-0000010B0000}"/>
    <cellStyle name="20% - Accent2 3 3 10" xfId="8925" xr:uid="{00000000-0005-0000-0000-0000020B0000}"/>
    <cellStyle name="20% - Accent2 3 3 10 2" xfId="23400" xr:uid="{00000000-0005-0000-0000-0000030B0000}"/>
    <cellStyle name="20% - Accent2 3 3 11" xfId="18079" xr:uid="{00000000-0005-0000-0000-0000040B0000}"/>
    <cellStyle name="20% - Accent2 3 3 2" xfId="757" xr:uid="{00000000-0005-0000-0000-0000050B0000}"/>
    <cellStyle name="20% - Accent2 3 3 2 2" xfId="758" xr:uid="{00000000-0005-0000-0000-0000060B0000}"/>
    <cellStyle name="20% - Accent2 3 3 2 2 2" xfId="10651" xr:uid="{00000000-0005-0000-0000-0000070B0000}"/>
    <cellStyle name="20% - Accent2 3 3 2 2 2 2" xfId="24593" xr:uid="{00000000-0005-0000-0000-0000080B0000}"/>
    <cellStyle name="20% - Accent2 3 3 2 2 3" xfId="18081" xr:uid="{00000000-0005-0000-0000-0000090B0000}"/>
    <cellStyle name="20% - Accent2 3 3 2 3" xfId="759" xr:uid="{00000000-0005-0000-0000-00000A0B0000}"/>
    <cellStyle name="20% - Accent2 3 3 2 3 2" xfId="12791" xr:uid="{00000000-0005-0000-0000-00000B0B0000}"/>
    <cellStyle name="20% - Accent2 3 3 2 3 2 2" xfId="26503" xr:uid="{00000000-0005-0000-0000-00000C0B0000}"/>
    <cellStyle name="20% - Accent2 3 3 2 3 3" xfId="18082" xr:uid="{00000000-0005-0000-0000-00000D0B0000}"/>
    <cellStyle name="20% - Accent2 3 3 2 4" xfId="760" xr:uid="{00000000-0005-0000-0000-00000E0B0000}"/>
    <cellStyle name="20% - Accent2 3 3 2 4 2" xfId="14695" xr:uid="{00000000-0005-0000-0000-00000F0B0000}"/>
    <cellStyle name="20% - Accent2 3 3 2 4 2 2" xfId="28244" xr:uid="{00000000-0005-0000-0000-0000100B0000}"/>
    <cellStyle name="20% - Accent2 3 3 2 4 3" xfId="18083" xr:uid="{00000000-0005-0000-0000-0000110B0000}"/>
    <cellStyle name="20% - Accent2 3 3 2 5" xfId="761" xr:uid="{00000000-0005-0000-0000-0000120B0000}"/>
    <cellStyle name="20% - Accent2 3 3 2 5 2" xfId="16797" xr:uid="{00000000-0005-0000-0000-0000130B0000}"/>
    <cellStyle name="20% - Accent2 3 3 2 5 2 2" xfId="30204" xr:uid="{00000000-0005-0000-0000-0000140B0000}"/>
    <cellStyle name="20% - Accent2 3 3 2 5 3" xfId="18084" xr:uid="{00000000-0005-0000-0000-0000150B0000}"/>
    <cellStyle name="20% - Accent2 3 3 2 6" xfId="8926" xr:uid="{00000000-0005-0000-0000-0000160B0000}"/>
    <cellStyle name="20% - Accent2 3 3 2 6 2" xfId="23401" xr:uid="{00000000-0005-0000-0000-0000170B0000}"/>
    <cellStyle name="20% - Accent2 3 3 2 7" xfId="18080" xr:uid="{00000000-0005-0000-0000-0000180B0000}"/>
    <cellStyle name="20% - Accent2 3 3 3" xfId="762" xr:uid="{00000000-0005-0000-0000-0000190B0000}"/>
    <cellStyle name="20% - Accent2 3 3 3 2" xfId="763" xr:uid="{00000000-0005-0000-0000-00001A0B0000}"/>
    <cellStyle name="20% - Accent2 3 3 3 2 2" xfId="14696" xr:uid="{00000000-0005-0000-0000-00001B0B0000}"/>
    <cellStyle name="20% - Accent2 3 3 3 2 2 2" xfId="28245" xr:uid="{00000000-0005-0000-0000-00001C0B0000}"/>
    <cellStyle name="20% - Accent2 3 3 3 2 3" xfId="18086" xr:uid="{00000000-0005-0000-0000-00001D0B0000}"/>
    <cellStyle name="20% - Accent2 3 3 3 3" xfId="10650" xr:uid="{00000000-0005-0000-0000-00001E0B0000}"/>
    <cellStyle name="20% - Accent2 3 3 3 3 2" xfId="24592" xr:uid="{00000000-0005-0000-0000-00001F0B0000}"/>
    <cellStyle name="20% - Accent2 3 3 3 4" xfId="18085" xr:uid="{00000000-0005-0000-0000-0000200B0000}"/>
    <cellStyle name="20% - Accent2 3 3 4" xfId="764" xr:uid="{00000000-0005-0000-0000-0000210B0000}"/>
    <cellStyle name="20% - Accent2 3 3 4 2" xfId="12185" xr:uid="{00000000-0005-0000-0000-0000220B0000}"/>
    <cellStyle name="20% - Accent2 3 3 4 2 2" xfId="25897" xr:uid="{00000000-0005-0000-0000-0000230B0000}"/>
    <cellStyle name="20% - Accent2 3 3 4 3" xfId="18087" xr:uid="{00000000-0005-0000-0000-0000240B0000}"/>
    <cellStyle name="20% - Accent2 3 3 5" xfId="765" xr:uid="{00000000-0005-0000-0000-0000250B0000}"/>
    <cellStyle name="20% - Accent2 3 3 5 2" xfId="12734" xr:uid="{00000000-0005-0000-0000-0000260B0000}"/>
    <cellStyle name="20% - Accent2 3 3 5 2 2" xfId="26446" xr:uid="{00000000-0005-0000-0000-0000270B0000}"/>
    <cellStyle name="20% - Accent2 3 3 5 3" xfId="18088" xr:uid="{00000000-0005-0000-0000-0000280B0000}"/>
    <cellStyle name="20% - Accent2 3 3 6" xfId="766" xr:uid="{00000000-0005-0000-0000-0000290B0000}"/>
    <cellStyle name="20% - Accent2 3 3 6 2" xfId="13749" xr:uid="{00000000-0005-0000-0000-00002A0B0000}"/>
    <cellStyle name="20% - Accent2 3 3 6 2 2" xfId="27298" xr:uid="{00000000-0005-0000-0000-00002B0B0000}"/>
    <cellStyle name="20% - Accent2 3 3 6 3" xfId="18089" xr:uid="{00000000-0005-0000-0000-00002C0B0000}"/>
    <cellStyle name="20% - Accent2 3 3 7" xfId="767" xr:uid="{00000000-0005-0000-0000-00002D0B0000}"/>
    <cellStyle name="20% - Accent2 3 3 7 2" xfId="14330" xr:uid="{00000000-0005-0000-0000-00002E0B0000}"/>
    <cellStyle name="20% - Accent2 3 3 7 2 2" xfId="27879" xr:uid="{00000000-0005-0000-0000-00002F0B0000}"/>
    <cellStyle name="20% - Accent2 3 3 7 3" xfId="18090" xr:uid="{00000000-0005-0000-0000-0000300B0000}"/>
    <cellStyle name="20% - Accent2 3 3 8" xfId="768" xr:uid="{00000000-0005-0000-0000-0000310B0000}"/>
    <cellStyle name="20% - Accent2 3 3 8 2" xfId="14694" xr:uid="{00000000-0005-0000-0000-0000320B0000}"/>
    <cellStyle name="20% - Accent2 3 3 8 2 2" xfId="28243" xr:uid="{00000000-0005-0000-0000-0000330B0000}"/>
    <cellStyle name="20% - Accent2 3 3 8 3" xfId="18091" xr:uid="{00000000-0005-0000-0000-0000340B0000}"/>
    <cellStyle name="20% - Accent2 3 3 9" xfId="769" xr:uid="{00000000-0005-0000-0000-0000350B0000}"/>
    <cellStyle name="20% - Accent2 3 3 9 2" xfId="16216" xr:uid="{00000000-0005-0000-0000-0000360B0000}"/>
    <cellStyle name="20% - Accent2 3 3 9 2 2" xfId="29623" xr:uid="{00000000-0005-0000-0000-0000370B0000}"/>
    <cellStyle name="20% - Accent2 3 3 9 3" xfId="18092" xr:uid="{00000000-0005-0000-0000-0000380B0000}"/>
    <cellStyle name="20% - Accent2 3 4" xfId="770" xr:uid="{00000000-0005-0000-0000-0000390B0000}"/>
    <cellStyle name="20% - Accent2 3 4 2" xfId="771" xr:uid="{00000000-0005-0000-0000-00003A0B0000}"/>
    <cellStyle name="20% - Accent2 3 4 2 2" xfId="10652" xr:uid="{00000000-0005-0000-0000-00003B0B0000}"/>
    <cellStyle name="20% - Accent2 3 4 2 2 2" xfId="24594" xr:uid="{00000000-0005-0000-0000-00003C0B0000}"/>
    <cellStyle name="20% - Accent2 3 4 2 3" xfId="18094" xr:uid="{00000000-0005-0000-0000-00003D0B0000}"/>
    <cellStyle name="20% - Accent2 3 4 3" xfId="772" xr:uid="{00000000-0005-0000-0000-00003E0B0000}"/>
    <cellStyle name="20% - Accent2 3 4 3 2" xfId="12758" xr:uid="{00000000-0005-0000-0000-00003F0B0000}"/>
    <cellStyle name="20% - Accent2 3 4 3 2 2" xfId="26470" xr:uid="{00000000-0005-0000-0000-0000400B0000}"/>
    <cellStyle name="20% - Accent2 3 4 3 3" xfId="18095" xr:uid="{00000000-0005-0000-0000-0000410B0000}"/>
    <cellStyle name="20% - Accent2 3 4 4" xfId="773" xr:uid="{00000000-0005-0000-0000-0000420B0000}"/>
    <cellStyle name="20% - Accent2 3 4 4 2" xfId="14697" xr:uid="{00000000-0005-0000-0000-0000430B0000}"/>
    <cellStyle name="20% - Accent2 3 4 4 2 2" xfId="28246" xr:uid="{00000000-0005-0000-0000-0000440B0000}"/>
    <cellStyle name="20% - Accent2 3 4 4 3" xfId="18096" xr:uid="{00000000-0005-0000-0000-0000450B0000}"/>
    <cellStyle name="20% - Accent2 3 4 5" xfId="774" xr:uid="{00000000-0005-0000-0000-0000460B0000}"/>
    <cellStyle name="20% - Accent2 3 4 5 2" xfId="17144" xr:uid="{00000000-0005-0000-0000-0000470B0000}"/>
    <cellStyle name="20% - Accent2 3 4 5 2 2" xfId="30503" xr:uid="{00000000-0005-0000-0000-0000480B0000}"/>
    <cellStyle name="20% - Accent2 3 4 5 3" xfId="18097" xr:uid="{00000000-0005-0000-0000-0000490B0000}"/>
    <cellStyle name="20% - Accent2 3 4 6" xfId="8927" xr:uid="{00000000-0005-0000-0000-00004A0B0000}"/>
    <cellStyle name="20% - Accent2 3 4 6 2" xfId="23402" xr:uid="{00000000-0005-0000-0000-00004B0B0000}"/>
    <cellStyle name="20% - Accent2 3 4 7" xfId="18093" xr:uid="{00000000-0005-0000-0000-00004C0B0000}"/>
    <cellStyle name="20% - Accent2 3 5" xfId="775" xr:uid="{00000000-0005-0000-0000-00004D0B0000}"/>
    <cellStyle name="20% - Accent2 3 5 2" xfId="776" xr:uid="{00000000-0005-0000-0000-00004E0B0000}"/>
    <cellStyle name="20% - Accent2 3 5 2 2" xfId="10653" xr:uid="{00000000-0005-0000-0000-00004F0B0000}"/>
    <cellStyle name="20% - Accent2 3 5 2 2 2" xfId="24595" xr:uid="{00000000-0005-0000-0000-0000500B0000}"/>
    <cellStyle name="20% - Accent2 3 5 2 3" xfId="18099" xr:uid="{00000000-0005-0000-0000-0000510B0000}"/>
    <cellStyle name="20% - Accent2 3 5 3" xfId="777" xr:uid="{00000000-0005-0000-0000-0000520B0000}"/>
    <cellStyle name="20% - Accent2 3 5 3 2" xfId="12424" xr:uid="{00000000-0005-0000-0000-0000530B0000}"/>
    <cellStyle name="20% - Accent2 3 5 3 2 2" xfId="26136" xr:uid="{00000000-0005-0000-0000-0000540B0000}"/>
    <cellStyle name="20% - Accent2 3 5 3 3" xfId="18100" xr:uid="{00000000-0005-0000-0000-0000550B0000}"/>
    <cellStyle name="20% - Accent2 3 5 4" xfId="778" xr:uid="{00000000-0005-0000-0000-0000560B0000}"/>
    <cellStyle name="20% - Accent2 3 5 4 2" xfId="14698" xr:uid="{00000000-0005-0000-0000-0000570B0000}"/>
    <cellStyle name="20% - Accent2 3 5 4 2 2" xfId="28247" xr:uid="{00000000-0005-0000-0000-0000580B0000}"/>
    <cellStyle name="20% - Accent2 3 5 4 3" xfId="18101" xr:uid="{00000000-0005-0000-0000-0000590B0000}"/>
    <cellStyle name="20% - Accent2 3 5 5" xfId="779" xr:uid="{00000000-0005-0000-0000-00005A0B0000}"/>
    <cellStyle name="20% - Accent2 3 5 5 2" xfId="17233" xr:uid="{00000000-0005-0000-0000-00005B0B0000}"/>
    <cellStyle name="20% - Accent2 3 5 5 2 2" xfId="30592" xr:uid="{00000000-0005-0000-0000-00005C0B0000}"/>
    <cellStyle name="20% - Accent2 3 5 5 3" xfId="18102" xr:uid="{00000000-0005-0000-0000-00005D0B0000}"/>
    <cellStyle name="20% - Accent2 3 5 6" xfId="8928" xr:uid="{00000000-0005-0000-0000-00005E0B0000}"/>
    <cellStyle name="20% - Accent2 3 5 6 2" xfId="23403" xr:uid="{00000000-0005-0000-0000-00005F0B0000}"/>
    <cellStyle name="20% - Accent2 3 5 7" xfId="18098" xr:uid="{00000000-0005-0000-0000-0000600B0000}"/>
    <cellStyle name="20% - Accent2 3 6" xfId="780" xr:uid="{00000000-0005-0000-0000-0000610B0000}"/>
    <cellStyle name="20% - Accent2 3 6 2" xfId="781" xr:uid="{00000000-0005-0000-0000-0000620B0000}"/>
    <cellStyle name="20% - Accent2 3 6 2 2" xfId="14699" xr:uid="{00000000-0005-0000-0000-0000630B0000}"/>
    <cellStyle name="20% - Accent2 3 6 2 2 2" xfId="28248" xr:uid="{00000000-0005-0000-0000-0000640B0000}"/>
    <cellStyle name="20% - Accent2 3 6 2 3" xfId="18104" xr:uid="{00000000-0005-0000-0000-0000650B0000}"/>
    <cellStyle name="20% - Accent2 3 6 3" xfId="782" xr:uid="{00000000-0005-0000-0000-0000660B0000}"/>
    <cellStyle name="20% - Accent2 3 6 3 2" xfId="16508" xr:uid="{00000000-0005-0000-0000-0000670B0000}"/>
    <cellStyle name="20% - Accent2 3 6 3 2 2" xfId="29915" xr:uid="{00000000-0005-0000-0000-0000680B0000}"/>
    <cellStyle name="20% - Accent2 3 6 3 3" xfId="18105" xr:uid="{00000000-0005-0000-0000-0000690B0000}"/>
    <cellStyle name="20% - Accent2 3 6 4" xfId="10645" xr:uid="{00000000-0005-0000-0000-00006A0B0000}"/>
    <cellStyle name="20% - Accent2 3 6 4 2" xfId="24587" xr:uid="{00000000-0005-0000-0000-00006B0B0000}"/>
    <cellStyle name="20% - Accent2 3 6 5" xfId="18103" xr:uid="{00000000-0005-0000-0000-00006C0B0000}"/>
    <cellStyle name="20% - Accent2 3 7" xfId="783" xr:uid="{00000000-0005-0000-0000-00006D0B0000}"/>
    <cellStyle name="20% - Accent2 3 7 2" xfId="11880" xr:uid="{00000000-0005-0000-0000-00006E0B0000}"/>
    <cellStyle name="20% - Accent2 3 7 2 2" xfId="25595" xr:uid="{00000000-0005-0000-0000-00006F0B0000}"/>
    <cellStyle name="20% - Accent2 3 7 3" xfId="18106" xr:uid="{00000000-0005-0000-0000-0000700B0000}"/>
    <cellStyle name="20% - Accent2 3 8" xfId="784" xr:uid="{00000000-0005-0000-0000-0000710B0000}"/>
    <cellStyle name="20% - Accent2 3 8 2" xfId="12755" xr:uid="{00000000-0005-0000-0000-0000720B0000}"/>
    <cellStyle name="20% - Accent2 3 8 2 2" xfId="26467" xr:uid="{00000000-0005-0000-0000-0000730B0000}"/>
    <cellStyle name="20% - Accent2 3 8 3" xfId="18107" xr:uid="{00000000-0005-0000-0000-0000740B0000}"/>
    <cellStyle name="20% - Accent2 3 9" xfId="785" xr:uid="{00000000-0005-0000-0000-0000750B0000}"/>
    <cellStyle name="20% - Accent2 3 9 2" xfId="13460" xr:uid="{00000000-0005-0000-0000-0000760B0000}"/>
    <cellStyle name="20% - Accent2 3 9 2 2" xfId="27009" xr:uid="{00000000-0005-0000-0000-0000770B0000}"/>
    <cellStyle name="20% - Accent2 3 9 3" xfId="18108" xr:uid="{00000000-0005-0000-0000-0000780B0000}"/>
    <cellStyle name="20% - Accent2 30" xfId="23250" xr:uid="{00000000-0005-0000-0000-0000790B0000}"/>
    <cellStyle name="20% - Accent2 4" xfId="786" xr:uid="{00000000-0005-0000-0000-00007A0B0000}"/>
    <cellStyle name="20% - Accent2 4 10" xfId="787" xr:uid="{00000000-0005-0000-0000-00007B0B0000}"/>
    <cellStyle name="20% - Accent2 4 10 2" xfId="14700" xr:uid="{00000000-0005-0000-0000-00007C0B0000}"/>
    <cellStyle name="20% - Accent2 4 10 2 2" xfId="28249" xr:uid="{00000000-0005-0000-0000-00007D0B0000}"/>
    <cellStyle name="20% - Accent2 4 10 3" xfId="18110" xr:uid="{00000000-0005-0000-0000-00007E0B0000}"/>
    <cellStyle name="20% - Accent2 4 11" xfId="788" xr:uid="{00000000-0005-0000-0000-00007F0B0000}"/>
    <cellStyle name="20% - Accent2 4 11 2" xfId="15880" xr:uid="{00000000-0005-0000-0000-0000800B0000}"/>
    <cellStyle name="20% - Accent2 4 11 2 2" xfId="29287" xr:uid="{00000000-0005-0000-0000-0000810B0000}"/>
    <cellStyle name="20% - Accent2 4 11 3" xfId="18111" xr:uid="{00000000-0005-0000-0000-0000820B0000}"/>
    <cellStyle name="20% - Accent2 4 12" xfId="8929" xr:uid="{00000000-0005-0000-0000-0000830B0000}"/>
    <cellStyle name="20% - Accent2 4 12 2" xfId="23404" xr:uid="{00000000-0005-0000-0000-0000840B0000}"/>
    <cellStyle name="20% - Accent2 4 13" xfId="18109" xr:uid="{00000000-0005-0000-0000-0000850B0000}"/>
    <cellStyle name="20% - Accent2 4 2" xfId="789" xr:uid="{00000000-0005-0000-0000-0000860B0000}"/>
    <cellStyle name="20% - Accent2 4 2 10" xfId="790" xr:uid="{00000000-0005-0000-0000-0000870B0000}"/>
    <cellStyle name="20% - Accent2 4 2 10 2" xfId="16023" xr:uid="{00000000-0005-0000-0000-0000880B0000}"/>
    <cellStyle name="20% - Accent2 4 2 10 2 2" xfId="29430" xr:uid="{00000000-0005-0000-0000-0000890B0000}"/>
    <cellStyle name="20% - Accent2 4 2 10 3" xfId="18113" xr:uid="{00000000-0005-0000-0000-00008A0B0000}"/>
    <cellStyle name="20% - Accent2 4 2 11" xfId="8930" xr:uid="{00000000-0005-0000-0000-00008B0B0000}"/>
    <cellStyle name="20% - Accent2 4 2 11 2" xfId="23405" xr:uid="{00000000-0005-0000-0000-00008C0B0000}"/>
    <cellStyle name="20% - Accent2 4 2 12" xfId="18112" xr:uid="{00000000-0005-0000-0000-00008D0B0000}"/>
    <cellStyle name="20% - Accent2 4 2 2" xfId="791" xr:uid="{00000000-0005-0000-0000-00008E0B0000}"/>
    <cellStyle name="20% - Accent2 4 2 2 10" xfId="8931" xr:uid="{00000000-0005-0000-0000-00008F0B0000}"/>
    <cellStyle name="20% - Accent2 4 2 2 10 2" xfId="23406" xr:uid="{00000000-0005-0000-0000-0000900B0000}"/>
    <cellStyle name="20% - Accent2 4 2 2 11" xfId="18114" xr:uid="{00000000-0005-0000-0000-0000910B0000}"/>
    <cellStyle name="20% - Accent2 4 2 2 2" xfId="792" xr:uid="{00000000-0005-0000-0000-0000920B0000}"/>
    <cellStyle name="20% - Accent2 4 2 2 2 2" xfId="793" xr:uid="{00000000-0005-0000-0000-0000930B0000}"/>
    <cellStyle name="20% - Accent2 4 2 2 2 2 2" xfId="10657" xr:uid="{00000000-0005-0000-0000-0000940B0000}"/>
    <cellStyle name="20% - Accent2 4 2 2 2 2 2 2" xfId="24599" xr:uid="{00000000-0005-0000-0000-0000950B0000}"/>
    <cellStyle name="20% - Accent2 4 2 2 2 2 3" xfId="18116" xr:uid="{00000000-0005-0000-0000-0000960B0000}"/>
    <cellStyle name="20% - Accent2 4 2 2 2 3" xfId="794" xr:uid="{00000000-0005-0000-0000-0000970B0000}"/>
    <cellStyle name="20% - Accent2 4 2 2 2 3 2" xfId="12615" xr:uid="{00000000-0005-0000-0000-0000980B0000}"/>
    <cellStyle name="20% - Accent2 4 2 2 2 3 2 2" xfId="26327" xr:uid="{00000000-0005-0000-0000-0000990B0000}"/>
    <cellStyle name="20% - Accent2 4 2 2 2 3 3" xfId="18117" xr:uid="{00000000-0005-0000-0000-00009A0B0000}"/>
    <cellStyle name="20% - Accent2 4 2 2 2 4" xfId="795" xr:uid="{00000000-0005-0000-0000-00009B0B0000}"/>
    <cellStyle name="20% - Accent2 4 2 2 2 4 2" xfId="14703" xr:uid="{00000000-0005-0000-0000-00009C0B0000}"/>
    <cellStyle name="20% - Accent2 4 2 2 2 4 2 2" xfId="28252" xr:uid="{00000000-0005-0000-0000-00009D0B0000}"/>
    <cellStyle name="20% - Accent2 4 2 2 2 4 3" xfId="18118" xr:uid="{00000000-0005-0000-0000-00009E0B0000}"/>
    <cellStyle name="20% - Accent2 4 2 2 2 5" xfId="796" xr:uid="{00000000-0005-0000-0000-00009F0B0000}"/>
    <cellStyle name="20% - Accent2 4 2 2 2 5 2" xfId="16893" xr:uid="{00000000-0005-0000-0000-0000A00B0000}"/>
    <cellStyle name="20% - Accent2 4 2 2 2 5 2 2" xfId="30300" xr:uid="{00000000-0005-0000-0000-0000A10B0000}"/>
    <cellStyle name="20% - Accent2 4 2 2 2 5 3" xfId="18119" xr:uid="{00000000-0005-0000-0000-0000A20B0000}"/>
    <cellStyle name="20% - Accent2 4 2 2 2 6" xfId="8932" xr:uid="{00000000-0005-0000-0000-0000A30B0000}"/>
    <cellStyle name="20% - Accent2 4 2 2 2 6 2" xfId="23407" xr:uid="{00000000-0005-0000-0000-0000A40B0000}"/>
    <cellStyle name="20% - Accent2 4 2 2 2 7" xfId="18115" xr:uid="{00000000-0005-0000-0000-0000A50B0000}"/>
    <cellStyle name="20% - Accent2 4 2 2 3" xfId="797" xr:uid="{00000000-0005-0000-0000-0000A60B0000}"/>
    <cellStyle name="20% - Accent2 4 2 2 3 2" xfId="798" xr:uid="{00000000-0005-0000-0000-0000A70B0000}"/>
    <cellStyle name="20% - Accent2 4 2 2 3 2 2" xfId="14704" xr:uid="{00000000-0005-0000-0000-0000A80B0000}"/>
    <cellStyle name="20% - Accent2 4 2 2 3 2 2 2" xfId="28253" xr:uid="{00000000-0005-0000-0000-0000A90B0000}"/>
    <cellStyle name="20% - Accent2 4 2 2 3 2 3" xfId="18121" xr:uid="{00000000-0005-0000-0000-0000AA0B0000}"/>
    <cellStyle name="20% - Accent2 4 2 2 3 3" xfId="10656" xr:uid="{00000000-0005-0000-0000-0000AB0B0000}"/>
    <cellStyle name="20% - Accent2 4 2 2 3 3 2" xfId="24598" xr:uid="{00000000-0005-0000-0000-0000AC0B0000}"/>
    <cellStyle name="20% - Accent2 4 2 2 3 4" xfId="18120" xr:uid="{00000000-0005-0000-0000-0000AD0B0000}"/>
    <cellStyle name="20% - Accent2 4 2 2 4" xfId="799" xr:uid="{00000000-0005-0000-0000-0000AE0B0000}"/>
    <cellStyle name="20% - Accent2 4 2 2 4 2" xfId="12281" xr:uid="{00000000-0005-0000-0000-0000AF0B0000}"/>
    <cellStyle name="20% - Accent2 4 2 2 4 2 2" xfId="25993" xr:uid="{00000000-0005-0000-0000-0000B00B0000}"/>
    <cellStyle name="20% - Accent2 4 2 2 4 3" xfId="18122" xr:uid="{00000000-0005-0000-0000-0000B10B0000}"/>
    <cellStyle name="20% - Accent2 4 2 2 5" xfId="800" xr:uid="{00000000-0005-0000-0000-0000B20B0000}"/>
    <cellStyle name="20% - Accent2 4 2 2 5 2" xfId="11779" xr:uid="{00000000-0005-0000-0000-0000B30B0000}"/>
    <cellStyle name="20% - Accent2 4 2 2 5 2 2" xfId="25494" xr:uid="{00000000-0005-0000-0000-0000B40B0000}"/>
    <cellStyle name="20% - Accent2 4 2 2 5 3" xfId="18123" xr:uid="{00000000-0005-0000-0000-0000B50B0000}"/>
    <cellStyle name="20% - Accent2 4 2 2 6" xfId="801" xr:uid="{00000000-0005-0000-0000-0000B60B0000}"/>
    <cellStyle name="20% - Accent2 4 2 2 6 2" xfId="13845" xr:uid="{00000000-0005-0000-0000-0000B70B0000}"/>
    <cellStyle name="20% - Accent2 4 2 2 6 2 2" xfId="27394" xr:uid="{00000000-0005-0000-0000-0000B80B0000}"/>
    <cellStyle name="20% - Accent2 4 2 2 6 3" xfId="18124" xr:uid="{00000000-0005-0000-0000-0000B90B0000}"/>
    <cellStyle name="20% - Accent2 4 2 2 7" xfId="802" xr:uid="{00000000-0005-0000-0000-0000BA0B0000}"/>
    <cellStyle name="20% - Accent2 4 2 2 7 2" xfId="14426" xr:uid="{00000000-0005-0000-0000-0000BB0B0000}"/>
    <cellStyle name="20% - Accent2 4 2 2 7 2 2" xfId="27975" xr:uid="{00000000-0005-0000-0000-0000BC0B0000}"/>
    <cellStyle name="20% - Accent2 4 2 2 7 3" xfId="18125" xr:uid="{00000000-0005-0000-0000-0000BD0B0000}"/>
    <cellStyle name="20% - Accent2 4 2 2 8" xfId="803" xr:uid="{00000000-0005-0000-0000-0000BE0B0000}"/>
    <cellStyle name="20% - Accent2 4 2 2 8 2" xfId="14702" xr:uid="{00000000-0005-0000-0000-0000BF0B0000}"/>
    <cellStyle name="20% - Accent2 4 2 2 8 2 2" xfId="28251" xr:uid="{00000000-0005-0000-0000-0000C00B0000}"/>
    <cellStyle name="20% - Accent2 4 2 2 8 3" xfId="18126" xr:uid="{00000000-0005-0000-0000-0000C10B0000}"/>
    <cellStyle name="20% - Accent2 4 2 2 9" xfId="804" xr:uid="{00000000-0005-0000-0000-0000C20B0000}"/>
    <cellStyle name="20% - Accent2 4 2 2 9 2" xfId="16312" xr:uid="{00000000-0005-0000-0000-0000C30B0000}"/>
    <cellStyle name="20% - Accent2 4 2 2 9 2 2" xfId="29719" xr:uid="{00000000-0005-0000-0000-0000C40B0000}"/>
    <cellStyle name="20% - Accent2 4 2 2 9 3" xfId="18127" xr:uid="{00000000-0005-0000-0000-0000C50B0000}"/>
    <cellStyle name="20% - Accent2 4 2 3" xfId="805" xr:uid="{00000000-0005-0000-0000-0000C60B0000}"/>
    <cellStyle name="20% - Accent2 4 2 3 2" xfId="806" xr:uid="{00000000-0005-0000-0000-0000C70B0000}"/>
    <cellStyle name="20% - Accent2 4 2 3 2 2" xfId="10658" xr:uid="{00000000-0005-0000-0000-0000C80B0000}"/>
    <cellStyle name="20% - Accent2 4 2 3 2 2 2" xfId="24600" xr:uid="{00000000-0005-0000-0000-0000C90B0000}"/>
    <cellStyle name="20% - Accent2 4 2 3 2 3" xfId="18129" xr:uid="{00000000-0005-0000-0000-0000CA0B0000}"/>
    <cellStyle name="20% - Accent2 4 2 3 3" xfId="807" xr:uid="{00000000-0005-0000-0000-0000CB0B0000}"/>
    <cellStyle name="20% - Accent2 4 2 3 3 2" xfId="11762" xr:uid="{00000000-0005-0000-0000-0000CC0B0000}"/>
    <cellStyle name="20% - Accent2 4 2 3 3 2 2" xfId="25477" xr:uid="{00000000-0005-0000-0000-0000CD0B0000}"/>
    <cellStyle name="20% - Accent2 4 2 3 3 3" xfId="18130" xr:uid="{00000000-0005-0000-0000-0000CE0B0000}"/>
    <cellStyle name="20% - Accent2 4 2 3 4" xfId="808" xr:uid="{00000000-0005-0000-0000-0000CF0B0000}"/>
    <cellStyle name="20% - Accent2 4 2 3 4 2" xfId="14705" xr:uid="{00000000-0005-0000-0000-0000D00B0000}"/>
    <cellStyle name="20% - Accent2 4 2 3 4 2 2" xfId="28254" xr:uid="{00000000-0005-0000-0000-0000D10B0000}"/>
    <cellStyle name="20% - Accent2 4 2 3 4 3" xfId="18131" xr:uid="{00000000-0005-0000-0000-0000D20B0000}"/>
    <cellStyle name="20% - Accent2 4 2 3 5" xfId="809" xr:uid="{00000000-0005-0000-0000-0000D30B0000}"/>
    <cellStyle name="20% - Accent2 4 2 3 5 2" xfId="16604" xr:uid="{00000000-0005-0000-0000-0000D40B0000}"/>
    <cellStyle name="20% - Accent2 4 2 3 5 2 2" xfId="30011" xr:uid="{00000000-0005-0000-0000-0000D50B0000}"/>
    <cellStyle name="20% - Accent2 4 2 3 5 3" xfId="18132" xr:uid="{00000000-0005-0000-0000-0000D60B0000}"/>
    <cellStyle name="20% - Accent2 4 2 3 6" xfId="8933" xr:uid="{00000000-0005-0000-0000-0000D70B0000}"/>
    <cellStyle name="20% - Accent2 4 2 3 6 2" xfId="23408" xr:uid="{00000000-0005-0000-0000-0000D80B0000}"/>
    <cellStyle name="20% - Accent2 4 2 3 7" xfId="18128" xr:uid="{00000000-0005-0000-0000-0000D90B0000}"/>
    <cellStyle name="20% - Accent2 4 2 4" xfId="810" xr:uid="{00000000-0005-0000-0000-0000DA0B0000}"/>
    <cellStyle name="20% - Accent2 4 2 4 2" xfId="811" xr:uid="{00000000-0005-0000-0000-0000DB0B0000}"/>
    <cellStyle name="20% - Accent2 4 2 4 2 2" xfId="14706" xr:uid="{00000000-0005-0000-0000-0000DC0B0000}"/>
    <cellStyle name="20% - Accent2 4 2 4 2 2 2" xfId="28255" xr:uid="{00000000-0005-0000-0000-0000DD0B0000}"/>
    <cellStyle name="20% - Accent2 4 2 4 2 3" xfId="18134" xr:uid="{00000000-0005-0000-0000-0000DE0B0000}"/>
    <cellStyle name="20% - Accent2 4 2 4 3" xfId="10655" xr:uid="{00000000-0005-0000-0000-0000DF0B0000}"/>
    <cellStyle name="20% - Accent2 4 2 4 3 2" xfId="24597" xr:uid="{00000000-0005-0000-0000-0000E00B0000}"/>
    <cellStyle name="20% - Accent2 4 2 4 4" xfId="18133" xr:uid="{00000000-0005-0000-0000-0000E10B0000}"/>
    <cellStyle name="20% - Accent2 4 2 5" xfId="812" xr:uid="{00000000-0005-0000-0000-0000E20B0000}"/>
    <cellStyle name="20% - Accent2 4 2 5 2" xfId="11981" xr:uid="{00000000-0005-0000-0000-0000E30B0000}"/>
    <cellStyle name="20% - Accent2 4 2 5 2 2" xfId="25696" xr:uid="{00000000-0005-0000-0000-0000E40B0000}"/>
    <cellStyle name="20% - Accent2 4 2 5 3" xfId="18135" xr:uid="{00000000-0005-0000-0000-0000E50B0000}"/>
    <cellStyle name="20% - Accent2 4 2 6" xfId="813" xr:uid="{00000000-0005-0000-0000-0000E60B0000}"/>
    <cellStyle name="20% - Accent2 4 2 6 2" xfId="12746" xr:uid="{00000000-0005-0000-0000-0000E70B0000}"/>
    <cellStyle name="20% - Accent2 4 2 6 2 2" xfId="26458" xr:uid="{00000000-0005-0000-0000-0000E80B0000}"/>
    <cellStyle name="20% - Accent2 4 2 6 3" xfId="18136" xr:uid="{00000000-0005-0000-0000-0000E90B0000}"/>
    <cellStyle name="20% - Accent2 4 2 7" xfId="814" xr:uid="{00000000-0005-0000-0000-0000EA0B0000}"/>
    <cellStyle name="20% - Accent2 4 2 7 2" xfId="13556" xr:uid="{00000000-0005-0000-0000-0000EB0B0000}"/>
    <cellStyle name="20% - Accent2 4 2 7 2 2" xfId="27105" xr:uid="{00000000-0005-0000-0000-0000EC0B0000}"/>
    <cellStyle name="20% - Accent2 4 2 7 3" xfId="18137" xr:uid="{00000000-0005-0000-0000-0000ED0B0000}"/>
    <cellStyle name="20% - Accent2 4 2 8" xfId="815" xr:uid="{00000000-0005-0000-0000-0000EE0B0000}"/>
    <cellStyle name="20% - Accent2 4 2 8 2" xfId="14137" xr:uid="{00000000-0005-0000-0000-0000EF0B0000}"/>
    <cellStyle name="20% - Accent2 4 2 8 2 2" xfId="27686" xr:uid="{00000000-0005-0000-0000-0000F00B0000}"/>
    <cellStyle name="20% - Accent2 4 2 8 3" xfId="18138" xr:uid="{00000000-0005-0000-0000-0000F10B0000}"/>
    <cellStyle name="20% - Accent2 4 2 9" xfId="816" xr:uid="{00000000-0005-0000-0000-0000F20B0000}"/>
    <cellStyle name="20% - Accent2 4 2 9 2" xfId="14701" xr:uid="{00000000-0005-0000-0000-0000F30B0000}"/>
    <cellStyle name="20% - Accent2 4 2 9 2 2" xfId="28250" xr:uid="{00000000-0005-0000-0000-0000F40B0000}"/>
    <cellStyle name="20% - Accent2 4 2 9 3" xfId="18139" xr:uid="{00000000-0005-0000-0000-0000F50B0000}"/>
    <cellStyle name="20% - Accent2 4 3" xfId="817" xr:uid="{00000000-0005-0000-0000-0000F60B0000}"/>
    <cellStyle name="20% - Accent2 4 3 10" xfId="8934" xr:uid="{00000000-0005-0000-0000-0000F70B0000}"/>
    <cellStyle name="20% - Accent2 4 3 10 2" xfId="23409" xr:uid="{00000000-0005-0000-0000-0000F80B0000}"/>
    <cellStyle name="20% - Accent2 4 3 11" xfId="18140" xr:uid="{00000000-0005-0000-0000-0000F90B0000}"/>
    <cellStyle name="20% - Accent2 4 3 2" xfId="818" xr:uid="{00000000-0005-0000-0000-0000FA0B0000}"/>
    <cellStyle name="20% - Accent2 4 3 2 2" xfId="819" xr:uid="{00000000-0005-0000-0000-0000FB0B0000}"/>
    <cellStyle name="20% - Accent2 4 3 2 2 2" xfId="10660" xr:uid="{00000000-0005-0000-0000-0000FC0B0000}"/>
    <cellStyle name="20% - Accent2 4 3 2 2 2 2" xfId="24602" xr:uid="{00000000-0005-0000-0000-0000FD0B0000}"/>
    <cellStyle name="20% - Accent2 4 3 2 2 3" xfId="18142" xr:uid="{00000000-0005-0000-0000-0000FE0B0000}"/>
    <cellStyle name="20% - Accent2 4 3 2 3" xfId="820" xr:uid="{00000000-0005-0000-0000-0000FF0B0000}"/>
    <cellStyle name="20% - Accent2 4 3 2 3 2" xfId="12584" xr:uid="{00000000-0005-0000-0000-0000000C0000}"/>
    <cellStyle name="20% - Accent2 4 3 2 3 2 2" xfId="26296" xr:uid="{00000000-0005-0000-0000-0000010C0000}"/>
    <cellStyle name="20% - Accent2 4 3 2 3 3" xfId="18143" xr:uid="{00000000-0005-0000-0000-0000020C0000}"/>
    <cellStyle name="20% - Accent2 4 3 2 4" xfId="821" xr:uid="{00000000-0005-0000-0000-0000030C0000}"/>
    <cellStyle name="20% - Accent2 4 3 2 4 2" xfId="14708" xr:uid="{00000000-0005-0000-0000-0000040C0000}"/>
    <cellStyle name="20% - Accent2 4 3 2 4 2 2" xfId="28257" xr:uid="{00000000-0005-0000-0000-0000050C0000}"/>
    <cellStyle name="20% - Accent2 4 3 2 4 3" xfId="18144" xr:uid="{00000000-0005-0000-0000-0000060C0000}"/>
    <cellStyle name="20% - Accent2 4 3 2 5" xfId="822" xr:uid="{00000000-0005-0000-0000-0000070C0000}"/>
    <cellStyle name="20% - Accent2 4 3 2 5 2" xfId="16753" xr:uid="{00000000-0005-0000-0000-0000080C0000}"/>
    <cellStyle name="20% - Accent2 4 3 2 5 2 2" xfId="30160" xr:uid="{00000000-0005-0000-0000-0000090C0000}"/>
    <cellStyle name="20% - Accent2 4 3 2 5 3" xfId="18145" xr:uid="{00000000-0005-0000-0000-00000A0C0000}"/>
    <cellStyle name="20% - Accent2 4 3 2 6" xfId="8935" xr:uid="{00000000-0005-0000-0000-00000B0C0000}"/>
    <cellStyle name="20% - Accent2 4 3 2 6 2" xfId="23410" xr:uid="{00000000-0005-0000-0000-00000C0C0000}"/>
    <cellStyle name="20% - Accent2 4 3 2 7" xfId="18141" xr:uid="{00000000-0005-0000-0000-00000D0C0000}"/>
    <cellStyle name="20% - Accent2 4 3 3" xfId="823" xr:uid="{00000000-0005-0000-0000-00000E0C0000}"/>
    <cellStyle name="20% - Accent2 4 3 3 2" xfId="824" xr:uid="{00000000-0005-0000-0000-00000F0C0000}"/>
    <cellStyle name="20% - Accent2 4 3 3 2 2" xfId="14709" xr:uid="{00000000-0005-0000-0000-0000100C0000}"/>
    <cellStyle name="20% - Accent2 4 3 3 2 2 2" xfId="28258" xr:uid="{00000000-0005-0000-0000-0000110C0000}"/>
    <cellStyle name="20% - Accent2 4 3 3 2 3" xfId="18147" xr:uid="{00000000-0005-0000-0000-0000120C0000}"/>
    <cellStyle name="20% - Accent2 4 3 3 3" xfId="10659" xr:uid="{00000000-0005-0000-0000-0000130C0000}"/>
    <cellStyle name="20% - Accent2 4 3 3 3 2" xfId="24601" xr:uid="{00000000-0005-0000-0000-0000140C0000}"/>
    <cellStyle name="20% - Accent2 4 3 3 4" xfId="18146" xr:uid="{00000000-0005-0000-0000-0000150C0000}"/>
    <cellStyle name="20% - Accent2 4 3 4" xfId="825" xr:uid="{00000000-0005-0000-0000-0000160C0000}"/>
    <cellStyle name="20% - Accent2 4 3 4 2" xfId="12141" xr:uid="{00000000-0005-0000-0000-0000170C0000}"/>
    <cellStyle name="20% - Accent2 4 3 4 2 2" xfId="25853" xr:uid="{00000000-0005-0000-0000-0000180C0000}"/>
    <cellStyle name="20% - Accent2 4 3 4 3" xfId="18148" xr:uid="{00000000-0005-0000-0000-0000190C0000}"/>
    <cellStyle name="20% - Accent2 4 3 5" xfId="826" xr:uid="{00000000-0005-0000-0000-00001A0C0000}"/>
    <cellStyle name="20% - Accent2 4 3 5 2" xfId="11784" xr:uid="{00000000-0005-0000-0000-00001B0C0000}"/>
    <cellStyle name="20% - Accent2 4 3 5 2 2" xfId="25499" xr:uid="{00000000-0005-0000-0000-00001C0C0000}"/>
    <cellStyle name="20% - Accent2 4 3 5 3" xfId="18149" xr:uid="{00000000-0005-0000-0000-00001D0C0000}"/>
    <cellStyle name="20% - Accent2 4 3 6" xfId="827" xr:uid="{00000000-0005-0000-0000-00001E0C0000}"/>
    <cellStyle name="20% - Accent2 4 3 6 2" xfId="13705" xr:uid="{00000000-0005-0000-0000-00001F0C0000}"/>
    <cellStyle name="20% - Accent2 4 3 6 2 2" xfId="27254" xr:uid="{00000000-0005-0000-0000-0000200C0000}"/>
    <cellStyle name="20% - Accent2 4 3 6 3" xfId="18150" xr:uid="{00000000-0005-0000-0000-0000210C0000}"/>
    <cellStyle name="20% - Accent2 4 3 7" xfId="828" xr:uid="{00000000-0005-0000-0000-0000220C0000}"/>
    <cellStyle name="20% - Accent2 4 3 7 2" xfId="14286" xr:uid="{00000000-0005-0000-0000-0000230C0000}"/>
    <cellStyle name="20% - Accent2 4 3 7 2 2" xfId="27835" xr:uid="{00000000-0005-0000-0000-0000240C0000}"/>
    <cellStyle name="20% - Accent2 4 3 7 3" xfId="18151" xr:uid="{00000000-0005-0000-0000-0000250C0000}"/>
    <cellStyle name="20% - Accent2 4 3 8" xfId="829" xr:uid="{00000000-0005-0000-0000-0000260C0000}"/>
    <cellStyle name="20% - Accent2 4 3 8 2" xfId="14707" xr:uid="{00000000-0005-0000-0000-0000270C0000}"/>
    <cellStyle name="20% - Accent2 4 3 8 2 2" xfId="28256" xr:uid="{00000000-0005-0000-0000-0000280C0000}"/>
    <cellStyle name="20% - Accent2 4 3 8 3" xfId="18152" xr:uid="{00000000-0005-0000-0000-0000290C0000}"/>
    <cellStyle name="20% - Accent2 4 3 9" xfId="830" xr:uid="{00000000-0005-0000-0000-00002A0C0000}"/>
    <cellStyle name="20% - Accent2 4 3 9 2" xfId="16172" xr:uid="{00000000-0005-0000-0000-00002B0C0000}"/>
    <cellStyle name="20% - Accent2 4 3 9 2 2" xfId="29579" xr:uid="{00000000-0005-0000-0000-00002C0C0000}"/>
    <cellStyle name="20% - Accent2 4 3 9 3" xfId="18153" xr:uid="{00000000-0005-0000-0000-00002D0C0000}"/>
    <cellStyle name="20% - Accent2 4 4" xfId="831" xr:uid="{00000000-0005-0000-0000-00002E0C0000}"/>
    <cellStyle name="20% - Accent2 4 4 2" xfId="832" xr:uid="{00000000-0005-0000-0000-00002F0C0000}"/>
    <cellStyle name="20% - Accent2 4 4 2 2" xfId="10661" xr:uid="{00000000-0005-0000-0000-0000300C0000}"/>
    <cellStyle name="20% - Accent2 4 4 2 2 2" xfId="24603" xr:uid="{00000000-0005-0000-0000-0000310C0000}"/>
    <cellStyle name="20% - Accent2 4 4 2 3" xfId="18155" xr:uid="{00000000-0005-0000-0000-0000320C0000}"/>
    <cellStyle name="20% - Accent2 4 4 3" xfId="833" xr:uid="{00000000-0005-0000-0000-0000330C0000}"/>
    <cellStyle name="20% - Accent2 4 4 3 2" xfId="12541" xr:uid="{00000000-0005-0000-0000-0000340C0000}"/>
    <cellStyle name="20% - Accent2 4 4 3 2 2" xfId="26253" xr:uid="{00000000-0005-0000-0000-0000350C0000}"/>
    <cellStyle name="20% - Accent2 4 4 3 3" xfId="18156" xr:uid="{00000000-0005-0000-0000-0000360C0000}"/>
    <cellStyle name="20% - Accent2 4 4 4" xfId="834" xr:uid="{00000000-0005-0000-0000-0000370C0000}"/>
    <cellStyle name="20% - Accent2 4 4 4 2" xfId="14710" xr:uid="{00000000-0005-0000-0000-0000380C0000}"/>
    <cellStyle name="20% - Accent2 4 4 4 2 2" xfId="28259" xr:uid="{00000000-0005-0000-0000-0000390C0000}"/>
    <cellStyle name="20% - Accent2 4 4 4 3" xfId="18157" xr:uid="{00000000-0005-0000-0000-00003A0C0000}"/>
    <cellStyle name="20% - Accent2 4 4 5" xfId="835" xr:uid="{00000000-0005-0000-0000-00003B0C0000}"/>
    <cellStyle name="20% - Accent2 4 4 5 2" xfId="16461" xr:uid="{00000000-0005-0000-0000-00003C0C0000}"/>
    <cellStyle name="20% - Accent2 4 4 5 2 2" xfId="29868" xr:uid="{00000000-0005-0000-0000-00003D0C0000}"/>
    <cellStyle name="20% - Accent2 4 4 5 3" xfId="18158" xr:uid="{00000000-0005-0000-0000-00003E0C0000}"/>
    <cellStyle name="20% - Accent2 4 4 6" xfId="8936" xr:uid="{00000000-0005-0000-0000-00003F0C0000}"/>
    <cellStyle name="20% - Accent2 4 4 6 2" xfId="23411" xr:uid="{00000000-0005-0000-0000-0000400C0000}"/>
    <cellStyle name="20% - Accent2 4 4 7" xfId="18154" xr:uid="{00000000-0005-0000-0000-0000410C0000}"/>
    <cellStyle name="20% - Accent2 4 5" xfId="836" xr:uid="{00000000-0005-0000-0000-0000420C0000}"/>
    <cellStyle name="20% - Accent2 4 5 2" xfId="837" xr:uid="{00000000-0005-0000-0000-0000430C0000}"/>
    <cellStyle name="20% - Accent2 4 5 2 2" xfId="14711" xr:uid="{00000000-0005-0000-0000-0000440C0000}"/>
    <cellStyle name="20% - Accent2 4 5 2 2 2" xfId="28260" xr:uid="{00000000-0005-0000-0000-0000450C0000}"/>
    <cellStyle name="20% - Accent2 4 5 2 3" xfId="18160" xr:uid="{00000000-0005-0000-0000-0000460C0000}"/>
    <cellStyle name="20% - Accent2 4 5 3" xfId="10654" xr:uid="{00000000-0005-0000-0000-0000470C0000}"/>
    <cellStyle name="20% - Accent2 4 5 3 2" xfId="24596" xr:uid="{00000000-0005-0000-0000-0000480C0000}"/>
    <cellStyle name="20% - Accent2 4 5 4" xfId="18159" xr:uid="{00000000-0005-0000-0000-0000490C0000}"/>
    <cellStyle name="20% - Accent2 4 6" xfId="838" xr:uid="{00000000-0005-0000-0000-00004A0C0000}"/>
    <cellStyle name="20% - Accent2 4 6 2" xfId="11812" xr:uid="{00000000-0005-0000-0000-00004B0C0000}"/>
    <cellStyle name="20% - Accent2 4 6 2 2" xfId="25527" xr:uid="{00000000-0005-0000-0000-00004C0C0000}"/>
    <cellStyle name="20% - Accent2 4 6 3" xfId="18161" xr:uid="{00000000-0005-0000-0000-00004D0C0000}"/>
    <cellStyle name="20% - Accent2 4 7" xfId="839" xr:uid="{00000000-0005-0000-0000-00004E0C0000}"/>
    <cellStyle name="20% - Accent2 4 7 2" xfId="12549" xr:uid="{00000000-0005-0000-0000-00004F0C0000}"/>
    <cellStyle name="20% - Accent2 4 7 2 2" xfId="26261" xr:uid="{00000000-0005-0000-0000-0000500C0000}"/>
    <cellStyle name="20% - Accent2 4 7 3" xfId="18162" xr:uid="{00000000-0005-0000-0000-0000510C0000}"/>
    <cellStyle name="20% - Accent2 4 8" xfId="840" xr:uid="{00000000-0005-0000-0000-0000520C0000}"/>
    <cellStyle name="20% - Accent2 4 8 2" xfId="13413" xr:uid="{00000000-0005-0000-0000-0000530C0000}"/>
    <cellStyle name="20% - Accent2 4 8 2 2" xfId="26962" xr:uid="{00000000-0005-0000-0000-0000540C0000}"/>
    <cellStyle name="20% - Accent2 4 8 3" xfId="18163" xr:uid="{00000000-0005-0000-0000-0000550C0000}"/>
    <cellStyle name="20% - Accent2 4 9" xfId="841" xr:uid="{00000000-0005-0000-0000-0000560C0000}"/>
    <cellStyle name="20% - Accent2 4 9 2" xfId="13994" xr:uid="{00000000-0005-0000-0000-0000570C0000}"/>
    <cellStyle name="20% - Accent2 4 9 2 2" xfId="27543" xr:uid="{00000000-0005-0000-0000-0000580C0000}"/>
    <cellStyle name="20% - Accent2 4 9 3" xfId="18164" xr:uid="{00000000-0005-0000-0000-0000590C0000}"/>
    <cellStyle name="20% - Accent2 5" xfId="842" xr:uid="{00000000-0005-0000-0000-00005A0C0000}"/>
    <cellStyle name="20% - Accent2 5 10" xfId="843" xr:uid="{00000000-0005-0000-0000-00005B0C0000}"/>
    <cellStyle name="20% - Accent2 5 10 2" xfId="14712" xr:uid="{00000000-0005-0000-0000-00005C0C0000}"/>
    <cellStyle name="20% - Accent2 5 10 2 2" xfId="28261" xr:uid="{00000000-0005-0000-0000-00005D0C0000}"/>
    <cellStyle name="20% - Accent2 5 10 3" xfId="18166" xr:uid="{00000000-0005-0000-0000-00005E0C0000}"/>
    <cellStyle name="20% - Accent2 5 11" xfId="844" xr:uid="{00000000-0005-0000-0000-00005F0C0000}"/>
    <cellStyle name="20% - Accent2 5 11 2" xfId="15863" xr:uid="{00000000-0005-0000-0000-0000600C0000}"/>
    <cellStyle name="20% - Accent2 5 11 2 2" xfId="29270" xr:uid="{00000000-0005-0000-0000-0000610C0000}"/>
    <cellStyle name="20% - Accent2 5 11 3" xfId="18167" xr:uid="{00000000-0005-0000-0000-0000620C0000}"/>
    <cellStyle name="20% - Accent2 5 12" xfId="8937" xr:uid="{00000000-0005-0000-0000-0000630C0000}"/>
    <cellStyle name="20% - Accent2 5 12 2" xfId="23412" xr:uid="{00000000-0005-0000-0000-0000640C0000}"/>
    <cellStyle name="20% - Accent2 5 13" xfId="18165" xr:uid="{00000000-0005-0000-0000-0000650C0000}"/>
    <cellStyle name="20% - Accent2 5 2" xfId="845" xr:uid="{00000000-0005-0000-0000-0000660C0000}"/>
    <cellStyle name="20% - Accent2 5 2 10" xfId="846" xr:uid="{00000000-0005-0000-0000-0000670C0000}"/>
    <cellStyle name="20% - Accent2 5 2 10 2" xfId="16006" xr:uid="{00000000-0005-0000-0000-0000680C0000}"/>
    <cellStyle name="20% - Accent2 5 2 10 2 2" xfId="29413" xr:uid="{00000000-0005-0000-0000-0000690C0000}"/>
    <cellStyle name="20% - Accent2 5 2 10 3" xfId="18169" xr:uid="{00000000-0005-0000-0000-00006A0C0000}"/>
    <cellStyle name="20% - Accent2 5 2 11" xfId="8938" xr:uid="{00000000-0005-0000-0000-00006B0C0000}"/>
    <cellStyle name="20% - Accent2 5 2 11 2" xfId="23413" xr:uid="{00000000-0005-0000-0000-00006C0C0000}"/>
    <cellStyle name="20% - Accent2 5 2 12" xfId="18168" xr:uid="{00000000-0005-0000-0000-00006D0C0000}"/>
    <cellStyle name="20% - Accent2 5 2 2" xfId="847" xr:uid="{00000000-0005-0000-0000-00006E0C0000}"/>
    <cellStyle name="20% - Accent2 5 2 2 10" xfId="8939" xr:uid="{00000000-0005-0000-0000-00006F0C0000}"/>
    <cellStyle name="20% - Accent2 5 2 2 10 2" xfId="23414" xr:uid="{00000000-0005-0000-0000-0000700C0000}"/>
    <cellStyle name="20% - Accent2 5 2 2 11" xfId="18170" xr:uid="{00000000-0005-0000-0000-0000710C0000}"/>
    <cellStyle name="20% - Accent2 5 2 2 2" xfId="848" xr:uid="{00000000-0005-0000-0000-0000720C0000}"/>
    <cellStyle name="20% - Accent2 5 2 2 2 2" xfId="849" xr:uid="{00000000-0005-0000-0000-0000730C0000}"/>
    <cellStyle name="20% - Accent2 5 2 2 2 2 2" xfId="10665" xr:uid="{00000000-0005-0000-0000-0000740C0000}"/>
    <cellStyle name="20% - Accent2 5 2 2 2 2 2 2" xfId="24607" xr:uid="{00000000-0005-0000-0000-0000750C0000}"/>
    <cellStyle name="20% - Accent2 5 2 2 2 2 3" xfId="18172" xr:uid="{00000000-0005-0000-0000-0000760C0000}"/>
    <cellStyle name="20% - Accent2 5 2 2 2 3" xfId="850" xr:uid="{00000000-0005-0000-0000-0000770C0000}"/>
    <cellStyle name="20% - Accent2 5 2 2 2 3 2" xfId="12473" xr:uid="{00000000-0005-0000-0000-0000780C0000}"/>
    <cellStyle name="20% - Accent2 5 2 2 2 3 2 2" xfId="26185" xr:uid="{00000000-0005-0000-0000-0000790C0000}"/>
    <cellStyle name="20% - Accent2 5 2 2 2 3 3" xfId="18173" xr:uid="{00000000-0005-0000-0000-00007A0C0000}"/>
    <cellStyle name="20% - Accent2 5 2 2 2 4" xfId="851" xr:uid="{00000000-0005-0000-0000-00007B0C0000}"/>
    <cellStyle name="20% - Accent2 5 2 2 2 4 2" xfId="14715" xr:uid="{00000000-0005-0000-0000-00007C0C0000}"/>
    <cellStyle name="20% - Accent2 5 2 2 2 4 2 2" xfId="28264" xr:uid="{00000000-0005-0000-0000-00007D0C0000}"/>
    <cellStyle name="20% - Accent2 5 2 2 2 4 3" xfId="18174" xr:uid="{00000000-0005-0000-0000-00007E0C0000}"/>
    <cellStyle name="20% - Accent2 5 2 2 2 5" xfId="852" xr:uid="{00000000-0005-0000-0000-00007F0C0000}"/>
    <cellStyle name="20% - Accent2 5 2 2 2 5 2" xfId="16876" xr:uid="{00000000-0005-0000-0000-0000800C0000}"/>
    <cellStyle name="20% - Accent2 5 2 2 2 5 2 2" xfId="30283" xr:uid="{00000000-0005-0000-0000-0000810C0000}"/>
    <cellStyle name="20% - Accent2 5 2 2 2 5 3" xfId="18175" xr:uid="{00000000-0005-0000-0000-0000820C0000}"/>
    <cellStyle name="20% - Accent2 5 2 2 2 6" xfId="8940" xr:uid="{00000000-0005-0000-0000-0000830C0000}"/>
    <cellStyle name="20% - Accent2 5 2 2 2 6 2" xfId="23415" xr:uid="{00000000-0005-0000-0000-0000840C0000}"/>
    <cellStyle name="20% - Accent2 5 2 2 2 7" xfId="18171" xr:uid="{00000000-0005-0000-0000-0000850C0000}"/>
    <cellStyle name="20% - Accent2 5 2 2 3" xfId="853" xr:uid="{00000000-0005-0000-0000-0000860C0000}"/>
    <cellStyle name="20% - Accent2 5 2 2 3 2" xfId="854" xr:uid="{00000000-0005-0000-0000-0000870C0000}"/>
    <cellStyle name="20% - Accent2 5 2 2 3 2 2" xfId="14716" xr:uid="{00000000-0005-0000-0000-0000880C0000}"/>
    <cellStyle name="20% - Accent2 5 2 2 3 2 2 2" xfId="28265" xr:uid="{00000000-0005-0000-0000-0000890C0000}"/>
    <cellStyle name="20% - Accent2 5 2 2 3 2 3" xfId="18177" xr:uid="{00000000-0005-0000-0000-00008A0C0000}"/>
    <cellStyle name="20% - Accent2 5 2 2 3 3" xfId="10664" xr:uid="{00000000-0005-0000-0000-00008B0C0000}"/>
    <cellStyle name="20% - Accent2 5 2 2 3 3 2" xfId="24606" xr:uid="{00000000-0005-0000-0000-00008C0C0000}"/>
    <cellStyle name="20% - Accent2 5 2 2 3 4" xfId="18176" xr:uid="{00000000-0005-0000-0000-00008D0C0000}"/>
    <cellStyle name="20% - Accent2 5 2 2 4" xfId="855" xr:uid="{00000000-0005-0000-0000-00008E0C0000}"/>
    <cellStyle name="20% - Accent2 5 2 2 4 2" xfId="12264" xr:uid="{00000000-0005-0000-0000-00008F0C0000}"/>
    <cellStyle name="20% - Accent2 5 2 2 4 2 2" xfId="25976" xr:uid="{00000000-0005-0000-0000-0000900C0000}"/>
    <cellStyle name="20% - Accent2 5 2 2 4 3" xfId="18178" xr:uid="{00000000-0005-0000-0000-0000910C0000}"/>
    <cellStyle name="20% - Accent2 5 2 2 5" xfId="856" xr:uid="{00000000-0005-0000-0000-0000920C0000}"/>
    <cellStyle name="20% - Accent2 5 2 2 5 2" xfId="12566" xr:uid="{00000000-0005-0000-0000-0000930C0000}"/>
    <cellStyle name="20% - Accent2 5 2 2 5 2 2" xfId="26278" xr:uid="{00000000-0005-0000-0000-0000940C0000}"/>
    <cellStyle name="20% - Accent2 5 2 2 5 3" xfId="18179" xr:uid="{00000000-0005-0000-0000-0000950C0000}"/>
    <cellStyle name="20% - Accent2 5 2 2 6" xfId="857" xr:uid="{00000000-0005-0000-0000-0000960C0000}"/>
    <cellStyle name="20% - Accent2 5 2 2 6 2" xfId="13828" xr:uid="{00000000-0005-0000-0000-0000970C0000}"/>
    <cellStyle name="20% - Accent2 5 2 2 6 2 2" xfId="27377" xr:uid="{00000000-0005-0000-0000-0000980C0000}"/>
    <cellStyle name="20% - Accent2 5 2 2 6 3" xfId="18180" xr:uid="{00000000-0005-0000-0000-0000990C0000}"/>
    <cellStyle name="20% - Accent2 5 2 2 7" xfId="858" xr:uid="{00000000-0005-0000-0000-00009A0C0000}"/>
    <cellStyle name="20% - Accent2 5 2 2 7 2" xfId="14409" xr:uid="{00000000-0005-0000-0000-00009B0C0000}"/>
    <cellStyle name="20% - Accent2 5 2 2 7 2 2" xfId="27958" xr:uid="{00000000-0005-0000-0000-00009C0C0000}"/>
    <cellStyle name="20% - Accent2 5 2 2 7 3" xfId="18181" xr:uid="{00000000-0005-0000-0000-00009D0C0000}"/>
    <cellStyle name="20% - Accent2 5 2 2 8" xfId="859" xr:uid="{00000000-0005-0000-0000-00009E0C0000}"/>
    <cellStyle name="20% - Accent2 5 2 2 8 2" xfId="14714" xr:uid="{00000000-0005-0000-0000-00009F0C0000}"/>
    <cellStyle name="20% - Accent2 5 2 2 8 2 2" xfId="28263" xr:uid="{00000000-0005-0000-0000-0000A00C0000}"/>
    <cellStyle name="20% - Accent2 5 2 2 8 3" xfId="18182" xr:uid="{00000000-0005-0000-0000-0000A10C0000}"/>
    <cellStyle name="20% - Accent2 5 2 2 9" xfId="860" xr:uid="{00000000-0005-0000-0000-0000A20C0000}"/>
    <cellStyle name="20% - Accent2 5 2 2 9 2" xfId="16295" xr:uid="{00000000-0005-0000-0000-0000A30C0000}"/>
    <cellStyle name="20% - Accent2 5 2 2 9 2 2" xfId="29702" xr:uid="{00000000-0005-0000-0000-0000A40C0000}"/>
    <cellStyle name="20% - Accent2 5 2 2 9 3" xfId="18183" xr:uid="{00000000-0005-0000-0000-0000A50C0000}"/>
    <cellStyle name="20% - Accent2 5 2 3" xfId="861" xr:uid="{00000000-0005-0000-0000-0000A60C0000}"/>
    <cellStyle name="20% - Accent2 5 2 3 2" xfId="862" xr:uid="{00000000-0005-0000-0000-0000A70C0000}"/>
    <cellStyle name="20% - Accent2 5 2 3 2 2" xfId="10666" xr:uid="{00000000-0005-0000-0000-0000A80C0000}"/>
    <cellStyle name="20% - Accent2 5 2 3 2 2 2" xfId="24608" xr:uid="{00000000-0005-0000-0000-0000A90C0000}"/>
    <cellStyle name="20% - Accent2 5 2 3 2 3" xfId="18185" xr:uid="{00000000-0005-0000-0000-0000AA0C0000}"/>
    <cellStyle name="20% - Accent2 5 2 3 3" xfId="863" xr:uid="{00000000-0005-0000-0000-0000AB0C0000}"/>
    <cellStyle name="20% - Accent2 5 2 3 3 2" xfId="12446" xr:uid="{00000000-0005-0000-0000-0000AC0C0000}"/>
    <cellStyle name="20% - Accent2 5 2 3 3 2 2" xfId="26158" xr:uid="{00000000-0005-0000-0000-0000AD0C0000}"/>
    <cellStyle name="20% - Accent2 5 2 3 3 3" xfId="18186" xr:uid="{00000000-0005-0000-0000-0000AE0C0000}"/>
    <cellStyle name="20% - Accent2 5 2 3 4" xfId="864" xr:uid="{00000000-0005-0000-0000-0000AF0C0000}"/>
    <cellStyle name="20% - Accent2 5 2 3 4 2" xfId="14717" xr:uid="{00000000-0005-0000-0000-0000B00C0000}"/>
    <cellStyle name="20% - Accent2 5 2 3 4 2 2" xfId="28266" xr:uid="{00000000-0005-0000-0000-0000B10C0000}"/>
    <cellStyle name="20% - Accent2 5 2 3 4 3" xfId="18187" xr:uid="{00000000-0005-0000-0000-0000B20C0000}"/>
    <cellStyle name="20% - Accent2 5 2 3 5" xfId="865" xr:uid="{00000000-0005-0000-0000-0000B30C0000}"/>
    <cellStyle name="20% - Accent2 5 2 3 5 2" xfId="16587" xr:uid="{00000000-0005-0000-0000-0000B40C0000}"/>
    <cellStyle name="20% - Accent2 5 2 3 5 2 2" xfId="29994" xr:uid="{00000000-0005-0000-0000-0000B50C0000}"/>
    <cellStyle name="20% - Accent2 5 2 3 5 3" xfId="18188" xr:uid="{00000000-0005-0000-0000-0000B60C0000}"/>
    <cellStyle name="20% - Accent2 5 2 3 6" xfId="8941" xr:uid="{00000000-0005-0000-0000-0000B70C0000}"/>
    <cellStyle name="20% - Accent2 5 2 3 6 2" xfId="23416" xr:uid="{00000000-0005-0000-0000-0000B80C0000}"/>
    <cellStyle name="20% - Accent2 5 2 3 7" xfId="18184" xr:uid="{00000000-0005-0000-0000-0000B90C0000}"/>
    <cellStyle name="20% - Accent2 5 2 4" xfId="866" xr:uid="{00000000-0005-0000-0000-0000BA0C0000}"/>
    <cellStyle name="20% - Accent2 5 2 4 2" xfId="867" xr:uid="{00000000-0005-0000-0000-0000BB0C0000}"/>
    <cellStyle name="20% - Accent2 5 2 4 2 2" xfId="14718" xr:uid="{00000000-0005-0000-0000-0000BC0C0000}"/>
    <cellStyle name="20% - Accent2 5 2 4 2 2 2" xfId="28267" xr:uid="{00000000-0005-0000-0000-0000BD0C0000}"/>
    <cellStyle name="20% - Accent2 5 2 4 2 3" xfId="18190" xr:uid="{00000000-0005-0000-0000-0000BE0C0000}"/>
    <cellStyle name="20% - Accent2 5 2 4 3" xfId="10663" xr:uid="{00000000-0005-0000-0000-0000BF0C0000}"/>
    <cellStyle name="20% - Accent2 5 2 4 3 2" xfId="24605" xr:uid="{00000000-0005-0000-0000-0000C00C0000}"/>
    <cellStyle name="20% - Accent2 5 2 4 4" xfId="18189" xr:uid="{00000000-0005-0000-0000-0000C10C0000}"/>
    <cellStyle name="20% - Accent2 5 2 5" xfId="868" xr:uid="{00000000-0005-0000-0000-0000C20C0000}"/>
    <cellStyle name="20% - Accent2 5 2 5 2" xfId="11964" xr:uid="{00000000-0005-0000-0000-0000C30C0000}"/>
    <cellStyle name="20% - Accent2 5 2 5 2 2" xfId="25679" xr:uid="{00000000-0005-0000-0000-0000C40C0000}"/>
    <cellStyle name="20% - Accent2 5 2 5 3" xfId="18191" xr:uid="{00000000-0005-0000-0000-0000C50C0000}"/>
    <cellStyle name="20% - Accent2 5 2 6" xfId="869" xr:uid="{00000000-0005-0000-0000-0000C60C0000}"/>
    <cellStyle name="20% - Accent2 5 2 6 2" xfId="12503" xr:uid="{00000000-0005-0000-0000-0000C70C0000}"/>
    <cellStyle name="20% - Accent2 5 2 6 2 2" xfId="26215" xr:uid="{00000000-0005-0000-0000-0000C80C0000}"/>
    <cellStyle name="20% - Accent2 5 2 6 3" xfId="18192" xr:uid="{00000000-0005-0000-0000-0000C90C0000}"/>
    <cellStyle name="20% - Accent2 5 2 7" xfId="870" xr:uid="{00000000-0005-0000-0000-0000CA0C0000}"/>
    <cellStyle name="20% - Accent2 5 2 7 2" xfId="13539" xr:uid="{00000000-0005-0000-0000-0000CB0C0000}"/>
    <cellStyle name="20% - Accent2 5 2 7 2 2" xfId="27088" xr:uid="{00000000-0005-0000-0000-0000CC0C0000}"/>
    <cellStyle name="20% - Accent2 5 2 7 3" xfId="18193" xr:uid="{00000000-0005-0000-0000-0000CD0C0000}"/>
    <cellStyle name="20% - Accent2 5 2 8" xfId="871" xr:uid="{00000000-0005-0000-0000-0000CE0C0000}"/>
    <cellStyle name="20% - Accent2 5 2 8 2" xfId="14120" xr:uid="{00000000-0005-0000-0000-0000CF0C0000}"/>
    <cellStyle name="20% - Accent2 5 2 8 2 2" xfId="27669" xr:uid="{00000000-0005-0000-0000-0000D00C0000}"/>
    <cellStyle name="20% - Accent2 5 2 8 3" xfId="18194" xr:uid="{00000000-0005-0000-0000-0000D10C0000}"/>
    <cellStyle name="20% - Accent2 5 2 9" xfId="872" xr:uid="{00000000-0005-0000-0000-0000D20C0000}"/>
    <cellStyle name="20% - Accent2 5 2 9 2" xfId="14713" xr:uid="{00000000-0005-0000-0000-0000D30C0000}"/>
    <cellStyle name="20% - Accent2 5 2 9 2 2" xfId="28262" xr:uid="{00000000-0005-0000-0000-0000D40C0000}"/>
    <cellStyle name="20% - Accent2 5 2 9 3" xfId="18195" xr:uid="{00000000-0005-0000-0000-0000D50C0000}"/>
    <cellStyle name="20% - Accent2 5 3" xfId="873" xr:uid="{00000000-0005-0000-0000-0000D60C0000}"/>
    <cellStyle name="20% - Accent2 5 3 10" xfId="8942" xr:uid="{00000000-0005-0000-0000-0000D70C0000}"/>
    <cellStyle name="20% - Accent2 5 3 10 2" xfId="23417" xr:uid="{00000000-0005-0000-0000-0000D80C0000}"/>
    <cellStyle name="20% - Accent2 5 3 11" xfId="18196" xr:uid="{00000000-0005-0000-0000-0000D90C0000}"/>
    <cellStyle name="20% - Accent2 5 3 2" xfId="874" xr:uid="{00000000-0005-0000-0000-0000DA0C0000}"/>
    <cellStyle name="20% - Accent2 5 3 2 2" xfId="875" xr:uid="{00000000-0005-0000-0000-0000DB0C0000}"/>
    <cellStyle name="20% - Accent2 5 3 2 2 2" xfId="10668" xr:uid="{00000000-0005-0000-0000-0000DC0C0000}"/>
    <cellStyle name="20% - Accent2 5 3 2 2 2 2" xfId="24610" xr:uid="{00000000-0005-0000-0000-0000DD0C0000}"/>
    <cellStyle name="20% - Accent2 5 3 2 2 3" xfId="18198" xr:uid="{00000000-0005-0000-0000-0000DE0C0000}"/>
    <cellStyle name="20% - Accent2 5 3 2 3" xfId="876" xr:uid="{00000000-0005-0000-0000-0000DF0C0000}"/>
    <cellStyle name="20% - Accent2 5 3 2 3 2" xfId="12546" xr:uid="{00000000-0005-0000-0000-0000E00C0000}"/>
    <cellStyle name="20% - Accent2 5 3 2 3 2 2" xfId="26258" xr:uid="{00000000-0005-0000-0000-0000E10C0000}"/>
    <cellStyle name="20% - Accent2 5 3 2 3 3" xfId="18199" xr:uid="{00000000-0005-0000-0000-0000E20C0000}"/>
    <cellStyle name="20% - Accent2 5 3 2 4" xfId="877" xr:uid="{00000000-0005-0000-0000-0000E30C0000}"/>
    <cellStyle name="20% - Accent2 5 3 2 4 2" xfId="14720" xr:uid="{00000000-0005-0000-0000-0000E40C0000}"/>
    <cellStyle name="20% - Accent2 5 3 2 4 2 2" xfId="28269" xr:uid="{00000000-0005-0000-0000-0000E50C0000}"/>
    <cellStyle name="20% - Accent2 5 3 2 4 3" xfId="18200" xr:uid="{00000000-0005-0000-0000-0000E60C0000}"/>
    <cellStyle name="20% - Accent2 5 3 2 5" xfId="878" xr:uid="{00000000-0005-0000-0000-0000E70C0000}"/>
    <cellStyle name="20% - Accent2 5 3 2 5 2" xfId="16730" xr:uid="{00000000-0005-0000-0000-0000E80C0000}"/>
    <cellStyle name="20% - Accent2 5 3 2 5 2 2" xfId="30137" xr:uid="{00000000-0005-0000-0000-0000E90C0000}"/>
    <cellStyle name="20% - Accent2 5 3 2 5 3" xfId="18201" xr:uid="{00000000-0005-0000-0000-0000EA0C0000}"/>
    <cellStyle name="20% - Accent2 5 3 2 6" xfId="8943" xr:uid="{00000000-0005-0000-0000-0000EB0C0000}"/>
    <cellStyle name="20% - Accent2 5 3 2 6 2" xfId="23418" xr:uid="{00000000-0005-0000-0000-0000EC0C0000}"/>
    <cellStyle name="20% - Accent2 5 3 2 7" xfId="18197" xr:uid="{00000000-0005-0000-0000-0000ED0C0000}"/>
    <cellStyle name="20% - Accent2 5 3 3" xfId="879" xr:uid="{00000000-0005-0000-0000-0000EE0C0000}"/>
    <cellStyle name="20% - Accent2 5 3 3 2" xfId="880" xr:uid="{00000000-0005-0000-0000-0000EF0C0000}"/>
    <cellStyle name="20% - Accent2 5 3 3 2 2" xfId="14721" xr:uid="{00000000-0005-0000-0000-0000F00C0000}"/>
    <cellStyle name="20% - Accent2 5 3 3 2 2 2" xfId="28270" xr:uid="{00000000-0005-0000-0000-0000F10C0000}"/>
    <cellStyle name="20% - Accent2 5 3 3 2 3" xfId="18203" xr:uid="{00000000-0005-0000-0000-0000F20C0000}"/>
    <cellStyle name="20% - Accent2 5 3 3 3" xfId="10667" xr:uid="{00000000-0005-0000-0000-0000F30C0000}"/>
    <cellStyle name="20% - Accent2 5 3 3 3 2" xfId="24609" xr:uid="{00000000-0005-0000-0000-0000F40C0000}"/>
    <cellStyle name="20% - Accent2 5 3 3 4" xfId="18202" xr:uid="{00000000-0005-0000-0000-0000F50C0000}"/>
    <cellStyle name="20% - Accent2 5 3 4" xfId="881" xr:uid="{00000000-0005-0000-0000-0000F60C0000}"/>
    <cellStyle name="20% - Accent2 5 3 4 2" xfId="12118" xr:uid="{00000000-0005-0000-0000-0000F70C0000}"/>
    <cellStyle name="20% - Accent2 5 3 4 2 2" xfId="25830" xr:uid="{00000000-0005-0000-0000-0000F80C0000}"/>
    <cellStyle name="20% - Accent2 5 3 4 3" xfId="18204" xr:uid="{00000000-0005-0000-0000-0000F90C0000}"/>
    <cellStyle name="20% - Accent2 5 3 5" xfId="882" xr:uid="{00000000-0005-0000-0000-0000FA0C0000}"/>
    <cellStyle name="20% - Accent2 5 3 5 2" xfId="11752" xr:uid="{00000000-0005-0000-0000-0000FB0C0000}"/>
    <cellStyle name="20% - Accent2 5 3 5 2 2" xfId="25467" xr:uid="{00000000-0005-0000-0000-0000FC0C0000}"/>
    <cellStyle name="20% - Accent2 5 3 5 3" xfId="18205" xr:uid="{00000000-0005-0000-0000-0000FD0C0000}"/>
    <cellStyle name="20% - Accent2 5 3 6" xfId="883" xr:uid="{00000000-0005-0000-0000-0000FE0C0000}"/>
    <cellStyle name="20% - Accent2 5 3 6 2" xfId="13682" xr:uid="{00000000-0005-0000-0000-0000FF0C0000}"/>
    <cellStyle name="20% - Accent2 5 3 6 2 2" xfId="27231" xr:uid="{00000000-0005-0000-0000-0000000D0000}"/>
    <cellStyle name="20% - Accent2 5 3 6 3" xfId="18206" xr:uid="{00000000-0005-0000-0000-0000010D0000}"/>
    <cellStyle name="20% - Accent2 5 3 7" xfId="884" xr:uid="{00000000-0005-0000-0000-0000020D0000}"/>
    <cellStyle name="20% - Accent2 5 3 7 2" xfId="14263" xr:uid="{00000000-0005-0000-0000-0000030D0000}"/>
    <cellStyle name="20% - Accent2 5 3 7 2 2" xfId="27812" xr:uid="{00000000-0005-0000-0000-0000040D0000}"/>
    <cellStyle name="20% - Accent2 5 3 7 3" xfId="18207" xr:uid="{00000000-0005-0000-0000-0000050D0000}"/>
    <cellStyle name="20% - Accent2 5 3 8" xfId="885" xr:uid="{00000000-0005-0000-0000-0000060D0000}"/>
    <cellStyle name="20% - Accent2 5 3 8 2" xfId="14719" xr:uid="{00000000-0005-0000-0000-0000070D0000}"/>
    <cellStyle name="20% - Accent2 5 3 8 2 2" xfId="28268" xr:uid="{00000000-0005-0000-0000-0000080D0000}"/>
    <cellStyle name="20% - Accent2 5 3 8 3" xfId="18208" xr:uid="{00000000-0005-0000-0000-0000090D0000}"/>
    <cellStyle name="20% - Accent2 5 3 9" xfId="886" xr:uid="{00000000-0005-0000-0000-00000A0D0000}"/>
    <cellStyle name="20% - Accent2 5 3 9 2" xfId="16149" xr:uid="{00000000-0005-0000-0000-00000B0D0000}"/>
    <cellStyle name="20% - Accent2 5 3 9 2 2" xfId="29556" xr:uid="{00000000-0005-0000-0000-00000C0D0000}"/>
    <cellStyle name="20% - Accent2 5 3 9 3" xfId="18209" xr:uid="{00000000-0005-0000-0000-00000D0D0000}"/>
    <cellStyle name="20% - Accent2 5 4" xfId="887" xr:uid="{00000000-0005-0000-0000-00000E0D0000}"/>
    <cellStyle name="20% - Accent2 5 4 2" xfId="888" xr:uid="{00000000-0005-0000-0000-00000F0D0000}"/>
    <cellStyle name="20% - Accent2 5 4 2 2" xfId="10669" xr:uid="{00000000-0005-0000-0000-0000100D0000}"/>
    <cellStyle name="20% - Accent2 5 4 2 2 2" xfId="24611" xr:uid="{00000000-0005-0000-0000-0000110D0000}"/>
    <cellStyle name="20% - Accent2 5 4 2 3" xfId="18211" xr:uid="{00000000-0005-0000-0000-0000120D0000}"/>
    <cellStyle name="20% - Accent2 5 4 3" xfId="889" xr:uid="{00000000-0005-0000-0000-0000130D0000}"/>
    <cellStyle name="20% - Accent2 5 4 3 2" xfId="12567" xr:uid="{00000000-0005-0000-0000-0000140D0000}"/>
    <cellStyle name="20% - Accent2 5 4 3 2 2" xfId="26279" xr:uid="{00000000-0005-0000-0000-0000150D0000}"/>
    <cellStyle name="20% - Accent2 5 4 3 3" xfId="18212" xr:uid="{00000000-0005-0000-0000-0000160D0000}"/>
    <cellStyle name="20% - Accent2 5 4 4" xfId="890" xr:uid="{00000000-0005-0000-0000-0000170D0000}"/>
    <cellStyle name="20% - Accent2 5 4 4 2" xfId="14722" xr:uid="{00000000-0005-0000-0000-0000180D0000}"/>
    <cellStyle name="20% - Accent2 5 4 4 2 2" xfId="28271" xr:uid="{00000000-0005-0000-0000-0000190D0000}"/>
    <cellStyle name="20% - Accent2 5 4 4 3" xfId="18213" xr:uid="{00000000-0005-0000-0000-00001A0D0000}"/>
    <cellStyle name="20% - Accent2 5 4 5" xfId="891" xr:uid="{00000000-0005-0000-0000-00001B0D0000}"/>
    <cellStyle name="20% - Accent2 5 4 5 2" xfId="16444" xr:uid="{00000000-0005-0000-0000-00001C0D0000}"/>
    <cellStyle name="20% - Accent2 5 4 5 2 2" xfId="29851" xr:uid="{00000000-0005-0000-0000-00001D0D0000}"/>
    <cellStyle name="20% - Accent2 5 4 5 3" xfId="18214" xr:uid="{00000000-0005-0000-0000-00001E0D0000}"/>
    <cellStyle name="20% - Accent2 5 4 6" xfId="8944" xr:uid="{00000000-0005-0000-0000-00001F0D0000}"/>
    <cellStyle name="20% - Accent2 5 4 6 2" xfId="23419" xr:uid="{00000000-0005-0000-0000-0000200D0000}"/>
    <cellStyle name="20% - Accent2 5 4 7" xfId="18210" xr:uid="{00000000-0005-0000-0000-0000210D0000}"/>
    <cellStyle name="20% - Accent2 5 5" xfId="892" xr:uid="{00000000-0005-0000-0000-0000220D0000}"/>
    <cellStyle name="20% - Accent2 5 5 2" xfId="893" xr:uid="{00000000-0005-0000-0000-0000230D0000}"/>
    <cellStyle name="20% - Accent2 5 5 2 2" xfId="14723" xr:uid="{00000000-0005-0000-0000-0000240D0000}"/>
    <cellStyle name="20% - Accent2 5 5 2 2 2" xfId="28272" xr:uid="{00000000-0005-0000-0000-0000250D0000}"/>
    <cellStyle name="20% - Accent2 5 5 2 3" xfId="18216" xr:uid="{00000000-0005-0000-0000-0000260D0000}"/>
    <cellStyle name="20% - Accent2 5 5 3" xfId="10662" xr:uid="{00000000-0005-0000-0000-0000270D0000}"/>
    <cellStyle name="20% - Accent2 5 5 3 2" xfId="24604" xr:uid="{00000000-0005-0000-0000-0000280D0000}"/>
    <cellStyle name="20% - Accent2 5 5 4" xfId="18215" xr:uid="{00000000-0005-0000-0000-0000290D0000}"/>
    <cellStyle name="20% - Accent2 5 6" xfId="894" xr:uid="{00000000-0005-0000-0000-00002A0D0000}"/>
    <cellStyle name="20% - Accent2 5 6 2" xfId="11795" xr:uid="{00000000-0005-0000-0000-00002B0D0000}"/>
    <cellStyle name="20% - Accent2 5 6 2 2" xfId="25510" xr:uid="{00000000-0005-0000-0000-00002C0D0000}"/>
    <cellStyle name="20% - Accent2 5 6 3" xfId="18217" xr:uid="{00000000-0005-0000-0000-00002D0D0000}"/>
    <cellStyle name="20% - Accent2 5 7" xfId="895" xr:uid="{00000000-0005-0000-0000-00002E0D0000}"/>
    <cellStyle name="20% - Accent2 5 7 2" xfId="12412" xr:uid="{00000000-0005-0000-0000-00002F0D0000}"/>
    <cellStyle name="20% - Accent2 5 7 2 2" xfId="26124" xr:uid="{00000000-0005-0000-0000-0000300D0000}"/>
    <cellStyle name="20% - Accent2 5 7 3" xfId="18218" xr:uid="{00000000-0005-0000-0000-0000310D0000}"/>
    <cellStyle name="20% - Accent2 5 8" xfId="896" xr:uid="{00000000-0005-0000-0000-0000320D0000}"/>
    <cellStyle name="20% - Accent2 5 8 2" xfId="13396" xr:uid="{00000000-0005-0000-0000-0000330D0000}"/>
    <cellStyle name="20% - Accent2 5 8 2 2" xfId="26945" xr:uid="{00000000-0005-0000-0000-0000340D0000}"/>
    <cellStyle name="20% - Accent2 5 8 3" xfId="18219" xr:uid="{00000000-0005-0000-0000-0000350D0000}"/>
    <cellStyle name="20% - Accent2 5 9" xfId="897" xr:uid="{00000000-0005-0000-0000-0000360D0000}"/>
    <cellStyle name="20% - Accent2 5 9 2" xfId="13977" xr:uid="{00000000-0005-0000-0000-0000370D0000}"/>
    <cellStyle name="20% - Accent2 5 9 2 2" xfId="27526" xr:uid="{00000000-0005-0000-0000-0000380D0000}"/>
    <cellStyle name="20% - Accent2 5 9 3" xfId="18220" xr:uid="{00000000-0005-0000-0000-0000390D0000}"/>
    <cellStyle name="20% - Accent2 6" xfId="898" xr:uid="{00000000-0005-0000-0000-00003A0D0000}"/>
    <cellStyle name="20% - Accent2 6 10" xfId="899" xr:uid="{00000000-0005-0000-0000-00003B0D0000}"/>
    <cellStyle name="20% - Accent2 6 10 2" xfId="14724" xr:uid="{00000000-0005-0000-0000-00003C0D0000}"/>
    <cellStyle name="20% - Accent2 6 10 2 2" xfId="28273" xr:uid="{00000000-0005-0000-0000-00003D0D0000}"/>
    <cellStyle name="20% - Accent2 6 10 3" xfId="18222" xr:uid="{00000000-0005-0000-0000-00003E0D0000}"/>
    <cellStyle name="20% - Accent2 6 11" xfId="900" xr:uid="{00000000-0005-0000-0000-00003F0D0000}"/>
    <cellStyle name="20% - Accent2 6 11 2" xfId="15969" xr:uid="{00000000-0005-0000-0000-0000400D0000}"/>
    <cellStyle name="20% - Accent2 6 11 2 2" xfId="29376" xr:uid="{00000000-0005-0000-0000-0000410D0000}"/>
    <cellStyle name="20% - Accent2 6 11 3" xfId="18223" xr:uid="{00000000-0005-0000-0000-0000420D0000}"/>
    <cellStyle name="20% - Accent2 6 12" xfId="8945" xr:uid="{00000000-0005-0000-0000-0000430D0000}"/>
    <cellStyle name="20% - Accent2 6 12 2" xfId="23420" xr:uid="{00000000-0005-0000-0000-0000440D0000}"/>
    <cellStyle name="20% - Accent2 6 13" xfId="18221" xr:uid="{00000000-0005-0000-0000-0000450D0000}"/>
    <cellStyle name="20% - Accent2 6 2" xfId="901" xr:uid="{00000000-0005-0000-0000-0000460D0000}"/>
    <cellStyle name="20% - Accent2 6 2 10" xfId="902" xr:uid="{00000000-0005-0000-0000-0000470D0000}"/>
    <cellStyle name="20% - Accent2 6 2 10 2" xfId="16112" xr:uid="{00000000-0005-0000-0000-0000480D0000}"/>
    <cellStyle name="20% - Accent2 6 2 10 2 2" xfId="29519" xr:uid="{00000000-0005-0000-0000-0000490D0000}"/>
    <cellStyle name="20% - Accent2 6 2 10 3" xfId="18225" xr:uid="{00000000-0005-0000-0000-00004A0D0000}"/>
    <cellStyle name="20% - Accent2 6 2 11" xfId="8946" xr:uid="{00000000-0005-0000-0000-00004B0D0000}"/>
    <cellStyle name="20% - Accent2 6 2 11 2" xfId="23421" xr:uid="{00000000-0005-0000-0000-00004C0D0000}"/>
    <cellStyle name="20% - Accent2 6 2 12" xfId="18224" xr:uid="{00000000-0005-0000-0000-00004D0D0000}"/>
    <cellStyle name="20% - Accent2 6 2 2" xfId="903" xr:uid="{00000000-0005-0000-0000-00004E0D0000}"/>
    <cellStyle name="20% - Accent2 6 2 2 10" xfId="8947" xr:uid="{00000000-0005-0000-0000-00004F0D0000}"/>
    <cellStyle name="20% - Accent2 6 2 2 10 2" xfId="23422" xr:uid="{00000000-0005-0000-0000-0000500D0000}"/>
    <cellStyle name="20% - Accent2 6 2 2 11" xfId="18226" xr:uid="{00000000-0005-0000-0000-0000510D0000}"/>
    <cellStyle name="20% - Accent2 6 2 2 2" xfId="904" xr:uid="{00000000-0005-0000-0000-0000520D0000}"/>
    <cellStyle name="20% - Accent2 6 2 2 2 2" xfId="905" xr:uid="{00000000-0005-0000-0000-0000530D0000}"/>
    <cellStyle name="20% - Accent2 6 2 2 2 2 2" xfId="10673" xr:uid="{00000000-0005-0000-0000-0000540D0000}"/>
    <cellStyle name="20% - Accent2 6 2 2 2 2 2 2" xfId="24615" xr:uid="{00000000-0005-0000-0000-0000550D0000}"/>
    <cellStyle name="20% - Accent2 6 2 2 2 2 3" xfId="18228" xr:uid="{00000000-0005-0000-0000-0000560D0000}"/>
    <cellStyle name="20% - Accent2 6 2 2 2 3" xfId="906" xr:uid="{00000000-0005-0000-0000-0000570D0000}"/>
    <cellStyle name="20% - Accent2 6 2 2 2 3 2" xfId="12693" xr:uid="{00000000-0005-0000-0000-0000580D0000}"/>
    <cellStyle name="20% - Accent2 6 2 2 2 3 2 2" xfId="26405" xr:uid="{00000000-0005-0000-0000-0000590D0000}"/>
    <cellStyle name="20% - Accent2 6 2 2 2 3 3" xfId="18229" xr:uid="{00000000-0005-0000-0000-00005A0D0000}"/>
    <cellStyle name="20% - Accent2 6 2 2 2 4" xfId="907" xr:uid="{00000000-0005-0000-0000-00005B0D0000}"/>
    <cellStyle name="20% - Accent2 6 2 2 2 4 2" xfId="14727" xr:uid="{00000000-0005-0000-0000-00005C0D0000}"/>
    <cellStyle name="20% - Accent2 6 2 2 2 4 2 2" xfId="28276" xr:uid="{00000000-0005-0000-0000-00005D0D0000}"/>
    <cellStyle name="20% - Accent2 6 2 2 2 4 3" xfId="18230" xr:uid="{00000000-0005-0000-0000-00005E0D0000}"/>
    <cellStyle name="20% - Accent2 6 2 2 2 5" xfId="908" xr:uid="{00000000-0005-0000-0000-00005F0D0000}"/>
    <cellStyle name="20% - Accent2 6 2 2 2 5 2" xfId="16982" xr:uid="{00000000-0005-0000-0000-0000600D0000}"/>
    <cellStyle name="20% - Accent2 6 2 2 2 5 2 2" xfId="30389" xr:uid="{00000000-0005-0000-0000-0000610D0000}"/>
    <cellStyle name="20% - Accent2 6 2 2 2 5 3" xfId="18231" xr:uid="{00000000-0005-0000-0000-0000620D0000}"/>
    <cellStyle name="20% - Accent2 6 2 2 2 6" xfId="8948" xr:uid="{00000000-0005-0000-0000-0000630D0000}"/>
    <cellStyle name="20% - Accent2 6 2 2 2 6 2" xfId="23423" xr:uid="{00000000-0005-0000-0000-0000640D0000}"/>
    <cellStyle name="20% - Accent2 6 2 2 2 7" xfId="18227" xr:uid="{00000000-0005-0000-0000-0000650D0000}"/>
    <cellStyle name="20% - Accent2 6 2 2 3" xfId="909" xr:uid="{00000000-0005-0000-0000-0000660D0000}"/>
    <cellStyle name="20% - Accent2 6 2 2 3 2" xfId="910" xr:uid="{00000000-0005-0000-0000-0000670D0000}"/>
    <cellStyle name="20% - Accent2 6 2 2 3 2 2" xfId="14728" xr:uid="{00000000-0005-0000-0000-0000680D0000}"/>
    <cellStyle name="20% - Accent2 6 2 2 3 2 2 2" xfId="28277" xr:uid="{00000000-0005-0000-0000-0000690D0000}"/>
    <cellStyle name="20% - Accent2 6 2 2 3 2 3" xfId="18233" xr:uid="{00000000-0005-0000-0000-00006A0D0000}"/>
    <cellStyle name="20% - Accent2 6 2 2 3 3" xfId="10672" xr:uid="{00000000-0005-0000-0000-00006B0D0000}"/>
    <cellStyle name="20% - Accent2 6 2 2 3 3 2" xfId="24614" xr:uid="{00000000-0005-0000-0000-00006C0D0000}"/>
    <cellStyle name="20% - Accent2 6 2 2 3 4" xfId="18232" xr:uid="{00000000-0005-0000-0000-00006D0D0000}"/>
    <cellStyle name="20% - Accent2 6 2 2 4" xfId="911" xr:uid="{00000000-0005-0000-0000-00006E0D0000}"/>
    <cellStyle name="20% - Accent2 6 2 2 4 2" xfId="12370" xr:uid="{00000000-0005-0000-0000-00006F0D0000}"/>
    <cellStyle name="20% - Accent2 6 2 2 4 2 2" xfId="26082" xr:uid="{00000000-0005-0000-0000-0000700D0000}"/>
    <cellStyle name="20% - Accent2 6 2 2 4 3" xfId="18234" xr:uid="{00000000-0005-0000-0000-0000710D0000}"/>
    <cellStyle name="20% - Accent2 6 2 2 5" xfId="912" xr:uid="{00000000-0005-0000-0000-0000720D0000}"/>
    <cellStyle name="20% - Accent2 6 2 2 5 2" xfId="12785" xr:uid="{00000000-0005-0000-0000-0000730D0000}"/>
    <cellStyle name="20% - Accent2 6 2 2 5 2 2" xfId="26497" xr:uid="{00000000-0005-0000-0000-0000740D0000}"/>
    <cellStyle name="20% - Accent2 6 2 2 5 3" xfId="18235" xr:uid="{00000000-0005-0000-0000-0000750D0000}"/>
    <cellStyle name="20% - Accent2 6 2 2 6" xfId="913" xr:uid="{00000000-0005-0000-0000-0000760D0000}"/>
    <cellStyle name="20% - Accent2 6 2 2 6 2" xfId="13934" xr:uid="{00000000-0005-0000-0000-0000770D0000}"/>
    <cellStyle name="20% - Accent2 6 2 2 6 2 2" xfId="27483" xr:uid="{00000000-0005-0000-0000-0000780D0000}"/>
    <cellStyle name="20% - Accent2 6 2 2 6 3" xfId="18236" xr:uid="{00000000-0005-0000-0000-0000790D0000}"/>
    <cellStyle name="20% - Accent2 6 2 2 7" xfId="914" xr:uid="{00000000-0005-0000-0000-00007A0D0000}"/>
    <cellStyle name="20% - Accent2 6 2 2 7 2" xfId="14515" xr:uid="{00000000-0005-0000-0000-00007B0D0000}"/>
    <cellStyle name="20% - Accent2 6 2 2 7 2 2" xfId="28064" xr:uid="{00000000-0005-0000-0000-00007C0D0000}"/>
    <cellStyle name="20% - Accent2 6 2 2 7 3" xfId="18237" xr:uid="{00000000-0005-0000-0000-00007D0D0000}"/>
    <cellStyle name="20% - Accent2 6 2 2 8" xfId="915" xr:uid="{00000000-0005-0000-0000-00007E0D0000}"/>
    <cellStyle name="20% - Accent2 6 2 2 8 2" xfId="14726" xr:uid="{00000000-0005-0000-0000-00007F0D0000}"/>
    <cellStyle name="20% - Accent2 6 2 2 8 2 2" xfId="28275" xr:uid="{00000000-0005-0000-0000-0000800D0000}"/>
    <cellStyle name="20% - Accent2 6 2 2 8 3" xfId="18238" xr:uid="{00000000-0005-0000-0000-0000810D0000}"/>
    <cellStyle name="20% - Accent2 6 2 2 9" xfId="916" xr:uid="{00000000-0005-0000-0000-0000820D0000}"/>
    <cellStyle name="20% - Accent2 6 2 2 9 2" xfId="16401" xr:uid="{00000000-0005-0000-0000-0000830D0000}"/>
    <cellStyle name="20% - Accent2 6 2 2 9 2 2" xfId="29808" xr:uid="{00000000-0005-0000-0000-0000840D0000}"/>
    <cellStyle name="20% - Accent2 6 2 2 9 3" xfId="18239" xr:uid="{00000000-0005-0000-0000-0000850D0000}"/>
    <cellStyle name="20% - Accent2 6 2 3" xfId="917" xr:uid="{00000000-0005-0000-0000-0000860D0000}"/>
    <cellStyle name="20% - Accent2 6 2 3 2" xfId="918" xr:uid="{00000000-0005-0000-0000-0000870D0000}"/>
    <cellStyle name="20% - Accent2 6 2 3 2 2" xfId="10674" xr:uid="{00000000-0005-0000-0000-0000880D0000}"/>
    <cellStyle name="20% - Accent2 6 2 3 2 2 2" xfId="24616" xr:uid="{00000000-0005-0000-0000-0000890D0000}"/>
    <cellStyle name="20% - Accent2 6 2 3 2 3" xfId="18241" xr:uid="{00000000-0005-0000-0000-00008A0D0000}"/>
    <cellStyle name="20% - Accent2 6 2 3 3" xfId="919" xr:uid="{00000000-0005-0000-0000-00008B0D0000}"/>
    <cellStyle name="20% - Accent2 6 2 3 3 2" xfId="11857" xr:uid="{00000000-0005-0000-0000-00008C0D0000}"/>
    <cellStyle name="20% - Accent2 6 2 3 3 2 2" xfId="25572" xr:uid="{00000000-0005-0000-0000-00008D0D0000}"/>
    <cellStyle name="20% - Accent2 6 2 3 3 3" xfId="18242" xr:uid="{00000000-0005-0000-0000-00008E0D0000}"/>
    <cellStyle name="20% - Accent2 6 2 3 4" xfId="920" xr:uid="{00000000-0005-0000-0000-00008F0D0000}"/>
    <cellStyle name="20% - Accent2 6 2 3 4 2" xfId="14729" xr:uid="{00000000-0005-0000-0000-0000900D0000}"/>
    <cellStyle name="20% - Accent2 6 2 3 4 2 2" xfId="28278" xr:uid="{00000000-0005-0000-0000-0000910D0000}"/>
    <cellStyle name="20% - Accent2 6 2 3 4 3" xfId="18243" xr:uid="{00000000-0005-0000-0000-0000920D0000}"/>
    <cellStyle name="20% - Accent2 6 2 3 5" xfId="921" xr:uid="{00000000-0005-0000-0000-0000930D0000}"/>
    <cellStyle name="20% - Accent2 6 2 3 5 2" xfId="16693" xr:uid="{00000000-0005-0000-0000-0000940D0000}"/>
    <cellStyle name="20% - Accent2 6 2 3 5 2 2" xfId="30100" xr:uid="{00000000-0005-0000-0000-0000950D0000}"/>
    <cellStyle name="20% - Accent2 6 2 3 5 3" xfId="18244" xr:uid="{00000000-0005-0000-0000-0000960D0000}"/>
    <cellStyle name="20% - Accent2 6 2 3 6" xfId="8949" xr:uid="{00000000-0005-0000-0000-0000970D0000}"/>
    <cellStyle name="20% - Accent2 6 2 3 6 2" xfId="23424" xr:uid="{00000000-0005-0000-0000-0000980D0000}"/>
    <cellStyle name="20% - Accent2 6 2 3 7" xfId="18240" xr:uid="{00000000-0005-0000-0000-0000990D0000}"/>
    <cellStyle name="20% - Accent2 6 2 4" xfId="922" xr:uid="{00000000-0005-0000-0000-00009A0D0000}"/>
    <cellStyle name="20% - Accent2 6 2 4 2" xfId="923" xr:uid="{00000000-0005-0000-0000-00009B0D0000}"/>
    <cellStyle name="20% - Accent2 6 2 4 2 2" xfId="14730" xr:uid="{00000000-0005-0000-0000-00009C0D0000}"/>
    <cellStyle name="20% - Accent2 6 2 4 2 2 2" xfId="28279" xr:uid="{00000000-0005-0000-0000-00009D0D0000}"/>
    <cellStyle name="20% - Accent2 6 2 4 2 3" xfId="18246" xr:uid="{00000000-0005-0000-0000-00009E0D0000}"/>
    <cellStyle name="20% - Accent2 6 2 4 3" xfId="10671" xr:uid="{00000000-0005-0000-0000-00009F0D0000}"/>
    <cellStyle name="20% - Accent2 6 2 4 3 2" xfId="24613" xr:uid="{00000000-0005-0000-0000-0000A00D0000}"/>
    <cellStyle name="20% - Accent2 6 2 4 4" xfId="18245" xr:uid="{00000000-0005-0000-0000-0000A10D0000}"/>
    <cellStyle name="20% - Accent2 6 2 5" xfId="924" xr:uid="{00000000-0005-0000-0000-0000A20D0000}"/>
    <cellStyle name="20% - Accent2 6 2 5 2" xfId="12070" xr:uid="{00000000-0005-0000-0000-0000A30D0000}"/>
    <cellStyle name="20% - Accent2 6 2 5 2 2" xfId="25785" xr:uid="{00000000-0005-0000-0000-0000A40D0000}"/>
    <cellStyle name="20% - Accent2 6 2 5 3" xfId="18247" xr:uid="{00000000-0005-0000-0000-0000A50D0000}"/>
    <cellStyle name="20% - Accent2 6 2 6" xfId="925" xr:uid="{00000000-0005-0000-0000-0000A60D0000}"/>
    <cellStyle name="20% - Accent2 6 2 6 2" xfId="12784" xr:uid="{00000000-0005-0000-0000-0000A70D0000}"/>
    <cellStyle name="20% - Accent2 6 2 6 2 2" xfId="26496" xr:uid="{00000000-0005-0000-0000-0000A80D0000}"/>
    <cellStyle name="20% - Accent2 6 2 6 3" xfId="18248" xr:uid="{00000000-0005-0000-0000-0000A90D0000}"/>
    <cellStyle name="20% - Accent2 6 2 7" xfId="926" xr:uid="{00000000-0005-0000-0000-0000AA0D0000}"/>
    <cellStyle name="20% - Accent2 6 2 7 2" xfId="13645" xr:uid="{00000000-0005-0000-0000-0000AB0D0000}"/>
    <cellStyle name="20% - Accent2 6 2 7 2 2" xfId="27194" xr:uid="{00000000-0005-0000-0000-0000AC0D0000}"/>
    <cellStyle name="20% - Accent2 6 2 7 3" xfId="18249" xr:uid="{00000000-0005-0000-0000-0000AD0D0000}"/>
    <cellStyle name="20% - Accent2 6 2 8" xfId="927" xr:uid="{00000000-0005-0000-0000-0000AE0D0000}"/>
    <cellStyle name="20% - Accent2 6 2 8 2" xfId="14226" xr:uid="{00000000-0005-0000-0000-0000AF0D0000}"/>
    <cellStyle name="20% - Accent2 6 2 8 2 2" xfId="27775" xr:uid="{00000000-0005-0000-0000-0000B00D0000}"/>
    <cellStyle name="20% - Accent2 6 2 8 3" xfId="18250" xr:uid="{00000000-0005-0000-0000-0000B10D0000}"/>
    <cellStyle name="20% - Accent2 6 2 9" xfId="928" xr:uid="{00000000-0005-0000-0000-0000B20D0000}"/>
    <cellStyle name="20% - Accent2 6 2 9 2" xfId="14725" xr:uid="{00000000-0005-0000-0000-0000B30D0000}"/>
    <cellStyle name="20% - Accent2 6 2 9 2 2" xfId="28274" xr:uid="{00000000-0005-0000-0000-0000B40D0000}"/>
    <cellStyle name="20% - Accent2 6 2 9 3" xfId="18251" xr:uid="{00000000-0005-0000-0000-0000B50D0000}"/>
    <cellStyle name="20% - Accent2 6 3" xfId="929" xr:uid="{00000000-0005-0000-0000-0000B60D0000}"/>
    <cellStyle name="20% - Accent2 6 3 10" xfId="8950" xr:uid="{00000000-0005-0000-0000-0000B70D0000}"/>
    <cellStyle name="20% - Accent2 6 3 10 2" xfId="23425" xr:uid="{00000000-0005-0000-0000-0000B80D0000}"/>
    <cellStyle name="20% - Accent2 6 3 11" xfId="18252" xr:uid="{00000000-0005-0000-0000-0000B90D0000}"/>
    <cellStyle name="20% - Accent2 6 3 2" xfId="930" xr:uid="{00000000-0005-0000-0000-0000BA0D0000}"/>
    <cellStyle name="20% - Accent2 6 3 2 2" xfId="931" xr:uid="{00000000-0005-0000-0000-0000BB0D0000}"/>
    <cellStyle name="20% - Accent2 6 3 2 2 2" xfId="10676" xr:uid="{00000000-0005-0000-0000-0000BC0D0000}"/>
    <cellStyle name="20% - Accent2 6 3 2 2 2 2" xfId="24618" xr:uid="{00000000-0005-0000-0000-0000BD0D0000}"/>
    <cellStyle name="20% - Accent2 6 3 2 2 3" xfId="18254" xr:uid="{00000000-0005-0000-0000-0000BE0D0000}"/>
    <cellStyle name="20% - Accent2 6 3 2 3" xfId="932" xr:uid="{00000000-0005-0000-0000-0000BF0D0000}"/>
    <cellStyle name="20% - Accent2 6 3 2 3 2" xfId="12726" xr:uid="{00000000-0005-0000-0000-0000C00D0000}"/>
    <cellStyle name="20% - Accent2 6 3 2 3 2 2" xfId="26438" xr:uid="{00000000-0005-0000-0000-0000C10D0000}"/>
    <cellStyle name="20% - Accent2 6 3 2 3 3" xfId="18255" xr:uid="{00000000-0005-0000-0000-0000C20D0000}"/>
    <cellStyle name="20% - Accent2 6 3 2 4" xfId="933" xr:uid="{00000000-0005-0000-0000-0000C30D0000}"/>
    <cellStyle name="20% - Accent2 6 3 2 4 2" xfId="14732" xr:uid="{00000000-0005-0000-0000-0000C40D0000}"/>
    <cellStyle name="20% - Accent2 6 3 2 4 2 2" xfId="28281" xr:uid="{00000000-0005-0000-0000-0000C50D0000}"/>
    <cellStyle name="20% - Accent2 6 3 2 4 3" xfId="18256" xr:uid="{00000000-0005-0000-0000-0000C60D0000}"/>
    <cellStyle name="20% - Accent2 6 3 2 5" xfId="934" xr:uid="{00000000-0005-0000-0000-0000C70D0000}"/>
    <cellStyle name="20% - Accent2 6 3 2 5 2" xfId="16839" xr:uid="{00000000-0005-0000-0000-0000C80D0000}"/>
    <cellStyle name="20% - Accent2 6 3 2 5 2 2" xfId="30246" xr:uid="{00000000-0005-0000-0000-0000C90D0000}"/>
    <cellStyle name="20% - Accent2 6 3 2 5 3" xfId="18257" xr:uid="{00000000-0005-0000-0000-0000CA0D0000}"/>
    <cellStyle name="20% - Accent2 6 3 2 6" xfId="8951" xr:uid="{00000000-0005-0000-0000-0000CB0D0000}"/>
    <cellStyle name="20% - Accent2 6 3 2 6 2" xfId="23426" xr:uid="{00000000-0005-0000-0000-0000CC0D0000}"/>
    <cellStyle name="20% - Accent2 6 3 2 7" xfId="18253" xr:uid="{00000000-0005-0000-0000-0000CD0D0000}"/>
    <cellStyle name="20% - Accent2 6 3 3" xfId="935" xr:uid="{00000000-0005-0000-0000-0000CE0D0000}"/>
    <cellStyle name="20% - Accent2 6 3 3 2" xfId="936" xr:uid="{00000000-0005-0000-0000-0000CF0D0000}"/>
    <cellStyle name="20% - Accent2 6 3 3 2 2" xfId="14733" xr:uid="{00000000-0005-0000-0000-0000D00D0000}"/>
    <cellStyle name="20% - Accent2 6 3 3 2 2 2" xfId="28282" xr:uid="{00000000-0005-0000-0000-0000D10D0000}"/>
    <cellStyle name="20% - Accent2 6 3 3 2 3" xfId="18259" xr:uid="{00000000-0005-0000-0000-0000D20D0000}"/>
    <cellStyle name="20% - Accent2 6 3 3 3" xfId="10675" xr:uid="{00000000-0005-0000-0000-0000D30D0000}"/>
    <cellStyle name="20% - Accent2 6 3 3 3 2" xfId="24617" xr:uid="{00000000-0005-0000-0000-0000D40D0000}"/>
    <cellStyle name="20% - Accent2 6 3 3 4" xfId="18258" xr:uid="{00000000-0005-0000-0000-0000D50D0000}"/>
    <cellStyle name="20% - Accent2 6 3 4" xfId="937" xr:uid="{00000000-0005-0000-0000-0000D60D0000}"/>
    <cellStyle name="20% - Accent2 6 3 4 2" xfId="12227" xr:uid="{00000000-0005-0000-0000-0000D70D0000}"/>
    <cellStyle name="20% - Accent2 6 3 4 2 2" xfId="25939" xr:uid="{00000000-0005-0000-0000-0000D80D0000}"/>
    <cellStyle name="20% - Accent2 6 3 4 3" xfId="18260" xr:uid="{00000000-0005-0000-0000-0000D90D0000}"/>
    <cellStyle name="20% - Accent2 6 3 5" xfId="938" xr:uid="{00000000-0005-0000-0000-0000DA0D0000}"/>
    <cellStyle name="20% - Accent2 6 3 5 2" xfId="12731" xr:uid="{00000000-0005-0000-0000-0000DB0D0000}"/>
    <cellStyle name="20% - Accent2 6 3 5 2 2" xfId="26443" xr:uid="{00000000-0005-0000-0000-0000DC0D0000}"/>
    <cellStyle name="20% - Accent2 6 3 5 3" xfId="18261" xr:uid="{00000000-0005-0000-0000-0000DD0D0000}"/>
    <cellStyle name="20% - Accent2 6 3 6" xfId="939" xr:uid="{00000000-0005-0000-0000-0000DE0D0000}"/>
    <cellStyle name="20% - Accent2 6 3 6 2" xfId="13791" xr:uid="{00000000-0005-0000-0000-0000DF0D0000}"/>
    <cellStyle name="20% - Accent2 6 3 6 2 2" xfId="27340" xr:uid="{00000000-0005-0000-0000-0000E00D0000}"/>
    <cellStyle name="20% - Accent2 6 3 6 3" xfId="18262" xr:uid="{00000000-0005-0000-0000-0000E10D0000}"/>
    <cellStyle name="20% - Accent2 6 3 7" xfId="940" xr:uid="{00000000-0005-0000-0000-0000E20D0000}"/>
    <cellStyle name="20% - Accent2 6 3 7 2" xfId="14372" xr:uid="{00000000-0005-0000-0000-0000E30D0000}"/>
    <cellStyle name="20% - Accent2 6 3 7 2 2" xfId="27921" xr:uid="{00000000-0005-0000-0000-0000E40D0000}"/>
    <cellStyle name="20% - Accent2 6 3 7 3" xfId="18263" xr:uid="{00000000-0005-0000-0000-0000E50D0000}"/>
    <cellStyle name="20% - Accent2 6 3 8" xfId="941" xr:uid="{00000000-0005-0000-0000-0000E60D0000}"/>
    <cellStyle name="20% - Accent2 6 3 8 2" xfId="14731" xr:uid="{00000000-0005-0000-0000-0000E70D0000}"/>
    <cellStyle name="20% - Accent2 6 3 8 2 2" xfId="28280" xr:uid="{00000000-0005-0000-0000-0000E80D0000}"/>
    <cellStyle name="20% - Accent2 6 3 8 3" xfId="18264" xr:uid="{00000000-0005-0000-0000-0000E90D0000}"/>
    <cellStyle name="20% - Accent2 6 3 9" xfId="942" xr:uid="{00000000-0005-0000-0000-0000EA0D0000}"/>
    <cellStyle name="20% - Accent2 6 3 9 2" xfId="16258" xr:uid="{00000000-0005-0000-0000-0000EB0D0000}"/>
    <cellStyle name="20% - Accent2 6 3 9 2 2" xfId="29665" xr:uid="{00000000-0005-0000-0000-0000EC0D0000}"/>
    <cellStyle name="20% - Accent2 6 3 9 3" xfId="18265" xr:uid="{00000000-0005-0000-0000-0000ED0D0000}"/>
    <cellStyle name="20% - Accent2 6 4" xfId="943" xr:uid="{00000000-0005-0000-0000-0000EE0D0000}"/>
    <cellStyle name="20% - Accent2 6 4 2" xfId="944" xr:uid="{00000000-0005-0000-0000-0000EF0D0000}"/>
    <cellStyle name="20% - Accent2 6 4 2 2" xfId="10677" xr:uid="{00000000-0005-0000-0000-0000F00D0000}"/>
    <cellStyle name="20% - Accent2 6 4 2 2 2" xfId="24619" xr:uid="{00000000-0005-0000-0000-0000F10D0000}"/>
    <cellStyle name="20% - Accent2 6 4 2 3" xfId="18267" xr:uid="{00000000-0005-0000-0000-0000F20D0000}"/>
    <cellStyle name="20% - Accent2 6 4 3" xfId="945" xr:uid="{00000000-0005-0000-0000-0000F30D0000}"/>
    <cellStyle name="20% - Accent2 6 4 3 2" xfId="12753" xr:uid="{00000000-0005-0000-0000-0000F40D0000}"/>
    <cellStyle name="20% - Accent2 6 4 3 2 2" xfId="26465" xr:uid="{00000000-0005-0000-0000-0000F50D0000}"/>
    <cellStyle name="20% - Accent2 6 4 3 3" xfId="18268" xr:uid="{00000000-0005-0000-0000-0000F60D0000}"/>
    <cellStyle name="20% - Accent2 6 4 4" xfId="946" xr:uid="{00000000-0005-0000-0000-0000F70D0000}"/>
    <cellStyle name="20% - Accent2 6 4 4 2" xfId="14734" xr:uid="{00000000-0005-0000-0000-0000F80D0000}"/>
    <cellStyle name="20% - Accent2 6 4 4 2 2" xfId="28283" xr:uid="{00000000-0005-0000-0000-0000F90D0000}"/>
    <cellStyle name="20% - Accent2 6 4 4 3" xfId="18269" xr:uid="{00000000-0005-0000-0000-0000FA0D0000}"/>
    <cellStyle name="20% - Accent2 6 4 5" xfId="947" xr:uid="{00000000-0005-0000-0000-0000FB0D0000}"/>
    <cellStyle name="20% - Accent2 6 4 5 2" xfId="16550" xr:uid="{00000000-0005-0000-0000-0000FC0D0000}"/>
    <cellStyle name="20% - Accent2 6 4 5 2 2" xfId="29957" xr:uid="{00000000-0005-0000-0000-0000FD0D0000}"/>
    <cellStyle name="20% - Accent2 6 4 5 3" xfId="18270" xr:uid="{00000000-0005-0000-0000-0000FE0D0000}"/>
    <cellStyle name="20% - Accent2 6 4 6" xfId="8952" xr:uid="{00000000-0005-0000-0000-0000FF0D0000}"/>
    <cellStyle name="20% - Accent2 6 4 6 2" xfId="23427" xr:uid="{00000000-0005-0000-0000-0000000E0000}"/>
    <cellStyle name="20% - Accent2 6 4 7" xfId="18266" xr:uid="{00000000-0005-0000-0000-0000010E0000}"/>
    <cellStyle name="20% - Accent2 6 5" xfId="948" xr:uid="{00000000-0005-0000-0000-0000020E0000}"/>
    <cellStyle name="20% - Accent2 6 5 2" xfId="949" xr:uid="{00000000-0005-0000-0000-0000030E0000}"/>
    <cellStyle name="20% - Accent2 6 5 2 2" xfId="14735" xr:uid="{00000000-0005-0000-0000-0000040E0000}"/>
    <cellStyle name="20% - Accent2 6 5 2 2 2" xfId="28284" xr:uid="{00000000-0005-0000-0000-0000050E0000}"/>
    <cellStyle name="20% - Accent2 6 5 2 3" xfId="18272" xr:uid="{00000000-0005-0000-0000-0000060E0000}"/>
    <cellStyle name="20% - Accent2 6 5 3" xfId="10670" xr:uid="{00000000-0005-0000-0000-0000070E0000}"/>
    <cellStyle name="20% - Accent2 6 5 3 2" xfId="24612" xr:uid="{00000000-0005-0000-0000-0000080E0000}"/>
    <cellStyle name="20% - Accent2 6 5 4" xfId="18271" xr:uid="{00000000-0005-0000-0000-0000090E0000}"/>
    <cellStyle name="20% - Accent2 6 6" xfId="950" xr:uid="{00000000-0005-0000-0000-00000A0E0000}"/>
    <cellStyle name="20% - Accent2 6 6 2" xfId="11925" xr:uid="{00000000-0005-0000-0000-00000B0E0000}"/>
    <cellStyle name="20% - Accent2 6 6 2 2" xfId="25640" xr:uid="{00000000-0005-0000-0000-00000C0E0000}"/>
    <cellStyle name="20% - Accent2 6 6 3" xfId="18273" xr:uid="{00000000-0005-0000-0000-00000D0E0000}"/>
    <cellStyle name="20% - Accent2 6 7" xfId="951" xr:uid="{00000000-0005-0000-0000-00000E0E0000}"/>
    <cellStyle name="20% - Accent2 6 7 2" xfId="12427" xr:uid="{00000000-0005-0000-0000-00000F0E0000}"/>
    <cellStyle name="20% - Accent2 6 7 2 2" xfId="26139" xr:uid="{00000000-0005-0000-0000-0000100E0000}"/>
    <cellStyle name="20% - Accent2 6 7 3" xfId="18274" xr:uid="{00000000-0005-0000-0000-0000110E0000}"/>
    <cellStyle name="20% - Accent2 6 8" xfId="952" xr:uid="{00000000-0005-0000-0000-0000120E0000}"/>
    <cellStyle name="20% - Accent2 6 8 2" xfId="13502" xr:uid="{00000000-0005-0000-0000-0000130E0000}"/>
    <cellStyle name="20% - Accent2 6 8 2 2" xfId="27051" xr:uid="{00000000-0005-0000-0000-0000140E0000}"/>
    <cellStyle name="20% - Accent2 6 8 3" xfId="18275" xr:uid="{00000000-0005-0000-0000-0000150E0000}"/>
    <cellStyle name="20% - Accent2 6 9" xfId="953" xr:uid="{00000000-0005-0000-0000-0000160E0000}"/>
    <cellStyle name="20% - Accent2 6 9 2" xfId="14083" xr:uid="{00000000-0005-0000-0000-0000170E0000}"/>
    <cellStyle name="20% - Accent2 6 9 2 2" xfId="27632" xr:uid="{00000000-0005-0000-0000-0000180E0000}"/>
    <cellStyle name="20% - Accent2 6 9 3" xfId="18276" xr:uid="{00000000-0005-0000-0000-0000190E0000}"/>
    <cellStyle name="20% - Accent2 7" xfId="954" xr:uid="{00000000-0005-0000-0000-00001A0E0000}"/>
    <cellStyle name="20% - Accent2 7 10" xfId="955" xr:uid="{00000000-0005-0000-0000-00001B0E0000}"/>
    <cellStyle name="20% - Accent2 7 10 2" xfId="15990" xr:uid="{00000000-0005-0000-0000-00001C0E0000}"/>
    <cellStyle name="20% - Accent2 7 10 2 2" xfId="29397" xr:uid="{00000000-0005-0000-0000-00001D0E0000}"/>
    <cellStyle name="20% - Accent2 7 10 3" xfId="18278" xr:uid="{00000000-0005-0000-0000-00001E0E0000}"/>
    <cellStyle name="20% - Accent2 7 11" xfId="8953" xr:uid="{00000000-0005-0000-0000-00001F0E0000}"/>
    <cellStyle name="20% - Accent2 7 11 2" xfId="23428" xr:uid="{00000000-0005-0000-0000-0000200E0000}"/>
    <cellStyle name="20% - Accent2 7 12" xfId="18277" xr:uid="{00000000-0005-0000-0000-0000210E0000}"/>
    <cellStyle name="20% - Accent2 7 2" xfId="956" xr:uid="{00000000-0005-0000-0000-0000220E0000}"/>
    <cellStyle name="20% - Accent2 7 2 10" xfId="8954" xr:uid="{00000000-0005-0000-0000-0000230E0000}"/>
    <cellStyle name="20% - Accent2 7 2 10 2" xfId="23429" xr:uid="{00000000-0005-0000-0000-0000240E0000}"/>
    <cellStyle name="20% - Accent2 7 2 11" xfId="18279" xr:uid="{00000000-0005-0000-0000-0000250E0000}"/>
    <cellStyle name="20% - Accent2 7 2 2" xfId="957" xr:uid="{00000000-0005-0000-0000-0000260E0000}"/>
    <cellStyle name="20% - Accent2 7 2 2 2" xfId="958" xr:uid="{00000000-0005-0000-0000-0000270E0000}"/>
    <cellStyle name="20% - Accent2 7 2 2 2 2" xfId="10680" xr:uid="{00000000-0005-0000-0000-0000280E0000}"/>
    <cellStyle name="20% - Accent2 7 2 2 2 2 2" xfId="24622" xr:uid="{00000000-0005-0000-0000-0000290E0000}"/>
    <cellStyle name="20% - Accent2 7 2 2 2 3" xfId="18281" xr:uid="{00000000-0005-0000-0000-00002A0E0000}"/>
    <cellStyle name="20% - Accent2 7 2 2 3" xfId="959" xr:uid="{00000000-0005-0000-0000-00002B0E0000}"/>
    <cellStyle name="20% - Accent2 7 2 2 3 2" xfId="12483" xr:uid="{00000000-0005-0000-0000-00002C0E0000}"/>
    <cellStyle name="20% - Accent2 7 2 2 3 2 2" xfId="26195" xr:uid="{00000000-0005-0000-0000-00002D0E0000}"/>
    <cellStyle name="20% - Accent2 7 2 2 3 3" xfId="18282" xr:uid="{00000000-0005-0000-0000-00002E0E0000}"/>
    <cellStyle name="20% - Accent2 7 2 2 4" xfId="960" xr:uid="{00000000-0005-0000-0000-00002F0E0000}"/>
    <cellStyle name="20% - Accent2 7 2 2 4 2" xfId="14738" xr:uid="{00000000-0005-0000-0000-0000300E0000}"/>
    <cellStyle name="20% - Accent2 7 2 2 4 2 2" xfId="28287" xr:uid="{00000000-0005-0000-0000-0000310E0000}"/>
    <cellStyle name="20% - Accent2 7 2 2 4 3" xfId="18283" xr:uid="{00000000-0005-0000-0000-0000320E0000}"/>
    <cellStyle name="20% - Accent2 7 2 2 5" xfId="961" xr:uid="{00000000-0005-0000-0000-0000330E0000}"/>
    <cellStyle name="20% - Accent2 7 2 2 5 2" xfId="16860" xr:uid="{00000000-0005-0000-0000-0000340E0000}"/>
    <cellStyle name="20% - Accent2 7 2 2 5 2 2" xfId="30267" xr:uid="{00000000-0005-0000-0000-0000350E0000}"/>
    <cellStyle name="20% - Accent2 7 2 2 5 3" xfId="18284" xr:uid="{00000000-0005-0000-0000-0000360E0000}"/>
    <cellStyle name="20% - Accent2 7 2 2 6" xfId="8955" xr:uid="{00000000-0005-0000-0000-0000370E0000}"/>
    <cellStyle name="20% - Accent2 7 2 2 6 2" xfId="23430" xr:uid="{00000000-0005-0000-0000-0000380E0000}"/>
    <cellStyle name="20% - Accent2 7 2 2 7" xfId="18280" xr:uid="{00000000-0005-0000-0000-0000390E0000}"/>
    <cellStyle name="20% - Accent2 7 2 3" xfId="962" xr:uid="{00000000-0005-0000-0000-00003A0E0000}"/>
    <cellStyle name="20% - Accent2 7 2 3 2" xfId="963" xr:uid="{00000000-0005-0000-0000-00003B0E0000}"/>
    <cellStyle name="20% - Accent2 7 2 3 2 2" xfId="14739" xr:uid="{00000000-0005-0000-0000-00003C0E0000}"/>
    <cellStyle name="20% - Accent2 7 2 3 2 2 2" xfId="28288" xr:uid="{00000000-0005-0000-0000-00003D0E0000}"/>
    <cellStyle name="20% - Accent2 7 2 3 2 3" xfId="18286" xr:uid="{00000000-0005-0000-0000-00003E0E0000}"/>
    <cellStyle name="20% - Accent2 7 2 3 3" xfId="10679" xr:uid="{00000000-0005-0000-0000-00003F0E0000}"/>
    <cellStyle name="20% - Accent2 7 2 3 3 2" xfId="24621" xr:uid="{00000000-0005-0000-0000-0000400E0000}"/>
    <cellStyle name="20% - Accent2 7 2 3 4" xfId="18285" xr:uid="{00000000-0005-0000-0000-0000410E0000}"/>
    <cellStyle name="20% - Accent2 7 2 4" xfId="964" xr:uid="{00000000-0005-0000-0000-0000420E0000}"/>
    <cellStyle name="20% - Accent2 7 2 4 2" xfId="12248" xr:uid="{00000000-0005-0000-0000-0000430E0000}"/>
    <cellStyle name="20% - Accent2 7 2 4 2 2" xfId="25960" xr:uid="{00000000-0005-0000-0000-0000440E0000}"/>
    <cellStyle name="20% - Accent2 7 2 4 3" xfId="18287" xr:uid="{00000000-0005-0000-0000-0000450E0000}"/>
    <cellStyle name="20% - Accent2 7 2 5" xfId="965" xr:uid="{00000000-0005-0000-0000-0000460E0000}"/>
    <cellStyle name="20% - Accent2 7 2 5 2" xfId="11844" xr:uid="{00000000-0005-0000-0000-0000470E0000}"/>
    <cellStyle name="20% - Accent2 7 2 5 2 2" xfId="25559" xr:uid="{00000000-0005-0000-0000-0000480E0000}"/>
    <cellStyle name="20% - Accent2 7 2 5 3" xfId="18288" xr:uid="{00000000-0005-0000-0000-0000490E0000}"/>
    <cellStyle name="20% - Accent2 7 2 6" xfId="966" xr:uid="{00000000-0005-0000-0000-00004A0E0000}"/>
    <cellStyle name="20% - Accent2 7 2 6 2" xfId="13812" xr:uid="{00000000-0005-0000-0000-00004B0E0000}"/>
    <cellStyle name="20% - Accent2 7 2 6 2 2" xfId="27361" xr:uid="{00000000-0005-0000-0000-00004C0E0000}"/>
    <cellStyle name="20% - Accent2 7 2 6 3" xfId="18289" xr:uid="{00000000-0005-0000-0000-00004D0E0000}"/>
    <cellStyle name="20% - Accent2 7 2 7" xfId="967" xr:uid="{00000000-0005-0000-0000-00004E0E0000}"/>
    <cellStyle name="20% - Accent2 7 2 7 2" xfId="14393" xr:uid="{00000000-0005-0000-0000-00004F0E0000}"/>
    <cellStyle name="20% - Accent2 7 2 7 2 2" xfId="27942" xr:uid="{00000000-0005-0000-0000-0000500E0000}"/>
    <cellStyle name="20% - Accent2 7 2 7 3" xfId="18290" xr:uid="{00000000-0005-0000-0000-0000510E0000}"/>
    <cellStyle name="20% - Accent2 7 2 8" xfId="968" xr:uid="{00000000-0005-0000-0000-0000520E0000}"/>
    <cellStyle name="20% - Accent2 7 2 8 2" xfId="14737" xr:uid="{00000000-0005-0000-0000-0000530E0000}"/>
    <cellStyle name="20% - Accent2 7 2 8 2 2" xfId="28286" xr:uid="{00000000-0005-0000-0000-0000540E0000}"/>
    <cellStyle name="20% - Accent2 7 2 8 3" xfId="18291" xr:uid="{00000000-0005-0000-0000-0000550E0000}"/>
    <cellStyle name="20% - Accent2 7 2 9" xfId="969" xr:uid="{00000000-0005-0000-0000-0000560E0000}"/>
    <cellStyle name="20% - Accent2 7 2 9 2" xfId="16279" xr:uid="{00000000-0005-0000-0000-0000570E0000}"/>
    <cellStyle name="20% - Accent2 7 2 9 2 2" xfId="29686" xr:uid="{00000000-0005-0000-0000-0000580E0000}"/>
    <cellStyle name="20% - Accent2 7 2 9 3" xfId="18292" xr:uid="{00000000-0005-0000-0000-0000590E0000}"/>
    <cellStyle name="20% - Accent2 7 3" xfId="970" xr:uid="{00000000-0005-0000-0000-00005A0E0000}"/>
    <cellStyle name="20% - Accent2 7 3 2" xfId="971" xr:uid="{00000000-0005-0000-0000-00005B0E0000}"/>
    <cellStyle name="20% - Accent2 7 3 2 2" xfId="10681" xr:uid="{00000000-0005-0000-0000-00005C0E0000}"/>
    <cellStyle name="20% - Accent2 7 3 2 2 2" xfId="24623" xr:uid="{00000000-0005-0000-0000-00005D0E0000}"/>
    <cellStyle name="20% - Accent2 7 3 2 3" xfId="18294" xr:uid="{00000000-0005-0000-0000-00005E0E0000}"/>
    <cellStyle name="20% - Accent2 7 3 3" xfId="972" xr:uid="{00000000-0005-0000-0000-00005F0E0000}"/>
    <cellStyle name="20% - Accent2 7 3 3 2" xfId="12604" xr:uid="{00000000-0005-0000-0000-0000600E0000}"/>
    <cellStyle name="20% - Accent2 7 3 3 2 2" xfId="26316" xr:uid="{00000000-0005-0000-0000-0000610E0000}"/>
    <cellStyle name="20% - Accent2 7 3 3 3" xfId="18295" xr:uid="{00000000-0005-0000-0000-0000620E0000}"/>
    <cellStyle name="20% - Accent2 7 3 4" xfId="973" xr:uid="{00000000-0005-0000-0000-0000630E0000}"/>
    <cellStyle name="20% - Accent2 7 3 4 2" xfId="14740" xr:uid="{00000000-0005-0000-0000-0000640E0000}"/>
    <cellStyle name="20% - Accent2 7 3 4 2 2" xfId="28289" xr:uid="{00000000-0005-0000-0000-0000650E0000}"/>
    <cellStyle name="20% - Accent2 7 3 4 3" xfId="18296" xr:uid="{00000000-0005-0000-0000-0000660E0000}"/>
    <cellStyle name="20% - Accent2 7 3 5" xfId="974" xr:uid="{00000000-0005-0000-0000-0000670E0000}"/>
    <cellStyle name="20% - Accent2 7 3 5 2" xfId="16571" xr:uid="{00000000-0005-0000-0000-0000680E0000}"/>
    <cellStyle name="20% - Accent2 7 3 5 2 2" xfId="29978" xr:uid="{00000000-0005-0000-0000-0000690E0000}"/>
    <cellStyle name="20% - Accent2 7 3 5 3" xfId="18297" xr:uid="{00000000-0005-0000-0000-00006A0E0000}"/>
    <cellStyle name="20% - Accent2 7 3 6" xfId="8956" xr:uid="{00000000-0005-0000-0000-00006B0E0000}"/>
    <cellStyle name="20% - Accent2 7 3 6 2" xfId="23431" xr:uid="{00000000-0005-0000-0000-00006C0E0000}"/>
    <cellStyle name="20% - Accent2 7 3 7" xfId="18293" xr:uid="{00000000-0005-0000-0000-00006D0E0000}"/>
    <cellStyle name="20% - Accent2 7 4" xfId="975" xr:uid="{00000000-0005-0000-0000-00006E0E0000}"/>
    <cellStyle name="20% - Accent2 7 4 2" xfId="976" xr:uid="{00000000-0005-0000-0000-00006F0E0000}"/>
    <cellStyle name="20% - Accent2 7 4 2 2" xfId="14741" xr:uid="{00000000-0005-0000-0000-0000700E0000}"/>
    <cellStyle name="20% - Accent2 7 4 2 2 2" xfId="28290" xr:uid="{00000000-0005-0000-0000-0000710E0000}"/>
    <cellStyle name="20% - Accent2 7 4 2 3" xfId="18299" xr:uid="{00000000-0005-0000-0000-0000720E0000}"/>
    <cellStyle name="20% - Accent2 7 4 3" xfId="10678" xr:uid="{00000000-0005-0000-0000-0000730E0000}"/>
    <cellStyle name="20% - Accent2 7 4 3 2" xfId="24620" xr:uid="{00000000-0005-0000-0000-0000740E0000}"/>
    <cellStyle name="20% - Accent2 7 4 4" xfId="18298" xr:uid="{00000000-0005-0000-0000-0000750E0000}"/>
    <cellStyle name="20% - Accent2 7 5" xfId="977" xr:uid="{00000000-0005-0000-0000-0000760E0000}"/>
    <cellStyle name="20% - Accent2 7 5 2" xfId="11946" xr:uid="{00000000-0005-0000-0000-0000770E0000}"/>
    <cellStyle name="20% - Accent2 7 5 2 2" xfId="25661" xr:uid="{00000000-0005-0000-0000-0000780E0000}"/>
    <cellStyle name="20% - Accent2 7 5 3" xfId="18300" xr:uid="{00000000-0005-0000-0000-0000790E0000}"/>
    <cellStyle name="20% - Accent2 7 6" xfId="978" xr:uid="{00000000-0005-0000-0000-00007A0E0000}"/>
    <cellStyle name="20% - Accent2 7 6 2" xfId="12586" xr:uid="{00000000-0005-0000-0000-00007B0E0000}"/>
    <cellStyle name="20% - Accent2 7 6 2 2" xfId="26298" xr:uid="{00000000-0005-0000-0000-00007C0E0000}"/>
    <cellStyle name="20% - Accent2 7 6 3" xfId="18301" xr:uid="{00000000-0005-0000-0000-00007D0E0000}"/>
    <cellStyle name="20% - Accent2 7 7" xfId="979" xr:uid="{00000000-0005-0000-0000-00007E0E0000}"/>
    <cellStyle name="20% - Accent2 7 7 2" xfId="13523" xr:uid="{00000000-0005-0000-0000-00007F0E0000}"/>
    <cellStyle name="20% - Accent2 7 7 2 2" xfId="27072" xr:uid="{00000000-0005-0000-0000-0000800E0000}"/>
    <cellStyle name="20% - Accent2 7 7 3" xfId="18302" xr:uid="{00000000-0005-0000-0000-0000810E0000}"/>
    <cellStyle name="20% - Accent2 7 8" xfId="980" xr:uid="{00000000-0005-0000-0000-0000820E0000}"/>
    <cellStyle name="20% - Accent2 7 8 2" xfId="14104" xr:uid="{00000000-0005-0000-0000-0000830E0000}"/>
    <cellStyle name="20% - Accent2 7 8 2 2" xfId="27653" xr:uid="{00000000-0005-0000-0000-0000840E0000}"/>
    <cellStyle name="20% - Accent2 7 8 3" xfId="18303" xr:uid="{00000000-0005-0000-0000-0000850E0000}"/>
    <cellStyle name="20% - Accent2 7 9" xfId="981" xr:uid="{00000000-0005-0000-0000-0000860E0000}"/>
    <cellStyle name="20% - Accent2 7 9 2" xfId="14736" xr:uid="{00000000-0005-0000-0000-0000870E0000}"/>
    <cellStyle name="20% - Accent2 7 9 2 2" xfId="28285" xr:uid="{00000000-0005-0000-0000-0000880E0000}"/>
    <cellStyle name="20% - Accent2 7 9 3" xfId="18304" xr:uid="{00000000-0005-0000-0000-0000890E0000}"/>
    <cellStyle name="20% - Accent2 8" xfId="982" xr:uid="{00000000-0005-0000-0000-00008A0E0000}"/>
    <cellStyle name="20% - Accent2 8 10" xfId="8957" xr:uid="{00000000-0005-0000-0000-00008B0E0000}"/>
    <cellStyle name="20% - Accent2 8 10 2" xfId="23432" xr:uid="{00000000-0005-0000-0000-00008C0E0000}"/>
    <cellStyle name="20% - Accent2 8 11" xfId="18305" xr:uid="{00000000-0005-0000-0000-00008D0E0000}"/>
    <cellStyle name="20% - Accent2 8 2" xfId="983" xr:uid="{00000000-0005-0000-0000-00008E0E0000}"/>
    <cellStyle name="20% - Accent2 8 2 2" xfId="984" xr:uid="{00000000-0005-0000-0000-00008F0E0000}"/>
    <cellStyle name="20% - Accent2 8 2 2 2" xfId="10683" xr:uid="{00000000-0005-0000-0000-0000900E0000}"/>
    <cellStyle name="20% - Accent2 8 2 2 2 2" xfId="24625" xr:uid="{00000000-0005-0000-0000-0000910E0000}"/>
    <cellStyle name="20% - Accent2 8 2 2 3" xfId="18307" xr:uid="{00000000-0005-0000-0000-0000920E0000}"/>
    <cellStyle name="20% - Accent2 8 2 3" xfId="985" xr:uid="{00000000-0005-0000-0000-0000930E0000}"/>
    <cellStyle name="20% - Accent2 8 2 3 2" xfId="12797" xr:uid="{00000000-0005-0000-0000-0000940E0000}"/>
    <cellStyle name="20% - Accent2 8 2 3 2 2" xfId="26509" xr:uid="{00000000-0005-0000-0000-0000950E0000}"/>
    <cellStyle name="20% - Accent2 8 2 3 3" xfId="18308" xr:uid="{00000000-0005-0000-0000-0000960E0000}"/>
    <cellStyle name="20% - Accent2 8 2 4" xfId="986" xr:uid="{00000000-0005-0000-0000-0000970E0000}"/>
    <cellStyle name="20% - Accent2 8 2 4 2" xfId="14743" xr:uid="{00000000-0005-0000-0000-0000980E0000}"/>
    <cellStyle name="20% - Accent2 8 2 4 2 2" xfId="28292" xr:uid="{00000000-0005-0000-0000-0000990E0000}"/>
    <cellStyle name="20% - Accent2 8 2 4 3" xfId="18309" xr:uid="{00000000-0005-0000-0000-00009A0E0000}"/>
    <cellStyle name="20% - Accent2 8 2 5" xfId="987" xr:uid="{00000000-0005-0000-0000-00009B0E0000}"/>
    <cellStyle name="20% - Accent2 8 2 5 2" xfId="16713" xr:uid="{00000000-0005-0000-0000-00009C0E0000}"/>
    <cellStyle name="20% - Accent2 8 2 5 2 2" xfId="30120" xr:uid="{00000000-0005-0000-0000-00009D0E0000}"/>
    <cellStyle name="20% - Accent2 8 2 5 3" xfId="18310" xr:uid="{00000000-0005-0000-0000-00009E0E0000}"/>
    <cellStyle name="20% - Accent2 8 2 6" xfId="8958" xr:uid="{00000000-0005-0000-0000-00009F0E0000}"/>
    <cellStyle name="20% - Accent2 8 2 6 2" xfId="23433" xr:uid="{00000000-0005-0000-0000-0000A00E0000}"/>
    <cellStyle name="20% - Accent2 8 2 7" xfId="18306" xr:uid="{00000000-0005-0000-0000-0000A10E0000}"/>
    <cellStyle name="20% - Accent2 8 3" xfId="988" xr:uid="{00000000-0005-0000-0000-0000A20E0000}"/>
    <cellStyle name="20% - Accent2 8 3 2" xfId="989" xr:uid="{00000000-0005-0000-0000-0000A30E0000}"/>
    <cellStyle name="20% - Accent2 8 3 2 2" xfId="14744" xr:uid="{00000000-0005-0000-0000-0000A40E0000}"/>
    <cellStyle name="20% - Accent2 8 3 2 2 2" xfId="28293" xr:uid="{00000000-0005-0000-0000-0000A50E0000}"/>
    <cellStyle name="20% - Accent2 8 3 2 3" xfId="18312" xr:uid="{00000000-0005-0000-0000-0000A60E0000}"/>
    <cellStyle name="20% - Accent2 8 3 3" xfId="10682" xr:uid="{00000000-0005-0000-0000-0000A70E0000}"/>
    <cellStyle name="20% - Accent2 8 3 3 2" xfId="24624" xr:uid="{00000000-0005-0000-0000-0000A80E0000}"/>
    <cellStyle name="20% - Accent2 8 3 4" xfId="18311" xr:uid="{00000000-0005-0000-0000-0000A90E0000}"/>
    <cellStyle name="20% - Accent2 8 4" xfId="990" xr:uid="{00000000-0005-0000-0000-0000AA0E0000}"/>
    <cellStyle name="20% - Accent2 8 4 2" xfId="12091" xr:uid="{00000000-0005-0000-0000-0000AB0E0000}"/>
    <cellStyle name="20% - Accent2 8 4 2 2" xfId="25805" xr:uid="{00000000-0005-0000-0000-0000AC0E0000}"/>
    <cellStyle name="20% - Accent2 8 4 3" xfId="18313" xr:uid="{00000000-0005-0000-0000-0000AD0E0000}"/>
    <cellStyle name="20% - Accent2 8 5" xfId="991" xr:uid="{00000000-0005-0000-0000-0000AE0E0000}"/>
    <cellStyle name="20% - Accent2 8 5 2" xfId="12540" xr:uid="{00000000-0005-0000-0000-0000AF0E0000}"/>
    <cellStyle name="20% - Accent2 8 5 2 2" xfId="26252" xr:uid="{00000000-0005-0000-0000-0000B00E0000}"/>
    <cellStyle name="20% - Accent2 8 5 3" xfId="18314" xr:uid="{00000000-0005-0000-0000-0000B10E0000}"/>
    <cellStyle name="20% - Accent2 8 6" xfId="992" xr:uid="{00000000-0005-0000-0000-0000B20E0000}"/>
    <cellStyle name="20% - Accent2 8 6 2" xfId="13665" xr:uid="{00000000-0005-0000-0000-0000B30E0000}"/>
    <cellStyle name="20% - Accent2 8 6 2 2" xfId="27214" xr:uid="{00000000-0005-0000-0000-0000B40E0000}"/>
    <cellStyle name="20% - Accent2 8 6 3" xfId="18315" xr:uid="{00000000-0005-0000-0000-0000B50E0000}"/>
    <cellStyle name="20% - Accent2 8 7" xfId="993" xr:uid="{00000000-0005-0000-0000-0000B60E0000}"/>
    <cellStyle name="20% - Accent2 8 7 2" xfId="14246" xr:uid="{00000000-0005-0000-0000-0000B70E0000}"/>
    <cellStyle name="20% - Accent2 8 7 2 2" xfId="27795" xr:uid="{00000000-0005-0000-0000-0000B80E0000}"/>
    <cellStyle name="20% - Accent2 8 7 3" xfId="18316" xr:uid="{00000000-0005-0000-0000-0000B90E0000}"/>
    <cellStyle name="20% - Accent2 8 8" xfId="994" xr:uid="{00000000-0005-0000-0000-0000BA0E0000}"/>
    <cellStyle name="20% - Accent2 8 8 2" xfId="14742" xr:uid="{00000000-0005-0000-0000-0000BB0E0000}"/>
    <cellStyle name="20% - Accent2 8 8 2 2" xfId="28291" xr:uid="{00000000-0005-0000-0000-0000BC0E0000}"/>
    <cellStyle name="20% - Accent2 8 8 3" xfId="18317" xr:uid="{00000000-0005-0000-0000-0000BD0E0000}"/>
    <cellStyle name="20% - Accent2 8 9" xfId="995" xr:uid="{00000000-0005-0000-0000-0000BE0E0000}"/>
    <cellStyle name="20% - Accent2 8 9 2" xfId="16132" xr:uid="{00000000-0005-0000-0000-0000BF0E0000}"/>
    <cellStyle name="20% - Accent2 8 9 2 2" xfId="29539" xr:uid="{00000000-0005-0000-0000-0000C00E0000}"/>
    <cellStyle name="20% - Accent2 8 9 3" xfId="18318" xr:uid="{00000000-0005-0000-0000-0000C10E0000}"/>
    <cellStyle name="20% - Accent2 9" xfId="996" xr:uid="{00000000-0005-0000-0000-0000C20E0000}"/>
    <cellStyle name="20% - Accent2 9 2" xfId="997" xr:uid="{00000000-0005-0000-0000-0000C30E0000}"/>
    <cellStyle name="20% - Accent2 9 2 2" xfId="10684" xr:uid="{00000000-0005-0000-0000-0000C40E0000}"/>
    <cellStyle name="20% - Accent2 9 2 2 2" xfId="24626" xr:uid="{00000000-0005-0000-0000-0000C50E0000}"/>
    <cellStyle name="20% - Accent2 9 2 3" xfId="18320" xr:uid="{00000000-0005-0000-0000-0000C60E0000}"/>
    <cellStyle name="20% - Accent2 9 3" xfId="998" xr:uid="{00000000-0005-0000-0000-0000C70E0000}"/>
    <cellStyle name="20% - Accent2 9 3 2" xfId="12612" xr:uid="{00000000-0005-0000-0000-0000C80E0000}"/>
    <cellStyle name="20% - Accent2 9 3 2 2" xfId="26324" xr:uid="{00000000-0005-0000-0000-0000C90E0000}"/>
    <cellStyle name="20% - Accent2 9 3 3" xfId="18321" xr:uid="{00000000-0005-0000-0000-0000CA0E0000}"/>
    <cellStyle name="20% - Accent2 9 4" xfId="999" xr:uid="{00000000-0005-0000-0000-0000CB0E0000}"/>
    <cellStyle name="20% - Accent2 9 4 2" xfId="14745" xr:uid="{00000000-0005-0000-0000-0000CC0E0000}"/>
    <cellStyle name="20% - Accent2 9 4 2 2" xfId="28294" xr:uid="{00000000-0005-0000-0000-0000CD0E0000}"/>
    <cellStyle name="20% - Accent2 9 4 3" xfId="18322" xr:uid="{00000000-0005-0000-0000-0000CE0E0000}"/>
    <cellStyle name="20% - Accent2 9 5" xfId="1000" xr:uid="{00000000-0005-0000-0000-0000CF0E0000}"/>
    <cellStyle name="20% - Accent2 9 5 2" xfId="17097" xr:uid="{00000000-0005-0000-0000-0000D00E0000}"/>
    <cellStyle name="20% - Accent2 9 5 2 2" xfId="30456" xr:uid="{00000000-0005-0000-0000-0000D10E0000}"/>
    <cellStyle name="20% - Accent2 9 5 3" xfId="18323" xr:uid="{00000000-0005-0000-0000-0000D20E0000}"/>
    <cellStyle name="20% - Accent2 9 6" xfId="8959" xr:uid="{00000000-0005-0000-0000-0000D30E0000}"/>
    <cellStyle name="20% - Accent2 9 6 2" xfId="23434" xr:uid="{00000000-0005-0000-0000-0000D40E0000}"/>
    <cellStyle name="20% - Accent2 9 7" xfId="18319" xr:uid="{00000000-0005-0000-0000-0000D50E0000}"/>
    <cellStyle name="20% - Accent3" xfId="36" builtinId="38" customBuiltin="1"/>
    <cellStyle name="20% - Accent3 10" xfId="1001" xr:uid="{00000000-0005-0000-0000-0000D70E0000}"/>
    <cellStyle name="20% - Accent3 10 2" xfId="1002" xr:uid="{00000000-0005-0000-0000-0000D80E0000}"/>
    <cellStyle name="20% - Accent3 10 2 2" xfId="1003" xr:uid="{00000000-0005-0000-0000-0000D90E0000}"/>
    <cellStyle name="20% - Accent3 10 2 2 2" xfId="12457" xr:uid="{00000000-0005-0000-0000-0000DA0E0000}"/>
    <cellStyle name="20% - Accent3 10 2 2 2 2" xfId="26169" xr:uid="{00000000-0005-0000-0000-0000DB0E0000}"/>
    <cellStyle name="20% - Accent3 10 2 2 3" xfId="18326" xr:uid="{00000000-0005-0000-0000-0000DC0E0000}"/>
    <cellStyle name="20% - Accent3 10 2 3" xfId="1004" xr:uid="{00000000-0005-0000-0000-0000DD0E0000}"/>
    <cellStyle name="20% - Accent3 10 2 3 2" xfId="14748" xr:uid="{00000000-0005-0000-0000-0000DE0E0000}"/>
    <cellStyle name="20% - Accent3 10 2 3 2 2" xfId="28297" xr:uid="{00000000-0005-0000-0000-0000DF0E0000}"/>
    <cellStyle name="20% - Accent3 10 2 3 3" xfId="18327" xr:uid="{00000000-0005-0000-0000-0000E00E0000}"/>
    <cellStyle name="20% - Accent3 10 2 4" xfId="10686" xr:uid="{00000000-0005-0000-0000-0000E10E0000}"/>
    <cellStyle name="20% - Accent3 10 2 4 2" xfId="24628" xr:uid="{00000000-0005-0000-0000-0000E20E0000}"/>
    <cellStyle name="20% - Accent3 10 2 5" xfId="18325" xr:uid="{00000000-0005-0000-0000-0000E30E0000}"/>
    <cellStyle name="20% - Accent3 10 3" xfId="1005" xr:uid="{00000000-0005-0000-0000-0000E40E0000}"/>
    <cellStyle name="20% - Accent3 10 3 2" xfId="12666" xr:uid="{00000000-0005-0000-0000-0000E50E0000}"/>
    <cellStyle name="20% - Accent3 10 3 2 2" xfId="26378" xr:uid="{00000000-0005-0000-0000-0000E60E0000}"/>
    <cellStyle name="20% - Accent3 10 3 3" xfId="18328" xr:uid="{00000000-0005-0000-0000-0000E70E0000}"/>
    <cellStyle name="20% - Accent3 10 4" xfId="1006" xr:uid="{00000000-0005-0000-0000-0000E80E0000}"/>
    <cellStyle name="20% - Accent3 10 4 2" xfId="14747" xr:uid="{00000000-0005-0000-0000-0000E90E0000}"/>
    <cellStyle name="20% - Accent3 10 4 2 2" xfId="28296" xr:uid="{00000000-0005-0000-0000-0000EA0E0000}"/>
    <cellStyle name="20% - Accent3 10 4 3" xfId="18329" xr:uid="{00000000-0005-0000-0000-0000EB0E0000}"/>
    <cellStyle name="20% - Accent3 10 5" xfId="1007" xr:uid="{00000000-0005-0000-0000-0000EC0E0000}"/>
    <cellStyle name="20% - Accent3 10 5 2" xfId="17187" xr:uid="{00000000-0005-0000-0000-0000ED0E0000}"/>
    <cellStyle name="20% - Accent3 10 5 2 2" xfId="30546" xr:uid="{00000000-0005-0000-0000-0000EE0E0000}"/>
    <cellStyle name="20% - Accent3 10 5 3" xfId="18330" xr:uid="{00000000-0005-0000-0000-0000EF0E0000}"/>
    <cellStyle name="20% - Accent3 10 6" xfId="8961" xr:uid="{00000000-0005-0000-0000-0000F00E0000}"/>
    <cellStyle name="20% - Accent3 10 6 2" xfId="23436" xr:uid="{00000000-0005-0000-0000-0000F10E0000}"/>
    <cellStyle name="20% - Accent3 10 7" xfId="18324" xr:uid="{00000000-0005-0000-0000-0000F20E0000}"/>
    <cellStyle name="20% - Accent3 11" xfId="1008" xr:uid="{00000000-0005-0000-0000-0000F30E0000}"/>
    <cellStyle name="20% - Accent3 11 2" xfId="1009" xr:uid="{00000000-0005-0000-0000-0000F40E0000}"/>
    <cellStyle name="20% - Accent3 11 2 2" xfId="10687" xr:uid="{00000000-0005-0000-0000-0000F50E0000}"/>
    <cellStyle name="20% - Accent3 11 2 2 2" xfId="24629" xr:uid="{00000000-0005-0000-0000-0000F60E0000}"/>
    <cellStyle name="20% - Accent3 11 2 3" xfId="18332" xr:uid="{00000000-0005-0000-0000-0000F70E0000}"/>
    <cellStyle name="20% - Accent3 11 3" xfId="1010" xr:uid="{00000000-0005-0000-0000-0000F80E0000}"/>
    <cellStyle name="20% - Accent3 11 3 2" xfId="12799" xr:uid="{00000000-0005-0000-0000-0000F90E0000}"/>
    <cellStyle name="20% - Accent3 11 3 2 2" xfId="26511" xr:uid="{00000000-0005-0000-0000-0000FA0E0000}"/>
    <cellStyle name="20% - Accent3 11 3 3" xfId="18333" xr:uid="{00000000-0005-0000-0000-0000FB0E0000}"/>
    <cellStyle name="20% - Accent3 11 4" xfId="1011" xr:uid="{00000000-0005-0000-0000-0000FC0E0000}"/>
    <cellStyle name="20% - Accent3 11 4 2" xfId="14749" xr:uid="{00000000-0005-0000-0000-0000FD0E0000}"/>
    <cellStyle name="20% - Accent3 11 4 2 2" xfId="28298" xr:uid="{00000000-0005-0000-0000-0000FE0E0000}"/>
    <cellStyle name="20% - Accent3 11 4 3" xfId="18334" xr:uid="{00000000-0005-0000-0000-0000FF0E0000}"/>
    <cellStyle name="20% - Accent3 11 5" xfId="1012" xr:uid="{00000000-0005-0000-0000-0000000F0000}"/>
    <cellStyle name="20% - Accent3 11 5 2" xfId="17276" xr:uid="{00000000-0005-0000-0000-0000010F0000}"/>
    <cellStyle name="20% - Accent3 11 5 2 2" xfId="30635" xr:uid="{00000000-0005-0000-0000-0000020F0000}"/>
    <cellStyle name="20% - Accent3 11 5 3" xfId="18335" xr:uid="{00000000-0005-0000-0000-0000030F0000}"/>
    <cellStyle name="20% - Accent3 11 6" xfId="8962" xr:uid="{00000000-0005-0000-0000-0000040F0000}"/>
    <cellStyle name="20% - Accent3 11 6 2" xfId="23437" xr:uid="{00000000-0005-0000-0000-0000050F0000}"/>
    <cellStyle name="20% - Accent3 11 7" xfId="18331" xr:uid="{00000000-0005-0000-0000-0000060F0000}"/>
    <cellStyle name="20% - Accent3 12" xfId="1013" xr:uid="{00000000-0005-0000-0000-0000070F0000}"/>
    <cellStyle name="20% - Accent3 12 2" xfId="1014" xr:uid="{00000000-0005-0000-0000-0000080F0000}"/>
    <cellStyle name="20% - Accent3 12 2 2" xfId="1015" xr:uid="{00000000-0005-0000-0000-0000090F0000}"/>
    <cellStyle name="20% - Accent3 12 2 2 2" xfId="10689" xr:uid="{00000000-0005-0000-0000-00000A0F0000}"/>
    <cellStyle name="20% - Accent3 12 2 2 2 2" xfId="24631" xr:uid="{00000000-0005-0000-0000-00000B0F0000}"/>
    <cellStyle name="20% - Accent3 12 2 2 3" xfId="18338" xr:uid="{00000000-0005-0000-0000-00000C0F0000}"/>
    <cellStyle name="20% - Accent3 12 2 3" xfId="1016" xr:uid="{00000000-0005-0000-0000-00000D0F0000}"/>
    <cellStyle name="20% - Accent3 12 2 3 2" xfId="12628" xr:uid="{00000000-0005-0000-0000-00000E0F0000}"/>
    <cellStyle name="20% - Accent3 12 2 3 2 2" xfId="26340" xr:uid="{00000000-0005-0000-0000-00000F0F0000}"/>
    <cellStyle name="20% - Accent3 12 2 3 3" xfId="18339" xr:uid="{00000000-0005-0000-0000-0000100F0000}"/>
    <cellStyle name="20% - Accent3 12 2 4" xfId="1017" xr:uid="{00000000-0005-0000-0000-0000110F0000}"/>
    <cellStyle name="20% - Accent3 12 2 4 2" xfId="14751" xr:uid="{00000000-0005-0000-0000-0000120F0000}"/>
    <cellStyle name="20% - Accent3 12 2 4 2 2" xfId="28300" xr:uid="{00000000-0005-0000-0000-0000130F0000}"/>
    <cellStyle name="20% - Accent3 12 2 4 3" xfId="18340" xr:uid="{00000000-0005-0000-0000-0000140F0000}"/>
    <cellStyle name="20% - Accent3 12 2 5" xfId="8964" xr:uid="{00000000-0005-0000-0000-0000150F0000}"/>
    <cellStyle name="20% - Accent3 12 2 5 2" xfId="23439" xr:uid="{00000000-0005-0000-0000-0000160F0000}"/>
    <cellStyle name="20% - Accent3 12 2 6" xfId="18337" xr:uid="{00000000-0005-0000-0000-0000170F0000}"/>
    <cellStyle name="20% - Accent3 12 3" xfId="1018" xr:uid="{00000000-0005-0000-0000-0000180F0000}"/>
    <cellStyle name="20% - Accent3 12 3 2" xfId="10688" xr:uid="{00000000-0005-0000-0000-0000190F0000}"/>
    <cellStyle name="20% - Accent3 12 3 2 2" xfId="24630" xr:uid="{00000000-0005-0000-0000-00001A0F0000}"/>
    <cellStyle name="20% - Accent3 12 3 3" xfId="18341" xr:uid="{00000000-0005-0000-0000-00001B0F0000}"/>
    <cellStyle name="20% - Accent3 12 4" xfId="1019" xr:uid="{00000000-0005-0000-0000-00001C0F0000}"/>
    <cellStyle name="20% - Accent3 12 4 2" xfId="12754" xr:uid="{00000000-0005-0000-0000-00001D0F0000}"/>
    <cellStyle name="20% - Accent3 12 4 2 2" xfId="26466" xr:uid="{00000000-0005-0000-0000-00001E0F0000}"/>
    <cellStyle name="20% - Accent3 12 4 3" xfId="18342" xr:uid="{00000000-0005-0000-0000-00001F0F0000}"/>
    <cellStyle name="20% - Accent3 12 5" xfId="1020" xr:uid="{00000000-0005-0000-0000-0000200F0000}"/>
    <cellStyle name="20% - Accent3 12 5 2" xfId="14750" xr:uid="{00000000-0005-0000-0000-0000210F0000}"/>
    <cellStyle name="20% - Accent3 12 5 2 2" xfId="28299" xr:uid="{00000000-0005-0000-0000-0000220F0000}"/>
    <cellStyle name="20% - Accent3 12 5 3" xfId="18343" xr:uid="{00000000-0005-0000-0000-0000230F0000}"/>
    <cellStyle name="20% - Accent3 12 6" xfId="1021" xr:uid="{00000000-0005-0000-0000-0000240F0000}"/>
    <cellStyle name="20% - Accent3 12 6 2" xfId="16428" xr:uid="{00000000-0005-0000-0000-0000250F0000}"/>
    <cellStyle name="20% - Accent3 12 6 2 2" xfId="29835" xr:uid="{00000000-0005-0000-0000-0000260F0000}"/>
    <cellStyle name="20% - Accent3 12 6 3" xfId="18344" xr:uid="{00000000-0005-0000-0000-0000270F0000}"/>
    <cellStyle name="20% - Accent3 12 7" xfId="8963" xr:uid="{00000000-0005-0000-0000-0000280F0000}"/>
    <cellStyle name="20% - Accent3 12 7 2" xfId="23438" xr:uid="{00000000-0005-0000-0000-0000290F0000}"/>
    <cellStyle name="20% - Accent3 12 8" xfId="18336" xr:uid="{00000000-0005-0000-0000-00002A0F0000}"/>
    <cellStyle name="20% - Accent3 13" xfId="1022" xr:uid="{00000000-0005-0000-0000-00002B0F0000}"/>
    <cellStyle name="20% - Accent3 13 2" xfId="1023" xr:uid="{00000000-0005-0000-0000-00002C0F0000}"/>
    <cellStyle name="20% - Accent3 13 2 2" xfId="10690" xr:uid="{00000000-0005-0000-0000-00002D0F0000}"/>
    <cellStyle name="20% - Accent3 13 2 2 2" xfId="24632" xr:uid="{00000000-0005-0000-0000-00002E0F0000}"/>
    <cellStyle name="20% - Accent3 13 2 3" xfId="18346" xr:uid="{00000000-0005-0000-0000-00002F0F0000}"/>
    <cellStyle name="20% - Accent3 13 3" xfId="1024" xr:uid="{00000000-0005-0000-0000-0000300F0000}"/>
    <cellStyle name="20% - Accent3 13 3 2" xfId="12786" xr:uid="{00000000-0005-0000-0000-0000310F0000}"/>
    <cellStyle name="20% - Accent3 13 3 2 2" xfId="26498" xr:uid="{00000000-0005-0000-0000-0000320F0000}"/>
    <cellStyle name="20% - Accent3 13 3 3" xfId="18347" xr:uid="{00000000-0005-0000-0000-0000330F0000}"/>
    <cellStyle name="20% - Accent3 13 4" xfId="1025" xr:uid="{00000000-0005-0000-0000-0000340F0000}"/>
    <cellStyle name="20% - Accent3 13 4 2" xfId="14752" xr:uid="{00000000-0005-0000-0000-0000350F0000}"/>
    <cellStyle name="20% - Accent3 13 4 2 2" xfId="28301" xr:uid="{00000000-0005-0000-0000-0000360F0000}"/>
    <cellStyle name="20% - Accent3 13 4 3" xfId="18348" xr:uid="{00000000-0005-0000-0000-0000370F0000}"/>
    <cellStyle name="20% - Accent3 13 5" xfId="8965" xr:uid="{00000000-0005-0000-0000-0000380F0000}"/>
    <cellStyle name="20% - Accent3 13 5 2" xfId="23440" xr:uid="{00000000-0005-0000-0000-0000390F0000}"/>
    <cellStyle name="20% - Accent3 13 6" xfId="18345" xr:uid="{00000000-0005-0000-0000-00003A0F0000}"/>
    <cellStyle name="20% - Accent3 14" xfId="1026" xr:uid="{00000000-0005-0000-0000-00003B0F0000}"/>
    <cellStyle name="20% - Accent3 14 2" xfId="1027" xr:uid="{00000000-0005-0000-0000-00003C0F0000}"/>
    <cellStyle name="20% - Accent3 14 2 2" xfId="10691" xr:uid="{00000000-0005-0000-0000-00003D0F0000}"/>
    <cellStyle name="20% - Accent3 14 2 2 2" xfId="24633" xr:uid="{00000000-0005-0000-0000-00003E0F0000}"/>
    <cellStyle name="20% - Accent3 14 2 3" xfId="18350" xr:uid="{00000000-0005-0000-0000-00003F0F0000}"/>
    <cellStyle name="20% - Accent3 14 3" xfId="1028" xr:uid="{00000000-0005-0000-0000-0000400F0000}"/>
    <cellStyle name="20% - Accent3 14 3 2" xfId="12452" xr:uid="{00000000-0005-0000-0000-0000410F0000}"/>
    <cellStyle name="20% - Accent3 14 3 2 2" xfId="26164" xr:uid="{00000000-0005-0000-0000-0000420F0000}"/>
    <cellStyle name="20% - Accent3 14 3 3" xfId="18351" xr:uid="{00000000-0005-0000-0000-0000430F0000}"/>
    <cellStyle name="20% - Accent3 14 4" xfId="1029" xr:uid="{00000000-0005-0000-0000-0000440F0000}"/>
    <cellStyle name="20% - Accent3 14 4 2" xfId="14753" xr:uid="{00000000-0005-0000-0000-0000450F0000}"/>
    <cellStyle name="20% - Accent3 14 4 2 2" xfId="28302" xr:uid="{00000000-0005-0000-0000-0000460F0000}"/>
    <cellStyle name="20% - Accent3 14 4 3" xfId="18352" xr:uid="{00000000-0005-0000-0000-0000470F0000}"/>
    <cellStyle name="20% - Accent3 14 5" xfId="8966" xr:uid="{00000000-0005-0000-0000-0000480F0000}"/>
    <cellStyle name="20% - Accent3 14 5 2" xfId="23441" xr:uid="{00000000-0005-0000-0000-0000490F0000}"/>
    <cellStyle name="20% - Accent3 14 6" xfId="18349" xr:uid="{00000000-0005-0000-0000-00004A0F0000}"/>
    <cellStyle name="20% - Accent3 15" xfId="1030" xr:uid="{00000000-0005-0000-0000-00004B0F0000}"/>
    <cellStyle name="20% - Accent3 15 2" xfId="1031" xr:uid="{00000000-0005-0000-0000-00004C0F0000}"/>
    <cellStyle name="20% - Accent3 15 2 2" xfId="10692" xr:uid="{00000000-0005-0000-0000-00004D0F0000}"/>
    <cellStyle name="20% - Accent3 15 2 2 2" xfId="24634" xr:uid="{00000000-0005-0000-0000-00004E0F0000}"/>
    <cellStyle name="20% - Accent3 15 2 3" xfId="18354" xr:uid="{00000000-0005-0000-0000-00004F0F0000}"/>
    <cellStyle name="20% - Accent3 15 3" xfId="1032" xr:uid="{00000000-0005-0000-0000-0000500F0000}"/>
    <cellStyle name="20% - Accent3 15 3 2" xfId="12555" xr:uid="{00000000-0005-0000-0000-0000510F0000}"/>
    <cellStyle name="20% - Accent3 15 3 2 2" xfId="26267" xr:uid="{00000000-0005-0000-0000-0000520F0000}"/>
    <cellStyle name="20% - Accent3 15 3 3" xfId="18355" xr:uid="{00000000-0005-0000-0000-0000530F0000}"/>
    <cellStyle name="20% - Accent3 15 4" xfId="1033" xr:uid="{00000000-0005-0000-0000-0000540F0000}"/>
    <cellStyle name="20% - Accent3 15 4 2" xfId="14754" xr:uid="{00000000-0005-0000-0000-0000550F0000}"/>
    <cellStyle name="20% - Accent3 15 4 2 2" xfId="28303" xr:uid="{00000000-0005-0000-0000-0000560F0000}"/>
    <cellStyle name="20% - Accent3 15 4 3" xfId="18356" xr:uid="{00000000-0005-0000-0000-0000570F0000}"/>
    <cellStyle name="20% - Accent3 15 5" xfId="8967" xr:uid="{00000000-0005-0000-0000-0000580F0000}"/>
    <cellStyle name="20% - Accent3 15 5 2" xfId="23442" xr:uid="{00000000-0005-0000-0000-0000590F0000}"/>
    <cellStyle name="20% - Accent3 15 6" xfId="18353" xr:uid="{00000000-0005-0000-0000-00005A0F0000}"/>
    <cellStyle name="20% - Accent3 16" xfId="1034" xr:uid="{00000000-0005-0000-0000-00005B0F0000}"/>
    <cellStyle name="20% - Accent3 16 2" xfId="1035" xr:uid="{00000000-0005-0000-0000-00005C0F0000}"/>
    <cellStyle name="20% - Accent3 16 2 2" xfId="10693" xr:uid="{00000000-0005-0000-0000-00005D0F0000}"/>
    <cellStyle name="20% - Accent3 16 2 2 2" xfId="24635" xr:uid="{00000000-0005-0000-0000-00005E0F0000}"/>
    <cellStyle name="20% - Accent3 16 2 3" xfId="18358" xr:uid="{00000000-0005-0000-0000-00005F0F0000}"/>
    <cellStyle name="20% - Accent3 16 3" xfId="1036" xr:uid="{00000000-0005-0000-0000-0000600F0000}"/>
    <cellStyle name="20% - Accent3 16 3 2" xfId="11778" xr:uid="{00000000-0005-0000-0000-0000610F0000}"/>
    <cellStyle name="20% - Accent3 16 3 2 2" xfId="25493" xr:uid="{00000000-0005-0000-0000-0000620F0000}"/>
    <cellStyle name="20% - Accent3 16 3 3" xfId="18359" xr:uid="{00000000-0005-0000-0000-0000630F0000}"/>
    <cellStyle name="20% - Accent3 16 4" xfId="1037" xr:uid="{00000000-0005-0000-0000-0000640F0000}"/>
    <cellStyle name="20% - Accent3 16 4 2" xfId="14755" xr:uid="{00000000-0005-0000-0000-0000650F0000}"/>
    <cellStyle name="20% - Accent3 16 4 2 2" xfId="28304" xr:uid="{00000000-0005-0000-0000-0000660F0000}"/>
    <cellStyle name="20% - Accent3 16 4 3" xfId="18360" xr:uid="{00000000-0005-0000-0000-0000670F0000}"/>
    <cellStyle name="20% - Accent3 16 5" xfId="8968" xr:uid="{00000000-0005-0000-0000-0000680F0000}"/>
    <cellStyle name="20% - Accent3 16 5 2" xfId="23443" xr:uid="{00000000-0005-0000-0000-0000690F0000}"/>
    <cellStyle name="20% - Accent3 16 6" xfId="18357" xr:uid="{00000000-0005-0000-0000-00006A0F0000}"/>
    <cellStyle name="20% - Accent3 17" xfId="1038" xr:uid="{00000000-0005-0000-0000-00006B0F0000}"/>
    <cellStyle name="20% - Accent3 17 2" xfId="1039" xr:uid="{00000000-0005-0000-0000-00006C0F0000}"/>
    <cellStyle name="20% - Accent3 17 2 2" xfId="10694" xr:uid="{00000000-0005-0000-0000-00006D0F0000}"/>
    <cellStyle name="20% - Accent3 17 2 2 2" xfId="24636" xr:uid="{00000000-0005-0000-0000-00006E0F0000}"/>
    <cellStyle name="20% - Accent3 17 2 3" xfId="18362" xr:uid="{00000000-0005-0000-0000-00006F0F0000}"/>
    <cellStyle name="20% - Accent3 17 3" xfId="1040" xr:uid="{00000000-0005-0000-0000-0000700F0000}"/>
    <cellStyle name="20% - Accent3 17 3 2" xfId="12772" xr:uid="{00000000-0005-0000-0000-0000710F0000}"/>
    <cellStyle name="20% - Accent3 17 3 2 2" xfId="26484" xr:uid="{00000000-0005-0000-0000-0000720F0000}"/>
    <cellStyle name="20% - Accent3 17 3 3" xfId="18363" xr:uid="{00000000-0005-0000-0000-0000730F0000}"/>
    <cellStyle name="20% - Accent3 17 4" xfId="1041" xr:uid="{00000000-0005-0000-0000-0000740F0000}"/>
    <cellStyle name="20% - Accent3 17 4 2" xfId="14756" xr:uid="{00000000-0005-0000-0000-0000750F0000}"/>
    <cellStyle name="20% - Accent3 17 4 2 2" xfId="28305" xr:uid="{00000000-0005-0000-0000-0000760F0000}"/>
    <cellStyle name="20% - Accent3 17 4 3" xfId="18364" xr:uid="{00000000-0005-0000-0000-0000770F0000}"/>
    <cellStyle name="20% - Accent3 17 5" xfId="8969" xr:uid="{00000000-0005-0000-0000-0000780F0000}"/>
    <cellStyle name="20% - Accent3 17 5 2" xfId="23444" xr:uid="{00000000-0005-0000-0000-0000790F0000}"/>
    <cellStyle name="20% - Accent3 17 6" xfId="18361" xr:uid="{00000000-0005-0000-0000-00007A0F0000}"/>
    <cellStyle name="20% - Accent3 18" xfId="1042" xr:uid="{00000000-0005-0000-0000-00007B0F0000}"/>
    <cellStyle name="20% - Accent3 18 2" xfId="1043" xr:uid="{00000000-0005-0000-0000-00007C0F0000}"/>
    <cellStyle name="20% - Accent3 18 2 2" xfId="10695" xr:uid="{00000000-0005-0000-0000-00007D0F0000}"/>
    <cellStyle name="20% - Accent3 18 2 2 2" xfId="24637" xr:uid="{00000000-0005-0000-0000-00007E0F0000}"/>
    <cellStyle name="20% - Accent3 18 2 3" xfId="18366" xr:uid="{00000000-0005-0000-0000-00007F0F0000}"/>
    <cellStyle name="20% - Accent3 18 3" xfId="1044" xr:uid="{00000000-0005-0000-0000-0000800F0000}"/>
    <cellStyle name="20% - Accent3 18 3 2" xfId="12660" xr:uid="{00000000-0005-0000-0000-0000810F0000}"/>
    <cellStyle name="20% - Accent3 18 3 2 2" xfId="26372" xr:uid="{00000000-0005-0000-0000-0000820F0000}"/>
    <cellStyle name="20% - Accent3 18 3 3" xfId="18367" xr:uid="{00000000-0005-0000-0000-0000830F0000}"/>
    <cellStyle name="20% - Accent3 18 4" xfId="1045" xr:uid="{00000000-0005-0000-0000-0000840F0000}"/>
    <cellStyle name="20% - Accent3 18 4 2" xfId="14757" xr:uid="{00000000-0005-0000-0000-0000850F0000}"/>
    <cellStyle name="20% - Accent3 18 4 2 2" xfId="28306" xr:uid="{00000000-0005-0000-0000-0000860F0000}"/>
    <cellStyle name="20% - Accent3 18 4 3" xfId="18368" xr:uid="{00000000-0005-0000-0000-0000870F0000}"/>
    <cellStyle name="20% - Accent3 18 5" xfId="8970" xr:uid="{00000000-0005-0000-0000-0000880F0000}"/>
    <cellStyle name="20% - Accent3 18 5 2" xfId="23445" xr:uid="{00000000-0005-0000-0000-0000890F0000}"/>
    <cellStyle name="20% - Accent3 18 6" xfId="18365" xr:uid="{00000000-0005-0000-0000-00008A0F0000}"/>
    <cellStyle name="20% - Accent3 19" xfId="1046" xr:uid="{00000000-0005-0000-0000-00008B0F0000}"/>
    <cellStyle name="20% - Accent3 19 2" xfId="1047" xr:uid="{00000000-0005-0000-0000-00008C0F0000}"/>
    <cellStyle name="20% - Accent3 19 2 2" xfId="11712" xr:uid="{00000000-0005-0000-0000-00008D0F0000}"/>
    <cellStyle name="20% - Accent3 19 2 2 2" xfId="25432" xr:uid="{00000000-0005-0000-0000-00008E0F0000}"/>
    <cellStyle name="20% - Accent3 19 2 3" xfId="18370" xr:uid="{00000000-0005-0000-0000-00008F0F0000}"/>
    <cellStyle name="20% - Accent3 19 3" xfId="1048" xr:uid="{00000000-0005-0000-0000-0000900F0000}"/>
    <cellStyle name="20% - Accent3 19 3 2" xfId="12402" xr:uid="{00000000-0005-0000-0000-0000910F0000}"/>
    <cellStyle name="20% - Accent3 19 3 2 2" xfId="26114" xr:uid="{00000000-0005-0000-0000-0000920F0000}"/>
    <cellStyle name="20% - Accent3 19 3 3" xfId="18371" xr:uid="{00000000-0005-0000-0000-0000930F0000}"/>
    <cellStyle name="20% - Accent3 19 4" xfId="1049" xr:uid="{00000000-0005-0000-0000-0000940F0000}"/>
    <cellStyle name="20% - Accent3 19 4 2" xfId="14758" xr:uid="{00000000-0005-0000-0000-0000950F0000}"/>
    <cellStyle name="20% - Accent3 19 4 2 2" xfId="28307" xr:uid="{00000000-0005-0000-0000-0000960F0000}"/>
    <cellStyle name="20% - Accent3 19 4 3" xfId="18372" xr:uid="{00000000-0005-0000-0000-0000970F0000}"/>
    <cellStyle name="20% - Accent3 19 5" xfId="10464" xr:uid="{00000000-0005-0000-0000-0000980F0000}"/>
    <cellStyle name="20% - Accent3 19 5 2" xfId="24423" xr:uid="{00000000-0005-0000-0000-0000990F0000}"/>
    <cellStyle name="20% - Accent3 19 6" xfId="18369" xr:uid="{00000000-0005-0000-0000-00009A0F0000}"/>
    <cellStyle name="20% - Accent3 2" xfId="1050" xr:uid="{00000000-0005-0000-0000-00009B0F0000}"/>
    <cellStyle name="20% - Accent3 2 10" xfId="1051" xr:uid="{00000000-0005-0000-0000-00009C0F0000}"/>
    <cellStyle name="20% - Accent3 2 10 2" xfId="1052" xr:uid="{00000000-0005-0000-0000-00009D0F0000}"/>
    <cellStyle name="20% - Accent3 2 10 2 2" xfId="14760" xr:uid="{00000000-0005-0000-0000-00009E0F0000}"/>
    <cellStyle name="20% - Accent3 2 10 2 2 2" xfId="28309" xr:uid="{00000000-0005-0000-0000-00009F0F0000}"/>
    <cellStyle name="20% - Accent3 2 10 2 3" xfId="18375" xr:uid="{00000000-0005-0000-0000-0000A00F0000}"/>
    <cellStyle name="20% - Accent3 2 10 3" xfId="11840" xr:uid="{00000000-0005-0000-0000-0000A10F0000}"/>
    <cellStyle name="20% - Accent3 2 10 3 2" xfId="25555" xr:uid="{00000000-0005-0000-0000-0000A20F0000}"/>
    <cellStyle name="20% - Accent3 2 10 4" xfId="18374" xr:uid="{00000000-0005-0000-0000-0000A30F0000}"/>
    <cellStyle name="20% - Accent3 2 11" xfId="1053" xr:uid="{00000000-0005-0000-0000-0000A40F0000}"/>
    <cellStyle name="20% - Accent3 2 11 2" xfId="12453" xr:uid="{00000000-0005-0000-0000-0000A50F0000}"/>
    <cellStyle name="20% - Accent3 2 11 2 2" xfId="26165" xr:uid="{00000000-0005-0000-0000-0000A60F0000}"/>
    <cellStyle name="20% - Accent3 2 11 3" xfId="18376" xr:uid="{00000000-0005-0000-0000-0000A70F0000}"/>
    <cellStyle name="20% - Accent3 2 12" xfId="1054" xr:uid="{00000000-0005-0000-0000-0000A80F0000}"/>
    <cellStyle name="20% - Accent3 2 12 2" xfId="13439" xr:uid="{00000000-0005-0000-0000-0000A90F0000}"/>
    <cellStyle name="20% - Accent3 2 12 2 2" xfId="26988" xr:uid="{00000000-0005-0000-0000-0000AA0F0000}"/>
    <cellStyle name="20% - Accent3 2 12 3" xfId="18377" xr:uid="{00000000-0005-0000-0000-0000AB0F0000}"/>
    <cellStyle name="20% - Accent3 2 13" xfId="1055" xr:uid="{00000000-0005-0000-0000-0000AC0F0000}"/>
    <cellStyle name="20% - Accent3 2 13 2" xfId="14020" xr:uid="{00000000-0005-0000-0000-0000AD0F0000}"/>
    <cellStyle name="20% - Accent3 2 13 2 2" xfId="27569" xr:uid="{00000000-0005-0000-0000-0000AE0F0000}"/>
    <cellStyle name="20% - Accent3 2 13 3" xfId="18378" xr:uid="{00000000-0005-0000-0000-0000AF0F0000}"/>
    <cellStyle name="20% - Accent3 2 14" xfId="1056" xr:uid="{00000000-0005-0000-0000-0000B00F0000}"/>
    <cellStyle name="20% - Accent3 2 14 2" xfId="14759" xr:uid="{00000000-0005-0000-0000-0000B10F0000}"/>
    <cellStyle name="20% - Accent3 2 14 2 2" xfId="28308" xr:uid="{00000000-0005-0000-0000-0000B20F0000}"/>
    <cellStyle name="20% - Accent3 2 14 3" xfId="18379" xr:uid="{00000000-0005-0000-0000-0000B30F0000}"/>
    <cellStyle name="20% - Accent3 2 15" xfId="1057" xr:uid="{00000000-0005-0000-0000-0000B40F0000}"/>
    <cellStyle name="20% - Accent3 2 15 2" xfId="15906" xr:uid="{00000000-0005-0000-0000-0000B50F0000}"/>
    <cellStyle name="20% - Accent3 2 15 2 2" xfId="29313" xr:uid="{00000000-0005-0000-0000-0000B60F0000}"/>
    <cellStyle name="20% - Accent3 2 15 3" xfId="18380" xr:uid="{00000000-0005-0000-0000-0000B70F0000}"/>
    <cellStyle name="20% - Accent3 2 16" xfId="8971" xr:uid="{00000000-0005-0000-0000-0000B80F0000}"/>
    <cellStyle name="20% - Accent3 2 16 2" xfId="23446" xr:uid="{00000000-0005-0000-0000-0000B90F0000}"/>
    <cellStyle name="20% - Accent3 2 17" xfId="18373" xr:uid="{00000000-0005-0000-0000-0000BA0F0000}"/>
    <cellStyle name="20% - Accent3 2 18" xfId="33070" xr:uid="{00000000-0005-0000-0000-0000BB0F0000}"/>
    <cellStyle name="20% - Accent3 2 2" xfId="1058" xr:uid="{00000000-0005-0000-0000-0000BC0F0000}"/>
    <cellStyle name="20% - Accent3 2 2 10" xfId="1059" xr:uid="{00000000-0005-0000-0000-0000BD0F0000}"/>
    <cellStyle name="20% - Accent3 2 2 10 2" xfId="14761" xr:uid="{00000000-0005-0000-0000-0000BE0F0000}"/>
    <cellStyle name="20% - Accent3 2 2 10 2 2" xfId="28310" xr:uid="{00000000-0005-0000-0000-0000BF0F0000}"/>
    <cellStyle name="20% - Accent3 2 2 10 3" xfId="18382" xr:uid="{00000000-0005-0000-0000-0000C00F0000}"/>
    <cellStyle name="20% - Accent3 2 2 11" xfId="1060" xr:uid="{00000000-0005-0000-0000-0000C10F0000}"/>
    <cellStyle name="20% - Accent3 2 2 11 2" xfId="15952" xr:uid="{00000000-0005-0000-0000-0000C20F0000}"/>
    <cellStyle name="20% - Accent3 2 2 11 2 2" xfId="29359" xr:uid="{00000000-0005-0000-0000-0000C30F0000}"/>
    <cellStyle name="20% - Accent3 2 2 11 3" xfId="18383" xr:uid="{00000000-0005-0000-0000-0000C40F0000}"/>
    <cellStyle name="20% - Accent3 2 2 12" xfId="8972" xr:uid="{00000000-0005-0000-0000-0000C50F0000}"/>
    <cellStyle name="20% - Accent3 2 2 12 2" xfId="23447" xr:uid="{00000000-0005-0000-0000-0000C60F0000}"/>
    <cellStyle name="20% - Accent3 2 2 13" xfId="18381" xr:uid="{00000000-0005-0000-0000-0000C70F0000}"/>
    <cellStyle name="20% - Accent3 2 2 2" xfId="1061" xr:uid="{00000000-0005-0000-0000-0000C80F0000}"/>
    <cellStyle name="20% - Accent3 2 2 2 10" xfId="1062" xr:uid="{00000000-0005-0000-0000-0000C90F0000}"/>
    <cellStyle name="20% - Accent3 2 2 2 10 2" xfId="16095" xr:uid="{00000000-0005-0000-0000-0000CA0F0000}"/>
    <cellStyle name="20% - Accent3 2 2 2 10 2 2" xfId="29502" xr:uid="{00000000-0005-0000-0000-0000CB0F0000}"/>
    <cellStyle name="20% - Accent3 2 2 2 10 3" xfId="18385" xr:uid="{00000000-0005-0000-0000-0000CC0F0000}"/>
    <cellStyle name="20% - Accent3 2 2 2 11" xfId="8973" xr:uid="{00000000-0005-0000-0000-0000CD0F0000}"/>
    <cellStyle name="20% - Accent3 2 2 2 11 2" xfId="23448" xr:uid="{00000000-0005-0000-0000-0000CE0F0000}"/>
    <cellStyle name="20% - Accent3 2 2 2 12" xfId="18384" xr:uid="{00000000-0005-0000-0000-0000CF0F0000}"/>
    <cellStyle name="20% - Accent3 2 2 2 2" xfId="1063" xr:uid="{00000000-0005-0000-0000-0000D00F0000}"/>
    <cellStyle name="20% - Accent3 2 2 2 2 10" xfId="8974" xr:uid="{00000000-0005-0000-0000-0000D10F0000}"/>
    <cellStyle name="20% - Accent3 2 2 2 2 10 2" xfId="23449" xr:uid="{00000000-0005-0000-0000-0000D20F0000}"/>
    <cellStyle name="20% - Accent3 2 2 2 2 11" xfId="18386" xr:uid="{00000000-0005-0000-0000-0000D30F0000}"/>
    <cellStyle name="20% - Accent3 2 2 2 2 2" xfId="1064" xr:uid="{00000000-0005-0000-0000-0000D40F0000}"/>
    <cellStyle name="20% - Accent3 2 2 2 2 2 2" xfId="1065" xr:uid="{00000000-0005-0000-0000-0000D50F0000}"/>
    <cellStyle name="20% - Accent3 2 2 2 2 2 2 2" xfId="10700" xr:uid="{00000000-0005-0000-0000-0000D60F0000}"/>
    <cellStyle name="20% - Accent3 2 2 2 2 2 2 2 2" xfId="24642" xr:uid="{00000000-0005-0000-0000-0000D70F0000}"/>
    <cellStyle name="20% - Accent3 2 2 2 2 2 2 3" xfId="18388" xr:uid="{00000000-0005-0000-0000-0000D80F0000}"/>
    <cellStyle name="20% - Accent3 2 2 2 2 2 3" xfId="1066" xr:uid="{00000000-0005-0000-0000-0000D90F0000}"/>
    <cellStyle name="20% - Accent3 2 2 2 2 2 3 2" xfId="12673" xr:uid="{00000000-0005-0000-0000-0000DA0F0000}"/>
    <cellStyle name="20% - Accent3 2 2 2 2 2 3 2 2" xfId="26385" xr:uid="{00000000-0005-0000-0000-0000DB0F0000}"/>
    <cellStyle name="20% - Accent3 2 2 2 2 2 3 3" xfId="18389" xr:uid="{00000000-0005-0000-0000-0000DC0F0000}"/>
    <cellStyle name="20% - Accent3 2 2 2 2 2 4" xfId="1067" xr:uid="{00000000-0005-0000-0000-0000DD0F0000}"/>
    <cellStyle name="20% - Accent3 2 2 2 2 2 4 2" xfId="14764" xr:uid="{00000000-0005-0000-0000-0000DE0F0000}"/>
    <cellStyle name="20% - Accent3 2 2 2 2 2 4 2 2" xfId="28313" xr:uid="{00000000-0005-0000-0000-0000DF0F0000}"/>
    <cellStyle name="20% - Accent3 2 2 2 2 2 4 3" xfId="18390" xr:uid="{00000000-0005-0000-0000-0000E00F0000}"/>
    <cellStyle name="20% - Accent3 2 2 2 2 2 5" xfId="1068" xr:uid="{00000000-0005-0000-0000-0000E10F0000}"/>
    <cellStyle name="20% - Accent3 2 2 2 2 2 5 2" xfId="16965" xr:uid="{00000000-0005-0000-0000-0000E20F0000}"/>
    <cellStyle name="20% - Accent3 2 2 2 2 2 5 2 2" xfId="30372" xr:uid="{00000000-0005-0000-0000-0000E30F0000}"/>
    <cellStyle name="20% - Accent3 2 2 2 2 2 5 3" xfId="18391" xr:uid="{00000000-0005-0000-0000-0000E40F0000}"/>
    <cellStyle name="20% - Accent3 2 2 2 2 2 6" xfId="8975" xr:uid="{00000000-0005-0000-0000-0000E50F0000}"/>
    <cellStyle name="20% - Accent3 2 2 2 2 2 6 2" xfId="23450" xr:uid="{00000000-0005-0000-0000-0000E60F0000}"/>
    <cellStyle name="20% - Accent3 2 2 2 2 2 7" xfId="18387" xr:uid="{00000000-0005-0000-0000-0000E70F0000}"/>
    <cellStyle name="20% - Accent3 2 2 2 2 3" xfId="1069" xr:uid="{00000000-0005-0000-0000-0000E80F0000}"/>
    <cellStyle name="20% - Accent3 2 2 2 2 3 2" xfId="1070" xr:uid="{00000000-0005-0000-0000-0000E90F0000}"/>
    <cellStyle name="20% - Accent3 2 2 2 2 3 2 2" xfId="14765" xr:uid="{00000000-0005-0000-0000-0000EA0F0000}"/>
    <cellStyle name="20% - Accent3 2 2 2 2 3 2 2 2" xfId="28314" xr:uid="{00000000-0005-0000-0000-0000EB0F0000}"/>
    <cellStyle name="20% - Accent3 2 2 2 2 3 2 3" xfId="18393" xr:uid="{00000000-0005-0000-0000-0000EC0F0000}"/>
    <cellStyle name="20% - Accent3 2 2 2 2 3 3" xfId="10699" xr:uid="{00000000-0005-0000-0000-0000ED0F0000}"/>
    <cellStyle name="20% - Accent3 2 2 2 2 3 3 2" xfId="24641" xr:uid="{00000000-0005-0000-0000-0000EE0F0000}"/>
    <cellStyle name="20% - Accent3 2 2 2 2 3 4" xfId="18392" xr:uid="{00000000-0005-0000-0000-0000EF0F0000}"/>
    <cellStyle name="20% - Accent3 2 2 2 2 4" xfId="1071" xr:uid="{00000000-0005-0000-0000-0000F00F0000}"/>
    <cellStyle name="20% - Accent3 2 2 2 2 4 2" xfId="12353" xr:uid="{00000000-0005-0000-0000-0000F10F0000}"/>
    <cellStyle name="20% - Accent3 2 2 2 2 4 2 2" xfId="26065" xr:uid="{00000000-0005-0000-0000-0000F20F0000}"/>
    <cellStyle name="20% - Accent3 2 2 2 2 4 3" xfId="18394" xr:uid="{00000000-0005-0000-0000-0000F30F0000}"/>
    <cellStyle name="20% - Accent3 2 2 2 2 5" xfId="1072" xr:uid="{00000000-0005-0000-0000-0000F40F0000}"/>
    <cellStyle name="20% - Accent3 2 2 2 2 5 2" xfId="12441" xr:uid="{00000000-0005-0000-0000-0000F50F0000}"/>
    <cellStyle name="20% - Accent3 2 2 2 2 5 2 2" xfId="26153" xr:uid="{00000000-0005-0000-0000-0000F60F0000}"/>
    <cellStyle name="20% - Accent3 2 2 2 2 5 3" xfId="18395" xr:uid="{00000000-0005-0000-0000-0000F70F0000}"/>
    <cellStyle name="20% - Accent3 2 2 2 2 6" xfId="1073" xr:uid="{00000000-0005-0000-0000-0000F80F0000}"/>
    <cellStyle name="20% - Accent3 2 2 2 2 6 2" xfId="13917" xr:uid="{00000000-0005-0000-0000-0000F90F0000}"/>
    <cellStyle name="20% - Accent3 2 2 2 2 6 2 2" xfId="27466" xr:uid="{00000000-0005-0000-0000-0000FA0F0000}"/>
    <cellStyle name="20% - Accent3 2 2 2 2 6 3" xfId="18396" xr:uid="{00000000-0005-0000-0000-0000FB0F0000}"/>
    <cellStyle name="20% - Accent3 2 2 2 2 7" xfId="1074" xr:uid="{00000000-0005-0000-0000-0000FC0F0000}"/>
    <cellStyle name="20% - Accent3 2 2 2 2 7 2" xfId="14498" xr:uid="{00000000-0005-0000-0000-0000FD0F0000}"/>
    <cellStyle name="20% - Accent3 2 2 2 2 7 2 2" xfId="28047" xr:uid="{00000000-0005-0000-0000-0000FE0F0000}"/>
    <cellStyle name="20% - Accent3 2 2 2 2 7 3" xfId="18397" xr:uid="{00000000-0005-0000-0000-0000FF0F0000}"/>
    <cellStyle name="20% - Accent3 2 2 2 2 8" xfId="1075" xr:uid="{00000000-0005-0000-0000-000000100000}"/>
    <cellStyle name="20% - Accent3 2 2 2 2 8 2" xfId="14763" xr:uid="{00000000-0005-0000-0000-000001100000}"/>
    <cellStyle name="20% - Accent3 2 2 2 2 8 2 2" xfId="28312" xr:uid="{00000000-0005-0000-0000-000002100000}"/>
    <cellStyle name="20% - Accent3 2 2 2 2 8 3" xfId="18398" xr:uid="{00000000-0005-0000-0000-000003100000}"/>
    <cellStyle name="20% - Accent3 2 2 2 2 9" xfId="1076" xr:uid="{00000000-0005-0000-0000-000004100000}"/>
    <cellStyle name="20% - Accent3 2 2 2 2 9 2" xfId="16384" xr:uid="{00000000-0005-0000-0000-000005100000}"/>
    <cellStyle name="20% - Accent3 2 2 2 2 9 2 2" xfId="29791" xr:uid="{00000000-0005-0000-0000-000006100000}"/>
    <cellStyle name="20% - Accent3 2 2 2 2 9 3" xfId="18399" xr:uid="{00000000-0005-0000-0000-000007100000}"/>
    <cellStyle name="20% - Accent3 2 2 2 3" xfId="1077" xr:uid="{00000000-0005-0000-0000-000008100000}"/>
    <cellStyle name="20% - Accent3 2 2 2 3 2" xfId="1078" xr:uid="{00000000-0005-0000-0000-000009100000}"/>
    <cellStyle name="20% - Accent3 2 2 2 3 2 2" xfId="10701" xr:uid="{00000000-0005-0000-0000-00000A100000}"/>
    <cellStyle name="20% - Accent3 2 2 2 3 2 2 2" xfId="24643" xr:uid="{00000000-0005-0000-0000-00000B100000}"/>
    <cellStyle name="20% - Accent3 2 2 2 3 2 3" xfId="18401" xr:uid="{00000000-0005-0000-0000-00000C100000}"/>
    <cellStyle name="20% - Accent3 2 2 2 3 3" xfId="1079" xr:uid="{00000000-0005-0000-0000-00000D100000}"/>
    <cellStyle name="20% - Accent3 2 2 2 3 3 2" xfId="12577" xr:uid="{00000000-0005-0000-0000-00000E100000}"/>
    <cellStyle name="20% - Accent3 2 2 2 3 3 2 2" xfId="26289" xr:uid="{00000000-0005-0000-0000-00000F100000}"/>
    <cellStyle name="20% - Accent3 2 2 2 3 3 3" xfId="18402" xr:uid="{00000000-0005-0000-0000-000010100000}"/>
    <cellStyle name="20% - Accent3 2 2 2 3 4" xfId="1080" xr:uid="{00000000-0005-0000-0000-000011100000}"/>
    <cellStyle name="20% - Accent3 2 2 2 3 4 2" xfId="14766" xr:uid="{00000000-0005-0000-0000-000012100000}"/>
    <cellStyle name="20% - Accent3 2 2 2 3 4 2 2" xfId="28315" xr:uid="{00000000-0005-0000-0000-000013100000}"/>
    <cellStyle name="20% - Accent3 2 2 2 3 4 3" xfId="18403" xr:uid="{00000000-0005-0000-0000-000014100000}"/>
    <cellStyle name="20% - Accent3 2 2 2 3 5" xfId="1081" xr:uid="{00000000-0005-0000-0000-000015100000}"/>
    <cellStyle name="20% - Accent3 2 2 2 3 5 2" xfId="16676" xr:uid="{00000000-0005-0000-0000-000016100000}"/>
    <cellStyle name="20% - Accent3 2 2 2 3 5 2 2" xfId="30083" xr:uid="{00000000-0005-0000-0000-000017100000}"/>
    <cellStyle name="20% - Accent3 2 2 2 3 5 3" xfId="18404" xr:uid="{00000000-0005-0000-0000-000018100000}"/>
    <cellStyle name="20% - Accent3 2 2 2 3 6" xfId="8976" xr:uid="{00000000-0005-0000-0000-000019100000}"/>
    <cellStyle name="20% - Accent3 2 2 2 3 6 2" xfId="23451" xr:uid="{00000000-0005-0000-0000-00001A100000}"/>
    <cellStyle name="20% - Accent3 2 2 2 3 7" xfId="18400" xr:uid="{00000000-0005-0000-0000-00001B100000}"/>
    <cellStyle name="20% - Accent3 2 2 2 4" xfId="1082" xr:uid="{00000000-0005-0000-0000-00001C100000}"/>
    <cellStyle name="20% - Accent3 2 2 2 4 2" xfId="1083" xr:uid="{00000000-0005-0000-0000-00001D100000}"/>
    <cellStyle name="20% - Accent3 2 2 2 4 2 2" xfId="14767" xr:uid="{00000000-0005-0000-0000-00001E100000}"/>
    <cellStyle name="20% - Accent3 2 2 2 4 2 2 2" xfId="28316" xr:uid="{00000000-0005-0000-0000-00001F100000}"/>
    <cellStyle name="20% - Accent3 2 2 2 4 2 3" xfId="18406" xr:uid="{00000000-0005-0000-0000-000020100000}"/>
    <cellStyle name="20% - Accent3 2 2 2 4 3" xfId="10698" xr:uid="{00000000-0005-0000-0000-000021100000}"/>
    <cellStyle name="20% - Accent3 2 2 2 4 3 2" xfId="24640" xr:uid="{00000000-0005-0000-0000-000022100000}"/>
    <cellStyle name="20% - Accent3 2 2 2 4 4" xfId="18405" xr:uid="{00000000-0005-0000-0000-000023100000}"/>
    <cellStyle name="20% - Accent3 2 2 2 5" xfId="1084" xr:uid="{00000000-0005-0000-0000-000024100000}"/>
    <cellStyle name="20% - Accent3 2 2 2 5 2" xfId="12053" xr:uid="{00000000-0005-0000-0000-000025100000}"/>
    <cellStyle name="20% - Accent3 2 2 2 5 2 2" xfId="25768" xr:uid="{00000000-0005-0000-0000-000026100000}"/>
    <cellStyle name="20% - Accent3 2 2 2 5 3" xfId="18407" xr:uid="{00000000-0005-0000-0000-000027100000}"/>
    <cellStyle name="20% - Accent3 2 2 2 6" xfId="1085" xr:uid="{00000000-0005-0000-0000-000028100000}"/>
    <cellStyle name="20% - Accent3 2 2 2 6 2" xfId="12420" xr:uid="{00000000-0005-0000-0000-000029100000}"/>
    <cellStyle name="20% - Accent3 2 2 2 6 2 2" xfId="26132" xr:uid="{00000000-0005-0000-0000-00002A100000}"/>
    <cellStyle name="20% - Accent3 2 2 2 6 3" xfId="18408" xr:uid="{00000000-0005-0000-0000-00002B100000}"/>
    <cellStyle name="20% - Accent3 2 2 2 7" xfId="1086" xr:uid="{00000000-0005-0000-0000-00002C100000}"/>
    <cellStyle name="20% - Accent3 2 2 2 7 2" xfId="13628" xr:uid="{00000000-0005-0000-0000-00002D100000}"/>
    <cellStyle name="20% - Accent3 2 2 2 7 2 2" xfId="27177" xr:uid="{00000000-0005-0000-0000-00002E100000}"/>
    <cellStyle name="20% - Accent3 2 2 2 7 3" xfId="18409" xr:uid="{00000000-0005-0000-0000-00002F100000}"/>
    <cellStyle name="20% - Accent3 2 2 2 8" xfId="1087" xr:uid="{00000000-0005-0000-0000-000030100000}"/>
    <cellStyle name="20% - Accent3 2 2 2 8 2" xfId="14209" xr:uid="{00000000-0005-0000-0000-000031100000}"/>
    <cellStyle name="20% - Accent3 2 2 2 8 2 2" xfId="27758" xr:uid="{00000000-0005-0000-0000-000032100000}"/>
    <cellStyle name="20% - Accent3 2 2 2 8 3" xfId="18410" xr:uid="{00000000-0005-0000-0000-000033100000}"/>
    <cellStyle name="20% - Accent3 2 2 2 9" xfId="1088" xr:uid="{00000000-0005-0000-0000-000034100000}"/>
    <cellStyle name="20% - Accent3 2 2 2 9 2" xfId="14762" xr:uid="{00000000-0005-0000-0000-000035100000}"/>
    <cellStyle name="20% - Accent3 2 2 2 9 2 2" xfId="28311" xr:uid="{00000000-0005-0000-0000-000036100000}"/>
    <cellStyle name="20% - Accent3 2 2 2 9 3" xfId="18411" xr:uid="{00000000-0005-0000-0000-000037100000}"/>
    <cellStyle name="20% - Accent3 2 2 3" xfId="1089" xr:uid="{00000000-0005-0000-0000-000038100000}"/>
    <cellStyle name="20% - Accent3 2 2 3 10" xfId="8977" xr:uid="{00000000-0005-0000-0000-000039100000}"/>
    <cellStyle name="20% - Accent3 2 2 3 10 2" xfId="23452" xr:uid="{00000000-0005-0000-0000-00003A100000}"/>
    <cellStyle name="20% - Accent3 2 2 3 11" xfId="18412" xr:uid="{00000000-0005-0000-0000-00003B100000}"/>
    <cellStyle name="20% - Accent3 2 2 3 2" xfId="1090" xr:uid="{00000000-0005-0000-0000-00003C100000}"/>
    <cellStyle name="20% - Accent3 2 2 3 2 2" xfId="1091" xr:uid="{00000000-0005-0000-0000-00003D100000}"/>
    <cellStyle name="20% - Accent3 2 2 3 2 2 2" xfId="10703" xr:uid="{00000000-0005-0000-0000-00003E100000}"/>
    <cellStyle name="20% - Accent3 2 2 3 2 2 2 2" xfId="24645" xr:uid="{00000000-0005-0000-0000-00003F100000}"/>
    <cellStyle name="20% - Accent3 2 2 3 2 2 3" xfId="18414" xr:uid="{00000000-0005-0000-0000-000040100000}"/>
    <cellStyle name="20% - Accent3 2 2 3 2 3" xfId="1092" xr:uid="{00000000-0005-0000-0000-000041100000}"/>
    <cellStyle name="20% - Accent3 2 2 3 2 3 2" xfId="12512" xr:uid="{00000000-0005-0000-0000-000042100000}"/>
    <cellStyle name="20% - Accent3 2 2 3 2 3 2 2" xfId="26224" xr:uid="{00000000-0005-0000-0000-000043100000}"/>
    <cellStyle name="20% - Accent3 2 2 3 2 3 3" xfId="18415" xr:uid="{00000000-0005-0000-0000-000044100000}"/>
    <cellStyle name="20% - Accent3 2 2 3 2 4" xfId="1093" xr:uid="{00000000-0005-0000-0000-000045100000}"/>
    <cellStyle name="20% - Accent3 2 2 3 2 4 2" xfId="14769" xr:uid="{00000000-0005-0000-0000-000046100000}"/>
    <cellStyle name="20% - Accent3 2 2 3 2 4 2 2" xfId="28318" xr:uid="{00000000-0005-0000-0000-000047100000}"/>
    <cellStyle name="20% - Accent3 2 2 3 2 4 3" xfId="18416" xr:uid="{00000000-0005-0000-0000-000048100000}"/>
    <cellStyle name="20% - Accent3 2 2 3 2 5" xfId="1094" xr:uid="{00000000-0005-0000-0000-000049100000}"/>
    <cellStyle name="20% - Accent3 2 2 3 2 5 2" xfId="16822" xr:uid="{00000000-0005-0000-0000-00004A100000}"/>
    <cellStyle name="20% - Accent3 2 2 3 2 5 2 2" xfId="30229" xr:uid="{00000000-0005-0000-0000-00004B100000}"/>
    <cellStyle name="20% - Accent3 2 2 3 2 5 3" xfId="18417" xr:uid="{00000000-0005-0000-0000-00004C100000}"/>
    <cellStyle name="20% - Accent3 2 2 3 2 6" xfId="8978" xr:uid="{00000000-0005-0000-0000-00004D100000}"/>
    <cellStyle name="20% - Accent3 2 2 3 2 6 2" xfId="23453" xr:uid="{00000000-0005-0000-0000-00004E100000}"/>
    <cellStyle name="20% - Accent3 2 2 3 2 7" xfId="18413" xr:uid="{00000000-0005-0000-0000-00004F100000}"/>
    <cellStyle name="20% - Accent3 2 2 3 3" xfId="1095" xr:uid="{00000000-0005-0000-0000-000050100000}"/>
    <cellStyle name="20% - Accent3 2 2 3 3 2" xfId="1096" xr:uid="{00000000-0005-0000-0000-000051100000}"/>
    <cellStyle name="20% - Accent3 2 2 3 3 2 2" xfId="14770" xr:uid="{00000000-0005-0000-0000-000052100000}"/>
    <cellStyle name="20% - Accent3 2 2 3 3 2 2 2" xfId="28319" xr:uid="{00000000-0005-0000-0000-000053100000}"/>
    <cellStyle name="20% - Accent3 2 2 3 3 2 3" xfId="18419" xr:uid="{00000000-0005-0000-0000-000054100000}"/>
    <cellStyle name="20% - Accent3 2 2 3 3 3" xfId="10702" xr:uid="{00000000-0005-0000-0000-000055100000}"/>
    <cellStyle name="20% - Accent3 2 2 3 3 3 2" xfId="24644" xr:uid="{00000000-0005-0000-0000-000056100000}"/>
    <cellStyle name="20% - Accent3 2 2 3 3 4" xfId="18418" xr:uid="{00000000-0005-0000-0000-000057100000}"/>
    <cellStyle name="20% - Accent3 2 2 3 4" xfId="1097" xr:uid="{00000000-0005-0000-0000-000058100000}"/>
    <cellStyle name="20% - Accent3 2 2 3 4 2" xfId="12210" xr:uid="{00000000-0005-0000-0000-000059100000}"/>
    <cellStyle name="20% - Accent3 2 2 3 4 2 2" xfId="25922" xr:uid="{00000000-0005-0000-0000-00005A100000}"/>
    <cellStyle name="20% - Accent3 2 2 3 4 3" xfId="18420" xr:uid="{00000000-0005-0000-0000-00005B100000}"/>
    <cellStyle name="20% - Accent3 2 2 3 5" xfId="1098" xr:uid="{00000000-0005-0000-0000-00005C100000}"/>
    <cellStyle name="20% - Accent3 2 2 3 5 2" xfId="11871" xr:uid="{00000000-0005-0000-0000-00005D100000}"/>
    <cellStyle name="20% - Accent3 2 2 3 5 2 2" xfId="25586" xr:uid="{00000000-0005-0000-0000-00005E100000}"/>
    <cellStyle name="20% - Accent3 2 2 3 5 3" xfId="18421" xr:uid="{00000000-0005-0000-0000-00005F100000}"/>
    <cellStyle name="20% - Accent3 2 2 3 6" xfId="1099" xr:uid="{00000000-0005-0000-0000-000060100000}"/>
    <cellStyle name="20% - Accent3 2 2 3 6 2" xfId="13774" xr:uid="{00000000-0005-0000-0000-000061100000}"/>
    <cellStyle name="20% - Accent3 2 2 3 6 2 2" xfId="27323" xr:uid="{00000000-0005-0000-0000-000062100000}"/>
    <cellStyle name="20% - Accent3 2 2 3 6 3" xfId="18422" xr:uid="{00000000-0005-0000-0000-000063100000}"/>
    <cellStyle name="20% - Accent3 2 2 3 7" xfId="1100" xr:uid="{00000000-0005-0000-0000-000064100000}"/>
    <cellStyle name="20% - Accent3 2 2 3 7 2" xfId="14355" xr:uid="{00000000-0005-0000-0000-000065100000}"/>
    <cellStyle name="20% - Accent3 2 2 3 7 2 2" xfId="27904" xr:uid="{00000000-0005-0000-0000-000066100000}"/>
    <cellStyle name="20% - Accent3 2 2 3 7 3" xfId="18423" xr:uid="{00000000-0005-0000-0000-000067100000}"/>
    <cellStyle name="20% - Accent3 2 2 3 8" xfId="1101" xr:uid="{00000000-0005-0000-0000-000068100000}"/>
    <cellStyle name="20% - Accent3 2 2 3 8 2" xfId="14768" xr:uid="{00000000-0005-0000-0000-000069100000}"/>
    <cellStyle name="20% - Accent3 2 2 3 8 2 2" xfId="28317" xr:uid="{00000000-0005-0000-0000-00006A100000}"/>
    <cellStyle name="20% - Accent3 2 2 3 8 3" xfId="18424" xr:uid="{00000000-0005-0000-0000-00006B100000}"/>
    <cellStyle name="20% - Accent3 2 2 3 9" xfId="1102" xr:uid="{00000000-0005-0000-0000-00006C100000}"/>
    <cellStyle name="20% - Accent3 2 2 3 9 2" xfId="16241" xr:uid="{00000000-0005-0000-0000-00006D100000}"/>
    <cellStyle name="20% - Accent3 2 2 3 9 2 2" xfId="29648" xr:uid="{00000000-0005-0000-0000-00006E100000}"/>
    <cellStyle name="20% - Accent3 2 2 3 9 3" xfId="18425" xr:uid="{00000000-0005-0000-0000-00006F100000}"/>
    <cellStyle name="20% - Accent3 2 2 4" xfId="1103" xr:uid="{00000000-0005-0000-0000-000070100000}"/>
    <cellStyle name="20% - Accent3 2 2 4 2" xfId="1104" xr:uid="{00000000-0005-0000-0000-000071100000}"/>
    <cellStyle name="20% - Accent3 2 2 4 2 2" xfId="10704" xr:uid="{00000000-0005-0000-0000-000072100000}"/>
    <cellStyle name="20% - Accent3 2 2 4 2 2 2" xfId="24646" xr:uid="{00000000-0005-0000-0000-000073100000}"/>
    <cellStyle name="20% - Accent3 2 2 4 2 3" xfId="18427" xr:uid="{00000000-0005-0000-0000-000074100000}"/>
    <cellStyle name="20% - Accent3 2 2 4 3" xfId="1105" xr:uid="{00000000-0005-0000-0000-000075100000}"/>
    <cellStyle name="20% - Accent3 2 2 4 3 2" xfId="12762" xr:uid="{00000000-0005-0000-0000-000076100000}"/>
    <cellStyle name="20% - Accent3 2 2 4 3 2 2" xfId="26474" xr:uid="{00000000-0005-0000-0000-000077100000}"/>
    <cellStyle name="20% - Accent3 2 2 4 3 3" xfId="18428" xr:uid="{00000000-0005-0000-0000-000078100000}"/>
    <cellStyle name="20% - Accent3 2 2 4 4" xfId="1106" xr:uid="{00000000-0005-0000-0000-000079100000}"/>
    <cellStyle name="20% - Accent3 2 2 4 4 2" xfId="14771" xr:uid="{00000000-0005-0000-0000-00007A100000}"/>
    <cellStyle name="20% - Accent3 2 2 4 4 2 2" xfId="28320" xr:uid="{00000000-0005-0000-0000-00007B100000}"/>
    <cellStyle name="20% - Accent3 2 2 4 4 3" xfId="18429" xr:uid="{00000000-0005-0000-0000-00007C100000}"/>
    <cellStyle name="20% - Accent3 2 2 4 5" xfId="1107" xr:uid="{00000000-0005-0000-0000-00007D100000}"/>
    <cellStyle name="20% - Accent3 2 2 4 5 2" xfId="17169" xr:uid="{00000000-0005-0000-0000-00007E100000}"/>
    <cellStyle name="20% - Accent3 2 2 4 5 2 2" xfId="30528" xr:uid="{00000000-0005-0000-0000-00007F100000}"/>
    <cellStyle name="20% - Accent3 2 2 4 5 3" xfId="18430" xr:uid="{00000000-0005-0000-0000-000080100000}"/>
    <cellStyle name="20% - Accent3 2 2 4 6" xfId="8979" xr:uid="{00000000-0005-0000-0000-000081100000}"/>
    <cellStyle name="20% - Accent3 2 2 4 6 2" xfId="23454" xr:uid="{00000000-0005-0000-0000-000082100000}"/>
    <cellStyle name="20% - Accent3 2 2 4 7" xfId="18426" xr:uid="{00000000-0005-0000-0000-000083100000}"/>
    <cellStyle name="20% - Accent3 2 2 5" xfId="1108" xr:uid="{00000000-0005-0000-0000-000084100000}"/>
    <cellStyle name="20% - Accent3 2 2 5 2" xfId="1109" xr:uid="{00000000-0005-0000-0000-000085100000}"/>
    <cellStyle name="20% - Accent3 2 2 5 2 2" xfId="14772" xr:uid="{00000000-0005-0000-0000-000086100000}"/>
    <cellStyle name="20% - Accent3 2 2 5 2 2 2" xfId="28321" xr:uid="{00000000-0005-0000-0000-000087100000}"/>
    <cellStyle name="20% - Accent3 2 2 5 2 3" xfId="18432" xr:uid="{00000000-0005-0000-0000-000088100000}"/>
    <cellStyle name="20% - Accent3 2 2 5 3" xfId="1110" xr:uid="{00000000-0005-0000-0000-000089100000}"/>
    <cellStyle name="20% - Accent3 2 2 5 3 2" xfId="17258" xr:uid="{00000000-0005-0000-0000-00008A100000}"/>
    <cellStyle name="20% - Accent3 2 2 5 3 2 2" xfId="30617" xr:uid="{00000000-0005-0000-0000-00008B100000}"/>
    <cellStyle name="20% - Accent3 2 2 5 3 3" xfId="18433" xr:uid="{00000000-0005-0000-0000-00008C100000}"/>
    <cellStyle name="20% - Accent3 2 2 5 4" xfId="10697" xr:uid="{00000000-0005-0000-0000-00008D100000}"/>
    <cellStyle name="20% - Accent3 2 2 5 4 2" xfId="24639" xr:uid="{00000000-0005-0000-0000-00008E100000}"/>
    <cellStyle name="20% - Accent3 2 2 5 5" xfId="18431" xr:uid="{00000000-0005-0000-0000-00008F100000}"/>
    <cellStyle name="20% - Accent3 2 2 6" xfId="1111" xr:uid="{00000000-0005-0000-0000-000090100000}"/>
    <cellStyle name="20% - Accent3 2 2 6 2" xfId="1112" xr:uid="{00000000-0005-0000-0000-000091100000}"/>
    <cellStyle name="20% - Accent3 2 2 6 2 2" xfId="16533" xr:uid="{00000000-0005-0000-0000-000092100000}"/>
    <cellStyle name="20% - Accent3 2 2 6 2 2 2" xfId="29940" xr:uid="{00000000-0005-0000-0000-000093100000}"/>
    <cellStyle name="20% - Accent3 2 2 6 2 3" xfId="18435" xr:uid="{00000000-0005-0000-0000-000094100000}"/>
    <cellStyle name="20% - Accent3 2 2 6 3" xfId="11908" xr:uid="{00000000-0005-0000-0000-000095100000}"/>
    <cellStyle name="20% - Accent3 2 2 6 3 2" xfId="25623" xr:uid="{00000000-0005-0000-0000-000096100000}"/>
    <cellStyle name="20% - Accent3 2 2 6 4" xfId="18434" xr:uid="{00000000-0005-0000-0000-000097100000}"/>
    <cellStyle name="20% - Accent3 2 2 7" xfId="1113" xr:uid="{00000000-0005-0000-0000-000098100000}"/>
    <cellStyle name="20% - Accent3 2 2 7 2" xfId="12646" xr:uid="{00000000-0005-0000-0000-000099100000}"/>
    <cellStyle name="20% - Accent3 2 2 7 2 2" xfId="26358" xr:uid="{00000000-0005-0000-0000-00009A100000}"/>
    <cellStyle name="20% - Accent3 2 2 7 3" xfId="18436" xr:uid="{00000000-0005-0000-0000-00009B100000}"/>
    <cellStyle name="20% - Accent3 2 2 8" xfId="1114" xr:uid="{00000000-0005-0000-0000-00009C100000}"/>
    <cellStyle name="20% - Accent3 2 2 8 2" xfId="13485" xr:uid="{00000000-0005-0000-0000-00009D100000}"/>
    <cellStyle name="20% - Accent3 2 2 8 2 2" xfId="27034" xr:uid="{00000000-0005-0000-0000-00009E100000}"/>
    <cellStyle name="20% - Accent3 2 2 8 3" xfId="18437" xr:uid="{00000000-0005-0000-0000-00009F100000}"/>
    <cellStyle name="20% - Accent3 2 2 9" xfId="1115" xr:uid="{00000000-0005-0000-0000-0000A0100000}"/>
    <cellStyle name="20% - Accent3 2 2 9 2" xfId="14066" xr:uid="{00000000-0005-0000-0000-0000A1100000}"/>
    <cellStyle name="20% - Accent3 2 2 9 2 2" xfId="27615" xr:uid="{00000000-0005-0000-0000-0000A2100000}"/>
    <cellStyle name="20% - Accent3 2 2 9 3" xfId="18438" xr:uid="{00000000-0005-0000-0000-0000A3100000}"/>
    <cellStyle name="20% - Accent3 2 3" xfId="1116" xr:uid="{00000000-0005-0000-0000-0000A4100000}"/>
    <cellStyle name="20% - Accent3 2 3 10" xfId="1117" xr:uid="{00000000-0005-0000-0000-0000A5100000}"/>
    <cellStyle name="20% - Accent3 2 3 10 2" xfId="16049" xr:uid="{00000000-0005-0000-0000-0000A6100000}"/>
    <cellStyle name="20% - Accent3 2 3 10 2 2" xfId="29456" xr:uid="{00000000-0005-0000-0000-0000A7100000}"/>
    <cellStyle name="20% - Accent3 2 3 10 3" xfId="18440" xr:uid="{00000000-0005-0000-0000-0000A8100000}"/>
    <cellStyle name="20% - Accent3 2 3 11" xfId="8980" xr:uid="{00000000-0005-0000-0000-0000A9100000}"/>
    <cellStyle name="20% - Accent3 2 3 11 2" xfId="23455" xr:uid="{00000000-0005-0000-0000-0000AA100000}"/>
    <cellStyle name="20% - Accent3 2 3 12" xfId="18439" xr:uid="{00000000-0005-0000-0000-0000AB100000}"/>
    <cellStyle name="20% - Accent3 2 3 2" xfId="1118" xr:uid="{00000000-0005-0000-0000-0000AC100000}"/>
    <cellStyle name="20% - Accent3 2 3 2 10" xfId="8981" xr:uid="{00000000-0005-0000-0000-0000AD100000}"/>
    <cellStyle name="20% - Accent3 2 3 2 10 2" xfId="23456" xr:uid="{00000000-0005-0000-0000-0000AE100000}"/>
    <cellStyle name="20% - Accent3 2 3 2 11" xfId="18441" xr:uid="{00000000-0005-0000-0000-0000AF100000}"/>
    <cellStyle name="20% - Accent3 2 3 2 2" xfId="1119" xr:uid="{00000000-0005-0000-0000-0000B0100000}"/>
    <cellStyle name="20% - Accent3 2 3 2 2 2" xfId="1120" xr:uid="{00000000-0005-0000-0000-0000B1100000}"/>
    <cellStyle name="20% - Accent3 2 3 2 2 2 2" xfId="10707" xr:uid="{00000000-0005-0000-0000-0000B2100000}"/>
    <cellStyle name="20% - Accent3 2 3 2 2 2 2 2" xfId="24649" xr:uid="{00000000-0005-0000-0000-0000B3100000}"/>
    <cellStyle name="20% - Accent3 2 3 2 2 2 3" xfId="18443" xr:uid="{00000000-0005-0000-0000-0000B4100000}"/>
    <cellStyle name="20% - Accent3 2 3 2 2 3" xfId="1121" xr:uid="{00000000-0005-0000-0000-0000B5100000}"/>
    <cellStyle name="20% - Accent3 2 3 2 2 3 2" xfId="12671" xr:uid="{00000000-0005-0000-0000-0000B6100000}"/>
    <cellStyle name="20% - Accent3 2 3 2 2 3 2 2" xfId="26383" xr:uid="{00000000-0005-0000-0000-0000B7100000}"/>
    <cellStyle name="20% - Accent3 2 3 2 2 3 3" xfId="18444" xr:uid="{00000000-0005-0000-0000-0000B8100000}"/>
    <cellStyle name="20% - Accent3 2 3 2 2 4" xfId="1122" xr:uid="{00000000-0005-0000-0000-0000B9100000}"/>
    <cellStyle name="20% - Accent3 2 3 2 2 4 2" xfId="14775" xr:uid="{00000000-0005-0000-0000-0000BA100000}"/>
    <cellStyle name="20% - Accent3 2 3 2 2 4 2 2" xfId="28324" xr:uid="{00000000-0005-0000-0000-0000BB100000}"/>
    <cellStyle name="20% - Accent3 2 3 2 2 4 3" xfId="18445" xr:uid="{00000000-0005-0000-0000-0000BC100000}"/>
    <cellStyle name="20% - Accent3 2 3 2 2 5" xfId="1123" xr:uid="{00000000-0005-0000-0000-0000BD100000}"/>
    <cellStyle name="20% - Accent3 2 3 2 2 5 2" xfId="16919" xr:uid="{00000000-0005-0000-0000-0000BE100000}"/>
    <cellStyle name="20% - Accent3 2 3 2 2 5 2 2" xfId="30326" xr:uid="{00000000-0005-0000-0000-0000BF100000}"/>
    <cellStyle name="20% - Accent3 2 3 2 2 5 3" xfId="18446" xr:uid="{00000000-0005-0000-0000-0000C0100000}"/>
    <cellStyle name="20% - Accent3 2 3 2 2 6" xfId="8982" xr:uid="{00000000-0005-0000-0000-0000C1100000}"/>
    <cellStyle name="20% - Accent3 2 3 2 2 6 2" xfId="23457" xr:uid="{00000000-0005-0000-0000-0000C2100000}"/>
    <cellStyle name="20% - Accent3 2 3 2 2 7" xfId="18442" xr:uid="{00000000-0005-0000-0000-0000C3100000}"/>
    <cellStyle name="20% - Accent3 2 3 2 3" xfId="1124" xr:uid="{00000000-0005-0000-0000-0000C4100000}"/>
    <cellStyle name="20% - Accent3 2 3 2 3 2" xfId="1125" xr:uid="{00000000-0005-0000-0000-0000C5100000}"/>
    <cellStyle name="20% - Accent3 2 3 2 3 2 2" xfId="14776" xr:uid="{00000000-0005-0000-0000-0000C6100000}"/>
    <cellStyle name="20% - Accent3 2 3 2 3 2 2 2" xfId="28325" xr:uid="{00000000-0005-0000-0000-0000C7100000}"/>
    <cellStyle name="20% - Accent3 2 3 2 3 2 3" xfId="18448" xr:uid="{00000000-0005-0000-0000-0000C8100000}"/>
    <cellStyle name="20% - Accent3 2 3 2 3 3" xfId="10706" xr:uid="{00000000-0005-0000-0000-0000C9100000}"/>
    <cellStyle name="20% - Accent3 2 3 2 3 3 2" xfId="24648" xr:uid="{00000000-0005-0000-0000-0000CA100000}"/>
    <cellStyle name="20% - Accent3 2 3 2 3 4" xfId="18447" xr:uid="{00000000-0005-0000-0000-0000CB100000}"/>
    <cellStyle name="20% - Accent3 2 3 2 4" xfId="1126" xr:uid="{00000000-0005-0000-0000-0000CC100000}"/>
    <cellStyle name="20% - Accent3 2 3 2 4 2" xfId="12307" xr:uid="{00000000-0005-0000-0000-0000CD100000}"/>
    <cellStyle name="20% - Accent3 2 3 2 4 2 2" xfId="26019" xr:uid="{00000000-0005-0000-0000-0000CE100000}"/>
    <cellStyle name="20% - Accent3 2 3 2 4 3" xfId="18449" xr:uid="{00000000-0005-0000-0000-0000CF100000}"/>
    <cellStyle name="20% - Accent3 2 3 2 5" xfId="1127" xr:uid="{00000000-0005-0000-0000-0000D0100000}"/>
    <cellStyle name="20% - Accent3 2 3 2 5 2" xfId="12449" xr:uid="{00000000-0005-0000-0000-0000D1100000}"/>
    <cellStyle name="20% - Accent3 2 3 2 5 2 2" xfId="26161" xr:uid="{00000000-0005-0000-0000-0000D2100000}"/>
    <cellStyle name="20% - Accent3 2 3 2 5 3" xfId="18450" xr:uid="{00000000-0005-0000-0000-0000D3100000}"/>
    <cellStyle name="20% - Accent3 2 3 2 6" xfId="1128" xr:uid="{00000000-0005-0000-0000-0000D4100000}"/>
    <cellStyle name="20% - Accent3 2 3 2 6 2" xfId="13871" xr:uid="{00000000-0005-0000-0000-0000D5100000}"/>
    <cellStyle name="20% - Accent3 2 3 2 6 2 2" xfId="27420" xr:uid="{00000000-0005-0000-0000-0000D6100000}"/>
    <cellStyle name="20% - Accent3 2 3 2 6 3" xfId="18451" xr:uid="{00000000-0005-0000-0000-0000D7100000}"/>
    <cellStyle name="20% - Accent3 2 3 2 7" xfId="1129" xr:uid="{00000000-0005-0000-0000-0000D8100000}"/>
    <cellStyle name="20% - Accent3 2 3 2 7 2" xfId="14452" xr:uid="{00000000-0005-0000-0000-0000D9100000}"/>
    <cellStyle name="20% - Accent3 2 3 2 7 2 2" xfId="28001" xr:uid="{00000000-0005-0000-0000-0000DA100000}"/>
    <cellStyle name="20% - Accent3 2 3 2 7 3" xfId="18452" xr:uid="{00000000-0005-0000-0000-0000DB100000}"/>
    <cellStyle name="20% - Accent3 2 3 2 8" xfId="1130" xr:uid="{00000000-0005-0000-0000-0000DC100000}"/>
    <cellStyle name="20% - Accent3 2 3 2 8 2" xfId="14774" xr:uid="{00000000-0005-0000-0000-0000DD100000}"/>
    <cellStyle name="20% - Accent3 2 3 2 8 2 2" xfId="28323" xr:uid="{00000000-0005-0000-0000-0000DE100000}"/>
    <cellStyle name="20% - Accent3 2 3 2 8 3" xfId="18453" xr:uid="{00000000-0005-0000-0000-0000DF100000}"/>
    <cellStyle name="20% - Accent3 2 3 2 9" xfId="1131" xr:uid="{00000000-0005-0000-0000-0000E0100000}"/>
    <cellStyle name="20% - Accent3 2 3 2 9 2" xfId="16338" xr:uid="{00000000-0005-0000-0000-0000E1100000}"/>
    <cellStyle name="20% - Accent3 2 3 2 9 2 2" xfId="29745" xr:uid="{00000000-0005-0000-0000-0000E2100000}"/>
    <cellStyle name="20% - Accent3 2 3 2 9 3" xfId="18454" xr:uid="{00000000-0005-0000-0000-0000E3100000}"/>
    <cellStyle name="20% - Accent3 2 3 3" xfId="1132" xr:uid="{00000000-0005-0000-0000-0000E4100000}"/>
    <cellStyle name="20% - Accent3 2 3 3 2" xfId="1133" xr:uid="{00000000-0005-0000-0000-0000E5100000}"/>
    <cellStyle name="20% - Accent3 2 3 3 2 2" xfId="10708" xr:uid="{00000000-0005-0000-0000-0000E6100000}"/>
    <cellStyle name="20% - Accent3 2 3 3 2 2 2" xfId="24650" xr:uid="{00000000-0005-0000-0000-0000E7100000}"/>
    <cellStyle name="20% - Accent3 2 3 3 2 3" xfId="18456" xr:uid="{00000000-0005-0000-0000-0000E8100000}"/>
    <cellStyle name="20% - Accent3 2 3 3 3" xfId="1134" xr:uid="{00000000-0005-0000-0000-0000E9100000}"/>
    <cellStyle name="20% - Accent3 2 3 3 3 2" xfId="12672" xr:uid="{00000000-0005-0000-0000-0000EA100000}"/>
    <cellStyle name="20% - Accent3 2 3 3 3 2 2" xfId="26384" xr:uid="{00000000-0005-0000-0000-0000EB100000}"/>
    <cellStyle name="20% - Accent3 2 3 3 3 3" xfId="18457" xr:uid="{00000000-0005-0000-0000-0000EC100000}"/>
    <cellStyle name="20% - Accent3 2 3 3 4" xfId="1135" xr:uid="{00000000-0005-0000-0000-0000ED100000}"/>
    <cellStyle name="20% - Accent3 2 3 3 4 2" xfId="14777" xr:uid="{00000000-0005-0000-0000-0000EE100000}"/>
    <cellStyle name="20% - Accent3 2 3 3 4 2 2" xfId="28326" xr:uid="{00000000-0005-0000-0000-0000EF100000}"/>
    <cellStyle name="20% - Accent3 2 3 3 4 3" xfId="18458" xr:uid="{00000000-0005-0000-0000-0000F0100000}"/>
    <cellStyle name="20% - Accent3 2 3 3 5" xfId="1136" xr:uid="{00000000-0005-0000-0000-0000F1100000}"/>
    <cellStyle name="20% - Accent3 2 3 3 5 2" xfId="16630" xr:uid="{00000000-0005-0000-0000-0000F2100000}"/>
    <cellStyle name="20% - Accent3 2 3 3 5 2 2" xfId="30037" xr:uid="{00000000-0005-0000-0000-0000F3100000}"/>
    <cellStyle name="20% - Accent3 2 3 3 5 3" xfId="18459" xr:uid="{00000000-0005-0000-0000-0000F4100000}"/>
    <cellStyle name="20% - Accent3 2 3 3 6" xfId="8983" xr:uid="{00000000-0005-0000-0000-0000F5100000}"/>
    <cellStyle name="20% - Accent3 2 3 3 6 2" xfId="23458" xr:uid="{00000000-0005-0000-0000-0000F6100000}"/>
    <cellStyle name="20% - Accent3 2 3 3 7" xfId="18455" xr:uid="{00000000-0005-0000-0000-0000F7100000}"/>
    <cellStyle name="20% - Accent3 2 3 4" xfId="1137" xr:uid="{00000000-0005-0000-0000-0000F8100000}"/>
    <cellStyle name="20% - Accent3 2 3 4 2" xfId="1138" xr:uid="{00000000-0005-0000-0000-0000F9100000}"/>
    <cellStyle name="20% - Accent3 2 3 4 2 2" xfId="14778" xr:uid="{00000000-0005-0000-0000-0000FA100000}"/>
    <cellStyle name="20% - Accent3 2 3 4 2 2 2" xfId="28327" xr:uid="{00000000-0005-0000-0000-0000FB100000}"/>
    <cellStyle name="20% - Accent3 2 3 4 2 3" xfId="18461" xr:uid="{00000000-0005-0000-0000-0000FC100000}"/>
    <cellStyle name="20% - Accent3 2 3 4 3" xfId="10705" xr:uid="{00000000-0005-0000-0000-0000FD100000}"/>
    <cellStyle name="20% - Accent3 2 3 4 3 2" xfId="24647" xr:uid="{00000000-0005-0000-0000-0000FE100000}"/>
    <cellStyle name="20% - Accent3 2 3 4 4" xfId="18460" xr:uid="{00000000-0005-0000-0000-0000FF100000}"/>
    <cellStyle name="20% - Accent3 2 3 5" xfId="1139" xr:uid="{00000000-0005-0000-0000-000000110000}"/>
    <cellStyle name="20% - Accent3 2 3 5 2" xfId="12007" xr:uid="{00000000-0005-0000-0000-000001110000}"/>
    <cellStyle name="20% - Accent3 2 3 5 2 2" xfId="25722" xr:uid="{00000000-0005-0000-0000-000002110000}"/>
    <cellStyle name="20% - Accent3 2 3 5 3" xfId="18462" xr:uid="{00000000-0005-0000-0000-000003110000}"/>
    <cellStyle name="20% - Accent3 2 3 6" xfId="1140" xr:uid="{00000000-0005-0000-0000-000004110000}"/>
    <cellStyle name="20% - Accent3 2 3 6 2" xfId="12787" xr:uid="{00000000-0005-0000-0000-000005110000}"/>
    <cellStyle name="20% - Accent3 2 3 6 2 2" xfId="26499" xr:uid="{00000000-0005-0000-0000-000006110000}"/>
    <cellStyle name="20% - Accent3 2 3 6 3" xfId="18463" xr:uid="{00000000-0005-0000-0000-000007110000}"/>
    <cellStyle name="20% - Accent3 2 3 7" xfId="1141" xr:uid="{00000000-0005-0000-0000-000008110000}"/>
    <cellStyle name="20% - Accent3 2 3 7 2" xfId="13582" xr:uid="{00000000-0005-0000-0000-000009110000}"/>
    <cellStyle name="20% - Accent3 2 3 7 2 2" xfId="27131" xr:uid="{00000000-0005-0000-0000-00000A110000}"/>
    <cellStyle name="20% - Accent3 2 3 7 3" xfId="18464" xr:uid="{00000000-0005-0000-0000-00000B110000}"/>
    <cellStyle name="20% - Accent3 2 3 8" xfId="1142" xr:uid="{00000000-0005-0000-0000-00000C110000}"/>
    <cellStyle name="20% - Accent3 2 3 8 2" xfId="14163" xr:uid="{00000000-0005-0000-0000-00000D110000}"/>
    <cellStyle name="20% - Accent3 2 3 8 2 2" xfId="27712" xr:uid="{00000000-0005-0000-0000-00000E110000}"/>
    <cellStyle name="20% - Accent3 2 3 8 3" xfId="18465" xr:uid="{00000000-0005-0000-0000-00000F110000}"/>
    <cellStyle name="20% - Accent3 2 3 9" xfId="1143" xr:uid="{00000000-0005-0000-0000-000010110000}"/>
    <cellStyle name="20% - Accent3 2 3 9 2" xfId="14773" xr:uid="{00000000-0005-0000-0000-000011110000}"/>
    <cellStyle name="20% - Accent3 2 3 9 2 2" xfId="28322" xr:uid="{00000000-0005-0000-0000-000012110000}"/>
    <cellStyle name="20% - Accent3 2 3 9 3" xfId="18466" xr:uid="{00000000-0005-0000-0000-000013110000}"/>
    <cellStyle name="20% - Accent3 2 4" xfId="1144" xr:uid="{00000000-0005-0000-0000-000014110000}"/>
    <cellStyle name="20% - Accent3 2 4 10" xfId="8984" xr:uid="{00000000-0005-0000-0000-000015110000}"/>
    <cellStyle name="20% - Accent3 2 4 10 2" xfId="23459" xr:uid="{00000000-0005-0000-0000-000016110000}"/>
    <cellStyle name="20% - Accent3 2 4 11" xfId="18467" xr:uid="{00000000-0005-0000-0000-000017110000}"/>
    <cellStyle name="20% - Accent3 2 4 2" xfId="1145" xr:uid="{00000000-0005-0000-0000-000018110000}"/>
    <cellStyle name="20% - Accent3 2 4 2 2" xfId="1146" xr:uid="{00000000-0005-0000-0000-000019110000}"/>
    <cellStyle name="20% - Accent3 2 4 2 2 2" xfId="10710" xr:uid="{00000000-0005-0000-0000-00001A110000}"/>
    <cellStyle name="20% - Accent3 2 4 2 2 2 2" xfId="24652" xr:uid="{00000000-0005-0000-0000-00001B110000}"/>
    <cellStyle name="20% - Accent3 2 4 2 2 3" xfId="18469" xr:uid="{00000000-0005-0000-0000-00001C110000}"/>
    <cellStyle name="20% - Accent3 2 4 2 3" xfId="1147" xr:uid="{00000000-0005-0000-0000-00001D110000}"/>
    <cellStyle name="20% - Accent3 2 4 2 3 2" xfId="12808" xr:uid="{00000000-0005-0000-0000-00001E110000}"/>
    <cellStyle name="20% - Accent3 2 4 2 3 2 2" xfId="26520" xr:uid="{00000000-0005-0000-0000-00001F110000}"/>
    <cellStyle name="20% - Accent3 2 4 2 3 3" xfId="18470" xr:uid="{00000000-0005-0000-0000-000020110000}"/>
    <cellStyle name="20% - Accent3 2 4 2 4" xfId="1148" xr:uid="{00000000-0005-0000-0000-000021110000}"/>
    <cellStyle name="20% - Accent3 2 4 2 4 2" xfId="14780" xr:uid="{00000000-0005-0000-0000-000022110000}"/>
    <cellStyle name="20% - Accent3 2 4 2 4 2 2" xfId="28329" xr:uid="{00000000-0005-0000-0000-000023110000}"/>
    <cellStyle name="20% - Accent3 2 4 2 4 3" xfId="18471" xr:uid="{00000000-0005-0000-0000-000024110000}"/>
    <cellStyle name="20% - Accent3 2 4 2 5" xfId="1149" xr:uid="{00000000-0005-0000-0000-000025110000}"/>
    <cellStyle name="20% - Accent3 2 4 2 5 2" xfId="16776" xr:uid="{00000000-0005-0000-0000-000026110000}"/>
    <cellStyle name="20% - Accent3 2 4 2 5 2 2" xfId="30183" xr:uid="{00000000-0005-0000-0000-000027110000}"/>
    <cellStyle name="20% - Accent3 2 4 2 5 3" xfId="18472" xr:uid="{00000000-0005-0000-0000-000028110000}"/>
    <cellStyle name="20% - Accent3 2 4 2 6" xfId="8985" xr:uid="{00000000-0005-0000-0000-000029110000}"/>
    <cellStyle name="20% - Accent3 2 4 2 6 2" xfId="23460" xr:uid="{00000000-0005-0000-0000-00002A110000}"/>
    <cellStyle name="20% - Accent3 2 4 2 7" xfId="18468" xr:uid="{00000000-0005-0000-0000-00002B110000}"/>
    <cellStyle name="20% - Accent3 2 4 3" xfId="1150" xr:uid="{00000000-0005-0000-0000-00002C110000}"/>
    <cellStyle name="20% - Accent3 2 4 3 2" xfId="1151" xr:uid="{00000000-0005-0000-0000-00002D110000}"/>
    <cellStyle name="20% - Accent3 2 4 3 2 2" xfId="14781" xr:uid="{00000000-0005-0000-0000-00002E110000}"/>
    <cellStyle name="20% - Accent3 2 4 3 2 2 2" xfId="28330" xr:uid="{00000000-0005-0000-0000-00002F110000}"/>
    <cellStyle name="20% - Accent3 2 4 3 2 3" xfId="18474" xr:uid="{00000000-0005-0000-0000-000030110000}"/>
    <cellStyle name="20% - Accent3 2 4 3 3" xfId="10709" xr:uid="{00000000-0005-0000-0000-000031110000}"/>
    <cellStyle name="20% - Accent3 2 4 3 3 2" xfId="24651" xr:uid="{00000000-0005-0000-0000-000032110000}"/>
    <cellStyle name="20% - Accent3 2 4 3 4" xfId="18473" xr:uid="{00000000-0005-0000-0000-000033110000}"/>
    <cellStyle name="20% - Accent3 2 4 4" xfId="1152" xr:uid="{00000000-0005-0000-0000-000034110000}"/>
    <cellStyle name="20% - Accent3 2 4 4 2" xfId="12164" xr:uid="{00000000-0005-0000-0000-000035110000}"/>
    <cellStyle name="20% - Accent3 2 4 4 2 2" xfId="25876" xr:uid="{00000000-0005-0000-0000-000036110000}"/>
    <cellStyle name="20% - Accent3 2 4 4 3" xfId="18475" xr:uid="{00000000-0005-0000-0000-000037110000}"/>
    <cellStyle name="20% - Accent3 2 4 5" xfId="1153" xr:uid="{00000000-0005-0000-0000-000038110000}"/>
    <cellStyle name="20% - Accent3 2 4 5 2" xfId="12493" xr:uid="{00000000-0005-0000-0000-000039110000}"/>
    <cellStyle name="20% - Accent3 2 4 5 2 2" xfId="26205" xr:uid="{00000000-0005-0000-0000-00003A110000}"/>
    <cellStyle name="20% - Accent3 2 4 5 3" xfId="18476" xr:uid="{00000000-0005-0000-0000-00003B110000}"/>
    <cellStyle name="20% - Accent3 2 4 6" xfId="1154" xr:uid="{00000000-0005-0000-0000-00003C110000}"/>
    <cellStyle name="20% - Accent3 2 4 6 2" xfId="13728" xr:uid="{00000000-0005-0000-0000-00003D110000}"/>
    <cellStyle name="20% - Accent3 2 4 6 2 2" xfId="27277" xr:uid="{00000000-0005-0000-0000-00003E110000}"/>
    <cellStyle name="20% - Accent3 2 4 6 3" xfId="18477" xr:uid="{00000000-0005-0000-0000-00003F110000}"/>
    <cellStyle name="20% - Accent3 2 4 7" xfId="1155" xr:uid="{00000000-0005-0000-0000-000040110000}"/>
    <cellStyle name="20% - Accent3 2 4 7 2" xfId="14309" xr:uid="{00000000-0005-0000-0000-000041110000}"/>
    <cellStyle name="20% - Accent3 2 4 7 2 2" xfId="27858" xr:uid="{00000000-0005-0000-0000-000042110000}"/>
    <cellStyle name="20% - Accent3 2 4 7 3" xfId="18478" xr:uid="{00000000-0005-0000-0000-000043110000}"/>
    <cellStyle name="20% - Accent3 2 4 8" xfId="1156" xr:uid="{00000000-0005-0000-0000-000044110000}"/>
    <cellStyle name="20% - Accent3 2 4 8 2" xfId="14779" xr:uid="{00000000-0005-0000-0000-000045110000}"/>
    <cellStyle name="20% - Accent3 2 4 8 2 2" xfId="28328" xr:uid="{00000000-0005-0000-0000-000046110000}"/>
    <cellStyle name="20% - Accent3 2 4 8 3" xfId="18479" xr:uid="{00000000-0005-0000-0000-000047110000}"/>
    <cellStyle name="20% - Accent3 2 4 9" xfId="1157" xr:uid="{00000000-0005-0000-0000-000048110000}"/>
    <cellStyle name="20% - Accent3 2 4 9 2" xfId="16195" xr:uid="{00000000-0005-0000-0000-000049110000}"/>
    <cellStyle name="20% - Accent3 2 4 9 2 2" xfId="29602" xr:uid="{00000000-0005-0000-0000-00004A110000}"/>
    <cellStyle name="20% - Accent3 2 4 9 3" xfId="18480" xr:uid="{00000000-0005-0000-0000-00004B110000}"/>
    <cellStyle name="20% - Accent3 2 5" xfId="1158" xr:uid="{00000000-0005-0000-0000-00004C110000}"/>
    <cellStyle name="20% - Accent3 2 5 2" xfId="1159" xr:uid="{00000000-0005-0000-0000-00004D110000}"/>
    <cellStyle name="20% - Accent3 2 5 2 2" xfId="1160" xr:uid="{00000000-0005-0000-0000-00004E110000}"/>
    <cellStyle name="20% - Accent3 2 5 2 2 2" xfId="10712" xr:uid="{00000000-0005-0000-0000-00004F110000}"/>
    <cellStyle name="20% - Accent3 2 5 2 2 2 2" xfId="24654" xr:uid="{00000000-0005-0000-0000-000050110000}"/>
    <cellStyle name="20% - Accent3 2 5 2 2 3" xfId="18483" xr:uid="{00000000-0005-0000-0000-000051110000}"/>
    <cellStyle name="20% - Accent3 2 5 2 3" xfId="1161" xr:uid="{00000000-0005-0000-0000-000052110000}"/>
    <cellStyle name="20% - Accent3 2 5 2 3 2" xfId="12621" xr:uid="{00000000-0005-0000-0000-000053110000}"/>
    <cellStyle name="20% - Accent3 2 5 2 3 2 2" xfId="26333" xr:uid="{00000000-0005-0000-0000-000054110000}"/>
    <cellStyle name="20% - Accent3 2 5 2 3 3" xfId="18484" xr:uid="{00000000-0005-0000-0000-000055110000}"/>
    <cellStyle name="20% - Accent3 2 5 2 4" xfId="1162" xr:uid="{00000000-0005-0000-0000-000056110000}"/>
    <cellStyle name="20% - Accent3 2 5 2 4 2" xfId="14783" xr:uid="{00000000-0005-0000-0000-000057110000}"/>
    <cellStyle name="20% - Accent3 2 5 2 4 2 2" xfId="28332" xr:uid="{00000000-0005-0000-0000-000058110000}"/>
    <cellStyle name="20% - Accent3 2 5 2 4 3" xfId="18485" xr:uid="{00000000-0005-0000-0000-000059110000}"/>
    <cellStyle name="20% - Accent3 2 5 2 5" xfId="8987" xr:uid="{00000000-0005-0000-0000-00005A110000}"/>
    <cellStyle name="20% - Accent3 2 5 2 5 2" xfId="23462" xr:uid="{00000000-0005-0000-0000-00005B110000}"/>
    <cellStyle name="20% - Accent3 2 5 2 6" xfId="18482" xr:uid="{00000000-0005-0000-0000-00005C110000}"/>
    <cellStyle name="20% - Accent3 2 5 3" xfId="1163" xr:uid="{00000000-0005-0000-0000-00005D110000}"/>
    <cellStyle name="20% - Accent3 2 5 3 2" xfId="10711" xr:uid="{00000000-0005-0000-0000-00005E110000}"/>
    <cellStyle name="20% - Accent3 2 5 3 2 2" xfId="24653" xr:uid="{00000000-0005-0000-0000-00005F110000}"/>
    <cellStyle name="20% - Accent3 2 5 3 3" xfId="18486" xr:uid="{00000000-0005-0000-0000-000060110000}"/>
    <cellStyle name="20% - Accent3 2 5 4" xfId="1164" xr:uid="{00000000-0005-0000-0000-000061110000}"/>
    <cellStyle name="20% - Accent3 2 5 4 2" xfId="12624" xr:uid="{00000000-0005-0000-0000-000062110000}"/>
    <cellStyle name="20% - Accent3 2 5 4 2 2" xfId="26336" xr:uid="{00000000-0005-0000-0000-000063110000}"/>
    <cellStyle name="20% - Accent3 2 5 4 3" xfId="18487" xr:uid="{00000000-0005-0000-0000-000064110000}"/>
    <cellStyle name="20% - Accent3 2 5 5" xfId="1165" xr:uid="{00000000-0005-0000-0000-000065110000}"/>
    <cellStyle name="20% - Accent3 2 5 5 2" xfId="14782" xr:uid="{00000000-0005-0000-0000-000066110000}"/>
    <cellStyle name="20% - Accent3 2 5 5 2 2" xfId="28331" xr:uid="{00000000-0005-0000-0000-000067110000}"/>
    <cellStyle name="20% - Accent3 2 5 5 3" xfId="18488" xr:uid="{00000000-0005-0000-0000-000068110000}"/>
    <cellStyle name="20% - Accent3 2 5 6" xfId="1166" xr:uid="{00000000-0005-0000-0000-000069110000}"/>
    <cellStyle name="20% - Accent3 2 5 6 2" xfId="17009" xr:uid="{00000000-0005-0000-0000-00006A110000}"/>
    <cellStyle name="20% - Accent3 2 5 6 2 2" xfId="30416" xr:uid="{00000000-0005-0000-0000-00006B110000}"/>
    <cellStyle name="20% - Accent3 2 5 6 3" xfId="18489" xr:uid="{00000000-0005-0000-0000-00006C110000}"/>
    <cellStyle name="20% - Accent3 2 5 7" xfId="8986" xr:uid="{00000000-0005-0000-0000-00006D110000}"/>
    <cellStyle name="20% - Accent3 2 5 7 2" xfId="23461" xr:uid="{00000000-0005-0000-0000-00006E110000}"/>
    <cellStyle name="20% - Accent3 2 5 8" xfId="18481" xr:uid="{00000000-0005-0000-0000-00006F110000}"/>
    <cellStyle name="20% - Accent3 2 6" xfId="1167" xr:uid="{00000000-0005-0000-0000-000070110000}"/>
    <cellStyle name="20% - Accent3 2 6 2" xfId="1168" xr:uid="{00000000-0005-0000-0000-000071110000}"/>
    <cellStyle name="20% - Accent3 2 6 2 2" xfId="10713" xr:uid="{00000000-0005-0000-0000-000072110000}"/>
    <cellStyle name="20% - Accent3 2 6 2 2 2" xfId="24655" xr:uid="{00000000-0005-0000-0000-000073110000}"/>
    <cellStyle name="20% - Accent3 2 6 2 3" xfId="18491" xr:uid="{00000000-0005-0000-0000-000074110000}"/>
    <cellStyle name="20% - Accent3 2 6 3" xfId="1169" xr:uid="{00000000-0005-0000-0000-000075110000}"/>
    <cellStyle name="20% - Accent3 2 6 3 2" xfId="12640" xr:uid="{00000000-0005-0000-0000-000076110000}"/>
    <cellStyle name="20% - Accent3 2 6 3 2 2" xfId="26352" xr:uid="{00000000-0005-0000-0000-000077110000}"/>
    <cellStyle name="20% - Accent3 2 6 3 3" xfId="18492" xr:uid="{00000000-0005-0000-0000-000078110000}"/>
    <cellStyle name="20% - Accent3 2 6 4" xfId="1170" xr:uid="{00000000-0005-0000-0000-000079110000}"/>
    <cellStyle name="20% - Accent3 2 6 4 2" xfId="14784" xr:uid="{00000000-0005-0000-0000-00007A110000}"/>
    <cellStyle name="20% - Accent3 2 6 4 2 2" xfId="28333" xr:uid="{00000000-0005-0000-0000-00007B110000}"/>
    <cellStyle name="20% - Accent3 2 6 4 3" xfId="18493" xr:uid="{00000000-0005-0000-0000-00007C110000}"/>
    <cellStyle name="20% - Accent3 2 6 5" xfId="1171" xr:uid="{00000000-0005-0000-0000-00007D110000}"/>
    <cellStyle name="20% - Accent3 2 6 5 2" xfId="17123" xr:uid="{00000000-0005-0000-0000-00007E110000}"/>
    <cellStyle name="20% - Accent3 2 6 5 2 2" xfId="30482" xr:uid="{00000000-0005-0000-0000-00007F110000}"/>
    <cellStyle name="20% - Accent3 2 6 5 3" xfId="18494" xr:uid="{00000000-0005-0000-0000-000080110000}"/>
    <cellStyle name="20% - Accent3 2 6 6" xfId="8988" xr:uid="{00000000-0005-0000-0000-000081110000}"/>
    <cellStyle name="20% - Accent3 2 6 6 2" xfId="23463" xr:uid="{00000000-0005-0000-0000-000082110000}"/>
    <cellStyle name="20% - Accent3 2 6 7" xfId="18490" xr:uid="{00000000-0005-0000-0000-000083110000}"/>
    <cellStyle name="20% - Accent3 2 7" xfId="1172" xr:uid="{00000000-0005-0000-0000-000084110000}"/>
    <cellStyle name="20% - Accent3 2 7 2" xfId="1173" xr:uid="{00000000-0005-0000-0000-000085110000}"/>
    <cellStyle name="20% - Accent3 2 7 2 2" xfId="10714" xr:uid="{00000000-0005-0000-0000-000086110000}"/>
    <cellStyle name="20% - Accent3 2 7 2 2 2" xfId="24656" xr:uid="{00000000-0005-0000-0000-000087110000}"/>
    <cellStyle name="20% - Accent3 2 7 2 3" xfId="18496" xr:uid="{00000000-0005-0000-0000-000088110000}"/>
    <cellStyle name="20% - Accent3 2 7 3" xfId="1174" xr:uid="{00000000-0005-0000-0000-000089110000}"/>
    <cellStyle name="20% - Accent3 2 7 3 2" xfId="12805" xr:uid="{00000000-0005-0000-0000-00008A110000}"/>
    <cellStyle name="20% - Accent3 2 7 3 2 2" xfId="26517" xr:uid="{00000000-0005-0000-0000-00008B110000}"/>
    <cellStyle name="20% - Accent3 2 7 3 3" xfId="18497" xr:uid="{00000000-0005-0000-0000-00008C110000}"/>
    <cellStyle name="20% - Accent3 2 7 4" xfId="1175" xr:uid="{00000000-0005-0000-0000-00008D110000}"/>
    <cellStyle name="20% - Accent3 2 7 4 2" xfId="14785" xr:uid="{00000000-0005-0000-0000-00008E110000}"/>
    <cellStyle name="20% - Accent3 2 7 4 2 2" xfId="28334" xr:uid="{00000000-0005-0000-0000-00008F110000}"/>
    <cellStyle name="20% - Accent3 2 7 4 3" xfId="18498" xr:uid="{00000000-0005-0000-0000-000090110000}"/>
    <cellStyle name="20% - Accent3 2 7 5" xfId="1176" xr:uid="{00000000-0005-0000-0000-000091110000}"/>
    <cellStyle name="20% - Accent3 2 7 5 2" xfId="17212" xr:uid="{00000000-0005-0000-0000-000092110000}"/>
    <cellStyle name="20% - Accent3 2 7 5 2 2" xfId="30571" xr:uid="{00000000-0005-0000-0000-000093110000}"/>
    <cellStyle name="20% - Accent3 2 7 5 3" xfId="18499" xr:uid="{00000000-0005-0000-0000-000094110000}"/>
    <cellStyle name="20% - Accent3 2 7 6" xfId="8989" xr:uid="{00000000-0005-0000-0000-000095110000}"/>
    <cellStyle name="20% - Accent3 2 7 6 2" xfId="23464" xr:uid="{00000000-0005-0000-0000-000096110000}"/>
    <cellStyle name="20% - Accent3 2 7 7" xfId="18495" xr:uid="{00000000-0005-0000-0000-000097110000}"/>
    <cellStyle name="20% - Accent3 2 8" xfId="1177" xr:uid="{00000000-0005-0000-0000-000098110000}"/>
    <cellStyle name="20% - Accent3 2 8 2" xfId="1178" xr:uid="{00000000-0005-0000-0000-000099110000}"/>
    <cellStyle name="20% - Accent3 2 8 2 2" xfId="12405" xr:uid="{00000000-0005-0000-0000-00009A110000}"/>
    <cellStyle name="20% - Accent3 2 8 2 2 2" xfId="26117" xr:uid="{00000000-0005-0000-0000-00009B110000}"/>
    <cellStyle name="20% - Accent3 2 8 2 3" xfId="18501" xr:uid="{00000000-0005-0000-0000-00009C110000}"/>
    <cellStyle name="20% - Accent3 2 8 3" xfId="1179" xr:uid="{00000000-0005-0000-0000-00009D110000}"/>
    <cellStyle name="20% - Accent3 2 8 3 2" xfId="14786" xr:uid="{00000000-0005-0000-0000-00009E110000}"/>
    <cellStyle name="20% - Accent3 2 8 3 2 2" xfId="28335" xr:uid="{00000000-0005-0000-0000-00009F110000}"/>
    <cellStyle name="20% - Accent3 2 8 3 3" xfId="18502" xr:uid="{00000000-0005-0000-0000-0000A0110000}"/>
    <cellStyle name="20% - Accent3 2 8 4" xfId="1180" xr:uid="{00000000-0005-0000-0000-0000A1110000}"/>
    <cellStyle name="20% - Accent3 2 8 4 2" xfId="16487" xr:uid="{00000000-0005-0000-0000-0000A2110000}"/>
    <cellStyle name="20% - Accent3 2 8 4 2 2" xfId="29894" xr:uid="{00000000-0005-0000-0000-0000A3110000}"/>
    <cellStyle name="20% - Accent3 2 8 4 3" xfId="18503" xr:uid="{00000000-0005-0000-0000-0000A4110000}"/>
    <cellStyle name="20% - Accent3 2 8 5" xfId="10530" xr:uid="{00000000-0005-0000-0000-0000A5110000}"/>
    <cellStyle name="20% - Accent3 2 8 5 2" xfId="24472" xr:uid="{00000000-0005-0000-0000-0000A6110000}"/>
    <cellStyle name="20% - Accent3 2 8 6" xfId="18500" xr:uid="{00000000-0005-0000-0000-0000A7110000}"/>
    <cellStyle name="20% - Accent3 2 9" xfId="1181" xr:uid="{00000000-0005-0000-0000-0000A8110000}"/>
    <cellStyle name="20% - Accent3 2 9 2" xfId="1182" xr:uid="{00000000-0005-0000-0000-0000A9110000}"/>
    <cellStyle name="20% - Accent3 2 9 2 2" xfId="12700" xr:uid="{00000000-0005-0000-0000-0000AA110000}"/>
    <cellStyle name="20% - Accent3 2 9 2 2 2" xfId="26412" xr:uid="{00000000-0005-0000-0000-0000AB110000}"/>
    <cellStyle name="20% - Accent3 2 9 2 3" xfId="18505" xr:uid="{00000000-0005-0000-0000-0000AC110000}"/>
    <cellStyle name="20% - Accent3 2 9 3" xfId="1183" xr:uid="{00000000-0005-0000-0000-0000AD110000}"/>
    <cellStyle name="20% - Accent3 2 9 3 2" xfId="14787" xr:uid="{00000000-0005-0000-0000-0000AE110000}"/>
    <cellStyle name="20% - Accent3 2 9 3 2 2" xfId="28336" xr:uid="{00000000-0005-0000-0000-0000AF110000}"/>
    <cellStyle name="20% - Accent3 2 9 3 3" xfId="18506" xr:uid="{00000000-0005-0000-0000-0000B0110000}"/>
    <cellStyle name="20% - Accent3 2 9 4" xfId="10696" xr:uid="{00000000-0005-0000-0000-0000B1110000}"/>
    <cellStyle name="20% - Accent3 2 9 4 2" xfId="24638" xr:uid="{00000000-0005-0000-0000-0000B2110000}"/>
    <cellStyle name="20% - Accent3 2 9 5" xfId="18504" xr:uid="{00000000-0005-0000-0000-0000B3110000}"/>
    <cellStyle name="20% - Accent3 20" xfId="1184" xr:uid="{00000000-0005-0000-0000-0000B4110000}"/>
    <cellStyle name="20% - Accent3 20 2" xfId="1185" xr:uid="{00000000-0005-0000-0000-0000B5110000}"/>
    <cellStyle name="20% - Accent3 20 2 2" xfId="12415" xr:uid="{00000000-0005-0000-0000-0000B6110000}"/>
    <cellStyle name="20% - Accent3 20 2 2 2" xfId="26127" xr:uid="{00000000-0005-0000-0000-0000B7110000}"/>
    <cellStyle name="20% - Accent3 20 2 3" xfId="18508" xr:uid="{00000000-0005-0000-0000-0000B8110000}"/>
    <cellStyle name="20% - Accent3 20 3" xfId="1186" xr:uid="{00000000-0005-0000-0000-0000B9110000}"/>
    <cellStyle name="20% - Accent3 20 3 2" xfId="14788" xr:uid="{00000000-0005-0000-0000-0000BA110000}"/>
    <cellStyle name="20% - Accent3 20 3 2 2" xfId="28337" xr:uid="{00000000-0005-0000-0000-0000BB110000}"/>
    <cellStyle name="20% - Accent3 20 3 3" xfId="18509" xr:uid="{00000000-0005-0000-0000-0000BC110000}"/>
    <cellStyle name="20% - Accent3 20 4" xfId="10505" xr:uid="{00000000-0005-0000-0000-0000BD110000}"/>
    <cellStyle name="20% - Accent3 20 4 2" xfId="24453" xr:uid="{00000000-0005-0000-0000-0000BE110000}"/>
    <cellStyle name="20% - Accent3 20 5" xfId="18507" xr:uid="{00000000-0005-0000-0000-0000BF110000}"/>
    <cellStyle name="20% - Accent3 21" xfId="1187" xr:uid="{00000000-0005-0000-0000-0000C0110000}"/>
    <cellStyle name="20% - Accent3 21 2" xfId="1188" xr:uid="{00000000-0005-0000-0000-0000C1110000}"/>
    <cellStyle name="20% - Accent3 21 2 2" xfId="12643" xr:uid="{00000000-0005-0000-0000-0000C2110000}"/>
    <cellStyle name="20% - Accent3 21 2 2 2" xfId="26355" xr:uid="{00000000-0005-0000-0000-0000C3110000}"/>
    <cellStyle name="20% - Accent3 21 2 3" xfId="18511" xr:uid="{00000000-0005-0000-0000-0000C4110000}"/>
    <cellStyle name="20% - Accent3 21 3" xfId="1189" xr:uid="{00000000-0005-0000-0000-0000C5110000}"/>
    <cellStyle name="20% - Accent3 21 3 2" xfId="14789" xr:uid="{00000000-0005-0000-0000-0000C6110000}"/>
    <cellStyle name="20% - Accent3 21 3 2 2" xfId="28338" xr:uid="{00000000-0005-0000-0000-0000C7110000}"/>
    <cellStyle name="20% - Accent3 21 3 3" xfId="18512" xr:uid="{00000000-0005-0000-0000-0000C8110000}"/>
    <cellStyle name="20% - Accent3 21 4" xfId="10685" xr:uid="{00000000-0005-0000-0000-0000C9110000}"/>
    <cellStyle name="20% - Accent3 21 4 2" xfId="24627" xr:uid="{00000000-0005-0000-0000-0000CA110000}"/>
    <cellStyle name="20% - Accent3 21 5" xfId="18510" xr:uid="{00000000-0005-0000-0000-0000CB110000}"/>
    <cellStyle name="20% - Accent3 22" xfId="1190" xr:uid="{00000000-0005-0000-0000-0000CC110000}"/>
    <cellStyle name="20% - Accent3 22 2" xfId="11741" xr:uid="{00000000-0005-0000-0000-0000CD110000}"/>
    <cellStyle name="20% - Accent3 22 2 2" xfId="25456" xr:uid="{00000000-0005-0000-0000-0000CE110000}"/>
    <cellStyle name="20% - Accent3 22 3" xfId="18513" xr:uid="{00000000-0005-0000-0000-0000CF110000}"/>
    <cellStyle name="20% - Accent3 23" xfId="1191" xr:uid="{00000000-0005-0000-0000-0000D0110000}"/>
    <cellStyle name="20% - Accent3 23 2" xfId="12800" xr:uid="{00000000-0005-0000-0000-0000D1110000}"/>
    <cellStyle name="20% - Accent3 23 2 2" xfId="26512" xr:uid="{00000000-0005-0000-0000-0000D2110000}"/>
    <cellStyle name="20% - Accent3 23 3" xfId="18514" xr:uid="{00000000-0005-0000-0000-0000D3110000}"/>
    <cellStyle name="20% - Accent3 24" xfId="1192" xr:uid="{00000000-0005-0000-0000-0000D4110000}"/>
    <cellStyle name="20% - Accent3 24 2" xfId="13380" xr:uid="{00000000-0005-0000-0000-0000D5110000}"/>
    <cellStyle name="20% - Accent3 24 2 2" xfId="26929" xr:uid="{00000000-0005-0000-0000-0000D6110000}"/>
    <cellStyle name="20% - Accent3 24 3" xfId="18515" xr:uid="{00000000-0005-0000-0000-0000D7110000}"/>
    <cellStyle name="20% - Accent3 25" xfId="1193" xr:uid="{00000000-0005-0000-0000-0000D8110000}"/>
    <cellStyle name="20% - Accent3 25 2" xfId="13961" xr:uid="{00000000-0005-0000-0000-0000D9110000}"/>
    <cellStyle name="20% - Accent3 25 2 2" xfId="27510" xr:uid="{00000000-0005-0000-0000-0000DA110000}"/>
    <cellStyle name="20% - Accent3 25 3" xfId="18516" xr:uid="{00000000-0005-0000-0000-0000DB110000}"/>
    <cellStyle name="20% - Accent3 26" xfId="1194" xr:uid="{00000000-0005-0000-0000-0000DC110000}"/>
    <cellStyle name="20% - Accent3 26 2" xfId="14746" xr:uid="{00000000-0005-0000-0000-0000DD110000}"/>
    <cellStyle name="20% - Accent3 26 2 2" xfId="28295" xr:uid="{00000000-0005-0000-0000-0000DE110000}"/>
    <cellStyle name="20% - Accent3 26 3" xfId="18517" xr:uid="{00000000-0005-0000-0000-0000DF110000}"/>
    <cellStyle name="20% - Accent3 27" xfId="1195" xr:uid="{00000000-0005-0000-0000-0000E0110000}"/>
    <cellStyle name="20% - Accent3 27 2" xfId="15838" xr:uid="{00000000-0005-0000-0000-0000E1110000}"/>
    <cellStyle name="20% - Accent3 27 2 2" xfId="29245" xr:uid="{00000000-0005-0000-0000-0000E2110000}"/>
    <cellStyle name="20% - Accent3 27 3" xfId="18518" xr:uid="{00000000-0005-0000-0000-0000E3110000}"/>
    <cellStyle name="20% - Accent3 28" xfId="1196" xr:uid="{00000000-0005-0000-0000-0000E4110000}"/>
    <cellStyle name="20% - Accent3 28 2" xfId="15847" xr:uid="{00000000-0005-0000-0000-0000E5110000}"/>
    <cellStyle name="20% - Accent3 28 2 2" xfId="29254" xr:uid="{00000000-0005-0000-0000-0000E6110000}"/>
    <cellStyle name="20% - Accent3 28 3" xfId="18519" xr:uid="{00000000-0005-0000-0000-0000E7110000}"/>
    <cellStyle name="20% - Accent3 29" xfId="1197" xr:uid="{00000000-0005-0000-0000-0000E8110000}"/>
    <cellStyle name="20% - Accent3 29 2" xfId="8960" xr:uid="{00000000-0005-0000-0000-0000E9110000}"/>
    <cellStyle name="20% - Accent3 29 2 2" xfId="23435" xr:uid="{00000000-0005-0000-0000-0000EA110000}"/>
    <cellStyle name="20% - Accent3 29 3" xfId="18520" xr:uid="{00000000-0005-0000-0000-0000EB110000}"/>
    <cellStyle name="20% - Accent3 3" xfId="1198" xr:uid="{00000000-0005-0000-0000-0000EC110000}"/>
    <cellStyle name="20% - Accent3 3 10" xfId="1199" xr:uid="{00000000-0005-0000-0000-0000ED110000}"/>
    <cellStyle name="20% - Accent3 3 10 2" xfId="14043" xr:uid="{00000000-0005-0000-0000-0000EE110000}"/>
    <cellStyle name="20% - Accent3 3 10 2 2" xfId="27592" xr:uid="{00000000-0005-0000-0000-0000EF110000}"/>
    <cellStyle name="20% - Accent3 3 10 3" xfId="18522" xr:uid="{00000000-0005-0000-0000-0000F0110000}"/>
    <cellStyle name="20% - Accent3 3 11" xfId="1200" xr:uid="{00000000-0005-0000-0000-0000F1110000}"/>
    <cellStyle name="20% - Accent3 3 11 2" xfId="14790" xr:uid="{00000000-0005-0000-0000-0000F2110000}"/>
    <cellStyle name="20% - Accent3 3 11 2 2" xfId="28339" xr:uid="{00000000-0005-0000-0000-0000F3110000}"/>
    <cellStyle name="20% - Accent3 3 11 3" xfId="18523" xr:uid="{00000000-0005-0000-0000-0000F4110000}"/>
    <cellStyle name="20% - Accent3 3 12" xfId="1201" xr:uid="{00000000-0005-0000-0000-0000F5110000}"/>
    <cellStyle name="20% - Accent3 3 12 2" xfId="15929" xr:uid="{00000000-0005-0000-0000-0000F6110000}"/>
    <cellStyle name="20% - Accent3 3 12 2 2" xfId="29336" xr:uid="{00000000-0005-0000-0000-0000F7110000}"/>
    <cellStyle name="20% - Accent3 3 12 3" xfId="18524" xr:uid="{00000000-0005-0000-0000-0000F8110000}"/>
    <cellStyle name="20% - Accent3 3 13" xfId="8990" xr:uid="{00000000-0005-0000-0000-0000F9110000}"/>
    <cellStyle name="20% - Accent3 3 13 2" xfId="23465" xr:uid="{00000000-0005-0000-0000-0000FA110000}"/>
    <cellStyle name="20% - Accent3 3 14" xfId="18521" xr:uid="{00000000-0005-0000-0000-0000FB110000}"/>
    <cellStyle name="20% - Accent3 3 2" xfId="1202" xr:uid="{00000000-0005-0000-0000-0000FC110000}"/>
    <cellStyle name="20% - Accent3 3 2 10" xfId="1203" xr:uid="{00000000-0005-0000-0000-0000FD110000}"/>
    <cellStyle name="20% - Accent3 3 2 10 2" xfId="16072" xr:uid="{00000000-0005-0000-0000-0000FE110000}"/>
    <cellStyle name="20% - Accent3 3 2 10 2 2" xfId="29479" xr:uid="{00000000-0005-0000-0000-0000FF110000}"/>
    <cellStyle name="20% - Accent3 3 2 10 3" xfId="18526" xr:uid="{00000000-0005-0000-0000-000000120000}"/>
    <cellStyle name="20% - Accent3 3 2 11" xfId="8991" xr:uid="{00000000-0005-0000-0000-000001120000}"/>
    <cellStyle name="20% - Accent3 3 2 11 2" xfId="23466" xr:uid="{00000000-0005-0000-0000-000002120000}"/>
    <cellStyle name="20% - Accent3 3 2 12" xfId="18525" xr:uid="{00000000-0005-0000-0000-000003120000}"/>
    <cellStyle name="20% - Accent3 3 2 2" xfId="1204" xr:uid="{00000000-0005-0000-0000-000004120000}"/>
    <cellStyle name="20% - Accent3 3 2 2 10" xfId="8992" xr:uid="{00000000-0005-0000-0000-000005120000}"/>
    <cellStyle name="20% - Accent3 3 2 2 10 2" xfId="23467" xr:uid="{00000000-0005-0000-0000-000006120000}"/>
    <cellStyle name="20% - Accent3 3 2 2 11" xfId="18527" xr:uid="{00000000-0005-0000-0000-000007120000}"/>
    <cellStyle name="20% - Accent3 3 2 2 2" xfId="1205" xr:uid="{00000000-0005-0000-0000-000008120000}"/>
    <cellStyle name="20% - Accent3 3 2 2 2 2" xfId="1206" xr:uid="{00000000-0005-0000-0000-000009120000}"/>
    <cellStyle name="20% - Accent3 3 2 2 2 2 2" xfId="10718" xr:uid="{00000000-0005-0000-0000-00000A120000}"/>
    <cellStyle name="20% - Accent3 3 2 2 2 2 2 2" xfId="24660" xr:uid="{00000000-0005-0000-0000-00000B120000}"/>
    <cellStyle name="20% - Accent3 3 2 2 2 2 3" xfId="18529" xr:uid="{00000000-0005-0000-0000-00000C120000}"/>
    <cellStyle name="20% - Accent3 3 2 2 2 3" xfId="1207" xr:uid="{00000000-0005-0000-0000-00000D120000}"/>
    <cellStyle name="20% - Accent3 3 2 2 2 3 2" xfId="12527" xr:uid="{00000000-0005-0000-0000-00000E120000}"/>
    <cellStyle name="20% - Accent3 3 2 2 2 3 2 2" xfId="26239" xr:uid="{00000000-0005-0000-0000-00000F120000}"/>
    <cellStyle name="20% - Accent3 3 2 2 2 3 3" xfId="18530" xr:uid="{00000000-0005-0000-0000-000010120000}"/>
    <cellStyle name="20% - Accent3 3 2 2 2 4" xfId="1208" xr:uid="{00000000-0005-0000-0000-000011120000}"/>
    <cellStyle name="20% - Accent3 3 2 2 2 4 2" xfId="14793" xr:uid="{00000000-0005-0000-0000-000012120000}"/>
    <cellStyle name="20% - Accent3 3 2 2 2 4 2 2" xfId="28342" xr:uid="{00000000-0005-0000-0000-000013120000}"/>
    <cellStyle name="20% - Accent3 3 2 2 2 4 3" xfId="18531" xr:uid="{00000000-0005-0000-0000-000014120000}"/>
    <cellStyle name="20% - Accent3 3 2 2 2 5" xfId="1209" xr:uid="{00000000-0005-0000-0000-000015120000}"/>
    <cellStyle name="20% - Accent3 3 2 2 2 5 2" xfId="16942" xr:uid="{00000000-0005-0000-0000-000016120000}"/>
    <cellStyle name="20% - Accent3 3 2 2 2 5 2 2" xfId="30349" xr:uid="{00000000-0005-0000-0000-000017120000}"/>
    <cellStyle name="20% - Accent3 3 2 2 2 5 3" xfId="18532" xr:uid="{00000000-0005-0000-0000-000018120000}"/>
    <cellStyle name="20% - Accent3 3 2 2 2 6" xfId="8993" xr:uid="{00000000-0005-0000-0000-000019120000}"/>
    <cellStyle name="20% - Accent3 3 2 2 2 6 2" xfId="23468" xr:uid="{00000000-0005-0000-0000-00001A120000}"/>
    <cellStyle name="20% - Accent3 3 2 2 2 7" xfId="18528" xr:uid="{00000000-0005-0000-0000-00001B120000}"/>
    <cellStyle name="20% - Accent3 3 2 2 3" xfId="1210" xr:uid="{00000000-0005-0000-0000-00001C120000}"/>
    <cellStyle name="20% - Accent3 3 2 2 3 2" xfId="1211" xr:uid="{00000000-0005-0000-0000-00001D120000}"/>
    <cellStyle name="20% - Accent3 3 2 2 3 2 2" xfId="14794" xr:uid="{00000000-0005-0000-0000-00001E120000}"/>
    <cellStyle name="20% - Accent3 3 2 2 3 2 2 2" xfId="28343" xr:uid="{00000000-0005-0000-0000-00001F120000}"/>
    <cellStyle name="20% - Accent3 3 2 2 3 2 3" xfId="18534" xr:uid="{00000000-0005-0000-0000-000020120000}"/>
    <cellStyle name="20% - Accent3 3 2 2 3 3" xfId="10717" xr:uid="{00000000-0005-0000-0000-000021120000}"/>
    <cellStyle name="20% - Accent3 3 2 2 3 3 2" xfId="24659" xr:uid="{00000000-0005-0000-0000-000022120000}"/>
    <cellStyle name="20% - Accent3 3 2 2 3 4" xfId="18533" xr:uid="{00000000-0005-0000-0000-000023120000}"/>
    <cellStyle name="20% - Accent3 3 2 2 4" xfId="1212" xr:uid="{00000000-0005-0000-0000-000024120000}"/>
    <cellStyle name="20% - Accent3 3 2 2 4 2" xfId="12330" xr:uid="{00000000-0005-0000-0000-000025120000}"/>
    <cellStyle name="20% - Accent3 3 2 2 4 2 2" xfId="26042" xr:uid="{00000000-0005-0000-0000-000026120000}"/>
    <cellStyle name="20% - Accent3 3 2 2 4 3" xfId="18535" xr:uid="{00000000-0005-0000-0000-000027120000}"/>
    <cellStyle name="20% - Accent3 3 2 2 5" xfId="1213" xr:uid="{00000000-0005-0000-0000-000028120000}"/>
    <cellStyle name="20% - Accent3 3 2 2 5 2" xfId="12692" xr:uid="{00000000-0005-0000-0000-000029120000}"/>
    <cellStyle name="20% - Accent3 3 2 2 5 2 2" xfId="26404" xr:uid="{00000000-0005-0000-0000-00002A120000}"/>
    <cellStyle name="20% - Accent3 3 2 2 5 3" xfId="18536" xr:uid="{00000000-0005-0000-0000-00002B120000}"/>
    <cellStyle name="20% - Accent3 3 2 2 6" xfId="1214" xr:uid="{00000000-0005-0000-0000-00002C120000}"/>
    <cellStyle name="20% - Accent3 3 2 2 6 2" xfId="13894" xr:uid="{00000000-0005-0000-0000-00002D120000}"/>
    <cellStyle name="20% - Accent3 3 2 2 6 2 2" xfId="27443" xr:uid="{00000000-0005-0000-0000-00002E120000}"/>
    <cellStyle name="20% - Accent3 3 2 2 6 3" xfId="18537" xr:uid="{00000000-0005-0000-0000-00002F120000}"/>
    <cellStyle name="20% - Accent3 3 2 2 7" xfId="1215" xr:uid="{00000000-0005-0000-0000-000030120000}"/>
    <cellStyle name="20% - Accent3 3 2 2 7 2" xfId="14475" xr:uid="{00000000-0005-0000-0000-000031120000}"/>
    <cellStyle name="20% - Accent3 3 2 2 7 2 2" xfId="28024" xr:uid="{00000000-0005-0000-0000-000032120000}"/>
    <cellStyle name="20% - Accent3 3 2 2 7 3" xfId="18538" xr:uid="{00000000-0005-0000-0000-000033120000}"/>
    <cellStyle name="20% - Accent3 3 2 2 8" xfId="1216" xr:uid="{00000000-0005-0000-0000-000034120000}"/>
    <cellStyle name="20% - Accent3 3 2 2 8 2" xfId="14792" xr:uid="{00000000-0005-0000-0000-000035120000}"/>
    <cellStyle name="20% - Accent3 3 2 2 8 2 2" xfId="28341" xr:uid="{00000000-0005-0000-0000-000036120000}"/>
    <cellStyle name="20% - Accent3 3 2 2 8 3" xfId="18539" xr:uid="{00000000-0005-0000-0000-000037120000}"/>
    <cellStyle name="20% - Accent3 3 2 2 9" xfId="1217" xr:uid="{00000000-0005-0000-0000-000038120000}"/>
    <cellStyle name="20% - Accent3 3 2 2 9 2" xfId="16361" xr:uid="{00000000-0005-0000-0000-000039120000}"/>
    <cellStyle name="20% - Accent3 3 2 2 9 2 2" xfId="29768" xr:uid="{00000000-0005-0000-0000-00003A120000}"/>
    <cellStyle name="20% - Accent3 3 2 2 9 3" xfId="18540" xr:uid="{00000000-0005-0000-0000-00003B120000}"/>
    <cellStyle name="20% - Accent3 3 2 3" xfId="1218" xr:uid="{00000000-0005-0000-0000-00003C120000}"/>
    <cellStyle name="20% - Accent3 3 2 3 2" xfId="1219" xr:uid="{00000000-0005-0000-0000-00003D120000}"/>
    <cellStyle name="20% - Accent3 3 2 3 2 2" xfId="10719" xr:uid="{00000000-0005-0000-0000-00003E120000}"/>
    <cellStyle name="20% - Accent3 3 2 3 2 2 2" xfId="24661" xr:uid="{00000000-0005-0000-0000-00003F120000}"/>
    <cellStyle name="20% - Accent3 3 2 3 2 3" xfId="18542" xr:uid="{00000000-0005-0000-0000-000040120000}"/>
    <cellStyle name="20% - Accent3 3 2 3 3" xfId="1220" xr:uid="{00000000-0005-0000-0000-000041120000}"/>
    <cellStyle name="20% - Accent3 3 2 3 3 2" xfId="12561" xr:uid="{00000000-0005-0000-0000-000042120000}"/>
    <cellStyle name="20% - Accent3 3 2 3 3 2 2" xfId="26273" xr:uid="{00000000-0005-0000-0000-000043120000}"/>
    <cellStyle name="20% - Accent3 3 2 3 3 3" xfId="18543" xr:uid="{00000000-0005-0000-0000-000044120000}"/>
    <cellStyle name="20% - Accent3 3 2 3 4" xfId="1221" xr:uid="{00000000-0005-0000-0000-000045120000}"/>
    <cellStyle name="20% - Accent3 3 2 3 4 2" xfId="14795" xr:uid="{00000000-0005-0000-0000-000046120000}"/>
    <cellStyle name="20% - Accent3 3 2 3 4 2 2" xfId="28344" xr:uid="{00000000-0005-0000-0000-000047120000}"/>
    <cellStyle name="20% - Accent3 3 2 3 4 3" xfId="18544" xr:uid="{00000000-0005-0000-0000-000048120000}"/>
    <cellStyle name="20% - Accent3 3 2 3 5" xfId="1222" xr:uid="{00000000-0005-0000-0000-000049120000}"/>
    <cellStyle name="20% - Accent3 3 2 3 5 2" xfId="16653" xr:uid="{00000000-0005-0000-0000-00004A120000}"/>
    <cellStyle name="20% - Accent3 3 2 3 5 2 2" xfId="30060" xr:uid="{00000000-0005-0000-0000-00004B120000}"/>
    <cellStyle name="20% - Accent3 3 2 3 5 3" xfId="18545" xr:uid="{00000000-0005-0000-0000-00004C120000}"/>
    <cellStyle name="20% - Accent3 3 2 3 6" xfId="8994" xr:uid="{00000000-0005-0000-0000-00004D120000}"/>
    <cellStyle name="20% - Accent3 3 2 3 6 2" xfId="23469" xr:uid="{00000000-0005-0000-0000-00004E120000}"/>
    <cellStyle name="20% - Accent3 3 2 3 7" xfId="18541" xr:uid="{00000000-0005-0000-0000-00004F120000}"/>
    <cellStyle name="20% - Accent3 3 2 4" xfId="1223" xr:uid="{00000000-0005-0000-0000-000050120000}"/>
    <cellStyle name="20% - Accent3 3 2 4 2" xfId="1224" xr:uid="{00000000-0005-0000-0000-000051120000}"/>
    <cellStyle name="20% - Accent3 3 2 4 2 2" xfId="14796" xr:uid="{00000000-0005-0000-0000-000052120000}"/>
    <cellStyle name="20% - Accent3 3 2 4 2 2 2" xfId="28345" xr:uid="{00000000-0005-0000-0000-000053120000}"/>
    <cellStyle name="20% - Accent3 3 2 4 2 3" xfId="18547" xr:uid="{00000000-0005-0000-0000-000054120000}"/>
    <cellStyle name="20% - Accent3 3 2 4 3" xfId="10716" xr:uid="{00000000-0005-0000-0000-000055120000}"/>
    <cellStyle name="20% - Accent3 3 2 4 3 2" xfId="24658" xr:uid="{00000000-0005-0000-0000-000056120000}"/>
    <cellStyle name="20% - Accent3 3 2 4 4" xfId="18546" xr:uid="{00000000-0005-0000-0000-000057120000}"/>
    <cellStyle name="20% - Accent3 3 2 5" xfId="1225" xr:uid="{00000000-0005-0000-0000-000058120000}"/>
    <cellStyle name="20% - Accent3 3 2 5 2" xfId="12030" xr:uid="{00000000-0005-0000-0000-000059120000}"/>
    <cellStyle name="20% - Accent3 3 2 5 2 2" xfId="25745" xr:uid="{00000000-0005-0000-0000-00005A120000}"/>
    <cellStyle name="20% - Accent3 3 2 5 3" xfId="18548" xr:uid="{00000000-0005-0000-0000-00005B120000}"/>
    <cellStyle name="20% - Accent3 3 2 6" xfId="1226" xr:uid="{00000000-0005-0000-0000-00005C120000}"/>
    <cellStyle name="20% - Accent3 3 2 6 2" xfId="12471" xr:uid="{00000000-0005-0000-0000-00005D120000}"/>
    <cellStyle name="20% - Accent3 3 2 6 2 2" xfId="26183" xr:uid="{00000000-0005-0000-0000-00005E120000}"/>
    <cellStyle name="20% - Accent3 3 2 6 3" xfId="18549" xr:uid="{00000000-0005-0000-0000-00005F120000}"/>
    <cellStyle name="20% - Accent3 3 2 7" xfId="1227" xr:uid="{00000000-0005-0000-0000-000060120000}"/>
    <cellStyle name="20% - Accent3 3 2 7 2" xfId="13605" xr:uid="{00000000-0005-0000-0000-000061120000}"/>
    <cellStyle name="20% - Accent3 3 2 7 2 2" xfId="27154" xr:uid="{00000000-0005-0000-0000-000062120000}"/>
    <cellStyle name="20% - Accent3 3 2 7 3" xfId="18550" xr:uid="{00000000-0005-0000-0000-000063120000}"/>
    <cellStyle name="20% - Accent3 3 2 8" xfId="1228" xr:uid="{00000000-0005-0000-0000-000064120000}"/>
    <cellStyle name="20% - Accent3 3 2 8 2" xfId="14186" xr:uid="{00000000-0005-0000-0000-000065120000}"/>
    <cellStyle name="20% - Accent3 3 2 8 2 2" xfId="27735" xr:uid="{00000000-0005-0000-0000-000066120000}"/>
    <cellStyle name="20% - Accent3 3 2 8 3" xfId="18551" xr:uid="{00000000-0005-0000-0000-000067120000}"/>
    <cellStyle name="20% - Accent3 3 2 9" xfId="1229" xr:uid="{00000000-0005-0000-0000-000068120000}"/>
    <cellStyle name="20% - Accent3 3 2 9 2" xfId="14791" xr:uid="{00000000-0005-0000-0000-000069120000}"/>
    <cellStyle name="20% - Accent3 3 2 9 2 2" xfId="28340" xr:uid="{00000000-0005-0000-0000-00006A120000}"/>
    <cellStyle name="20% - Accent3 3 2 9 3" xfId="18552" xr:uid="{00000000-0005-0000-0000-00006B120000}"/>
    <cellStyle name="20% - Accent3 3 3" xfId="1230" xr:uid="{00000000-0005-0000-0000-00006C120000}"/>
    <cellStyle name="20% - Accent3 3 3 10" xfId="8995" xr:uid="{00000000-0005-0000-0000-00006D120000}"/>
    <cellStyle name="20% - Accent3 3 3 10 2" xfId="23470" xr:uid="{00000000-0005-0000-0000-00006E120000}"/>
    <cellStyle name="20% - Accent3 3 3 11" xfId="18553" xr:uid="{00000000-0005-0000-0000-00006F120000}"/>
    <cellStyle name="20% - Accent3 3 3 2" xfId="1231" xr:uid="{00000000-0005-0000-0000-000070120000}"/>
    <cellStyle name="20% - Accent3 3 3 2 2" xfId="1232" xr:uid="{00000000-0005-0000-0000-000071120000}"/>
    <cellStyle name="20% - Accent3 3 3 2 2 2" xfId="10721" xr:uid="{00000000-0005-0000-0000-000072120000}"/>
    <cellStyle name="20% - Accent3 3 3 2 2 2 2" xfId="24663" xr:uid="{00000000-0005-0000-0000-000073120000}"/>
    <cellStyle name="20% - Accent3 3 3 2 2 3" xfId="18555" xr:uid="{00000000-0005-0000-0000-000074120000}"/>
    <cellStyle name="20% - Accent3 3 3 2 3" xfId="1233" xr:uid="{00000000-0005-0000-0000-000075120000}"/>
    <cellStyle name="20% - Accent3 3 3 2 3 2" xfId="12641" xr:uid="{00000000-0005-0000-0000-000076120000}"/>
    <cellStyle name="20% - Accent3 3 3 2 3 2 2" xfId="26353" xr:uid="{00000000-0005-0000-0000-000077120000}"/>
    <cellStyle name="20% - Accent3 3 3 2 3 3" xfId="18556" xr:uid="{00000000-0005-0000-0000-000078120000}"/>
    <cellStyle name="20% - Accent3 3 3 2 4" xfId="1234" xr:uid="{00000000-0005-0000-0000-000079120000}"/>
    <cellStyle name="20% - Accent3 3 3 2 4 2" xfId="14798" xr:uid="{00000000-0005-0000-0000-00007A120000}"/>
    <cellStyle name="20% - Accent3 3 3 2 4 2 2" xfId="28347" xr:uid="{00000000-0005-0000-0000-00007B120000}"/>
    <cellStyle name="20% - Accent3 3 3 2 4 3" xfId="18557" xr:uid="{00000000-0005-0000-0000-00007C120000}"/>
    <cellStyle name="20% - Accent3 3 3 2 5" xfId="1235" xr:uid="{00000000-0005-0000-0000-00007D120000}"/>
    <cellStyle name="20% - Accent3 3 3 2 5 2" xfId="16799" xr:uid="{00000000-0005-0000-0000-00007E120000}"/>
    <cellStyle name="20% - Accent3 3 3 2 5 2 2" xfId="30206" xr:uid="{00000000-0005-0000-0000-00007F120000}"/>
    <cellStyle name="20% - Accent3 3 3 2 5 3" xfId="18558" xr:uid="{00000000-0005-0000-0000-000080120000}"/>
    <cellStyle name="20% - Accent3 3 3 2 6" xfId="8996" xr:uid="{00000000-0005-0000-0000-000081120000}"/>
    <cellStyle name="20% - Accent3 3 3 2 6 2" xfId="23471" xr:uid="{00000000-0005-0000-0000-000082120000}"/>
    <cellStyle name="20% - Accent3 3 3 2 7" xfId="18554" xr:uid="{00000000-0005-0000-0000-000083120000}"/>
    <cellStyle name="20% - Accent3 3 3 3" xfId="1236" xr:uid="{00000000-0005-0000-0000-000084120000}"/>
    <cellStyle name="20% - Accent3 3 3 3 2" xfId="1237" xr:uid="{00000000-0005-0000-0000-000085120000}"/>
    <cellStyle name="20% - Accent3 3 3 3 2 2" xfId="14799" xr:uid="{00000000-0005-0000-0000-000086120000}"/>
    <cellStyle name="20% - Accent3 3 3 3 2 2 2" xfId="28348" xr:uid="{00000000-0005-0000-0000-000087120000}"/>
    <cellStyle name="20% - Accent3 3 3 3 2 3" xfId="18560" xr:uid="{00000000-0005-0000-0000-000088120000}"/>
    <cellStyle name="20% - Accent3 3 3 3 3" xfId="10720" xr:uid="{00000000-0005-0000-0000-000089120000}"/>
    <cellStyle name="20% - Accent3 3 3 3 3 2" xfId="24662" xr:uid="{00000000-0005-0000-0000-00008A120000}"/>
    <cellStyle name="20% - Accent3 3 3 3 4" xfId="18559" xr:uid="{00000000-0005-0000-0000-00008B120000}"/>
    <cellStyle name="20% - Accent3 3 3 4" xfId="1238" xr:uid="{00000000-0005-0000-0000-00008C120000}"/>
    <cellStyle name="20% - Accent3 3 3 4 2" xfId="12187" xr:uid="{00000000-0005-0000-0000-00008D120000}"/>
    <cellStyle name="20% - Accent3 3 3 4 2 2" xfId="25899" xr:uid="{00000000-0005-0000-0000-00008E120000}"/>
    <cellStyle name="20% - Accent3 3 3 4 3" xfId="18561" xr:uid="{00000000-0005-0000-0000-00008F120000}"/>
    <cellStyle name="20% - Accent3 3 3 5" xfId="1239" xr:uid="{00000000-0005-0000-0000-000090120000}"/>
    <cellStyle name="20% - Accent3 3 3 5 2" xfId="12691" xr:uid="{00000000-0005-0000-0000-000091120000}"/>
    <cellStyle name="20% - Accent3 3 3 5 2 2" xfId="26403" xr:uid="{00000000-0005-0000-0000-000092120000}"/>
    <cellStyle name="20% - Accent3 3 3 5 3" xfId="18562" xr:uid="{00000000-0005-0000-0000-000093120000}"/>
    <cellStyle name="20% - Accent3 3 3 6" xfId="1240" xr:uid="{00000000-0005-0000-0000-000094120000}"/>
    <cellStyle name="20% - Accent3 3 3 6 2" xfId="13751" xr:uid="{00000000-0005-0000-0000-000095120000}"/>
    <cellStyle name="20% - Accent3 3 3 6 2 2" xfId="27300" xr:uid="{00000000-0005-0000-0000-000096120000}"/>
    <cellStyle name="20% - Accent3 3 3 6 3" xfId="18563" xr:uid="{00000000-0005-0000-0000-000097120000}"/>
    <cellStyle name="20% - Accent3 3 3 7" xfId="1241" xr:uid="{00000000-0005-0000-0000-000098120000}"/>
    <cellStyle name="20% - Accent3 3 3 7 2" xfId="14332" xr:uid="{00000000-0005-0000-0000-000099120000}"/>
    <cellStyle name="20% - Accent3 3 3 7 2 2" xfId="27881" xr:uid="{00000000-0005-0000-0000-00009A120000}"/>
    <cellStyle name="20% - Accent3 3 3 7 3" xfId="18564" xr:uid="{00000000-0005-0000-0000-00009B120000}"/>
    <cellStyle name="20% - Accent3 3 3 8" xfId="1242" xr:uid="{00000000-0005-0000-0000-00009C120000}"/>
    <cellStyle name="20% - Accent3 3 3 8 2" xfId="14797" xr:uid="{00000000-0005-0000-0000-00009D120000}"/>
    <cellStyle name="20% - Accent3 3 3 8 2 2" xfId="28346" xr:uid="{00000000-0005-0000-0000-00009E120000}"/>
    <cellStyle name="20% - Accent3 3 3 8 3" xfId="18565" xr:uid="{00000000-0005-0000-0000-00009F120000}"/>
    <cellStyle name="20% - Accent3 3 3 9" xfId="1243" xr:uid="{00000000-0005-0000-0000-0000A0120000}"/>
    <cellStyle name="20% - Accent3 3 3 9 2" xfId="16218" xr:uid="{00000000-0005-0000-0000-0000A1120000}"/>
    <cellStyle name="20% - Accent3 3 3 9 2 2" xfId="29625" xr:uid="{00000000-0005-0000-0000-0000A2120000}"/>
    <cellStyle name="20% - Accent3 3 3 9 3" xfId="18566" xr:uid="{00000000-0005-0000-0000-0000A3120000}"/>
    <cellStyle name="20% - Accent3 3 4" xfId="1244" xr:uid="{00000000-0005-0000-0000-0000A4120000}"/>
    <cellStyle name="20% - Accent3 3 4 2" xfId="1245" xr:uid="{00000000-0005-0000-0000-0000A5120000}"/>
    <cellStyle name="20% - Accent3 3 4 2 2" xfId="10722" xr:uid="{00000000-0005-0000-0000-0000A6120000}"/>
    <cellStyle name="20% - Accent3 3 4 2 2 2" xfId="24664" xr:uid="{00000000-0005-0000-0000-0000A7120000}"/>
    <cellStyle name="20% - Accent3 3 4 2 3" xfId="18568" xr:uid="{00000000-0005-0000-0000-0000A8120000}"/>
    <cellStyle name="20% - Accent3 3 4 3" xfId="1246" xr:uid="{00000000-0005-0000-0000-0000A9120000}"/>
    <cellStyle name="20% - Accent3 3 4 3 2" xfId="12432" xr:uid="{00000000-0005-0000-0000-0000AA120000}"/>
    <cellStyle name="20% - Accent3 3 4 3 2 2" xfId="26144" xr:uid="{00000000-0005-0000-0000-0000AB120000}"/>
    <cellStyle name="20% - Accent3 3 4 3 3" xfId="18569" xr:uid="{00000000-0005-0000-0000-0000AC120000}"/>
    <cellStyle name="20% - Accent3 3 4 4" xfId="1247" xr:uid="{00000000-0005-0000-0000-0000AD120000}"/>
    <cellStyle name="20% - Accent3 3 4 4 2" xfId="14800" xr:uid="{00000000-0005-0000-0000-0000AE120000}"/>
    <cellStyle name="20% - Accent3 3 4 4 2 2" xfId="28349" xr:uid="{00000000-0005-0000-0000-0000AF120000}"/>
    <cellStyle name="20% - Accent3 3 4 4 3" xfId="18570" xr:uid="{00000000-0005-0000-0000-0000B0120000}"/>
    <cellStyle name="20% - Accent3 3 4 5" xfId="1248" xr:uid="{00000000-0005-0000-0000-0000B1120000}"/>
    <cellStyle name="20% - Accent3 3 4 5 2" xfId="17146" xr:uid="{00000000-0005-0000-0000-0000B2120000}"/>
    <cellStyle name="20% - Accent3 3 4 5 2 2" xfId="30505" xr:uid="{00000000-0005-0000-0000-0000B3120000}"/>
    <cellStyle name="20% - Accent3 3 4 5 3" xfId="18571" xr:uid="{00000000-0005-0000-0000-0000B4120000}"/>
    <cellStyle name="20% - Accent3 3 4 6" xfId="8997" xr:uid="{00000000-0005-0000-0000-0000B5120000}"/>
    <cellStyle name="20% - Accent3 3 4 6 2" xfId="23472" xr:uid="{00000000-0005-0000-0000-0000B6120000}"/>
    <cellStyle name="20% - Accent3 3 4 7" xfId="18567" xr:uid="{00000000-0005-0000-0000-0000B7120000}"/>
    <cellStyle name="20% - Accent3 3 5" xfId="1249" xr:uid="{00000000-0005-0000-0000-0000B8120000}"/>
    <cellStyle name="20% - Accent3 3 5 2" xfId="1250" xr:uid="{00000000-0005-0000-0000-0000B9120000}"/>
    <cellStyle name="20% - Accent3 3 5 2 2" xfId="10723" xr:uid="{00000000-0005-0000-0000-0000BA120000}"/>
    <cellStyle name="20% - Accent3 3 5 2 2 2" xfId="24665" xr:uid="{00000000-0005-0000-0000-0000BB120000}"/>
    <cellStyle name="20% - Accent3 3 5 2 3" xfId="18573" xr:uid="{00000000-0005-0000-0000-0000BC120000}"/>
    <cellStyle name="20% - Accent3 3 5 3" xfId="1251" xr:uid="{00000000-0005-0000-0000-0000BD120000}"/>
    <cellStyle name="20% - Accent3 3 5 3 2" xfId="12462" xr:uid="{00000000-0005-0000-0000-0000BE120000}"/>
    <cellStyle name="20% - Accent3 3 5 3 2 2" xfId="26174" xr:uid="{00000000-0005-0000-0000-0000BF120000}"/>
    <cellStyle name="20% - Accent3 3 5 3 3" xfId="18574" xr:uid="{00000000-0005-0000-0000-0000C0120000}"/>
    <cellStyle name="20% - Accent3 3 5 4" xfId="1252" xr:uid="{00000000-0005-0000-0000-0000C1120000}"/>
    <cellStyle name="20% - Accent3 3 5 4 2" xfId="14801" xr:uid="{00000000-0005-0000-0000-0000C2120000}"/>
    <cellStyle name="20% - Accent3 3 5 4 2 2" xfId="28350" xr:uid="{00000000-0005-0000-0000-0000C3120000}"/>
    <cellStyle name="20% - Accent3 3 5 4 3" xfId="18575" xr:uid="{00000000-0005-0000-0000-0000C4120000}"/>
    <cellStyle name="20% - Accent3 3 5 5" xfId="1253" xr:uid="{00000000-0005-0000-0000-0000C5120000}"/>
    <cellStyle name="20% - Accent3 3 5 5 2" xfId="17235" xr:uid="{00000000-0005-0000-0000-0000C6120000}"/>
    <cellStyle name="20% - Accent3 3 5 5 2 2" xfId="30594" xr:uid="{00000000-0005-0000-0000-0000C7120000}"/>
    <cellStyle name="20% - Accent3 3 5 5 3" xfId="18576" xr:uid="{00000000-0005-0000-0000-0000C8120000}"/>
    <cellStyle name="20% - Accent3 3 5 6" xfId="8998" xr:uid="{00000000-0005-0000-0000-0000C9120000}"/>
    <cellStyle name="20% - Accent3 3 5 6 2" xfId="23473" xr:uid="{00000000-0005-0000-0000-0000CA120000}"/>
    <cellStyle name="20% - Accent3 3 5 7" xfId="18572" xr:uid="{00000000-0005-0000-0000-0000CB120000}"/>
    <cellStyle name="20% - Accent3 3 6" xfId="1254" xr:uid="{00000000-0005-0000-0000-0000CC120000}"/>
    <cellStyle name="20% - Accent3 3 6 2" xfId="1255" xr:uid="{00000000-0005-0000-0000-0000CD120000}"/>
    <cellStyle name="20% - Accent3 3 6 2 2" xfId="14802" xr:uid="{00000000-0005-0000-0000-0000CE120000}"/>
    <cellStyle name="20% - Accent3 3 6 2 2 2" xfId="28351" xr:uid="{00000000-0005-0000-0000-0000CF120000}"/>
    <cellStyle name="20% - Accent3 3 6 2 3" xfId="18578" xr:uid="{00000000-0005-0000-0000-0000D0120000}"/>
    <cellStyle name="20% - Accent3 3 6 3" xfId="1256" xr:uid="{00000000-0005-0000-0000-0000D1120000}"/>
    <cellStyle name="20% - Accent3 3 6 3 2" xfId="16510" xr:uid="{00000000-0005-0000-0000-0000D2120000}"/>
    <cellStyle name="20% - Accent3 3 6 3 2 2" xfId="29917" xr:uid="{00000000-0005-0000-0000-0000D3120000}"/>
    <cellStyle name="20% - Accent3 3 6 3 3" xfId="18579" xr:uid="{00000000-0005-0000-0000-0000D4120000}"/>
    <cellStyle name="20% - Accent3 3 6 4" xfId="10715" xr:uid="{00000000-0005-0000-0000-0000D5120000}"/>
    <cellStyle name="20% - Accent3 3 6 4 2" xfId="24657" xr:uid="{00000000-0005-0000-0000-0000D6120000}"/>
    <cellStyle name="20% - Accent3 3 6 5" xfId="18577" xr:uid="{00000000-0005-0000-0000-0000D7120000}"/>
    <cellStyle name="20% - Accent3 3 7" xfId="1257" xr:uid="{00000000-0005-0000-0000-0000D8120000}"/>
    <cellStyle name="20% - Accent3 3 7 2" xfId="11882" xr:uid="{00000000-0005-0000-0000-0000D9120000}"/>
    <cellStyle name="20% - Accent3 3 7 2 2" xfId="25597" xr:uid="{00000000-0005-0000-0000-0000DA120000}"/>
    <cellStyle name="20% - Accent3 3 7 3" xfId="18580" xr:uid="{00000000-0005-0000-0000-0000DB120000}"/>
    <cellStyle name="20% - Accent3 3 8" xfId="1258" xr:uid="{00000000-0005-0000-0000-0000DC120000}"/>
    <cellStyle name="20% - Accent3 3 8 2" xfId="12688" xr:uid="{00000000-0005-0000-0000-0000DD120000}"/>
    <cellStyle name="20% - Accent3 3 8 2 2" xfId="26400" xr:uid="{00000000-0005-0000-0000-0000DE120000}"/>
    <cellStyle name="20% - Accent3 3 8 3" xfId="18581" xr:uid="{00000000-0005-0000-0000-0000DF120000}"/>
    <cellStyle name="20% - Accent3 3 9" xfId="1259" xr:uid="{00000000-0005-0000-0000-0000E0120000}"/>
    <cellStyle name="20% - Accent3 3 9 2" xfId="13462" xr:uid="{00000000-0005-0000-0000-0000E1120000}"/>
    <cellStyle name="20% - Accent3 3 9 2 2" xfId="27011" xr:uid="{00000000-0005-0000-0000-0000E2120000}"/>
    <cellStyle name="20% - Accent3 3 9 3" xfId="18582" xr:uid="{00000000-0005-0000-0000-0000E3120000}"/>
    <cellStyle name="20% - Accent3 30" xfId="23253" xr:uid="{00000000-0005-0000-0000-0000E4120000}"/>
    <cellStyle name="20% - Accent3 4" xfId="1260" xr:uid="{00000000-0005-0000-0000-0000E5120000}"/>
    <cellStyle name="20% - Accent3 4 10" xfId="1261" xr:uid="{00000000-0005-0000-0000-0000E6120000}"/>
    <cellStyle name="20% - Accent3 4 10 2" xfId="14803" xr:uid="{00000000-0005-0000-0000-0000E7120000}"/>
    <cellStyle name="20% - Accent3 4 10 2 2" xfId="28352" xr:uid="{00000000-0005-0000-0000-0000E8120000}"/>
    <cellStyle name="20% - Accent3 4 10 3" xfId="18584" xr:uid="{00000000-0005-0000-0000-0000E9120000}"/>
    <cellStyle name="20% - Accent3 4 11" xfId="1262" xr:uid="{00000000-0005-0000-0000-0000EA120000}"/>
    <cellStyle name="20% - Accent3 4 11 2" xfId="15881" xr:uid="{00000000-0005-0000-0000-0000EB120000}"/>
    <cellStyle name="20% - Accent3 4 11 2 2" xfId="29288" xr:uid="{00000000-0005-0000-0000-0000EC120000}"/>
    <cellStyle name="20% - Accent3 4 11 3" xfId="18585" xr:uid="{00000000-0005-0000-0000-0000ED120000}"/>
    <cellStyle name="20% - Accent3 4 12" xfId="8999" xr:uid="{00000000-0005-0000-0000-0000EE120000}"/>
    <cellStyle name="20% - Accent3 4 12 2" xfId="23474" xr:uid="{00000000-0005-0000-0000-0000EF120000}"/>
    <cellStyle name="20% - Accent3 4 13" xfId="18583" xr:uid="{00000000-0005-0000-0000-0000F0120000}"/>
    <cellStyle name="20% - Accent3 4 2" xfId="1263" xr:uid="{00000000-0005-0000-0000-0000F1120000}"/>
    <cellStyle name="20% - Accent3 4 2 10" xfId="1264" xr:uid="{00000000-0005-0000-0000-0000F2120000}"/>
    <cellStyle name="20% - Accent3 4 2 10 2" xfId="16024" xr:uid="{00000000-0005-0000-0000-0000F3120000}"/>
    <cellStyle name="20% - Accent3 4 2 10 2 2" xfId="29431" xr:uid="{00000000-0005-0000-0000-0000F4120000}"/>
    <cellStyle name="20% - Accent3 4 2 10 3" xfId="18587" xr:uid="{00000000-0005-0000-0000-0000F5120000}"/>
    <cellStyle name="20% - Accent3 4 2 11" xfId="9000" xr:uid="{00000000-0005-0000-0000-0000F6120000}"/>
    <cellStyle name="20% - Accent3 4 2 11 2" xfId="23475" xr:uid="{00000000-0005-0000-0000-0000F7120000}"/>
    <cellStyle name="20% - Accent3 4 2 12" xfId="18586" xr:uid="{00000000-0005-0000-0000-0000F8120000}"/>
    <cellStyle name="20% - Accent3 4 2 2" xfId="1265" xr:uid="{00000000-0005-0000-0000-0000F9120000}"/>
    <cellStyle name="20% - Accent3 4 2 2 10" xfId="9001" xr:uid="{00000000-0005-0000-0000-0000FA120000}"/>
    <cellStyle name="20% - Accent3 4 2 2 10 2" xfId="23476" xr:uid="{00000000-0005-0000-0000-0000FB120000}"/>
    <cellStyle name="20% - Accent3 4 2 2 11" xfId="18588" xr:uid="{00000000-0005-0000-0000-0000FC120000}"/>
    <cellStyle name="20% - Accent3 4 2 2 2" xfId="1266" xr:uid="{00000000-0005-0000-0000-0000FD120000}"/>
    <cellStyle name="20% - Accent3 4 2 2 2 2" xfId="1267" xr:uid="{00000000-0005-0000-0000-0000FE120000}"/>
    <cellStyle name="20% - Accent3 4 2 2 2 2 2" xfId="10727" xr:uid="{00000000-0005-0000-0000-0000FF120000}"/>
    <cellStyle name="20% - Accent3 4 2 2 2 2 2 2" xfId="24669" xr:uid="{00000000-0005-0000-0000-000000130000}"/>
    <cellStyle name="20% - Accent3 4 2 2 2 2 3" xfId="18590" xr:uid="{00000000-0005-0000-0000-000001130000}"/>
    <cellStyle name="20% - Accent3 4 2 2 2 3" xfId="1268" xr:uid="{00000000-0005-0000-0000-000002130000}"/>
    <cellStyle name="20% - Accent3 4 2 2 2 3 2" xfId="11755" xr:uid="{00000000-0005-0000-0000-000003130000}"/>
    <cellStyle name="20% - Accent3 4 2 2 2 3 2 2" xfId="25470" xr:uid="{00000000-0005-0000-0000-000004130000}"/>
    <cellStyle name="20% - Accent3 4 2 2 2 3 3" xfId="18591" xr:uid="{00000000-0005-0000-0000-000005130000}"/>
    <cellStyle name="20% - Accent3 4 2 2 2 4" xfId="1269" xr:uid="{00000000-0005-0000-0000-000006130000}"/>
    <cellStyle name="20% - Accent3 4 2 2 2 4 2" xfId="14806" xr:uid="{00000000-0005-0000-0000-000007130000}"/>
    <cellStyle name="20% - Accent3 4 2 2 2 4 2 2" xfId="28355" xr:uid="{00000000-0005-0000-0000-000008130000}"/>
    <cellStyle name="20% - Accent3 4 2 2 2 4 3" xfId="18592" xr:uid="{00000000-0005-0000-0000-000009130000}"/>
    <cellStyle name="20% - Accent3 4 2 2 2 5" xfId="1270" xr:uid="{00000000-0005-0000-0000-00000A130000}"/>
    <cellStyle name="20% - Accent3 4 2 2 2 5 2" xfId="16894" xr:uid="{00000000-0005-0000-0000-00000B130000}"/>
    <cellStyle name="20% - Accent3 4 2 2 2 5 2 2" xfId="30301" xr:uid="{00000000-0005-0000-0000-00000C130000}"/>
    <cellStyle name="20% - Accent3 4 2 2 2 5 3" xfId="18593" xr:uid="{00000000-0005-0000-0000-00000D130000}"/>
    <cellStyle name="20% - Accent3 4 2 2 2 6" xfId="9002" xr:uid="{00000000-0005-0000-0000-00000E130000}"/>
    <cellStyle name="20% - Accent3 4 2 2 2 6 2" xfId="23477" xr:uid="{00000000-0005-0000-0000-00000F130000}"/>
    <cellStyle name="20% - Accent3 4 2 2 2 7" xfId="18589" xr:uid="{00000000-0005-0000-0000-000010130000}"/>
    <cellStyle name="20% - Accent3 4 2 2 3" xfId="1271" xr:uid="{00000000-0005-0000-0000-000011130000}"/>
    <cellStyle name="20% - Accent3 4 2 2 3 2" xfId="1272" xr:uid="{00000000-0005-0000-0000-000012130000}"/>
    <cellStyle name="20% - Accent3 4 2 2 3 2 2" xfId="14807" xr:uid="{00000000-0005-0000-0000-000013130000}"/>
    <cellStyle name="20% - Accent3 4 2 2 3 2 2 2" xfId="28356" xr:uid="{00000000-0005-0000-0000-000014130000}"/>
    <cellStyle name="20% - Accent3 4 2 2 3 2 3" xfId="18595" xr:uid="{00000000-0005-0000-0000-000015130000}"/>
    <cellStyle name="20% - Accent3 4 2 2 3 3" xfId="10726" xr:uid="{00000000-0005-0000-0000-000016130000}"/>
    <cellStyle name="20% - Accent3 4 2 2 3 3 2" xfId="24668" xr:uid="{00000000-0005-0000-0000-000017130000}"/>
    <cellStyle name="20% - Accent3 4 2 2 3 4" xfId="18594" xr:uid="{00000000-0005-0000-0000-000018130000}"/>
    <cellStyle name="20% - Accent3 4 2 2 4" xfId="1273" xr:uid="{00000000-0005-0000-0000-000019130000}"/>
    <cellStyle name="20% - Accent3 4 2 2 4 2" xfId="12282" xr:uid="{00000000-0005-0000-0000-00001A130000}"/>
    <cellStyle name="20% - Accent3 4 2 2 4 2 2" xfId="25994" xr:uid="{00000000-0005-0000-0000-00001B130000}"/>
    <cellStyle name="20% - Accent3 4 2 2 4 3" xfId="18596" xr:uid="{00000000-0005-0000-0000-00001C130000}"/>
    <cellStyle name="20% - Accent3 4 2 2 5" xfId="1274" xr:uid="{00000000-0005-0000-0000-00001D130000}"/>
    <cellStyle name="20% - Accent3 4 2 2 5 2" xfId="12627" xr:uid="{00000000-0005-0000-0000-00001E130000}"/>
    <cellStyle name="20% - Accent3 4 2 2 5 2 2" xfId="26339" xr:uid="{00000000-0005-0000-0000-00001F130000}"/>
    <cellStyle name="20% - Accent3 4 2 2 5 3" xfId="18597" xr:uid="{00000000-0005-0000-0000-000020130000}"/>
    <cellStyle name="20% - Accent3 4 2 2 6" xfId="1275" xr:uid="{00000000-0005-0000-0000-000021130000}"/>
    <cellStyle name="20% - Accent3 4 2 2 6 2" xfId="13846" xr:uid="{00000000-0005-0000-0000-000022130000}"/>
    <cellStyle name="20% - Accent3 4 2 2 6 2 2" xfId="27395" xr:uid="{00000000-0005-0000-0000-000023130000}"/>
    <cellStyle name="20% - Accent3 4 2 2 6 3" xfId="18598" xr:uid="{00000000-0005-0000-0000-000024130000}"/>
    <cellStyle name="20% - Accent3 4 2 2 7" xfId="1276" xr:uid="{00000000-0005-0000-0000-000025130000}"/>
    <cellStyle name="20% - Accent3 4 2 2 7 2" xfId="14427" xr:uid="{00000000-0005-0000-0000-000026130000}"/>
    <cellStyle name="20% - Accent3 4 2 2 7 2 2" xfId="27976" xr:uid="{00000000-0005-0000-0000-000027130000}"/>
    <cellStyle name="20% - Accent3 4 2 2 7 3" xfId="18599" xr:uid="{00000000-0005-0000-0000-000028130000}"/>
    <cellStyle name="20% - Accent3 4 2 2 8" xfId="1277" xr:uid="{00000000-0005-0000-0000-000029130000}"/>
    <cellStyle name="20% - Accent3 4 2 2 8 2" xfId="14805" xr:uid="{00000000-0005-0000-0000-00002A130000}"/>
    <cellStyle name="20% - Accent3 4 2 2 8 2 2" xfId="28354" xr:uid="{00000000-0005-0000-0000-00002B130000}"/>
    <cellStyle name="20% - Accent3 4 2 2 8 3" xfId="18600" xr:uid="{00000000-0005-0000-0000-00002C130000}"/>
    <cellStyle name="20% - Accent3 4 2 2 9" xfId="1278" xr:uid="{00000000-0005-0000-0000-00002D130000}"/>
    <cellStyle name="20% - Accent3 4 2 2 9 2" xfId="16313" xr:uid="{00000000-0005-0000-0000-00002E130000}"/>
    <cellStyle name="20% - Accent3 4 2 2 9 2 2" xfId="29720" xr:uid="{00000000-0005-0000-0000-00002F130000}"/>
    <cellStyle name="20% - Accent3 4 2 2 9 3" xfId="18601" xr:uid="{00000000-0005-0000-0000-000030130000}"/>
    <cellStyle name="20% - Accent3 4 2 3" xfId="1279" xr:uid="{00000000-0005-0000-0000-000031130000}"/>
    <cellStyle name="20% - Accent3 4 2 3 2" xfId="1280" xr:uid="{00000000-0005-0000-0000-000032130000}"/>
    <cellStyle name="20% - Accent3 4 2 3 2 2" xfId="10728" xr:uid="{00000000-0005-0000-0000-000033130000}"/>
    <cellStyle name="20% - Accent3 4 2 3 2 2 2" xfId="24670" xr:uid="{00000000-0005-0000-0000-000034130000}"/>
    <cellStyle name="20% - Accent3 4 2 3 2 3" xfId="18603" xr:uid="{00000000-0005-0000-0000-000035130000}"/>
    <cellStyle name="20% - Accent3 4 2 3 3" xfId="1281" xr:uid="{00000000-0005-0000-0000-000036130000}"/>
    <cellStyle name="20% - Accent3 4 2 3 3 2" xfId="12506" xr:uid="{00000000-0005-0000-0000-000037130000}"/>
    <cellStyle name="20% - Accent3 4 2 3 3 2 2" xfId="26218" xr:uid="{00000000-0005-0000-0000-000038130000}"/>
    <cellStyle name="20% - Accent3 4 2 3 3 3" xfId="18604" xr:uid="{00000000-0005-0000-0000-000039130000}"/>
    <cellStyle name="20% - Accent3 4 2 3 4" xfId="1282" xr:uid="{00000000-0005-0000-0000-00003A130000}"/>
    <cellStyle name="20% - Accent3 4 2 3 4 2" xfId="14808" xr:uid="{00000000-0005-0000-0000-00003B130000}"/>
    <cellStyle name="20% - Accent3 4 2 3 4 2 2" xfId="28357" xr:uid="{00000000-0005-0000-0000-00003C130000}"/>
    <cellStyle name="20% - Accent3 4 2 3 4 3" xfId="18605" xr:uid="{00000000-0005-0000-0000-00003D130000}"/>
    <cellStyle name="20% - Accent3 4 2 3 5" xfId="1283" xr:uid="{00000000-0005-0000-0000-00003E130000}"/>
    <cellStyle name="20% - Accent3 4 2 3 5 2" xfId="16605" xr:uid="{00000000-0005-0000-0000-00003F130000}"/>
    <cellStyle name="20% - Accent3 4 2 3 5 2 2" xfId="30012" xr:uid="{00000000-0005-0000-0000-000040130000}"/>
    <cellStyle name="20% - Accent3 4 2 3 5 3" xfId="18606" xr:uid="{00000000-0005-0000-0000-000041130000}"/>
    <cellStyle name="20% - Accent3 4 2 3 6" xfId="9003" xr:uid="{00000000-0005-0000-0000-000042130000}"/>
    <cellStyle name="20% - Accent3 4 2 3 6 2" xfId="23478" xr:uid="{00000000-0005-0000-0000-000043130000}"/>
    <cellStyle name="20% - Accent3 4 2 3 7" xfId="18602" xr:uid="{00000000-0005-0000-0000-000044130000}"/>
    <cellStyle name="20% - Accent3 4 2 4" xfId="1284" xr:uid="{00000000-0005-0000-0000-000045130000}"/>
    <cellStyle name="20% - Accent3 4 2 4 2" xfId="1285" xr:uid="{00000000-0005-0000-0000-000046130000}"/>
    <cellStyle name="20% - Accent3 4 2 4 2 2" xfId="14809" xr:uid="{00000000-0005-0000-0000-000047130000}"/>
    <cellStyle name="20% - Accent3 4 2 4 2 2 2" xfId="28358" xr:uid="{00000000-0005-0000-0000-000048130000}"/>
    <cellStyle name="20% - Accent3 4 2 4 2 3" xfId="18608" xr:uid="{00000000-0005-0000-0000-000049130000}"/>
    <cellStyle name="20% - Accent3 4 2 4 3" xfId="10725" xr:uid="{00000000-0005-0000-0000-00004A130000}"/>
    <cellStyle name="20% - Accent3 4 2 4 3 2" xfId="24667" xr:uid="{00000000-0005-0000-0000-00004B130000}"/>
    <cellStyle name="20% - Accent3 4 2 4 4" xfId="18607" xr:uid="{00000000-0005-0000-0000-00004C130000}"/>
    <cellStyle name="20% - Accent3 4 2 5" xfId="1286" xr:uid="{00000000-0005-0000-0000-00004D130000}"/>
    <cellStyle name="20% - Accent3 4 2 5 2" xfId="11982" xr:uid="{00000000-0005-0000-0000-00004E130000}"/>
    <cellStyle name="20% - Accent3 4 2 5 2 2" xfId="25697" xr:uid="{00000000-0005-0000-0000-00004F130000}"/>
    <cellStyle name="20% - Accent3 4 2 5 3" xfId="18609" xr:uid="{00000000-0005-0000-0000-000050130000}"/>
    <cellStyle name="20% - Accent3 4 2 6" xfId="1287" xr:uid="{00000000-0005-0000-0000-000051130000}"/>
    <cellStyle name="20% - Accent3 4 2 6 2" xfId="12736" xr:uid="{00000000-0005-0000-0000-000052130000}"/>
    <cellStyle name="20% - Accent3 4 2 6 2 2" xfId="26448" xr:uid="{00000000-0005-0000-0000-000053130000}"/>
    <cellStyle name="20% - Accent3 4 2 6 3" xfId="18610" xr:uid="{00000000-0005-0000-0000-000054130000}"/>
    <cellStyle name="20% - Accent3 4 2 7" xfId="1288" xr:uid="{00000000-0005-0000-0000-000055130000}"/>
    <cellStyle name="20% - Accent3 4 2 7 2" xfId="13557" xr:uid="{00000000-0005-0000-0000-000056130000}"/>
    <cellStyle name="20% - Accent3 4 2 7 2 2" xfId="27106" xr:uid="{00000000-0005-0000-0000-000057130000}"/>
    <cellStyle name="20% - Accent3 4 2 7 3" xfId="18611" xr:uid="{00000000-0005-0000-0000-000058130000}"/>
    <cellStyle name="20% - Accent3 4 2 8" xfId="1289" xr:uid="{00000000-0005-0000-0000-000059130000}"/>
    <cellStyle name="20% - Accent3 4 2 8 2" xfId="14138" xr:uid="{00000000-0005-0000-0000-00005A130000}"/>
    <cellStyle name="20% - Accent3 4 2 8 2 2" xfId="27687" xr:uid="{00000000-0005-0000-0000-00005B130000}"/>
    <cellStyle name="20% - Accent3 4 2 8 3" xfId="18612" xr:uid="{00000000-0005-0000-0000-00005C130000}"/>
    <cellStyle name="20% - Accent3 4 2 9" xfId="1290" xr:uid="{00000000-0005-0000-0000-00005D130000}"/>
    <cellStyle name="20% - Accent3 4 2 9 2" xfId="14804" xr:uid="{00000000-0005-0000-0000-00005E130000}"/>
    <cellStyle name="20% - Accent3 4 2 9 2 2" xfId="28353" xr:uid="{00000000-0005-0000-0000-00005F130000}"/>
    <cellStyle name="20% - Accent3 4 2 9 3" xfId="18613" xr:uid="{00000000-0005-0000-0000-000060130000}"/>
    <cellStyle name="20% - Accent3 4 3" xfId="1291" xr:uid="{00000000-0005-0000-0000-000061130000}"/>
    <cellStyle name="20% - Accent3 4 3 10" xfId="9004" xr:uid="{00000000-0005-0000-0000-000062130000}"/>
    <cellStyle name="20% - Accent3 4 3 10 2" xfId="23479" xr:uid="{00000000-0005-0000-0000-000063130000}"/>
    <cellStyle name="20% - Accent3 4 3 11" xfId="18614" xr:uid="{00000000-0005-0000-0000-000064130000}"/>
    <cellStyle name="20% - Accent3 4 3 2" xfId="1292" xr:uid="{00000000-0005-0000-0000-000065130000}"/>
    <cellStyle name="20% - Accent3 4 3 2 2" xfId="1293" xr:uid="{00000000-0005-0000-0000-000066130000}"/>
    <cellStyle name="20% - Accent3 4 3 2 2 2" xfId="10730" xr:uid="{00000000-0005-0000-0000-000067130000}"/>
    <cellStyle name="20% - Accent3 4 3 2 2 2 2" xfId="24672" xr:uid="{00000000-0005-0000-0000-000068130000}"/>
    <cellStyle name="20% - Accent3 4 3 2 2 3" xfId="18616" xr:uid="{00000000-0005-0000-0000-000069130000}"/>
    <cellStyle name="20% - Accent3 4 3 2 3" xfId="1294" xr:uid="{00000000-0005-0000-0000-00006A130000}"/>
    <cellStyle name="20% - Accent3 4 3 2 3 2" xfId="12619" xr:uid="{00000000-0005-0000-0000-00006B130000}"/>
    <cellStyle name="20% - Accent3 4 3 2 3 2 2" xfId="26331" xr:uid="{00000000-0005-0000-0000-00006C130000}"/>
    <cellStyle name="20% - Accent3 4 3 2 3 3" xfId="18617" xr:uid="{00000000-0005-0000-0000-00006D130000}"/>
    <cellStyle name="20% - Accent3 4 3 2 4" xfId="1295" xr:uid="{00000000-0005-0000-0000-00006E130000}"/>
    <cellStyle name="20% - Accent3 4 3 2 4 2" xfId="14811" xr:uid="{00000000-0005-0000-0000-00006F130000}"/>
    <cellStyle name="20% - Accent3 4 3 2 4 2 2" xfId="28360" xr:uid="{00000000-0005-0000-0000-000070130000}"/>
    <cellStyle name="20% - Accent3 4 3 2 4 3" xfId="18618" xr:uid="{00000000-0005-0000-0000-000071130000}"/>
    <cellStyle name="20% - Accent3 4 3 2 5" xfId="1296" xr:uid="{00000000-0005-0000-0000-000072130000}"/>
    <cellStyle name="20% - Accent3 4 3 2 5 2" xfId="16754" xr:uid="{00000000-0005-0000-0000-000073130000}"/>
    <cellStyle name="20% - Accent3 4 3 2 5 2 2" xfId="30161" xr:uid="{00000000-0005-0000-0000-000074130000}"/>
    <cellStyle name="20% - Accent3 4 3 2 5 3" xfId="18619" xr:uid="{00000000-0005-0000-0000-000075130000}"/>
    <cellStyle name="20% - Accent3 4 3 2 6" xfId="9005" xr:uid="{00000000-0005-0000-0000-000076130000}"/>
    <cellStyle name="20% - Accent3 4 3 2 6 2" xfId="23480" xr:uid="{00000000-0005-0000-0000-000077130000}"/>
    <cellStyle name="20% - Accent3 4 3 2 7" xfId="18615" xr:uid="{00000000-0005-0000-0000-000078130000}"/>
    <cellStyle name="20% - Accent3 4 3 3" xfId="1297" xr:uid="{00000000-0005-0000-0000-000079130000}"/>
    <cellStyle name="20% - Accent3 4 3 3 2" xfId="1298" xr:uid="{00000000-0005-0000-0000-00007A130000}"/>
    <cellStyle name="20% - Accent3 4 3 3 2 2" xfId="14812" xr:uid="{00000000-0005-0000-0000-00007B130000}"/>
    <cellStyle name="20% - Accent3 4 3 3 2 2 2" xfId="28361" xr:uid="{00000000-0005-0000-0000-00007C130000}"/>
    <cellStyle name="20% - Accent3 4 3 3 2 3" xfId="18621" xr:uid="{00000000-0005-0000-0000-00007D130000}"/>
    <cellStyle name="20% - Accent3 4 3 3 3" xfId="10729" xr:uid="{00000000-0005-0000-0000-00007E130000}"/>
    <cellStyle name="20% - Accent3 4 3 3 3 2" xfId="24671" xr:uid="{00000000-0005-0000-0000-00007F130000}"/>
    <cellStyle name="20% - Accent3 4 3 3 4" xfId="18620" xr:uid="{00000000-0005-0000-0000-000080130000}"/>
    <cellStyle name="20% - Accent3 4 3 4" xfId="1299" xr:uid="{00000000-0005-0000-0000-000081130000}"/>
    <cellStyle name="20% - Accent3 4 3 4 2" xfId="12142" xr:uid="{00000000-0005-0000-0000-000082130000}"/>
    <cellStyle name="20% - Accent3 4 3 4 2 2" xfId="25854" xr:uid="{00000000-0005-0000-0000-000083130000}"/>
    <cellStyle name="20% - Accent3 4 3 4 3" xfId="18622" xr:uid="{00000000-0005-0000-0000-000084130000}"/>
    <cellStyle name="20% - Accent3 4 3 5" xfId="1300" xr:uid="{00000000-0005-0000-0000-000085130000}"/>
    <cellStyle name="20% - Accent3 4 3 5 2" xfId="12723" xr:uid="{00000000-0005-0000-0000-000086130000}"/>
    <cellStyle name="20% - Accent3 4 3 5 2 2" xfId="26435" xr:uid="{00000000-0005-0000-0000-000087130000}"/>
    <cellStyle name="20% - Accent3 4 3 5 3" xfId="18623" xr:uid="{00000000-0005-0000-0000-000088130000}"/>
    <cellStyle name="20% - Accent3 4 3 6" xfId="1301" xr:uid="{00000000-0005-0000-0000-000089130000}"/>
    <cellStyle name="20% - Accent3 4 3 6 2" xfId="13706" xr:uid="{00000000-0005-0000-0000-00008A130000}"/>
    <cellStyle name="20% - Accent3 4 3 6 2 2" xfId="27255" xr:uid="{00000000-0005-0000-0000-00008B130000}"/>
    <cellStyle name="20% - Accent3 4 3 6 3" xfId="18624" xr:uid="{00000000-0005-0000-0000-00008C130000}"/>
    <cellStyle name="20% - Accent3 4 3 7" xfId="1302" xr:uid="{00000000-0005-0000-0000-00008D130000}"/>
    <cellStyle name="20% - Accent3 4 3 7 2" xfId="14287" xr:uid="{00000000-0005-0000-0000-00008E130000}"/>
    <cellStyle name="20% - Accent3 4 3 7 2 2" xfId="27836" xr:uid="{00000000-0005-0000-0000-00008F130000}"/>
    <cellStyle name="20% - Accent3 4 3 7 3" xfId="18625" xr:uid="{00000000-0005-0000-0000-000090130000}"/>
    <cellStyle name="20% - Accent3 4 3 8" xfId="1303" xr:uid="{00000000-0005-0000-0000-000091130000}"/>
    <cellStyle name="20% - Accent3 4 3 8 2" xfId="14810" xr:uid="{00000000-0005-0000-0000-000092130000}"/>
    <cellStyle name="20% - Accent3 4 3 8 2 2" xfId="28359" xr:uid="{00000000-0005-0000-0000-000093130000}"/>
    <cellStyle name="20% - Accent3 4 3 8 3" xfId="18626" xr:uid="{00000000-0005-0000-0000-000094130000}"/>
    <cellStyle name="20% - Accent3 4 3 9" xfId="1304" xr:uid="{00000000-0005-0000-0000-000095130000}"/>
    <cellStyle name="20% - Accent3 4 3 9 2" xfId="16173" xr:uid="{00000000-0005-0000-0000-000096130000}"/>
    <cellStyle name="20% - Accent3 4 3 9 2 2" xfId="29580" xr:uid="{00000000-0005-0000-0000-000097130000}"/>
    <cellStyle name="20% - Accent3 4 3 9 3" xfId="18627" xr:uid="{00000000-0005-0000-0000-000098130000}"/>
    <cellStyle name="20% - Accent3 4 4" xfId="1305" xr:uid="{00000000-0005-0000-0000-000099130000}"/>
    <cellStyle name="20% - Accent3 4 4 2" xfId="1306" xr:uid="{00000000-0005-0000-0000-00009A130000}"/>
    <cellStyle name="20% - Accent3 4 4 2 2" xfId="10731" xr:uid="{00000000-0005-0000-0000-00009B130000}"/>
    <cellStyle name="20% - Accent3 4 4 2 2 2" xfId="24673" xr:uid="{00000000-0005-0000-0000-00009C130000}"/>
    <cellStyle name="20% - Accent3 4 4 2 3" xfId="18629" xr:uid="{00000000-0005-0000-0000-00009D130000}"/>
    <cellStyle name="20% - Accent3 4 4 3" xfId="1307" xr:uid="{00000000-0005-0000-0000-00009E130000}"/>
    <cellStyle name="20% - Accent3 4 4 3 2" xfId="12479" xr:uid="{00000000-0005-0000-0000-00009F130000}"/>
    <cellStyle name="20% - Accent3 4 4 3 2 2" xfId="26191" xr:uid="{00000000-0005-0000-0000-0000A0130000}"/>
    <cellStyle name="20% - Accent3 4 4 3 3" xfId="18630" xr:uid="{00000000-0005-0000-0000-0000A1130000}"/>
    <cellStyle name="20% - Accent3 4 4 4" xfId="1308" xr:uid="{00000000-0005-0000-0000-0000A2130000}"/>
    <cellStyle name="20% - Accent3 4 4 4 2" xfId="14813" xr:uid="{00000000-0005-0000-0000-0000A3130000}"/>
    <cellStyle name="20% - Accent3 4 4 4 2 2" xfId="28362" xr:uid="{00000000-0005-0000-0000-0000A4130000}"/>
    <cellStyle name="20% - Accent3 4 4 4 3" xfId="18631" xr:uid="{00000000-0005-0000-0000-0000A5130000}"/>
    <cellStyle name="20% - Accent3 4 4 5" xfId="1309" xr:uid="{00000000-0005-0000-0000-0000A6130000}"/>
    <cellStyle name="20% - Accent3 4 4 5 2" xfId="16462" xr:uid="{00000000-0005-0000-0000-0000A7130000}"/>
    <cellStyle name="20% - Accent3 4 4 5 2 2" xfId="29869" xr:uid="{00000000-0005-0000-0000-0000A8130000}"/>
    <cellStyle name="20% - Accent3 4 4 5 3" xfId="18632" xr:uid="{00000000-0005-0000-0000-0000A9130000}"/>
    <cellStyle name="20% - Accent3 4 4 6" xfId="9006" xr:uid="{00000000-0005-0000-0000-0000AA130000}"/>
    <cellStyle name="20% - Accent3 4 4 6 2" xfId="23481" xr:uid="{00000000-0005-0000-0000-0000AB130000}"/>
    <cellStyle name="20% - Accent3 4 4 7" xfId="18628" xr:uid="{00000000-0005-0000-0000-0000AC130000}"/>
    <cellStyle name="20% - Accent3 4 5" xfId="1310" xr:uid="{00000000-0005-0000-0000-0000AD130000}"/>
    <cellStyle name="20% - Accent3 4 5 2" xfId="1311" xr:uid="{00000000-0005-0000-0000-0000AE130000}"/>
    <cellStyle name="20% - Accent3 4 5 2 2" xfId="14814" xr:uid="{00000000-0005-0000-0000-0000AF130000}"/>
    <cellStyle name="20% - Accent3 4 5 2 2 2" xfId="28363" xr:uid="{00000000-0005-0000-0000-0000B0130000}"/>
    <cellStyle name="20% - Accent3 4 5 2 3" xfId="18634" xr:uid="{00000000-0005-0000-0000-0000B1130000}"/>
    <cellStyle name="20% - Accent3 4 5 3" xfId="10724" xr:uid="{00000000-0005-0000-0000-0000B2130000}"/>
    <cellStyle name="20% - Accent3 4 5 3 2" xfId="24666" xr:uid="{00000000-0005-0000-0000-0000B3130000}"/>
    <cellStyle name="20% - Accent3 4 5 4" xfId="18633" xr:uid="{00000000-0005-0000-0000-0000B4130000}"/>
    <cellStyle name="20% - Accent3 4 6" xfId="1312" xr:uid="{00000000-0005-0000-0000-0000B5130000}"/>
    <cellStyle name="20% - Accent3 4 6 2" xfId="11813" xr:uid="{00000000-0005-0000-0000-0000B6130000}"/>
    <cellStyle name="20% - Accent3 4 6 2 2" xfId="25528" xr:uid="{00000000-0005-0000-0000-0000B7130000}"/>
    <cellStyle name="20% - Accent3 4 6 3" xfId="18635" xr:uid="{00000000-0005-0000-0000-0000B8130000}"/>
    <cellStyle name="20% - Accent3 4 7" xfId="1313" xr:uid="{00000000-0005-0000-0000-0000B9130000}"/>
    <cellStyle name="20% - Accent3 4 7 2" xfId="12520" xr:uid="{00000000-0005-0000-0000-0000BA130000}"/>
    <cellStyle name="20% - Accent3 4 7 2 2" xfId="26232" xr:uid="{00000000-0005-0000-0000-0000BB130000}"/>
    <cellStyle name="20% - Accent3 4 7 3" xfId="18636" xr:uid="{00000000-0005-0000-0000-0000BC130000}"/>
    <cellStyle name="20% - Accent3 4 8" xfId="1314" xr:uid="{00000000-0005-0000-0000-0000BD130000}"/>
    <cellStyle name="20% - Accent3 4 8 2" xfId="13414" xr:uid="{00000000-0005-0000-0000-0000BE130000}"/>
    <cellStyle name="20% - Accent3 4 8 2 2" xfId="26963" xr:uid="{00000000-0005-0000-0000-0000BF130000}"/>
    <cellStyle name="20% - Accent3 4 8 3" xfId="18637" xr:uid="{00000000-0005-0000-0000-0000C0130000}"/>
    <cellStyle name="20% - Accent3 4 9" xfId="1315" xr:uid="{00000000-0005-0000-0000-0000C1130000}"/>
    <cellStyle name="20% - Accent3 4 9 2" xfId="13995" xr:uid="{00000000-0005-0000-0000-0000C2130000}"/>
    <cellStyle name="20% - Accent3 4 9 2 2" xfId="27544" xr:uid="{00000000-0005-0000-0000-0000C3130000}"/>
    <cellStyle name="20% - Accent3 4 9 3" xfId="18638" xr:uid="{00000000-0005-0000-0000-0000C4130000}"/>
    <cellStyle name="20% - Accent3 5" xfId="1316" xr:uid="{00000000-0005-0000-0000-0000C5130000}"/>
    <cellStyle name="20% - Accent3 5 10" xfId="1317" xr:uid="{00000000-0005-0000-0000-0000C6130000}"/>
    <cellStyle name="20% - Accent3 5 10 2" xfId="14815" xr:uid="{00000000-0005-0000-0000-0000C7130000}"/>
    <cellStyle name="20% - Accent3 5 10 2 2" xfId="28364" xr:uid="{00000000-0005-0000-0000-0000C8130000}"/>
    <cellStyle name="20% - Accent3 5 10 3" xfId="18640" xr:uid="{00000000-0005-0000-0000-0000C9130000}"/>
    <cellStyle name="20% - Accent3 5 11" xfId="1318" xr:uid="{00000000-0005-0000-0000-0000CA130000}"/>
    <cellStyle name="20% - Accent3 5 11 2" xfId="15864" xr:uid="{00000000-0005-0000-0000-0000CB130000}"/>
    <cellStyle name="20% - Accent3 5 11 2 2" xfId="29271" xr:uid="{00000000-0005-0000-0000-0000CC130000}"/>
    <cellStyle name="20% - Accent3 5 11 3" xfId="18641" xr:uid="{00000000-0005-0000-0000-0000CD130000}"/>
    <cellStyle name="20% - Accent3 5 12" xfId="9007" xr:uid="{00000000-0005-0000-0000-0000CE130000}"/>
    <cellStyle name="20% - Accent3 5 12 2" xfId="23482" xr:uid="{00000000-0005-0000-0000-0000CF130000}"/>
    <cellStyle name="20% - Accent3 5 13" xfId="18639" xr:uid="{00000000-0005-0000-0000-0000D0130000}"/>
    <cellStyle name="20% - Accent3 5 2" xfId="1319" xr:uid="{00000000-0005-0000-0000-0000D1130000}"/>
    <cellStyle name="20% - Accent3 5 2 10" xfId="1320" xr:uid="{00000000-0005-0000-0000-0000D2130000}"/>
    <cellStyle name="20% - Accent3 5 2 10 2" xfId="16007" xr:uid="{00000000-0005-0000-0000-0000D3130000}"/>
    <cellStyle name="20% - Accent3 5 2 10 2 2" xfId="29414" xr:uid="{00000000-0005-0000-0000-0000D4130000}"/>
    <cellStyle name="20% - Accent3 5 2 10 3" xfId="18643" xr:uid="{00000000-0005-0000-0000-0000D5130000}"/>
    <cellStyle name="20% - Accent3 5 2 11" xfId="9008" xr:uid="{00000000-0005-0000-0000-0000D6130000}"/>
    <cellStyle name="20% - Accent3 5 2 11 2" xfId="23483" xr:uid="{00000000-0005-0000-0000-0000D7130000}"/>
    <cellStyle name="20% - Accent3 5 2 12" xfId="18642" xr:uid="{00000000-0005-0000-0000-0000D8130000}"/>
    <cellStyle name="20% - Accent3 5 2 2" xfId="1321" xr:uid="{00000000-0005-0000-0000-0000D9130000}"/>
    <cellStyle name="20% - Accent3 5 2 2 10" xfId="9009" xr:uid="{00000000-0005-0000-0000-0000DA130000}"/>
    <cellStyle name="20% - Accent3 5 2 2 10 2" xfId="23484" xr:uid="{00000000-0005-0000-0000-0000DB130000}"/>
    <cellStyle name="20% - Accent3 5 2 2 11" xfId="18644" xr:uid="{00000000-0005-0000-0000-0000DC130000}"/>
    <cellStyle name="20% - Accent3 5 2 2 2" xfId="1322" xr:uid="{00000000-0005-0000-0000-0000DD130000}"/>
    <cellStyle name="20% - Accent3 5 2 2 2 2" xfId="1323" xr:uid="{00000000-0005-0000-0000-0000DE130000}"/>
    <cellStyle name="20% - Accent3 5 2 2 2 2 2" xfId="10735" xr:uid="{00000000-0005-0000-0000-0000DF130000}"/>
    <cellStyle name="20% - Accent3 5 2 2 2 2 2 2" xfId="24677" xr:uid="{00000000-0005-0000-0000-0000E0130000}"/>
    <cellStyle name="20% - Accent3 5 2 2 2 2 3" xfId="18646" xr:uid="{00000000-0005-0000-0000-0000E1130000}"/>
    <cellStyle name="20% - Accent3 5 2 2 2 3" xfId="1324" xr:uid="{00000000-0005-0000-0000-0000E2130000}"/>
    <cellStyle name="20% - Accent3 5 2 2 2 3 2" xfId="12496" xr:uid="{00000000-0005-0000-0000-0000E3130000}"/>
    <cellStyle name="20% - Accent3 5 2 2 2 3 2 2" xfId="26208" xr:uid="{00000000-0005-0000-0000-0000E4130000}"/>
    <cellStyle name="20% - Accent3 5 2 2 2 3 3" xfId="18647" xr:uid="{00000000-0005-0000-0000-0000E5130000}"/>
    <cellStyle name="20% - Accent3 5 2 2 2 4" xfId="1325" xr:uid="{00000000-0005-0000-0000-0000E6130000}"/>
    <cellStyle name="20% - Accent3 5 2 2 2 4 2" xfId="14818" xr:uid="{00000000-0005-0000-0000-0000E7130000}"/>
    <cellStyle name="20% - Accent3 5 2 2 2 4 2 2" xfId="28367" xr:uid="{00000000-0005-0000-0000-0000E8130000}"/>
    <cellStyle name="20% - Accent3 5 2 2 2 4 3" xfId="18648" xr:uid="{00000000-0005-0000-0000-0000E9130000}"/>
    <cellStyle name="20% - Accent3 5 2 2 2 5" xfId="1326" xr:uid="{00000000-0005-0000-0000-0000EA130000}"/>
    <cellStyle name="20% - Accent3 5 2 2 2 5 2" xfId="16877" xr:uid="{00000000-0005-0000-0000-0000EB130000}"/>
    <cellStyle name="20% - Accent3 5 2 2 2 5 2 2" xfId="30284" xr:uid="{00000000-0005-0000-0000-0000EC130000}"/>
    <cellStyle name="20% - Accent3 5 2 2 2 5 3" xfId="18649" xr:uid="{00000000-0005-0000-0000-0000ED130000}"/>
    <cellStyle name="20% - Accent3 5 2 2 2 6" xfId="9010" xr:uid="{00000000-0005-0000-0000-0000EE130000}"/>
    <cellStyle name="20% - Accent3 5 2 2 2 6 2" xfId="23485" xr:uid="{00000000-0005-0000-0000-0000EF130000}"/>
    <cellStyle name="20% - Accent3 5 2 2 2 7" xfId="18645" xr:uid="{00000000-0005-0000-0000-0000F0130000}"/>
    <cellStyle name="20% - Accent3 5 2 2 3" xfId="1327" xr:uid="{00000000-0005-0000-0000-0000F1130000}"/>
    <cellStyle name="20% - Accent3 5 2 2 3 2" xfId="1328" xr:uid="{00000000-0005-0000-0000-0000F2130000}"/>
    <cellStyle name="20% - Accent3 5 2 2 3 2 2" xfId="14819" xr:uid="{00000000-0005-0000-0000-0000F3130000}"/>
    <cellStyle name="20% - Accent3 5 2 2 3 2 2 2" xfId="28368" xr:uid="{00000000-0005-0000-0000-0000F4130000}"/>
    <cellStyle name="20% - Accent3 5 2 2 3 2 3" xfId="18651" xr:uid="{00000000-0005-0000-0000-0000F5130000}"/>
    <cellStyle name="20% - Accent3 5 2 2 3 3" xfId="10734" xr:uid="{00000000-0005-0000-0000-0000F6130000}"/>
    <cellStyle name="20% - Accent3 5 2 2 3 3 2" xfId="24676" xr:uid="{00000000-0005-0000-0000-0000F7130000}"/>
    <cellStyle name="20% - Accent3 5 2 2 3 4" xfId="18650" xr:uid="{00000000-0005-0000-0000-0000F8130000}"/>
    <cellStyle name="20% - Accent3 5 2 2 4" xfId="1329" xr:uid="{00000000-0005-0000-0000-0000F9130000}"/>
    <cellStyle name="20% - Accent3 5 2 2 4 2" xfId="12265" xr:uid="{00000000-0005-0000-0000-0000FA130000}"/>
    <cellStyle name="20% - Accent3 5 2 2 4 2 2" xfId="25977" xr:uid="{00000000-0005-0000-0000-0000FB130000}"/>
    <cellStyle name="20% - Accent3 5 2 2 4 3" xfId="18652" xr:uid="{00000000-0005-0000-0000-0000FC130000}"/>
    <cellStyle name="20% - Accent3 5 2 2 5" xfId="1330" xr:uid="{00000000-0005-0000-0000-0000FD130000}"/>
    <cellStyle name="20% - Accent3 5 2 2 5 2" xfId="12695" xr:uid="{00000000-0005-0000-0000-0000FE130000}"/>
    <cellStyle name="20% - Accent3 5 2 2 5 2 2" xfId="26407" xr:uid="{00000000-0005-0000-0000-0000FF130000}"/>
    <cellStyle name="20% - Accent3 5 2 2 5 3" xfId="18653" xr:uid="{00000000-0005-0000-0000-000000140000}"/>
    <cellStyle name="20% - Accent3 5 2 2 6" xfId="1331" xr:uid="{00000000-0005-0000-0000-000001140000}"/>
    <cellStyle name="20% - Accent3 5 2 2 6 2" xfId="13829" xr:uid="{00000000-0005-0000-0000-000002140000}"/>
    <cellStyle name="20% - Accent3 5 2 2 6 2 2" xfId="27378" xr:uid="{00000000-0005-0000-0000-000003140000}"/>
    <cellStyle name="20% - Accent3 5 2 2 6 3" xfId="18654" xr:uid="{00000000-0005-0000-0000-000004140000}"/>
    <cellStyle name="20% - Accent3 5 2 2 7" xfId="1332" xr:uid="{00000000-0005-0000-0000-000005140000}"/>
    <cellStyle name="20% - Accent3 5 2 2 7 2" xfId="14410" xr:uid="{00000000-0005-0000-0000-000006140000}"/>
    <cellStyle name="20% - Accent3 5 2 2 7 2 2" xfId="27959" xr:uid="{00000000-0005-0000-0000-000007140000}"/>
    <cellStyle name="20% - Accent3 5 2 2 7 3" xfId="18655" xr:uid="{00000000-0005-0000-0000-000008140000}"/>
    <cellStyle name="20% - Accent3 5 2 2 8" xfId="1333" xr:uid="{00000000-0005-0000-0000-000009140000}"/>
    <cellStyle name="20% - Accent3 5 2 2 8 2" xfId="14817" xr:uid="{00000000-0005-0000-0000-00000A140000}"/>
    <cellStyle name="20% - Accent3 5 2 2 8 2 2" xfId="28366" xr:uid="{00000000-0005-0000-0000-00000B140000}"/>
    <cellStyle name="20% - Accent3 5 2 2 8 3" xfId="18656" xr:uid="{00000000-0005-0000-0000-00000C140000}"/>
    <cellStyle name="20% - Accent3 5 2 2 9" xfId="1334" xr:uid="{00000000-0005-0000-0000-00000D140000}"/>
    <cellStyle name="20% - Accent3 5 2 2 9 2" xfId="16296" xr:uid="{00000000-0005-0000-0000-00000E140000}"/>
    <cellStyle name="20% - Accent3 5 2 2 9 2 2" xfId="29703" xr:uid="{00000000-0005-0000-0000-00000F140000}"/>
    <cellStyle name="20% - Accent3 5 2 2 9 3" xfId="18657" xr:uid="{00000000-0005-0000-0000-000010140000}"/>
    <cellStyle name="20% - Accent3 5 2 3" xfId="1335" xr:uid="{00000000-0005-0000-0000-000011140000}"/>
    <cellStyle name="20% - Accent3 5 2 3 2" xfId="1336" xr:uid="{00000000-0005-0000-0000-000012140000}"/>
    <cellStyle name="20% - Accent3 5 2 3 2 2" xfId="10736" xr:uid="{00000000-0005-0000-0000-000013140000}"/>
    <cellStyle name="20% - Accent3 5 2 3 2 2 2" xfId="24678" xr:uid="{00000000-0005-0000-0000-000014140000}"/>
    <cellStyle name="20% - Accent3 5 2 3 2 3" xfId="18659" xr:uid="{00000000-0005-0000-0000-000015140000}"/>
    <cellStyle name="20% - Accent3 5 2 3 3" xfId="1337" xr:uid="{00000000-0005-0000-0000-000016140000}"/>
    <cellStyle name="20% - Accent3 5 2 3 3 2" xfId="12711" xr:uid="{00000000-0005-0000-0000-000017140000}"/>
    <cellStyle name="20% - Accent3 5 2 3 3 2 2" xfId="26423" xr:uid="{00000000-0005-0000-0000-000018140000}"/>
    <cellStyle name="20% - Accent3 5 2 3 3 3" xfId="18660" xr:uid="{00000000-0005-0000-0000-000019140000}"/>
    <cellStyle name="20% - Accent3 5 2 3 4" xfId="1338" xr:uid="{00000000-0005-0000-0000-00001A140000}"/>
    <cellStyle name="20% - Accent3 5 2 3 4 2" xfId="14820" xr:uid="{00000000-0005-0000-0000-00001B140000}"/>
    <cellStyle name="20% - Accent3 5 2 3 4 2 2" xfId="28369" xr:uid="{00000000-0005-0000-0000-00001C140000}"/>
    <cellStyle name="20% - Accent3 5 2 3 4 3" xfId="18661" xr:uid="{00000000-0005-0000-0000-00001D140000}"/>
    <cellStyle name="20% - Accent3 5 2 3 5" xfId="1339" xr:uid="{00000000-0005-0000-0000-00001E140000}"/>
    <cellStyle name="20% - Accent3 5 2 3 5 2" xfId="16588" xr:uid="{00000000-0005-0000-0000-00001F140000}"/>
    <cellStyle name="20% - Accent3 5 2 3 5 2 2" xfId="29995" xr:uid="{00000000-0005-0000-0000-000020140000}"/>
    <cellStyle name="20% - Accent3 5 2 3 5 3" xfId="18662" xr:uid="{00000000-0005-0000-0000-000021140000}"/>
    <cellStyle name="20% - Accent3 5 2 3 6" xfId="9011" xr:uid="{00000000-0005-0000-0000-000022140000}"/>
    <cellStyle name="20% - Accent3 5 2 3 6 2" xfId="23486" xr:uid="{00000000-0005-0000-0000-000023140000}"/>
    <cellStyle name="20% - Accent3 5 2 3 7" xfId="18658" xr:uid="{00000000-0005-0000-0000-000024140000}"/>
    <cellStyle name="20% - Accent3 5 2 4" xfId="1340" xr:uid="{00000000-0005-0000-0000-000025140000}"/>
    <cellStyle name="20% - Accent3 5 2 4 2" xfId="1341" xr:uid="{00000000-0005-0000-0000-000026140000}"/>
    <cellStyle name="20% - Accent3 5 2 4 2 2" xfId="14821" xr:uid="{00000000-0005-0000-0000-000027140000}"/>
    <cellStyle name="20% - Accent3 5 2 4 2 2 2" xfId="28370" xr:uid="{00000000-0005-0000-0000-000028140000}"/>
    <cellStyle name="20% - Accent3 5 2 4 2 3" xfId="18664" xr:uid="{00000000-0005-0000-0000-000029140000}"/>
    <cellStyle name="20% - Accent3 5 2 4 3" xfId="10733" xr:uid="{00000000-0005-0000-0000-00002A140000}"/>
    <cellStyle name="20% - Accent3 5 2 4 3 2" xfId="24675" xr:uid="{00000000-0005-0000-0000-00002B140000}"/>
    <cellStyle name="20% - Accent3 5 2 4 4" xfId="18663" xr:uid="{00000000-0005-0000-0000-00002C140000}"/>
    <cellStyle name="20% - Accent3 5 2 5" xfId="1342" xr:uid="{00000000-0005-0000-0000-00002D140000}"/>
    <cellStyle name="20% - Accent3 5 2 5 2" xfId="11965" xr:uid="{00000000-0005-0000-0000-00002E140000}"/>
    <cellStyle name="20% - Accent3 5 2 5 2 2" xfId="25680" xr:uid="{00000000-0005-0000-0000-00002F140000}"/>
    <cellStyle name="20% - Accent3 5 2 5 3" xfId="18665" xr:uid="{00000000-0005-0000-0000-000030140000}"/>
    <cellStyle name="20% - Accent3 5 2 6" xfId="1343" xr:uid="{00000000-0005-0000-0000-000031140000}"/>
    <cellStyle name="20% - Accent3 5 2 6 2" xfId="12803" xr:uid="{00000000-0005-0000-0000-000032140000}"/>
    <cellStyle name="20% - Accent3 5 2 6 2 2" xfId="26515" xr:uid="{00000000-0005-0000-0000-000033140000}"/>
    <cellStyle name="20% - Accent3 5 2 6 3" xfId="18666" xr:uid="{00000000-0005-0000-0000-000034140000}"/>
    <cellStyle name="20% - Accent3 5 2 7" xfId="1344" xr:uid="{00000000-0005-0000-0000-000035140000}"/>
    <cellStyle name="20% - Accent3 5 2 7 2" xfId="13540" xr:uid="{00000000-0005-0000-0000-000036140000}"/>
    <cellStyle name="20% - Accent3 5 2 7 2 2" xfId="27089" xr:uid="{00000000-0005-0000-0000-000037140000}"/>
    <cellStyle name="20% - Accent3 5 2 7 3" xfId="18667" xr:uid="{00000000-0005-0000-0000-000038140000}"/>
    <cellStyle name="20% - Accent3 5 2 8" xfId="1345" xr:uid="{00000000-0005-0000-0000-000039140000}"/>
    <cellStyle name="20% - Accent3 5 2 8 2" xfId="14121" xr:uid="{00000000-0005-0000-0000-00003A140000}"/>
    <cellStyle name="20% - Accent3 5 2 8 2 2" xfId="27670" xr:uid="{00000000-0005-0000-0000-00003B140000}"/>
    <cellStyle name="20% - Accent3 5 2 8 3" xfId="18668" xr:uid="{00000000-0005-0000-0000-00003C140000}"/>
    <cellStyle name="20% - Accent3 5 2 9" xfId="1346" xr:uid="{00000000-0005-0000-0000-00003D140000}"/>
    <cellStyle name="20% - Accent3 5 2 9 2" xfId="14816" xr:uid="{00000000-0005-0000-0000-00003E140000}"/>
    <cellStyle name="20% - Accent3 5 2 9 2 2" xfId="28365" xr:uid="{00000000-0005-0000-0000-00003F140000}"/>
    <cellStyle name="20% - Accent3 5 2 9 3" xfId="18669" xr:uid="{00000000-0005-0000-0000-000040140000}"/>
    <cellStyle name="20% - Accent3 5 3" xfId="1347" xr:uid="{00000000-0005-0000-0000-000041140000}"/>
    <cellStyle name="20% - Accent3 5 3 10" xfId="9012" xr:uid="{00000000-0005-0000-0000-000042140000}"/>
    <cellStyle name="20% - Accent3 5 3 10 2" xfId="23487" xr:uid="{00000000-0005-0000-0000-000043140000}"/>
    <cellStyle name="20% - Accent3 5 3 11" xfId="18670" xr:uid="{00000000-0005-0000-0000-000044140000}"/>
    <cellStyle name="20% - Accent3 5 3 2" xfId="1348" xr:uid="{00000000-0005-0000-0000-000045140000}"/>
    <cellStyle name="20% - Accent3 5 3 2 2" xfId="1349" xr:uid="{00000000-0005-0000-0000-000046140000}"/>
    <cellStyle name="20% - Accent3 5 3 2 2 2" xfId="10738" xr:uid="{00000000-0005-0000-0000-000047140000}"/>
    <cellStyle name="20% - Accent3 5 3 2 2 2 2" xfId="24680" xr:uid="{00000000-0005-0000-0000-000048140000}"/>
    <cellStyle name="20% - Accent3 5 3 2 2 3" xfId="18672" xr:uid="{00000000-0005-0000-0000-000049140000}"/>
    <cellStyle name="20% - Accent3 5 3 2 3" xfId="1350" xr:uid="{00000000-0005-0000-0000-00004A140000}"/>
    <cellStyle name="20% - Accent3 5 3 2 3 2" xfId="12611" xr:uid="{00000000-0005-0000-0000-00004B140000}"/>
    <cellStyle name="20% - Accent3 5 3 2 3 2 2" xfId="26323" xr:uid="{00000000-0005-0000-0000-00004C140000}"/>
    <cellStyle name="20% - Accent3 5 3 2 3 3" xfId="18673" xr:uid="{00000000-0005-0000-0000-00004D140000}"/>
    <cellStyle name="20% - Accent3 5 3 2 4" xfId="1351" xr:uid="{00000000-0005-0000-0000-00004E140000}"/>
    <cellStyle name="20% - Accent3 5 3 2 4 2" xfId="14823" xr:uid="{00000000-0005-0000-0000-00004F140000}"/>
    <cellStyle name="20% - Accent3 5 3 2 4 2 2" xfId="28372" xr:uid="{00000000-0005-0000-0000-000050140000}"/>
    <cellStyle name="20% - Accent3 5 3 2 4 3" xfId="18674" xr:uid="{00000000-0005-0000-0000-000051140000}"/>
    <cellStyle name="20% - Accent3 5 3 2 5" xfId="1352" xr:uid="{00000000-0005-0000-0000-000052140000}"/>
    <cellStyle name="20% - Accent3 5 3 2 5 2" xfId="16737" xr:uid="{00000000-0005-0000-0000-000053140000}"/>
    <cellStyle name="20% - Accent3 5 3 2 5 2 2" xfId="30144" xr:uid="{00000000-0005-0000-0000-000054140000}"/>
    <cellStyle name="20% - Accent3 5 3 2 5 3" xfId="18675" xr:uid="{00000000-0005-0000-0000-000055140000}"/>
    <cellStyle name="20% - Accent3 5 3 2 6" xfId="9013" xr:uid="{00000000-0005-0000-0000-000056140000}"/>
    <cellStyle name="20% - Accent3 5 3 2 6 2" xfId="23488" xr:uid="{00000000-0005-0000-0000-000057140000}"/>
    <cellStyle name="20% - Accent3 5 3 2 7" xfId="18671" xr:uid="{00000000-0005-0000-0000-000058140000}"/>
    <cellStyle name="20% - Accent3 5 3 3" xfId="1353" xr:uid="{00000000-0005-0000-0000-000059140000}"/>
    <cellStyle name="20% - Accent3 5 3 3 2" xfId="1354" xr:uid="{00000000-0005-0000-0000-00005A140000}"/>
    <cellStyle name="20% - Accent3 5 3 3 2 2" xfId="14824" xr:uid="{00000000-0005-0000-0000-00005B140000}"/>
    <cellStyle name="20% - Accent3 5 3 3 2 2 2" xfId="28373" xr:uid="{00000000-0005-0000-0000-00005C140000}"/>
    <cellStyle name="20% - Accent3 5 3 3 2 3" xfId="18677" xr:uid="{00000000-0005-0000-0000-00005D140000}"/>
    <cellStyle name="20% - Accent3 5 3 3 3" xfId="10737" xr:uid="{00000000-0005-0000-0000-00005E140000}"/>
    <cellStyle name="20% - Accent3 5 3 3 3 2" xfId="24679" xr:uid="{00000000-0005-0000-0000-00005F140000}"/>
    <cellStyle name="20% - Accent3 5 3 3 4" xfId="18676" xr:uid="{00000000-0005-0000-0000-000060140000}"/>
    <cellStyle name="20% - Accent3 5 3 4" xfId="1355" xr:uid="{00000000-0005-0000-0000-000061140000}"/>
    <cellStyle name="20% - Accent3 5 3 4 2" xfId="12125" xr:uid="{00000000-0005-0000-0000-000062140000}"/>
    <cellStyle name="20% - Accent3 5 3 4 2 2" xfId="25837" xr:uid="{00000000-0005-0000-0000-000063140000}"/>
    <cellStyle name="20% - Accent3 5 3 4 3" xfId="18678" xr:uid="{00000000-0005-0000-0000-000064140000}"/>
    <cellStyle name="20% - Accent3 5 3 5" xfId="1356" xr:uid="{00000000-0005-0000-0000-000065140000}"/>
    <cellStyle name="20% - Accent3 5 3 5 2" xfId="12607" xr:uid="{00000000-0005-0000-0000-000066140000}"/>
    <cellStyle name="20% - Accent3 5 3 5 2 2" xfId="26319" xr:uid="{00000000-0005-0000-0000-000067140000}"/>
    <cellStyle name="20% - Accent3 5 3 5 3" xfId="18679" xr:uid="{00000000-0005-0000-0000-000068140000}"/>
    <cellStyle name="20% - Accent3 5 3 6" xfId="1357" xr:uid="{00000000-0005-0000-0000-000069140000}"/>
    <cellStyle name="20% - Accent3 5 3 6 2" xfId="13689" xr:uid="{00000000-0005-0000-0000-00006A140000}"/>
    <cellStyle name="20% - Accent3 5 3 6 2 2" xfId="27238" xr:uid="{00000000-0005-0000-0000-00006B140000}"/>
    <cellStyle name="20% - Accent3 5 3 6 3" xfId="18680" xr:uid="{00000000-0005-0000-0000-00006C140000}"/>
    <cellStyle name="20% - Accent3 5 3 7" xfId="1358" xr:uid="{00000000-0005-0000-0000-00006D140000}"/>
    <cellStyle name="20% - Accent3 5 3 7 2" xfId="14270" xr:uid="{00000000-0005-0000-0000-00006E140000}"/>
    <cellStyle name="20% - Accent3 5 3 7 2 2" xfId="27819" xr:uid="{00000000-0005-0000-0000-00006F140000}"/>
    <cellStyle name="20% - Accent3 5 3 7 3" xfId="18681" xr:uid="{00000000-0005-0000-0000-000070140000}"/>
    <cellStyle name="20% - Accent3 5 3 8" xfId="1359" xr:uid="{00000000-0005-0000-0000-000071140000}"/>
    <cellStyle name="20% - Accent3 5 3 8 2" xfId="14822" xr:uid="{00000000-0005-0000-0000-000072140000}"/>
    <cellStyle name="20% - Accent3 5 3 8 2 2" xfId="28371" xr:uid="{00000000-0005-0000-0000-000073140000}"/>
    <cellStyle name="20% - Accent3 5 3 8 3" xfId="18682" xr:uid="{00000000-0005-0000-0000-000074140000}"/>
    <cellStyle name="20% - Accent3 5 3 9" xfId="1360" xr:uid="{00000000-0005-0000-0000-000075140000}"/>
    <cellStyle name="20% - Accent3 5 3 9 2" xfId="16156" xr:uid="{00000000-0005-0000-0000-000076140000}"/>
    <cellStyle name="20% - Accent3 5 3 9 2 2" xfId="29563" xr:uid="{00000000-0005-0000-0000-000077140000}"/>
    <cellStyle name="20% - Accent3 5 3 9 3" xfId="18683" xr:uid="{00000000-0005-0000-0000-000078140000}"/>
    <cellStyle name="20% - Accent3 5 4" xfId="1361" xr:uid="{00000000-0005-0000-0000-000079140000}"/>
    <cellStyle name="20% - Accent3 5 4 2" xfId="1362" xr:uid="{00000000-0005-0000-0000-00007A140000}"/>
    <cellStyle name="20% - Accent3 5 4 2 2" xfId="10739" xr:uid="{00000000-0005-0000-0000-00007B140000}"/>
    <cellStyle name="20% - Accent3 5 4 2 2 2" xfId="24681" xr:uid="{00000000-0005-0000-0000-00007C140000}"/>
    <cellStyle name="20% - Accent3 5 4 2 3" xfId="18685" xr:uid="{00000000-0005-0000-0000-00007D140000}"/>
    <cellStyle name="20% - Accent3 5 4 3" xfId="1363" xr:uid="{00000000-0005-0000-0000-00007E140000}"/>
    <cellStyle name="20% - Accent3 5 4 3 2" xfId="12422" xr:uid="{00000000-0005-0000-0000-00007F140000}"/>
    <cellStyle name="20% - Accent3 5 4 3 2 2" xfId="26134" xr:uid="{00000000-0005-0000-0000-000080140000}"/>
    <cellStyle name="20% - Accent3 5 4 3 3" xfId="18686" xr:uid="{00000000-0005-0000-0000-000081140000}"/>
    <cellStyle name="20% - Accent3 5 4 4" xfId="1364" xr:uid="{00000000-0005-0000-0000-000082140000}"/>
    <cellStyle name="20% - Accent3 5 4 4 2" xfId="14825" xr:uid="{00000000-0005-0000-0000-000083140000}"/>
    <cellStyle name="20% - Accent3 5 4 4 2 2" xfId="28374" xr:uid="{00000000-0005-0000-0000-000084140000}"/>
    <cellStyle name="20% - Accent3 5 4 4 3" xfId="18687" xr:uid="{00000000-0005-0000-0000-000085140000}"/>
    <cellStyle name="20% - Accent3 5 4 5" xfId="1365" xr:uid="{00000000-0005-0000-0000-000086140000}"/>
    <cellStyle name="20% - Accent3 5 4 5 2" xfId="16445" xr:uid="{00000000-0005-0000-0000-000087140000}"/>
    <cellStyle name="20% - Accent3 5 4 5 2 2" xfId="29852" xr:uid="{00000000-0005-0000-0000-000088140000}"/>
    <cellStyle name="20% - Accent3 5 4 5 3" xfId="18688" xr:uid="{00000000-0005-0000-0000-000089140000}"/>
    <cellStyle name="20% - Accent3 5 4 6" xfId="9014" xr:uid="{00000000-0005-0000-0000-00008A140000}"/>
    <cellStyle name="20% - Accent3 5 4 6 2" xfId="23489" xr:uid="{00000000-0005-0000-0000-00008B140000}"/>
    <cellStyle name="20% - Accent3 5 4 7" xfId="18684" xr:uid="{00000000-0005-0000-0000-00008C140000}"/>
    <cellStyle name="20% - Accent3 5 5" xfId="1366" xr:uid="{00000000-0005-0000-0000-00008D140000}"/>
    <cellStyle name="20% - Accent3 5 5 2" xfId="1367" xr:uid="{00000000-0005-0000-0000-00008E140000}"/>
    <cellStyle name="20% - Accent3 5 5 2 2" xfId="14826" xr:uid="{00000000-0005-0000-0000-00008F140000}"/>
    <cellStyle name="20% - Accent3 5 5 2 2 2" xfId="28375" xr:uid="{00000000-0005-0000-0000-000090140000}"/>
    <cellStyle name="20% - Accent3 5 5 2 3" xfId="18690" xr:uid="{00000000-0005-0000-0000-000091140000}"/>
    <cellStyle name="20% - Accent3 5 5 3" xfId="10732" xr:uid="{00000000-0005-0000-0000-000092140000}"/>
    <cellStyle name="20% - Accent3 5 5 3 2" xfId="24674" xr:uid="{00000000-0005-0000-0000-000093140000}"/>
    <cellStyle name="20% - Accent3 5 5 4" xfId="18689" xr:uid="{00000000-0005-0000-0000-000094140000}"/>
    <cellStyle name="20% - Accent3 5 6" xfId="1368" xr:uid="{00000000-0005-0000-0000-000095140000}"/>
    <cellStyle name="20% - Accent3 5 6 2" xfId="11796" xr:uid="{00000000-0005-0000-0000-000096140000}"/>
    <cellStyle name="20% - Accent3 5 6 2 2" xfId="25511" xr:uid="{00000000-0005-0000-0000-000097140000}"/>
    <cellStyle name="20% - Accent3 5 6 3" xfId="18691" xr:uid="{00000000-0005-0000-0000-000098140000}"/>
    <cellStyle name="20% - Accent3 5 7" xfId="1369" xr:uid="{00000000-0005-0000-0000-000099140000}"/>
    <cellStyle name="20% - Accent3 5 7 2" xfId="12585" xr:uid="{00000000-0005-0000-0000-00009A140000}"/>
    <cellStyle name="20% - Accent3 5 7 2 2" xfId="26297" xr:uid="{00000000-0005-0000-0000-00009B140000}"/>
    <cellStyle name="20% - Accent3 5 7 3" xfId="18692" xr:uid="{00000000-0005-0000-0000-00009C140000}"/>
    <cellStyle name="20% - Accent3 5 8" xfId="1370" xr:uid="{00000000-0005-0000-0000-00009D140000}"/>
    <cellStyle name="20% - Accent3 5 8 2" xfId="13397" xr:uid="{00000000-0005-0000-0000-00009E140000}"/>
    <cellStyle name="20% - Accent3 5 8 2 2" xfId="26946" xr:uid="{00000000-0005-0000-0000-00009F140000}"/>
    <cellStyle name="20% - Accent3 5 8 3" xfId="18693" xr:uid="{00000000-0005-0000-0000-0000A0140000}"/>
    <cellStyle name="20% - Accent3 5 9" xfId="1371" xr:uid="{00000000-0005-0000-0000-0000A1140000}"/>
    <cellStyle name="20% - Accent3 5 9 2" xfId="13978" xr:uid="{00000000-0005-0000-0000-0000A2140000}"/>
    <cellStyle name="20% - Accent3 5 9 2 2" xfId="27527" xr:uid="{00000000-0005-0000-0000-0000A3140000}"/>
    <cellStyle name="20% - Accent3 5 9 3" xfId="18694" xr:uid="{00000000-0005-0000-0000-0000A4140000}"/>
    <cellStyle name="20% - Accent3 6" xfId="1372" xr:uid="{00000000-0005-0000-0000-0000A5140000}"/>
    <cellStyle name="20% - Accent3 6 10" xfId="1373" xr:uid="{00000000-0005-0000-0000-0000A6140000}"/>
    <cellStyle name="20% - Accent3 6 10 2" xfId="14827" xr:uid="{00000000-0005-0000-0000-0000A7140000}"/>
    <cellStyle name="20% - Accent3 6 10 2 2" xfId="28376" xr:uid="{00000000-0005-0000-0000-0000A8140000}"/>
    <cellStyle name="20% - Accent3 6 10 3" xfId="18696" xr:uid="{00000000-0005-0000-0000-0000A9140000}"/>
    <cellStyle name="20% - Accent3 6 11" xfId="1374" xr:uid="{00000000-0005-0000-0000-0000AA140000}"/>
    <cellStyle name="20% - Accent3 6 11 2" xfId="15970" xr:uid="{00000000-0005-0000-0000-0000AB140000}"/>
    <cellStyle name="20% - Accent3 6 11 2 2" xfId="29377" xr:uid="{00000000-0005-0000-0000-0000AC140000}"/>
    <cellStyle name="20% - Accent3 6 11 3" xfId="18697" xr:uid="{00000000-0005-0000-0000-0000AD140000}"/>
    <cellStyle name="20% - Accent3 6 12" xfId="9015" xr:uid="{00000000-0005-0000-0000-0000AE140000}"/>
    <cellStyle name="20% - Accent3 6 12 2" xfId="23490" xr:uid="{00000000-0005-0000-0000-0000AF140000}"/>
    <cellStyle name="20% - Accent3 6 13" xfId="18695" xr:uid="{00000000-0005-0000-0000-0000B0140000}"/>
    <cellStyle name="20% - Accent3 6 2" xfId="1375" xr:uid="{00000000-0005-0000-0000-0000B1140000}"/>
    <cellStyle name="20% - Accent3 6 2 10" xfId="1376" xr:uid="{00000000-0005-0000-0000-0000B2140000}"/>
    <cellStyle name="20% - Accent3 6 2 10 2" xfId="16113" xr:uid="{00000000-0005-0000-0000-0000B3140000}"/>
    <cellStyle name="20% - Accent3 6 2 10 2 2" xfId="29520" xr:uid="{00000000-0005-0000-0000-0000B4140000}"/>
    <cellStyle name="20% - Accent3 6 2 10 3" xfId="18699" xr:uid="{00000000-0005-0000-0000-0000B5140000}"/>
    <cellStyle name="20% - Accent3 6 2 11" xfId="9016" xr:uid="{00000000-0005-0000-0000-0000B6140000}"/>
    <cellStyle name="20% - Accent3 6 2 11 2" xfId="23491" xr:uid="{00000000-0005-0000-0000-0000B7140000}"/>
    <cellStyle name="20% - Accent3 6 2 12" xfId="18698" xr:uid="{00000000-0005-0000-0000-0000B8140000}"/>
    <cellStyle name="20% - Accent3 6 2 2" xfId="1377" xr:uid="{00000000-0005-0000-0000-0000B9140000}"/>
    <cellStyle name="20% - Accent3 6 2 2 10" xfId="9017" xr:uid="{00000000-0005-0000-0000-0000BA140000}"/>
    <cellStyle name="20% - Accent3 6 2 2 10 2" xfId="23492" xr:uid="{00000000-0005-0000-0000-0000BB140000}"/>
    <cellStyle name="20% - Accent3 6 2 2 11" xfId="18700" xr:uid="{00000000-0005-0000-0000-0000BC140000}"/>
    <cellStyle name="20% - Accent3 6 2 2 2" xfId="1378" xr:uid="{00000000-0005-0000-0000-0000BD140000}"/>
    <cellStyle name="20% - Accent3 6 2 2 2 2" xfId="1379" xr:uid="{00000000-0005-0000-0000-0000BE140000}"/>
    <cellStyle name="20% - Accent3 6 2 2 2 2 2" xfId="10743" xr:uid="{00000000-0005-0000-0000-0000BF140000}"/>
    <cellStyle name="20% - Accent3 6 2 2 2 2 2 2" xfId="24685" xr:uid="{00000000-0005-0000-0000-0000C0140000}"/>
    <cellStyle name="20% - Accent3 6 2 2 2 2 3" xfId="18702" xr:uid="{00000000-0005-0000-0000-0000C1140000}"/>
    <cellStyle name="20% - Accent3 6 2 2 2 3" xfId="1380" xr:uid="{00000000-0005-0000-0000-0000C2140000}"/>
    <cellStyle name="20% - Accent3 6 2 2 2 3 2" xfId="12795" xr:uid="{00000000-0005-0000-0000-0000C3140000}"/>
    <cellStyle name="20% - Accent3 6 2 2 2 3 2 2" xfId="26507" xr:uid="{00000000-0005-0000-0000-0000C4140000}"/>
    <cellStyle name="20% - Accent3 6 2 2 2 3 3" xfId="18703" xr:uid="{00000000-0005-0000-0000-0000C5140000}"/>
    <cellStyle name="20% - Accent3 6 2 2 2 4" xfId="1381" xr:uid="{00000000-0005-0000-0000-0000C6140000}"/>
    <cellStyle name="20% - Accent3 6 2 2 2 4 2" xfId="14830" xr:uid="{00000000-0005-0000-0000-0000C7140000}"/>
    <cellStyle name="20% - Accent3 6 2 2 2 4 2 2" xfId="28379" xr:uid="{00000000-0005-0000-0000-0000C8140000}"/>
    <cellStyle name="20% - Accent3 6 2 2 2 4 3" xfId="18704" xr:uid="{00000000-0005-0000-0000-0000C9140000}"/>
    <cellStyle name="20% - Accent3 6 2 2 2 5" xfId="1382" xr:uid="{00000000-0005-0000-0000-0000CA140000}"/>
    <cellStyle name="20% - Accent3 6 2 2 2 5 2" xfId="16983" xr:uid="{00000000-0005-0000-0000-0000CB140000}"/>
    <cellStyle name="20% - Accent3 6 2 2 2 5 2 2" xfId="30390" xr:uid="{00000000-0005-0000-0000-0000CC140000}"/>
    <cellStyle name="20% - Accent3 6 2 2 2 5 3" xfId="18705" xr:uid="{00000000-0005-0000-0000-0000CD140000}"/>
    <cellStyle name="20% - Accent3 6 2 2 2 6" xfId="9018" xr:uid="{00000000-0005-0000-0000-0000CE140000}"/>
    <cellStyle name="20% - Accent3 6 2 2 2 6 2" xfId="23493" xr:uid="{00000000-0005-0000-0000-0000CF140000}"/>
    <cellStyle name="20% - Accent3 6 2 2 2 7" xfId="18701" xr:uid="{00000000-0005-0000-0000-0000D0140000}"/>
    <cellStyle name="20% - Accent3 6 2 2 3" xfId="1383" xr:uid="{00000000-0005-0000-0000-0000D1140000}"/>
    <cellStyle name="20% - Accent3 6 2 2 3 2" xfId="1384" xr:uid="{00000000-0005-0000-0000-0000D2140000}"/>
    <cellStyle name="20% - Accent3 6 2 2 3 2 2" xfId="14831" xr:uid="{00000000-0005-0000-0000-0000D3140000}"/>
    <cellStyle name="20% - Accent3 6 2 2 3 2 2 2" xfId="28380" xr:uid="{00000000-0005-0000-0000-0000D4140000}"/>
    <cellStyle name="20% - Accent3 6 2 2 3 2 3" xfId="18707" xr:uid="{00000000-0005-0000-0000-0000D5140000}"/>
    <cellStyle name="20% - Accent3 6 2 2 3 3" xfId="10742" xr:uid="{00000000-0005-0000-0000-0000D6140000}"/>
    <cellStyle name="20% - Accent3 6 2 2 3 3 2" xfId="24684" xr:uid="{00000000-0005-0000-0000-0000D7140000}"/>
    <cellStyle name="20% - Accent3 6 2 2 3 4" xfId="18706" xr:uid="{00000000-0005-0000-0000-0000D8140000}"/>
    <cellStyle name="20% - Accent3 6 2 2 4" xfId="1385" xr:uid="{00000000-0005-0000-0000-0000D9140000}"/>
    <cellStyle name="20% - Accent3 6 2 2 4 2" xfId="12371" xr:uid="{00000000-0005-0000-0000-0000DA140000}"/>
    <cellStyle name="20% - Accent3 6 2 2 4 2 2" xfId="26083" xr:uid="{00000000-0005-0000-0000-0000DB140000}"/>
    <cellStyle name="20% - Accent3 6 2 2 4 3" xfId="18708" xr:uid="{00000000-0005-0000-0000-0000DC140000}"/>
    <cellStyle name="20% - Accent3 6 2 2 5" xfId="1386" xr:uid="{00000000-0005-0000-0000-0000DD140000}"/>
    <cellStyle name="20% - Accent3 6 2 2 5 2" xfId="12655" xr:uid="{00000000-0005-0000-0000-0000DE140000}"/>
    <cellStyle name="20% - Accent3 6 2 2 5 2 2" xfId="26367" xr:uid="{00000000-0005-0000-0000-0000DF140000}"/>
    <cellStyle name="20% - Accent3 6 2 2 5 3" xfId="18709" xr:uid="{00000000-0005-0000-0000-0000E0140000}"/>
    <cellStyle name="20% - Accent3 6 2 2 6" xfId="1387" xr:uid="{00000000-0005-0000-0000-0000E1140000}"/>
    <cellStyle name="20% - Accent3 6 2 2 6 2" xfId="13935" xr:uid="{00000000-0005-0000-0000-0000E2140000}"/>
    <cellStyle name="20% - Accent3 6 2 2 6 2 2" xfId="27484" xr:uid="{00000000-0005-0000-0000-0000E3140000}"/>
    <cellStyle name="20% - Accent3 6 2 2 6 3" xfId="18710" xr:uid="{00000000-0005-0000-0000-0000E4140000}"/>
    <cellStyle name="20% - Accent3 6 2 2 7" xfId="1388" xr:uid="{00000000-0005-0000-0000-0000E5140000}"/>
    <cellStyle name="20% - Accent3 6 2 2 7 2" xfId="14516" xr:uid="{00000000-0005-0000-0000-0000E6140000}"/>
    <cellStyle name="20% - Accent3 6 2 2 7 2 2" xfId="28065" xr:uid="{00000000-0005-0000-0000-0000E7140000}"/>
    <cellStyle name="20% - Accent3 6 2 2 7 3" xfId="18711" xr:uid="{00000000-0005-0000-0000-0000E8140000}"/>
    <cellStyle name="20% - Accent3 6 2 2 8" xfId="1389" xr:uid="{00000000-0005-0000-0000-0000E9140000}"/>
    <cellStyle name="20% - Accent3 6 2 2 8 2" xfId="14829" xr:uid="{00000000-0005-0000-0000-0000EA140000}"/>
    <cellStyle name="20% - Accent3 6 2 2 8 2 2" xfId="28378" xr:uid="{00000000-0005-0000-0000-0000EB140000}"/>
    <cellStyle name="20% - Accent3 6 2 2 8 3" xfId="18712" xr:uid="{00000000-0005-0000-0000-0000EC140000}"/>
    <cellStyle name="20% - Accent3 6 2 2 9" xfId="1390" xr:uid="{00000000-0005-0000-0000-0000ED140000}"/>
    <cellStyle name="20% - Accent3 6 2 2 9 2" xfId="16402" xr:uid="{00000000-0005-0000-0000-0000EE140000}"/>
    <cellStyle name="20% - Accent3 6 2 2 9 2 2" xfId="29809" xr:uid="{00000000-0005-0000-0000-0000EF140000}"/>
    <cellStyle name="20% - Accent3 6 2 2 9 3" xfId="18713" xr:uid="{00000000-0005-0000-0000-0000F0140000}"/>
    <cellStyle name="20% - Accent3 6 2 3" xfId="1391" xr:uid="{00000000-0005-0000-0000-0000F1140000}"/>
    <cellStyle name="20% - Accent3 6 2 3 2" xfId="1392" xr:uid="{00000000-0005-0000-0000-0000F2140000}"/>
    <cellStyle name="20% - Accent3 6 2 3 2 2" xfId="10744" xr:uid="{00000000-0005-0000-0000-0000F3140000}"/>
    <cellStyle name="20% - Accent3 6 2 3 2 2 2" xfId="24686" xr:uid="{00000000-0005-0000-0000-0000F4140000}"/>
    <cellStyle name="20% - Accent3 6 2 3 2 3" xfId="18715" xr:uid="{00000000-0005-0000-0000-0000F5140000}"/>
    <cellStyle name="20% - Accent3 6 2 3 3" xfId="1393" xr:uid="{00000000-0005-0000-0000-0000F6140000}"/>
    <cellStyle name="20% - Accent3 6 2 3 3 2" xfId="11860" xr:uid="{00000000-0005-0000-0000-0000F7140000}"/>
    <cellStyle name="20% - Accent3 6 2 3 3 2 2" xfId="25575" xr:uid="{00000000-0005-0000-0000-0000F8140000}"/>
    <cellStyle name="20% - Accent3 6 2 3 3 3" xfId="18716" xr:uid="{00000000-0005-0000-0000-0000F9140000}"/>
    <cellStyle name="20% - Accent3 6 2 3 4" xfId="1394" xr:uid="{00000000-0005-0000-0000-0000FA140000}"/>
    <cellStyle name="20% - Accent3 6 2 3 4 2" xfId="14832" xr:uid="{00000000-0005-0000-0000-0000FB140000}"/>
    <cellStyle name="20% - Accent3 6 2 3 4 2 2" xfId="28381" xr:uid="{00000000-0005-0000-0000-0000FC140000}"/>
    <cellStyle name="20% - Accent3 6 2 3 4 3" xfId="18717" xr:uid="{00000000-0005-0000-0000-0000FD140000}"/>
    <cellStyle name="20% - Accent3 6 2 3 5" xfId="1395" xr:uid="{00000000-0005-0000-0000-0000FE140000}"/>
    <cellStyle name="20% - Accent3 6 2 3 5 2" xfId="16694" xr:uid="{00000000-0005-0000-0000-0000FF140000}"/>
    <cellStyle name="20% - Accent3 6 2 3 5 2 2" xfId="30101" xr:uid="{00000000-0005-0000-0000-000000150000}"/>
    <cellStyle name="20% - Accent3 6 2 3 5 3" xfId="18718" xr:uid="{00000000-0005-0000-0000-000001150000}"/>
    <cellStyle name="20% - Accent3 6 2 3 6" xfId="9019" xr:uid="{00000000-0005-0000-0000-000002150000}"/>
    <cellStyle name="20% - Accent3 6 2 3 6 2" xfId="23494" xr:uid="{00000000-0005-0000-0000-000003150000}"/>
    <cellStyle name="20% - Accent3 6 2 3 7" xfId="18714" xr:uid="{00000000-0005-0000-0000-000004150000}"/>
    <cellStyle name="20% - Accent3 6 2 4" xfId="1396" xr:uid="{00000000-0005-0000-0000-000005150000}"/>
    <cellStyle name="20% - Accent3 6 2 4 2" xfId="1397" xr:uid="{00000000-0005-0000-0000-000006150000}"/>
    <cellStyle name="20% - Accent3 6 2 4 2 2" xfId="14833" xr:uid="{00000000-0005-0000-0000-000007150000}"/>
    <cellStyle name="20% - Accent3 6 2 4 2 2 2" xfId="28382" xr:uid="{00000000-0005-0000-0000-000008150000}"/>
    <cellStyle name="20% - Accent3 6 2 4 2 3" xfId="18720" xr:uid="{00000000-0005-0000-0000-000009150000}"/>
    <cellStyle name="20% - Accent3 6 2 4 3" xfId="10741" xr:uid="{00000000-0005-0000-0000-00000A150000}"/>
    <cellStyle name="20% - Accent3 6 2 4 3 2" xfId="24683" xr:uid="{00000000-0005-0000-0000-00000B150000}"/>
    <cellStyle name="20% - Accent3 6 2 4 4" xfId="18719" xr:uid="{00000000-0005-0000-0000-00000C150000}"/>
    <cellStyle name="20% - Accent3 6 2 5" xfId="1398" xr:uid="{00000000-0005-0000-0000-00000D150000}"/>
    <cellStyle name="20% - Accent3 6 2 5 2" xfId="12071" xr:uid="{00000000-0005-0000-0000-00000E150000}"/>
    <cellStyle name="20% - Accent3 6 2 5 2 2" xfId="25786" xr:uid="{00000000-0005-0000-0000-00000F150000}"/>
    <cellStyle name="20% - Accent3 6 2 5 3" xfId="18721" xr:uid="{00000000-0005-0000-0000-000010150000}"/>
    <cellStyle name="20% - Accent3 6 2 6" xfId="1399" xr:uid="{00000000-0005-0000-0000-000011150000}"/>
    <cellStyle name="20% - Accent3 6 2 6 2" xfId="12409" xr:uid="{00000000-0005-0000-0000-000012150000}"/>
    <cellStyle name="20% - Accent3 6 2 6 2 2" xfId="26121" xr:uid="{00000000-0005-0000-0000-000013150000}"/>
    <cellStyle name="20% - Accent3 6 2 6 3" xfId="18722" xr:uid="{00000000-0005-0000-0000-000014150000}"/>
    <cellStyle name="20% - Accent3 6 2 7" xfId="1400" xr:uid="{00000000-0005-0000-0000-000015150000}"/>
    <cellStyle name="20% - Accent3 6 2 7 2" xfId="13646" xr:uid="{00000000-0005-0000-0000-000016150000}"/>
    <cellStyle name="20% - Accent3 6 2 7 2 2" xfId="27195" xr:uid="{00000000-0005-0000-0000-000017150000}"/>
    <cellStyle name="20% - Accent3 6 2 7 3" xfId="18723" xr:uid="{00000000-0005-0000-0000-000018150000}"/>
    <cellStyle name="20% - Accent3 6 2 8" xfId="1401" xr:uid="{00000000-0005-0000-0000-000019150000}"/>
    <cellStyle name="20% - Accent3 6 2 8 2" xfId="14227" xr:uid="{00000000-0005-0000-0000-00001A150000}"/>
    <cellStyle name="20% - Accent3 6 2 8 2 2" xfId="27776" xr:uid="{00000000-0005-0000-0000-00001B150000}"/>
    <cellStyle name="20% - Accent3 6 2 8 3" xfId="18724" xr:uid="{00000000-0005-0000-0000-00001C150000}"/>
    <cellStyle name="20% - Accent3 6 2 9" xfId="1402" xr:uid="{00000000-0005-0000-0000-00001D150000}"/>
    <cellStyle name="20% - Accent3 6 2 9 2" xfId="14828" xr:uid="{00000000-0005-0000-0000-00001E150000}"/>
    <cellStyle name="20% - Accent3 6 2 9 2 2" xfId="28377" xr:uid="{00000000-0005-0000-0000-00001F150000}"/>
    <cellStyle name="20% - Accent3 6 2 9 3" xfId="18725" xr:uid="{00000000-0005-0000-0000-000020150000}"/>
    <cellStyle name="20% - Accent3 6 3" xfId="1403" xr:uid="{00000000-0005-0000-0000-000021150000}"/>
    <cellStyle name="20% - Accent3 6 3 10" xfId="9020" xr:uid="{00000000-0005-0000-0000-000022150000}"/>
    <cellStyle name="20% - Accent3 6 3 10 2" xfId="23495" xr:uid="{00000000-0005-0000-0000-000023150000}"/>
    <cellStyle name="20% - Accent3 6 3 11" xfId="18726" xr:uid="{00000000-0005-0000-0000-000024150000}"/>
    <cellStyle name="20% - Accent3 6 3 2" xfId="1404" xr:uid="{00000000-0005-0000-0000-000025150000}"/>
    <cellStyle name="20% - Accent3 6 3 2 2" xfId="1405" xr:uid="{00000000-0005-0000-0000-000026150000}"/>
    <cellStyle name="20% - Accent3 6 3 2 2 2" xfId="10746" xr:uid="{00000000-0005-0000-0000-000027150000}"/>
    <cellStyle name="20% - Accent3 6 3 2 2 2 2" xfId="24688" xr:uid="{00000000-0005-0000-0000-000028150000}"/>
    <cellStyle name="20% - Accent3 6 3 2 2 3" xfId="18728" xr:uid="{00000000-0005-0000-0000-000029150000}"/>
    <cellStyle name="20% - Accent3 6 3 2 3" xfId="1406" xr:uid="{00000000-0005-0000-0000-00002A150000}"/>
    <cellStyle name="20% - Accent3 6 3 2 3 2" xfId="12648" xr:uid="{00000000-0005-0000-0000-00002B150000}"/>
    <cellStyle name="20% - Accent3 6 3 2 3 2 2" xfId="26360" xr:uid="{00000000-0005-0000-0000-00002C150000}"/>
    <cellStyle name="20% - Accent3 6 3 2 3 3" xfId="18729" xr:uid="{00000000-0005-0000-0000-00002D150000}"/>
    <cellStyle name="20% - Accent3 6 3 2 4" xfId="1407" xr:uid="{00000000-0005-0000-0000-00002E150000}"/>
    <cellStyle name="20% - Accent3 6 3 2 4 2" xfId="14835" xr:uid="{00000000-0005-0000-0000-00002F150000}"/>
    <cellStyle name="20% - Accent3 6 3 2 4 2 2" xfId="28384" xr:uid="{00000000-0005-0000-0000-000030150000}"/>
    <cellStyle name="20% - Accent3 6 3 2 4 3" xfId="18730" xr:uid="{00000000-0005-0000-0000-000031150000}"/>
    <cellStyle name="20% - Accent3 6 3 2 5" xfId="1408" xr:uid="{00000000-0005-0000-0000-000032150000}"/>
    <cellStyle name="20% - Accent3 6 3 2 5 2" xfId="16840" xr:uid="{00000000-0005-0000-0000-000033150000}"/>
    <cellStyle name="20% - Accent3 6 3 2 5 2 2" xfId="30247" xr:uid="{00000000-0005-0000-0000-000034150000}"/>
    <cellStyle name="20% - Accent3 6 3 2 5 3" xfId="18731" xr:uid="{00000000-0005-0000-0000-000035150000}"/>
    <cellStyle name="20% - Accent3 6 3 2 6" xfId="9021" xr:uid="{00000000-0005-0000-0000-000036150000}"/>
    <cellStyle name="20% - Accent3 6 3 2 6 2" xfId="23496" xr:uid="{00000000-0005-0000-0000-000037150000}"/>
    <cellStyle name="20% - Accent3 6 3 2 7" xfId="18727" xr:uid="{00000000-0005-0000-0000-000038150000}"/>
    <cellStyle name="20% - Accent3 6 3 3" xfId="1409" xr:uid="{00000000-0005-0000-0000-000039150000}"/>
    <cellStyle name="20% - Accent3 6 3 3 2" xfId="1410" xr:uid="{00000000-0005-0000-0000-00003A150000}"/>
    <cellStyle name="20% - Accent3 6 3 3 2 2" xfId="14836" xr:uid="{00000000-0005-0000-0000-00003B150000}"/>
    <cellStyle name="20% - Accent3 6 3 3 2 2 2" xfId="28385" xr:uid="{00000000-0005-0000-0000-00003C150000}"/>
    <cellStyle name="20% - Accent3 6 3 3 2 3" xfId="18733" xr:uid="{00000000-0005-0000-0000-00003D150000}"/>
    <cellStyle name="20% - Accent3 6 3 3 3" xfId="10745" xr:uid="{00000000-0005-0000-0000-00003E150000}"/>
    <cellStyle name="20% - Accent3 6 3 3 3 2" xfId="24687" xr:uid="{00000000-0005-0000-0000-00003F150000}"/>
    <cellStyle name="20% - Accent3 6 3 3 4" xfId="18732" xr:uid="{00000000-0005-0000-0000-000040150000}"/>
    <cellStyle name="20% - Accent3 6 3 4" xfId="1411" xr:uid="{00000000-0005-0000-0000-000041150000}"/>
    <cellStyle name="20% - Accent3 6 3 4 2" xfId="12228" xr:uid="{00000000-0005-0000-0000-000042150000}"/>
    <cellStyle name="20% - Accent3 6 3 4 2 2" xfId="25940" xr:uid="{00000000-0005-0000-0000-000043150000}"/>
    <cellStyle name="20% - Accent3 6 3 4 3" xfId="18734" xr:uid="{00000000-0005-0000-0000-000044150000}"/>
    <cellStyle name="20% - Accent3 6 3 5" xfId="1412" xr:uid="{00000000-0005-0000-0000-000045150000}"/>
    <cellStyle name="20% - Accent3 6 3 5 2" xfId="12728" xr:uid="{00000000-0005-0000-0000-000046150000}"/>
    <cellStyle name="20% - Accent3 6 3 5 2 2" xfId="26440" xr:uid="{00000000-0005-0000-0000-000047150000}"/>
    <cellStyle name="20% - Accent3 6 3 5 3" xfId="18735" xr:uid="{00000000-0005-0000-0000-000048150000}"/>
    <cellStyle name="20% - Accent3 6 3 6" xfId="1413" xr:uid="{00000000-0005-0000-0000-000049150000}"/>
    <cellStyle name="20% - Accent3 6 3 6 2" xfId="13792" xr:uid="{00000000-0005-0000-0000-00004A150000}"/>
    <cellStyle name="20% - Accent3 6 3 6 2 2" xfId="27341" xr:uid="{00000000-0005-0000-0000-00004B150000}"/>
    <cellStyle name="20% - Accent3 6 3 6 3" xfId="18736" xr:uid="{00000000-0005-0000-0000-00004C150000}"/>
    <cellStyle name="20% - Accent3 6 3 7" xfId="1414" xr:uid="{00000000-0005-0000-0000-00004D150000}"/>
    <cellStyle name="20% - Accent3 6 3 7 2" xfId="14373" xr:uid="{00000000-0005-0000-0000-00004E150000}"/>
    <cellStyle name="20% - Accent3 6 3 7 2 2" xfId="27922" xr:uid="{00000000-0005-0000-0000-00004F150000}"/>
    <cellStyle name="20% - Accent3 6 3 7 3" xfId="18737" xr:uid="{00000000-0005-0000-0000-000050150000}"/>
    <cellStyle name="20% - Accent3 6 3 8" xfId="1415" xr:uid="{00000000-0005-0000-0000-000051150000}"/>
    <cellStyle name="20% - Accent3 6 3 8 2" xfId="14834" xr:uid="{00000000-0005-0000-0000-000052150000}"/>
    <cellStyle name="20% - Accent3 6 3 8 2 2" xfId="28383" xr:uid="{00000000-0005-0000-0000-000053150000}"/>
    <cellStyle name="20% - Accent3 6 3 8 3" xfId="18738" xr:uid="{00000000-0005-0000-0000-000054150000}"/>
    <cellStyle name="20% - Accent3 6 3 9" xfId="1416" xr:uid="{00000000-0005-0000-0000-000055150000}"/>
    <cellStyle name="20% - Accent3 6 3 9 2" xfId="16259" xr:uid="{00000000-0005-0000-0000-000056150000}"/>
    <cellStyle name="20% - Accent3 6 3 9 2 2" xfId="29666" xr:uid="{00000000-0005-0000-0000-000057150000}"/>
    <cellStyle name="20% - Accent3 6 3 9 3" xfId="18739" xr:uid="{00000000-0005-0000-0000-000058150000}"/>
    <cellStyle name="20% - Accent3 6 4" xfId="1417" xr:uid="{00000000-0005-0000-0000-000059150000}"/>
    <cellStyle name="20% - Accent3 6 4 2" xfId="1418" xr:uid="{00000000-0005-0000-0000-00005A150000}"/>
    <cellStyle name="20% - Accent3 6 4 2 2" xfId="10747" xr:uid="{00000000-0005-0000-0000-00005B150000}"/>
    <cellStyle name="20% - Accent3 6 4 2 2 2" xfId="24689" xr:uid="{00000000-0005-0000-0000-00005C150000}"/>
    <cellStyle name="20% - Accent3 6 4 2 3" xfId="18741" xr:uid="{00000000-0005-0000-0000-00005D150000}"/>
    <cellStyle name="20% - Accent3 6 4 3" xfId="1419" xr:uid="{00000000-0005-0000-0000-00005E150000}"/>
    <cellStyle name="20% - Accent3 6 4 3 2" xfId="12675" xr:uid="{00000000-0005-0000-0000-00005F150000}"/>
    <cellStyle name="20% - Accent3 6 4 3 2 2" xfId="26387" xr:uid="{00000000-0005-0000-0000-000060150000}"/>
    <cellStyle name="20% - Accent3 6 4 3 3" xfId="18742" xr:uid="{00000000-0005-0000-0000-000061150000}"/>
    <cellStyle name="20% - Accent3 6 4 4" xfId="1420" xr:uid="{00000000-0005-0000-0000-000062150000}"/>
    <cellStyle name="20% - Accent3 6 4 4 2" xfId="14837" xr:uid="{00000000-0005-0000-0000-000063150000}"/>
    <cellStyle name="20% - Accent3 6 4 4 2 2" xfId="28386" xr:uid="{00000000-0005-0000-0000-000064150000}"/>
    <cellStyle name="20% - Accent3 6 4 4 3" xfId="18743" xr:uid="{00000000-0005-0000-0000-000065150000}"/>
    <cellStyle name="20% - Accent3 6 4 5" xfId="1421" xr:uid="{00000000-0005-0000-0000-000066150000}"/>
    <cellStyle name="20% - Accent3 6 4 5 2" xfId="16551" xr:uid="{00000000-0005-0000-0000-000067150000}"/>
    <cellStyle name="20% - Accent3 6 4 5 2 2" xfId="29958" xr:uid="{00000000-0005-0000-0000-000068150000}"/>
    <cellStyle name="20% - Accent3 6 4 5 3" xfId="18744" xr:uid="{00000000-0005-0000-0000-000069150000}"/>
    <cellStyle name="20% - Accent3 6 4 6" xfId="9022" xr:uid="{00000000-0005-0000-0000-00006A150000}"/>
    <cellStyle name="20% - Accent3 6 4 6 2" xfId="23497" xr:uid="{00000000-0005-0000-0000-00006B150000}"/>
    <cellStyle name="20% - Accent3 6 4 7" xfId="18740" xr:uid="{00000000-0005-0000-0000-00006C150000}"/>
    <cellStyle name="20% - Accent3 6 5" xfId="1422" xr:uid="{00000000-0005-0000-0000-00006D150000}"/>
    <cellStyle name="20% - Accent3 6 5 2" xfId="1423" xr:uid="{00000000-0005-0000-0000-00006E150000}"/>
    <cellStyle name="20% - Accent3 6 5 2 2" xfId="14838" xr:uid="{00000000-0005-0000-0000-00006F150000}"/>
    <cellStyle name="20% - Accent3 6 5 2 2 2" xfId="28387" xr:uid="{00000000-0005-0000-0000-000070150000}"/>
    <cellStyle name="20% - Accent3 6 5 2 3" xfId="18746" xr:uid="{00000000-0005-0000-0000-000071150000}"/>
    <cellStyle name="20% - Accent3 6 5 3" xfId="10740" xr:uid="{00000000-0005-0000-0000-000072150000}"/>
    <cellStyle name="20% - Accent3 6 5 3 2" xfId="24682" xr:uid="{00000000-0005-0000-0000-000073150000}"/>
    <cellStyle name="20% - Accent3 6 5 4" xfId="18745" xr:uid="{00000000-0005-0000-0000-000074150000}"/>
    <cellStyle name="20% - Accent3 6 6" xfId="1424" xr:uid="{00000000-0005-0000-0000-000075150000}"/>
    <cellStyle name="20% - Accent3 6 6 2" xfId="11926" xr:uid="{00000000-0005-0000-0000-000076150000}"/>
    <cellStyle name="20% - Accent3 6 6 2 2" xfId="25641" xr:uid="{00000000-0005-0000-0000-000077150000}"/>
    <cellStyle name="20% - Accent3 6 6 3" xfId="18747" xr:uid="{00000000-0005-0000-0000-000078150000}"/>
    <cellStyle name="20% - Accent3 6 7" xfId="1425" xr:uid="{00000000-0005-0000-0000-000079150000}"/>
    <cellStyle name="20% - Accent3 6 7 2" xfId="12429" xr:uid="{00000000-0005-0000-0000-00007A150000}"/>
    <cellStyle name="20% - Accent3 6 7 2 2" xfId="26141" xr:uid="{00000000-0005-0000-0000-00007B150000}"/>
    <cellStyle name="20% - Accent3 6 7 3" xfId="18748" xr:uid="{00000000-0005-0000-0000-00007C150000}"/>
    <cellStyle name="20% - Accent3 6 8" xfId="1426" xr:uid="{00000000-0005-0000-0000-00007D150000}"/>
    <cellStyle name="20% - Accent3 6 8 2" xfId="13503" xr:uid="{00000000-0005-0000-0000-00007E150000}"/>
    <cellStyle name="20% - Accent3 6 8 2 2" xfId="27052" xr:uid="{00000000-0005-0000-0000-00007F150000}"/>
    <cellStyle name="20% - Accent3 6 8 3" xfId="18749" xr:uid="{00000000-0005-0000-0000-000080150000}"/>
    <cellStyle name="20% - Accent3 6 9" xfId="1427" xr:uid="{00000000-0005-0000-0000-000081150000}"/>
    <cellStyle name="20% - Accent3 6 9 2" xfId="14084" xr:uid="{00000000-0005-0000-0000-000082150000}"/>
    <cellStyle name="20% - Accent3 6 9 2 2" xfId="27633" xr:uid="{00000000-0005-0000-0000-000083150000}"/>
    <cellStyle name="20% - Accent3 6 9 3" xfId="18750" xr:uid="{00000000-0005-0000-0000-000084150000}"/>
    <cellStyle name="20% - Accent3 7" xfId="1428" xr:uid="{00000000-0005-0000-0000-000085150000}"/>
    <cellStyle name="20% - Accent3 7 10" xfId="1429" xr:uid="{00000000-0005-0000-0000-000086150000}"/>
    <cellStyle name="20% - Accent3 7 10 2" xfId="15992" xr:uid="{00000000-0005-0000-0000-000087150000}"/>
    <cellStyle name="20% - Accent3 7 10 2 2" xfId="29399" xr:uid="{00000000-0005-0000-0000-000088150000}"/>
    <cellStyle name="20% - Accent3 7 10 3" xfId="18752" xr:uid="{00000000-0005-0000-0000-000089150000}"/>
    <cellStyle name="20% - Accent3 7 11" xfId="9023" xr:uid="{00000000-0005-0000-0000-00008A150000}"/>
    <cellStyle name="20% - Accent3 7 11 2" xfId="23498" xr:uid="{00000000-0005-0000-0000-00008B150000}"/>
    <cellStyle name="20% - Accent3 7 12" xfId="18751" xr:uid="{00000000-0005-0000-0000-00008C150000}"/>
    <cellStyle name="20% - Accent3 7 2" xfId="1430" xr:uid="{00000000-0005-0000-0000-00008D150000}"/>
    <cellStyle name="20% - Accent3 7 2 10" xfId="9024" xr:uid="{00000000-0005-0000-0000-00008E150000}"/>
    <cellStyle name="20% - Accent3 7 2 10 2" xfId="23499" xr:uid="{00000000-0005-0000-0000-00008F150000}"/>
    <cellStyle name="20% - Accent3 7 2 11" xfId="18753" xr:uid="{00000000-0005-0000-0000-000090150000}"/>
    <cellStyle name="20% - Accent3 7 2 2" xfId="1431" xr:uid="{00000000-0005-0000-0000-000091150000}"/>
    <cellStyle name="20% - Accent3 7 2 2 2" xfId="1432" xr:uid="{00000000-0005-0000-0000-000092150000}"/>
    <cellStyle name="20% - Accent3 7 2 2 2 2" xfId="10750" xr:uid="{00000000-0005-0000-0000-000093150000}"/>
    <cellStyle name="20% - Accent3 7 2 2 2 2 2" xfId="24692" xr:uid="{00000000-0005-0000-0000-000094150000}"/>
    <cellStyle name="20% - Accent3 7 2 2 2 3" xfId="18755" xr:uid="{00000000-0005-0000-0000-000095150000}"/>
    <cellStyle name="20% - Accent3 7 2 2 3" xfId="1433" xr:uid="{00000000-0005-0000-0000-000096150000}"/>
    <cellStyle name="20% - Accent3 7 2 2 3 2" xfId="12532" xr:uid="{00000000-0005-0000-0000-000097150000}"/>
    <cellStyle name="20% - Accent3 7 2 2 3 2 2" xfId="26244" xr:uid="{00000000-0005-0000-0000-000098150000}"/>
    <cellStyle name="20% - Accent3 7 2 2 3 3" xfId="18756" xr:uid="{00000000-0005-0000-0000-000099150000}"/>
    <cellStyle name="20% - Accent3 7 2 2 4" xfId="1434" xr:uid="{00000000-0005-0000-0000-00009A150000}"/>
    <cellStyle name="20% - Accent3 7 2 2 4 2" xfId="14841" xr:uid="{00000000-0005-0000-0000-00009B150000}"/>
    <cellStyle name="20% - Accent3 7 2 2 4 2 2" xfId="28390" xr:uid="{00000000-0005-0000-0000-00009C150000}"/>
    <cellStyle name="20% - Accent3 7 2 2 4 3" xfId="18757" xr:uid="{00000000-0005-0000-0000-00009D150000}"/>
    <cellStyle name="20% - Accent3 7 2 2 5" xfId="1435" xr:uid="{00000000-0005-0000-0000-00009E150000}"/>
    <cellStyle name="20% - Accent3 7 2 2 5 2" xfId="16862" xr:uid="{00000000-0005-0000-0000-00009F150000}"/>
    <cellStyle name="20% - Accent3 7 2 2 5 2 2" xfId="30269" xr:uid="{00000000-0005-0000-0000-0000A0150000}"/>
    <cellStyle name="20% - Accent3 7 2 2 5 3" xfId="18758" xr:uid="{00000000-0005-0000-0000-0000A1150000}"/>
    <cellStyle name="20% - Accent3 7 2 2 6" xfId="9025" xr:uid="{00000000-0005-0000-0000-0000A2150000}"/>
    <cellStyle name="20% - Accent3 7 2 2 6 2" xfId="23500" xr:uid="{00000000-0005-0000-0000-0000A3150000}"/>
    <cellStyle name="20% - Accent3 7 2 2 7" xfId="18754" xr:uid="{00000000-0005-0000-0000-0000A4150000}"/>
    <cellStyle name="20% - Accent3 7 2 3" xfId="1436" xr:uid="{00000000-0005-0000-0000-0000A5150000}"/>
    <cellStyle name="20% - Accent3 7 2 3 2" xfId="1437" xr:uid="{00000000-0005-0000-0000-0000A6150000}"/>
    <cellStyle name="20% - Accent3 7 2 3 2 2" xfId="14842" xr:uid="{00000000-0005-0000-0000-0000A7150000}"/>
    <cellStyle name="20% - Accent3 7 2 3 2 2 2" xfId="28391" xr:uid="{00000000-0005-0000-0000-0000A8150000}"/>
    <cellStyle name="20% - Accent3 7 2 3 2 3" xfId="18760" xr:uid="{00000000-0005-0000-0000-0000A9150000}"/>
    <cellStyle name="20% - Accent3 7 2 3 3" xfId="10749" xr:uid="{00000000-0005-0000-0000-0000AA150000}"/>
    <cellStyle name="20% - Accent3 7 2 3 3 2" xfId="24691" xr:uid="{00000000-0005-0000-0000-0000AB150000}"/>
    <cellStyle name="20% - Accent3 7 2 3 4" xfId="18759" xr:uid="{00000000-0005-0000-0000-0000AC150000}"/>
    <cellStyle name="20% - Accent3 7 2 4" xfId="1438" xr:uid="{00000000-0005-0000-0000-0000AD150000}"/>
    <cellStyle name="20% - Accent3 7 2 4 2" xfId="12250" xr:uid="{00000000-0005-0000-0000-0000AE150000}"/>
    <cellStyle name="20% - Accent3 7 2 4 2 2" xfId="25962" xr:uid="{00000000-0005-0000-0000-0000AF150000}"/>
    <cellStyle name="20% - Accent3 7 2 4 3" xfId="18761" xr:uid="{00000000-0005-0000-0000-0000B0150000}"/>
    <cellStyle name="20% - Accent3 7 2 5" xfId="1439" xr:uid="{00000000-0005-0000-0000-0000B1150000}"/>
    <cellStyle name="20% - Accent3 7 2 5 2" xfId="12531" xr:uid="{00000000-0005-0000-0000-0000B2150000}"/>
    <cellStyle name="20% - Accent3 7 2 5 2 2" xfId="26243" xr:uid="{00000000-0005-0000-0000-0000B3150000}"/>
    <cellStyle name="20% - Accent3 7 2 5 3" xfId="18762" xr:uid="{00000000-0005-0000-0000-0000B4150000}"/>
    <cellStyle name="20% - Accent3 7 2 6" xfId="1440" xr:uid="{00000000-0005-0000-0000-0000B5150000}"/>
    <cellStyle name="20% - Accent3 7 2 6 2" xfId="13814" xr:uid="{00000000-0005-0000-0000-0000B6150000}"/>
    <cellStyle name="20% - Accent3 7 2 6 2 2" xfId="27363" xr:uid="{00000000-0005-0000-0000-0000B7150000}"/>
    <cellStyle name="20% - Accent3 7 2 6 3" xfId="18763" xr:uid="{00000000-0005-0000-0000-0000B8150000}"/>
    <cellStyle name="20% - Accent3 7 2 7" xfId="1441" xr:uid="{00000000-0005-0000-0000-0000B9150000}"/>
    <cellStyle name="20% - Accent3 7 2 7 2" xfId="14395" xr:uid="{00000000-0005-0000-0000-0000BA150000}"/>
    <cellStyle name="20% - Accent3 7 2 7 2 2" xfId="27944" xr:uid="{00000000-0005-0000-0000-0000BB150000}"/>
    <cellStyle name="20% - Accent3 7 2 7 3" xfId="18764" xr:uid="{00000000-0005-0000-0000-0000BC150000}"/>
    <cellStyle name="20% - Accent3 7 2 8" xfId="1442" xr:uid="{00000000-0005-0000-0000-0000BD150000}"/>
    <cellStyle name="20% - Accent3 7 2 8 2" xfId="14840" xr:uid="{00000000-0005-0000-0000-0000BE150000}"/>
    <cellStyle name="20% - Accent3 7 2 8 2 2" xfId="28389" xr:uid="{00000000-0005-0000-0000-0000BF150000}"/>
    <cellStyle name="20% - Accent3 7 2 8 3" xfId="18765" xr:uid="{00000000-0005-0000-0000-0000C0150000}"/>
    <cellStyle name="20% - Accent3 7 2 9" xfId="1443" xr:uid="{00000000-0005-0000-0000-0000C1150000}"/>
    <cellStyle name="20% - Accent3 7 2 9 2" xfId="16281" xr:uid="{00000000-0005-0000-0000-0000C2150000}"/>
    <cellStyle name="20% - Accent3 7 2 9 2 2" xfId="29688" xr:uid="{00000000-0005-0000-0000-0000C3150000}"/>
    <cellStyle name="20% - Accent3 7 2 9 3" xfId="18766" xr:uid="{00000000-0005-0000-0000-0000C4150000}"/>
    <cellStyle name="20% - Accent3 7 3" xfId="1444" xr:uid="{00000000-0005-0000-0000-0000C5150000}"/>
    <cellStyle name="20% - Accent3 7 3 2" xfId="1445" xr:uid="{00000000-0005-0000-0000-0000C6150000}"/>
    <cellStyle name="20% - Accent3 7 3 2 2" xfId="10751" xr:uid="{00000000-0005-0000-0000-0000C7150000}"/>
    <cellStyle name="20% - Accent3 7 3 2 2 2" xfId="24693" xr:uid="{00000000-0005-0000-0000-0000C8150000}"/>
    <cellStyle name="20% - Accent3 7 3 2 3" xfId="18768" xr:uid="{00000000-0005-0000-0000-0000C9150000}"/>
    <cellStyle name="20% - Accent3 7 3 3" xfId="1446" xr:uid="{00000000-0005-0000-0000-0000CA150000}"/>
    <cellStyle name="20% - Accent3 7 3 3 2" xfId="12709" xr:uid="{00000000-0005-0000-0000-0000CB150000}"/>
    <cellStyle name="20% - Accent3 7 3 3 2 2" xfId="26421" xr:uid="{00000000-0005-0000-0000-0000CC150000}"/>
    <cellStyle name="20% - Accent3 7 3 3 3" xfId="18769" xr:uid="{00000000-0005-0000-0000-0000CD150000}"/>
    <cellStyle name="20% - Accent3 7 3 4" xfId="1447" xr:uid="{00000000-0005-0000-0000-0000CE150000}"/>
    <cellStyle name="20% - Accent3 7 3 4 2" xfId="14843" xr:uid="{00000000-0005-0000-0000-0000CF150000}"/>
    <cellStyle name="20% - Accent3 7 3 4 2 2" xfId="28392" xr:uid="{00000000-0005-0000-0000-0000D0150000}"/>
    <cellStyle name="20% - Accent3 7 3 4 3" xfId="18770" xr:uid="{00000000-0005-0000-0000-0000D1150000}"/>
    <cellStyle name="20% - Accent3 7 3 5" xfId="1448" xr:uid="{00000000-0005-0000-0000-0000D2150000}"/>
    <cellStyle name="20% - Accent3 7 3 5 2" xfId="16573" xr:uid="{00000000-0005-0000-0000-0000D3150000}"/>
    <cellStyle name="20% - Accent3 7 3 5 2 2" xfId="29980" xr:uid="{00000000-0005-0000-0000-0000D4150000}"/>
    <cellStyle name="20% - Accent3 7 3 5 3" xfId="18771" xr:uid="{00000000-0005-0000-0000-0000D5150000}"/>
    <cellStyle name="20% - Accent3 7 3 6" xfId="9026" xr:uid="{00000000-0005-0000-0000-0000D6150000}"/>
    <cellStyle name="20% - Accent3 7 3 6 2" xfId="23501" xr:uid="{00000000-0005-0000-0000-0000D7150000}"/>
    <cellStyle name="20% - Accent3 7 3 7" xfId="18767" xr:uid="{00000000-0005-0000-0000-0000D8150000}"/>
    <cellStyle name="20% - Accent3 7 4" xfId="1449" xr:uid="{00000000-0005-0000-0000-0000D9150000}"/>
    <cellStyle name="20% - Accent3 7 4 2" xfId="1450" xr:uid="{00000000-0005-0000-0000-0000DA150000}"/>
    <cellStyle name="20% - Accent3 7 4 2 2" xfId="14844" xr:uid="{00000000-0005-0000-0000-0000DB150000}"/>
    <cellStyle name="20% - Accent3 7 4 2 2 2" xfId="28393" xr:uid="{00000000-0005-0000-0000-0000DC150000}"/>
    <cellStyle name="20% - Accent3 7 4 2 3" xfId="18773" xr:uid="{00000000-0005-0000-0000-0000DD150000}"/>
    <cellStyle name="20% - Accent3 7 4 3" xfId="10748" xr:uid="{00000000-0005-0000-0000-0000DE150000}"/>
    <cellStyle name="20% - Accent3 7 4 3 2" xfId="24690" xr:uid="{00000000-0005-0000-0000-0000DF150000}"/>
    <cellStyle name="20% - Accent3 7 4 4" xfId="18772" xr:uid="{00000000-0005-0000-0000-0000E0150000}"/>
    <cellStyle name="20% - Accent3 7 5" xfId="1451" xr:uid="{00000000-0005-0000-0000-0000E1150000}"/>
    <cellStyle name="20% - Accent3 7 5 2" xfId="11948" xr:uid="{00000000-0005-0000-0000-0000E2150000}"/>
    <cellStyle name="20% - Accent3 7 5 2 2" xfId="25663" xr:uid="{00000000-0005-0000-0000-0000E3150000}"/>
    <cellStyle name="20% - Accent3 7 5 3" xfId="18774" xr:uid="{00000000-0005-0000-0000-0000E4150000}"/>
    <cellStyle name="20% - Accent3 7 6" xfId="1452" xr:uid="{00000000-0005-0000-0000-0000E5150000}"/>
    <cellStyle name="20% - Accent3 7 6 2" xfId="12495" xr:uid="{00000000-0005-0000-0000-0000E6150000}"/>
    <cellStyle name="20% - Accent3 7 6 2 2" xfId="26207" xr:uid="{00000000-0005-0000-0000-0000E7150000}"/>
    <cellStyle name="20% - Accent3 7 6 3" xfId="18775" xr:uid="{00000000-0005-0000-0000-0000E8150000}"/>
    <cellStyle name="20% - Accent3 7 7" xfId="1453" xr:uid="{00000000-0005-0000-0000-0000E9150000}"/>
    <cellStyle name="20% - Accent3 7 7 2" xfId="13525" xr:uid="{00000000-0005-0000-0000-0000EA150000}"/>
    <cellStyle name="20% - Accent3 7 7 2 2" xfId="27074" xr:uid="{00000000-0005-0000-0000-0000EB150000}"/>
    <cellStyle name="20% - Accent3 7 7 3" xfId="18776" xr:uid="{00000000-0005-0000-0000-0000EC150000}"/>
    <cellStyle name="20% - Accent3 7 8" xfId="1454" xr:uid="{00000000-0005-0000-0000-0000ED150000}"/>
    <cellStyle name="20% - Accent3 7 8 2" xfId="14106" xr:uid="{00000000-0005-0000-0000-0000EE150000}"/>
    <cellStyle name="20% - Accent3 7 8 2 2" xfId="27655" xr:uid="{00000000-0005-0000-0000-0000EF150000}"/>
    <cellStyle name="20% - Accent3 7 8 3" xfId="18777" xr:uid="{00000000-0005-0000-0000-0000F0150000}"/>
    <cellStyle name="20% - Accent3 7 9" xfId="1455" xr:uid="{00000000-0005-0000-0000-0000F1150000}"/>
    <cellStyle name="20% - Accent3 7 9 2" xfId="14839" xr:uid="{00000000-0005-0000-0000-0000F2150000}"/>
    <cellStyle name="20% - Accent3 7 9 2 2" xfId="28388" xr:uid="{00000000-0005-0000-0000-0000F3150000}"/>
    <cellStyle name="20% - Accent3 7 9 3" xfId="18778" xr:uid="{00000000-0005-0000-0000-0000F4150000}"/>
    <cellStyle name="20% - Accent3 8" xfId="1456" xr:uid="{00000000-0005-0000-0000-0000F5150000}"/>
    <cellStyle name="20% - Accent3 8 10" xfId="9027" xr:uid="{00000000-0005-0000-0000-0000F6150000}"/>
    <cellStyle name="20% - Accent3 8 10 2" xfId="23502" xr:uid="{00000000-0005-0000-0000-0000F7150000}"/>
    <cellStyle name="20% - Accent3 8 11" xfId="18779" xr:uid="{00000000-0005-0000-0000-0000F8150000}"/>
    <cellStyle name="20% - Accent3 8 2" xfId="1457" xr:uid="{00000000-0005-0000-0000-0000F9150000}"/>
    <cellStyle name="20% - Accent3 8 2 2" xfId="1458" xr:uid="{00000000-0005-0000-0000-0000FA150000}"/>
    <cellStyle name="20% - Accent3 8 2 2 2" xfId="10753" xr:uid="{00000000-0005-0000-0000-0000FB150000}"/>
    <cellStyle name="20% - Accent3 8 2 2 2 2" xfId="24695" xr:uid="{00000000-0005-0000-0000-0000FC150000}"/>
    <cellStyle name="20% - Accent3 8 2 2 3" xfId="18781" xr:uid="{00000000-0005-0000-0000-0000FD150000}"/>
    <cellStyle name="20% - Accent3 8 2 3" xfId="1459" xr:uid="{00000000-0005-0000-0000-0000FE150000}"/>
    <cellStyle name="20% - Accent3 8 2 3 2" xfId="12111" xr:uid="{00000000-0005-0000-0000-0000FF150000}"/>
    <cellStyle name="20% - Accent3 8 2 3 2 2" xfId="25823" xr:uid="{00000000-0005-0000-0000-000000160000}"/>
    <cellStyle name="20% - Accent3 8 2 3 3" xfId="18782" xr:uid="{00000000-0005-0000-0000-000001160000}"/>
    <cellStyle name="20% - Accent3 8 2 4" xfId="1460" xr:uid="{00000000-0005-0000-0000-000002160000}"/>
    <cellStyle name="20% - Accent3 8 2 4 2" xfId="14846" xr:uid="{00000000-0005-0000-0000-000003160000}"/>
    <cellStyle name="20% - Accent3 8 2 4 2 2" xfId="28395" xr:uid="{00000000-0005-0000-0000-000004160000}"/>
    <cellStyle name="20% - Accent3 8 2 4 3" xfId="18783" xr:uid="{00000000-0005-0000-0000-000005160000}"/>
    <cellStyle name="20% - Accent3 8 2 5" xfId="1461" xr:uid="{00000000-0005-0000-0000-000006160000}"/>
    <cellStyle name="20% - Accent3 8 2 5 2" xfId="16714" xr:uid="{00000000-0005-0000-0000-000007160000}"/>
    <cellStyle name="20% - Accent3 8 2 5 2 2" xfId="30121" xr:uid="{00000000-0005-0000-0000-000008160000}"/>
    <cellStyle name="20% - Accent3 8 2 5 3" xfId="18784" xr:uid="{00000000-0005-0000-0000-000009160000}"/>
    <cellStyle name="20% - Accent3 8 2 6" xfId="9028" xr:uid="{00000000-0005-0000-0000-00000A160000}"/>
    <cellStyle name="20% - Accent3 8 2 6 2" xfId="23503" xr:uid="{00000000-0005-0000-0000-00000B160000}"/>
    <cellStyle name="20% - Accent3 8 2 7" xfId="18780" xr:uid="{00000000-0005-0000-0000-00000C160000}"/>
    <cellStyle name="20% - Accent3 8 3" xfId="1462" xr:uid="{00000000-0005-0000-0000-00000D160000}"/>
    <cellStyle name="20% - Accent3 8 3 2" xfId="1463" xr:uid="{00000000-0005-0000-0000-00000E160000}"/>
    <cellStyle name="20% - Accent3 8 3 2 2" xfId="14847" xr:uid="{00000000-0005-0000-0000-00000F160000}"/>
    <cellStyle name="20% - Accent3 8 3 2 2 2" xfId="28396" xr:uid="{00000000-0005-0000-0000-000010160000}"/>
    <cellStyle name="20% - Accent3 8 3 2 3" xfId="18786" xr:uid="{00000000-0005-0000-0000-000011160000}"/>
    <cellStyle name="20% - Accent3 8 3 3" xfId="10752" xr:uid="{00000000-0005-0000-0000-000012160000}"/>
    <cellStyle name="20% - Accent3 8 3 3 2" xfId="24694" xr:uid="{00000000-0005-0000-0000-000013160000}"/>
    <cellStyle name="20% - Accent3 8 3 4" xfId="18785" xr:uid="{00000000-0005-0000-0000-000014160000}"/>
    <cellStyle name="20% - Accent3 8 4" xfId="1464" xr:uid="{00000000-0005-0000-0000-000015160000}"/>
    <cellStyle name="20% - Accent3 8 4 2" xfId="12092" xr:uid="{00000000-0005-0000-0000-000016160000}"/>
    <cellStyle name="20% - Accent3 8 4 2 2" xfId="25806" xr:uid="{00000000-0005-0000-0000-000017160000}"/>
    <cellStyle name="20% - Accent3 8 4 3" xfId="18787" xr:uid="{00000000-0005-0000-0000-000018160000}"/>
    <cellStyle name="20% - Accent3 8 5" xfId="1465" xr:uid="{00000000-0005-0000-0000-000019160000}"/>
    <cellStyle name="20% - Accent3 8 5 2" xfId="12107" xr:uid="{00000000-0005-0000-0000-00001A160000}"/>
    <cellStyle name="20% - Accent3 8 5 2 2" xfId="25819" xr:uid="{00000000-0005-0000-0000-00001B160000}"/>
    <cellStyle name="20% - Accent3 8 5 3" xfId="18788" xr:uid="{00000000-0005-0000-0000-00001C160000}"/>
    <cellStyle name="20% - Accent3 8 6" xfId="1466" xr:uid="{00000000-0005-0000-0000-00001D160000}"/>
    <cellStyle name="20% - Accent3 8 6 2" xfId="13666" xr:uid="{00000000-0005-0000-0000-00001E160000}"/>
    <cellStyle name="20% - Accent3 8 6 2 2" xfId="27215" xr:uid="{00000000-0005-0000-0000-00001F160000}"/>
    <cellStyle name="20% - Accent3 8 6 3" xfId="18789" xr:uid="{00000000-0005-0000-0000-000020160000}"/>
    <cellStyle name="20% - Accent3 8 7" xfId="1467" xr:uid="{00000000-0005-0000-0000-000021160000}"/>
    <cellStyle name="20% - Accent3 8 7 2" xfId="14247" xr:uid="{00000000-0005-0000-0000-000022160000}"/>
    <cellStyle name="20% - Accent3 8 7 2 2" xfId="27796" xr:uid="{00000000-0005-0000-0000-000023160000}"/>
    <cellStyle name="20% - Accent3 8 7 3" xfId="18790" xr:uid="{00000000-0005-0000-0000-000024160000}"/>
    <cellStyle name="20% - Accent3 8 8" xfId="1468" xr:uid="{00000000-0005-0000-0000-000025160000}"/>
    <cellStyle name="20% - Accent3 8 8 2" xfId="14845" xr:uid="{00000000-0005-0000-0000-000026160000}"/>
    <cellStyle name="20% - Accent3 8 8 2 2" xfId="28394" xr:uid="{00000000-0005-0000-0000-000027160000}"/>
    <cellStyle name="20% - Accent3 8 8 3" xfId="18791" xr:uid="{00000000-0005-0000-0000-000028160000}"/>
    <cellStyle name="20% - Accent3 8 9" xfId="1469" xr:uid="{00000000-0005-0000-0000-000029160000}"/>
    <cellStyle name="20% - Accent3 8 9 2" xfId="16133" xr:uid="{00000000-0005-0000-0000-00002A160000}"/>
    <cellStyle name="20% - Accent3 8 9 2 2" xfId="29540" xr:uid="{00000000-0005-0000-0000-00002B160000}"/>
    <cellStyle name="20% - Accent3 8 9 3" xfId="18792" xr:uid="{00000000-0005-0000-0000-00002C160000}"/>
    <cellStyle name="20% - Accent3 9" xfId="1470" xr:uid="{00000000-0005-0000-0000-00002D160000}"/>
    <cellStyle name="20% - Accent3 9 2" xfId="1471" xr:uid="{00000000-0005-0000-0000-00002E160000}"/>
    <cellStyle name="20% - Accent3 9 2 2" xfId="10754" xr:uid="{00000000-0005-0000-0000-00002F160000}"/>
    <cellStyle name="20% - Accent3 9 2 2 2" xfId="24696" xr:uid="{00000000-0005-0000-0000-000030160000}"/>
    <cellStyle name="20% - Accent3 9 2 3" xfId="18794" xr:uid="{00000000-0005-0000-0000-000031160000}"/>
    <cellStyle name="20% - Accent3 9 3" xfId="1472" xr:uid="{00000000-0005-0000-0000-000032160000}"/>
    <cellStyle name="20% - Accent3 9 3 2" xfId="11761" xr:uid="{00000000-0005-0000-0000-000033160000}"/>
    <cellStyle name="20% - Accent3 9 3 2 2" xfId="25476" xr:uid="{00000000-0005-0000-0000-000034160000}"/>
    <cellStyle name="20% - Accent3 9 3 3" xfId="18795" xr:uid="{00000000-0005-0000-0000-000035160000}"/>
    <cellStyle name="20% - Accent3 9 4" xfId="1473" xr:uid="{00000000-0005-0000-0000-000036160000}"/>
    <cellStyle name="20% - Accent3 9 4 2" xfId="14848" xr:uid="{00000000-0005-0000-0000-000037160000}"/>
    <cellStyle name="20% - Accent3 9 4 2 2" xfId="28397" xr:uid="{00000000-0005-0000-0000-000038160000}"/>
    <cellStyle name="20% - Accent3 9 4 3" xfId="18796" xr:uid="{00000000-0005-0000-0000-000039160000}"/>
    <cellStyle name="20% - Accent3 9 5" xfId="1474" xr:uid="{00000000-0005-0000-0000-00003A160000}"/>
    <cellStyle name="20% - Accent3 9 5 2" xfId="17098" xr:uid="{00000000-0005-0000-0000-00003B160000}"/>
    <cellStyle name="20% - Accent3 9 5 2 2" xfId="30457" xr:uid="{00000000-0005-0000-0000-00003C160000}"/>
    <cellStyle name="20% - Accent3 9 5 3" xfId="18797" xr:uid="{00000000-0005-0000-0000-00003D160000}"/>
    <cellStyle name="20% - Accent3 9 6" xfId="9029" xr:uid="{00000000-0005-0000-0000-00003E160000}"/>
    <cellStyle name="20% - Accent3 9 6 2" xfId="23504" xr:uid="{00000000-0005-0000-0000-00003F160000}"/>
    <cellStyle name="20% - Accent3 9 7" xfId="18793" xr:uid="{00000000-0005-0000-0000-000040160000}"/>
    <cellStyle name="20% - Accent4" xfId="40" builtinId="42" customBuiltin="1"/>
    <cellStyle name="20% - Accent4 10" xfId="1475" xr:uid="{00000000-0005-0000-0000-000042160000}"/>
    <cellStyle name="20% - Accent4 10 2" xfId="1476" xr:uid="{00000000-0005-0000-0000-000043160000}"/>
    <cellStyle name="20% - Accent4 10 2 2" xfId="1477" xr:uid="{00000000-0005-0000-0000-000044160000}"/>
    <cellStyle name="20% - Accent4 10 2 2 2" xfId="12458" xr:uid="{00000000-0005-0000-0000-000045160000}"/>
    <cellStyle name="20% - Accent4 10 2 2 2 2" xfId="26170" xr:uid="{00000000-0005-0000-0000-000046160000}"/>
    <cellStyle name="20% - Accent4 10 2 2 3" xfId="18800" xr:uid="{00000000-0005-0000-0000-000047160000}"/>
    <cellStyle name="20% - Accent4 10 2 3" xfId="1478" xr:uid="{00000000-0005-0000-0000-000048160000}"/>
    <cellStyle name="20% - Accent4 10 2 3 2" xfId="14851" xr:uid="{00000000-0005-0000-0000-000049160000}"/>
    <cellStyle name="20% - Accent4 10 2 3 2 2" xfId="28400" xr:uid="{00000000-0005-0000-0000-00004A160000}"/>
    <cellStyle name="20% - Accent4 10 2 3 3" xfId="18801" xr:uid="{00000000-0005-0000-0000-00004B160000}"/>
    <cellStyle name="20% - Accent4 10 2 4" xfId="10756" xr:uid="{00000000-0005-0000-0000-00004C160000}"/>
    <cellStyle name="20% - Accent4 10 2 4 2" xfId="24698" xr:uid="{00000000-0005-0000-0000-00004D160000}"/>
    <cellStyle name="20% - Accent4 10 2 5" xfId="18799" xr:uid="{00000000-0005-0000-0000-00004E160000}"/>
    <cellStyle name="20% - Accent4 10 3" xfId="1479" xr:uid="{00000000-0005-0000-0000-00004F160000}"/>
    <cellStyle name="20% - Accent4 10 3 2" xfId="12697" xr:uid="{00000000-0005-0000-0000-000050160000}"/>
    <cellStyle name="20% - Accent4 10 3 2 2" xfId="26409" xr:uid="{00000000-0005-0000-0000-000051160000}"/>
    <cellStyle name="20% - Accent4 10 3 3" xfId="18802" xr:uid="{00000000-0005-0000-0000-000052160000}"/>
    <cellStyle name="20% - Accent4 10 4" xfId="1480" xr:uid="{00000000-0005-0000-0000-000053160000}"/>
    <cellStyle name="20% - Accent4 10 4 2" xfId="14850" xr:uid="{00000000-0005-0000-0000-000054160000}"/>
    <cellStyle name="20% - Accent4 10 4 2 2" xfId="28399" xr:uid="{00000000-0005-0000-0000-000055160000}"/>
    <cellStyle name="20% - Accent4 10 4 3" xfId="18803" xr:uid="{00000000-0005-0000-0000-000056160000}"/>
    <cellStyle name="20% - Accent4 10 5" xfId="1481" xr:uid="{00000000-0005-0000-0000-000057160000}"/>
    <cellStyle name="20% - Accent4 10 5 2" xfId="17188" xr:uid="{00000000-0005-0000-0000-000058160000}"/>
    <cellStyle name="20% - Accent4 10 5 2 2" xfId="30547" xr:uid="{00000000-0005-0000-0000-000059160000}"/>
    <cellStyle name="20% - Accent4 10 5 3" xfId="18804" xr:uid="{00000000-0005-0000-0000-00005A160000}"/>
    <cellStyle name="20% - Accent4 10 6" xfId="9031" xr:uid="{00000000-0005-0000-0000-00005B160000}"/>
    <cellStyle name="20% - Accent4 10 6 2" xfId="23506" xr:uid="{00000000-0005-0000-0000-00005C160000}"/>
    <cellStyle name="20% - Accent4 10 7" xfId="18798" xr:uid="{00000000-0005-0000-0000-00005D160000}"/>
    <cellStyle name="20% - Accent4 11" xfId="1482" xr:uid="{00000000-0005-0000-0000-00005E160000}"/>
    <cellStyle name="20% - Accent4 11 2" xfId="1483" xr:uid="{00000000-0005-0000-0000-00005F160000}"/>
    <cellStyle name="20% - Accent4 11 2 2" xfId="10757" xr:uid="{00000000-0005-0000-0000-000060160000}"/>
    <cellStyle name="20% - Accent4 11 2 2 2" xfId="24699" xr:uid="{00000000-0005-0000-0000-000061160000}"/>
    <cellStyle name="20% - Accent4 11 2 3" xfId="18806" xr:uid="{00000000-0005-0000-0000-000062160000}"/>
    <cellStyle name="20% - Accent4 11 3" xfId="1484" xr:uid="{00000000-0005-0000-0000-000063160000}"/>
    <cellStyle name="20% - Accent4 11 3 2" xfId="12588" xr:uid="{00000000-0005-0000-0000-000064160000}"/>
    <cellStyle name="20% - Accent4 11 3 2 2" xfId="26300" xr:uid="{00000000-0005-0000-0000-000065160000}"/>
    <cellStyle name="20% - Accent4 11 3 3" xfId="18807" xr:uid="{00000000-0005-0000-0000-000066160000}"/>
    <cellStyle name="20% - Accent4 11 4" xfId="1485" xr:uid="{00000000-0005-0000-0000-000067160000}"/>
    <cellStyle name="20% - Accent4 11 4 2" xfId="14852" xr:uid="{00000000-0005-0000-0000-000068160000}"/>
    <cellStyle name="20% - Accent4 11 4 2 2" xfId="28401" xr:uid="{00000000-0005-0000-0000-000069160000}"/>
    <cellStyle name="20% - Accent4 11 4 3" xfId="18808" xr:uid="{00000000-0005-0000-0000-00006A160000}"/>
    <cellStyle name="20% - Accent4 11 5" xfId="1486" xr:uid="{00000000-0005-0000-0000-00006B160000}"/>
    <cellStyle name="20% - Accent4 11 5 2" xfId="17277" xr:uid="{00000000-0005-0000-0000-00006C160000}"/>
    <cellStyle name="20% - Accent4 11 5 2 2" xfId="30636" xr:uid="{00000000-0005-0000-0000-00006D160000}"/>
    <cellStyle name="20% - Accent4 11 5 3" xfId="18809" xr:uid="{00000000-0005-0000-0000-00006E160000}"/>
    <cellStyle name="20% - Accent4 11 6" xfId="9032" xr:uid="{00000000-0005-0000-0000-00006F160000}"/>
    <cellStyle name="20% - Accent4 11 6 2" xfId="23507" xr:uid="{00000000-0005-0000-0000-000070160000}"/>
    <cellStyle name="20% - Accent4 11 7" xfId="18805" xr:uid="{00000000-0005-0000-0000-000071160000}"/>
    <cellStyle name="20% - Accent4 12" xfId="1487" xr:uid="{00000000-0005-0000-0000-000072160000}"/>
    <cellStyle name="20% - Accent4 12 2" xfId="1488" xr:uid="{00000000-0005-0000-0000-000073160000}"/>
    <cellStyle name="20% - Accent4 12 2 2" xfId="1489" xr:uid="{00000000-0005-0000-0000-000074160000}"/>
    <cellStyle name="20% - Accent4 12 2 2 2" xfId="10759" xr:uid="{00000000-0005-0000-0000-000075160000}"/>
    <cellStyle name="20% - Accent4 12 2 2 2 2" xfId="24701" xr:uid="{00000000-0005-0000-0000-000076160000}"/>
    <cellStyle name="20% - Accent4 12 2 2 3" xfId="18812" xr:uid="{00000000-0005-0000-0000-000077160000}"/>
    <cellStyle name="20% - Accent4 12 2 3" xfId="1490" xr:uid="{00000000-0005-0000-0000-000078160000}"/>
    <cellStyle name="20% - Accent4 12 2 3 2" xfId="12773" xr:uid="{00000000-0005-0000-0000-000079160000}"/>
    <cellStyle name="20% - Accent4 12 2 3 2 2" xfId="26485" xr:uid="{00000000-0005-0000-0000-00007A160000}"/>
    <cellStyle name="20% - Accent4 12 2 3 3" xfId="18813" xr:uid="{00000000-0005-0000-0000-00007B160000}"/>
    <cellStyle name="20% - Accent4 12 2 4" xfId="1491" xr:uid="{00000000-0005-0000-0000-00007C160000}"/>
    <cellStyle name="20% - Accent4 12 2 4 2" xfId="14854" xr:uid="{00000000-0005-0000-0000-00007D160000}"/>
    <cellStyle name="20% - Accent4 12 2 4 2 2" xfId="28403" xr:uid="{00000000-0005-0000-0000-00007E160000}"/>
    <cellStyle name="20% - Accent4 12 2 4 3" xfId="18814" xr:uid="{00000000-0005-0000-0000-00007F160000}"/>
    <cellStyle name="20% - Accent4 12 2 5" xfId="9034" xr:uid="{00000000-0005-0000-0000-000080160000}"/>
    <cellStyle name="20% - Accent4 12 2 5 2" xfId="23509" xr:uid="{00000000-0005-0000-0000-000081160000}"/>
    <cellStyle name="20% - Accent4 12 2 6" xfId="18811" xr:uid="{00000000-0005-0000-0000-000082160000}"/>
    <cellStyle name="20% - Accent4 12 3" xfId="1492" xr:uid="{00000000-0005-0000-0000-000083160000}"/>
    <cellStyle name="20% - Accent4 12 3 2" xfId="10758" xr:uid="{00000000-0005-0000-0000-000084160000}"/>
    <cellStyle name="20% - Accent4 12 3 2 2" xfId="24700" xr:uid="{00000000-0005-0000-0000-000085160000}"/>
    <cellStyle name="20% - Accent4 12 3 3" xfId="18815" xr:uid="{00000000-0005-0000-0000-000086160000}"/>
    <cellStyle name="20% - Accent4 12 4" xfId="1493" xr:uid="{00000000-0005-0000-0000-000087160000}"/>
    <cellStyle name="20% - Accent4 12 4 2" xfId="12465" xr:uid="{00000000-0005-0000-0000-000088160000}"/>
    <cellStyle name="20% - Accent4 12 4 2 2" xfId="26177" xr:uid="{00000000-0005-0000-0000-000089160000}"/>
    <cellStyle name="20% - Accent4 12 4 3" xfId="18816" xr:uid="{00000000-0005-0000-0000-00008A160000}"/>
    <cellStyle name="20% - Accent4 12 5" xfId="1494" xr:uid="{00000000-0005-0000-0000-00008B160000}"/>
    <cellStyle name="20% - Accent4 12 5 2" xfId="14853" xr:uid="{00000000-0005-0000-0000-00008C160000}"/>
    <cellStyle name="20% - Accent4 12 5 2 2" xfId="28402" xr:uid="{00000000-0005-0000-0000-00008D160000}"/>
    <cellStyle name="20% - Accent4 12 5 3" xfId="18817" xr:uid="{00000000-0005-0000-0000-00008E160000}"/>
    <cellStyle name="20% - Accent4 12 6" xfId="1495" xr:uid="{00000000-0005-0000-0000-00008F160000}"/>
    <cellStyle name="20% - Accent4 12 6 2" xfId="16429" xr:uid="{00000000-0005-0000-0000-000090160000}"/>
    <cellStyle name="20% - Accent4 12 6 2 2" xfId="29836" xr:uid="{00000000-0005-0000-0000-000091160000}"/>
    <cellStyle name="20% - Accent4 12 6 3" xfId="18818" xr:uid="{00000000-0005-0000-0000-000092160000}"/>
    <cellStyle name="20% - Accent4 12 7" xfId="9033" xr:uid="{00000000-0005-0000-0000-000093160000}"/>
    <cellStyle name="20% - Accent4 12 7 2" xfId="23508" xr:uid="{00000000-0005-0000-0000-000094160000}"/>
    <cellStyle name="20% - Accent4 12 8" xfId="18810" xr:uid="{00000000-0005-0000-0000-000095160000}"/>
    <cellStyle name="20% - Accent4 13" xfId="1496" xr:uid="{00000000-0005-0000-0000-000096160000}"/>
    <cellStyle name="20% - Accent4 13 2" xfId="1497" xr:uid="{00000000-0005-0000-0000-000097160000}"/>
    <cellStyle name="20% - Accent4 13 2 2" xfId="10760" xr:uid="{00000000-0005-0000-0000-000098160000}"/>
    <cellStyle name="20% - Accent4 13 2 2 2" xfId="24702" xr:uid="{00000000-0005-0000-0000-000099160000}"/>
    <cellStyle name="20% - Accent4 13 2 3" xfId="18820" xr:uid="{00000000-0005-0000-0000-00009A160000}"/>
    <cellStyle name="20% - Accent4 13 3" xfId="1498" xr:uid="{00000000-0005-0000-0000-00009B160000}"/>
    <cellStyle name="20% - Accent4 13 3 2" xfId="12484" xr:uid="{00000000-0005-0000-0000-00009C160000}"/>
    <cellStyle name="20% - Accent4 13 3 2 2" xfId="26196" xr:uid="{00000000-0005-0000-0000-00009D160000}"/>
    <cellStyle name="20% - Accent4 13 3 3" xfId="18821" xr:uid="{00000000-0005-0000-0000-00009E160000}"/>
    <cellStyle name="20% - Accent4 13 4" xfId="1499" xr:uid="{00000000-0005-0000-0000-00009F160000}"/>
    <cellStyle name="20% - Accent4 13 4 2" xfId="14855" xr:uid="{00000000-0005-0000-0000-0000A0160000}"/>
    <cellStyle name="20% - Accent4 13 4 2 2" xfId="28404" xr:uid="{00000000-0005-0000-0000-0000A1160000}"/>
    <cellStyle name="20% - Accent4 13 4 3" xfId="18822" xr:uid="{00000000-0005-0000-0000-0000A2160000}"/>
    <cellStyle name="20% - Accent4 13 5" xfId="9035" xr:uid="{00000000-0005-0000-0000-0000A3160000}"/>
    <cellStyle name="20% - Accent4 13 5 2" xfId="23510" xr:uid="{00000000-0005-0000-0000-0000A4160000}"/>
    <cellStyle name="20% - Accent4 13 6" xfId="18819" xr:uid="{00000000-0005-0000-0000-0000A5160000}"/>
    <cellStyle name="20% - Accent4 14" xfId="1500" xr:uid="{00000000-0005-0000-0000-0000A6160000}"/>
    <cellStyle name="20% - Accent4 14 2" xfId="1501" xr:uid="{00000000-0005-0000-0000-0000A7160000}"/>
    <cellStyle name="20% - Accent4 14 2 2" xfId="10761" xr:uid="{00000000-0005-0000-0000-0000A8160000}"/>
    <cellStyle name="20% - Accent4 14 2 2 2" xfId="24703" xr:uid="{00000000-0005-0000-0000-0000A9160000}"/>
    <cellStyle name="20% - Accent4 14 2 3" xfId="18824" xr:uid="{00000000-0005-0000-0000-0000AA160000}"/>
    <cellStyle name="20% - Accent4 14 3" xfId="1502" xr:uid="{00000000-0005-0000-0000-0000AB160000}"/>
    <cellStyle name="20% - Accent4 14 3 2" xfId="12575" xr:uid="{00000000-0005-0000-0000-0000AC160000}"/>
    <cellStyle name="20% - Accent4 14 3 2 2" xfId="26287" xr:uid="{00000000-0005-0000-0000-0000AD160000}"/>
    <cellStyle name="20% - Accent4 14 3 3" xfId="18825" xr:uid="{00000000-0005-0000-0000-0000AE160000}"/>
    <cellStyle name="20% - Accent4 14 4" xfId="1503" xr:uid="{00000000-0005-0000-0000-0000AF160000}"/>
    <cellStyle name="20% - Accent4 14 4 2" xfId="14856" xr:uid="{00000000-0005-0000-0000-0000B0160000}"/>
    <cellStyle name="20% - Accent4 14 4 2 2" xfId="28405" xr:uid="{00000000-0005-0000-0000-0000B1160000}"/>
    <cellStyle name="20% - Accent4 14 4 3" xfId="18826" xr:uid="{00000000-0005-0000-0000-0000B2160000}"/>
    <cellStyle name="20% - Accent4 14 5" xfId="9036" xr:uid="{00000000-0005-0000-0000-0000B3160000}"/>
    <cellStyle name="20% - Accent4 14 5 2" xfId="23511" xr:uid="{00000000-0005-0000-0000-0000B4160000}"/>
    <cellStyle name="20% - Accent4 14 6" xfId="18823" xr:uid="{00000000-0005-0000-0000-0000B5160000}"/>
    <cellStyle name="20% - Accent4 15" xfId="1504" xr:uid="{00000000-0005-0000-0000-0000B6160000}"/>
    <cellStyle name="20% - Accent4 15 2" xfId="1505" xr:uid="{00000000-0005-0000-0000-0000B7160000}"/>
    <cellStyle name="20% - Accent4 15 2 2" xfId="10762" xr:uid="{00000000-0005-0000-0000-0000B8160000}"/>
    <cellStyle name="20% - Accent4 15 2 2 2" xfId="24704" xr:uid="{00000000-0005-0000-0000-0000B9160000}"/>
    <cellStyle name="20% - Accent4 15 2 3" xfId="18828" xr:uid="{00000000-0005-0000-0000-0000BA160000}"/>
    <cellStyle name="20% - Accent4 15 3" xfId="1506" xr:uid="{00000000-0005-0000-0000-0000BB160000}"/>
    <cellStyle name="20% - Accent4 15 3 2" xfId="12491" xr:uid="{00000000-0005-0000-0000-0000BC160000}"/>
    <cellStyle name="20% - Accent4 15 3 2 2" xfId="26203" xr:uid="{00000000-0005-0000-0000-0000BD160000}"/>
    <cellStyle name="20% - Accent4 15 3 3" xfId="18829" xr:uid="{00000000-0005-0000-0000-0000BE160000}"/>
    <cellStyle name="20% - Accent4 15 4" xfId="1507" xr:uid="{00000000-0005-0000-0000-0000BF160000}"/>
    <cellStyle name="20% - Accent4 15 4 2" xfId="14857" xr:uid="{00000000-0005-0000-0000-0000C0160000}"/>
    <cellStyle name="20% - Accent4 15 4 2 2" xfId="28406" xr:uid="{00000000-0005-0000-0000-0000C1160000}"/>
    <cellStyle name="20% - Accent4 15 4 3" xfId="18830" xr:uid="{00000000-0005-0000-0000-0000C2160000}"/>
    <cellStyle name="20% - Accent4 15 5" xfId="9037" xr:uid="{00000000-0005-0000-0000-0000C3160000}"/>
    <cellStyle name="20% - Accent4 15 5 2" xfId="23512" xr:uid="{00000000-0005-0000-0000-0000C4160000}"/>
    <cellStyle name="20% - Accent4 15 6" xfId="18827" xr:uid="{00000000-0005-0000-0000-0000C5160000}"/>
    <cellStyle name="20% - Accent4 16" xfId="1508" xr:uid="{00000000-0005-0000-0000-0000C6160000}"/>
    <cellStyle name="20% - Accent4 16 2" xfId="1509" xr:uid="{00000000-0005-0000-0000-0000C7160000}"/>
    <cellStyle name="20% - Accent4 16 2 2" xfId="10763" xr:uid="{00000000-0005-0000-0000-0000C8160000}"/>
    <cellStyle name="20% - Accent4 16 2 2 2" xfId="24705" xr:uid="{00000000-0005-0000-0000-0000C9160000}"/>
    <cellStyle name="20% - Accent4 16 2 3" xfId="18832" xr:uid="{00000000-0005-0000-0000-0000CA160000}"/>
    <cellStyle name="20% - Accent4 16 3" xfId="1510" xr:uid="{00000000-0005-0000-0000-0000CB160000}"/>
    <cellStyle name="20% - Accent4 16 3 2" xfId="12741" xr:uid="{00000000-0005-0000-0000-0000CC160000}"/>
    <cellStyle name="20% - Accent4 16 3 2 2" xfId="26453" xr:uid="{00000000-0005-0000-0000-0000CD160000}"/>
    <cellStyle name="20% - Accent4 16 3 3" xfId="18833" xr:uid="{00000000-0005-0000-0000-0000CE160000}"/>
    <cellStyle name="20% - Accent4 16 4" xfId="1511" xr:uid="{00000000-0005-0000-0000-0000CF160000}"/>
    <cellStyle name="20% - Accent4 16 4 2" xfId="14858" xr:uid="{00000000-0005-0000-0000-0000D0160000}"/>
    <cellStyle name="20% - Accent4 16 4 2 2" xfId="28407" xr:uid="{00000000-0005-0000-0000-0000D1160000}"/>
    <cellStyle name="20% - Accent4 16 4 3" xfId="18834" xr:uid="{00000000-0005-0000-0000-0000D2160000}"/>
    <cellStyle name="20% - Accent4 16 5" xfId="9038" xr:uid="{00000000-0005-0000-0000-0000D3160000}"/>
    <cellStyle name="20% - Accent4 16 5 2" xfId="23513" xr:uid="{00000000-0005-0000-0000-0000D4160000}"/>
    <cellStyle name="20% - Accent4 16 6" xfId="18831" xr:uid="{00000000-0005-0000-0000-0000D5160000}"/>
    <cellStyle name="20% - Accent4 17" xfId="1512" xr:uid="{00000000-0005-0000-0000-0000D6160000}"/>
    <cellStyle name="20% - Accent4 17 2" xfId="1513" xr:uid="{00000000-0005-0000-0000-0000D7160000}"/>
    <cellStyle name="20% - Accent4 17 2 2" xfId="10764" xr:uid="{00000000-0005-0000-0000-0000D8160000}"/>
    <cellStyle name="20% - Accent4 17 2 2 2" xfId="24706" xr:uid="{00000000-0005-0000-0000-0000D9160000}"/>
    <cellStyle name="20% - Accent4 17 2 3" xfId="18836" xr:uid="{00000000-0005-0000-0000-0000DA160000}"/>
    <cellStyle name="20% - Accent4 17 3" xfId="1514" xr:uid="{00000000-0005-0000-0000-0000DB160000}"/>
    <cellStyle name="20% - Accent4 17 3 2" xfId="12779" xr:uid="{00000000-0005-0000-0000-0000DC160000}"/>
    <cellStyle name="20% - Accent4 17 3 2 2" xfId="26491" xr:uid="{00000000-0005-0000-0000-0000DD160000}"/>
    <cellStyle name="20% - Accent4 17 3 3" xfId="18837" xr:uid="{00000000-0005-0000-0000-0000DE160000}"/>
    <cellStyle name="20% - Accent4 17 4" xfId="1515" xr:uid="{00000000-0005-0000-0000-0000DF160000}"/>
    <cellStyle name="20% - Accent4 17 4 2" xfId="14859" xr:uid="{00000000-0005-0000-0000-0000E0160000}"/>
    <cellStyle name="20% - Accent4 17 4 2 2" xfId="28408" xr:uid="{00000000-0005-0000-0000-0000E1160000}"/>
    <cellStyle name="20% - Accent4 17 4 3" xfId="18838" xr:uid="{00000000-0005-0000-0000-0000E2160000}"/>
    <cellStyle name="20% - Accent4 17 5" xfId="9039" xr:uid="{00000000-0005-0000-0000-0000E3160000}"/>
    <cellStyle name="20% - Accent4 17 5 2" xfId="23514" xr:uid="{00000000-0005-0000-0000-0000E4160000}"/>
    <cellStyle name="20% - Accent4 17 6" xfId="18835" xr:uid="{00000000-0005-0000-0000-0000E5160000}"/>
    <cellStyle name="20% - Accent4 18" xfId="1516" xr:uid="{00000000-0005-0000-0000-0000E6160000}"/>
    <cellStyle name="20% - Accent4 18 2" xfId="1517" xr:uid="{00000000-0005-0000-0000-0000E7160000}"/>
    <cellStyle name="20% - Accent4 18 2 2" xfId="10765" xr:uid="{00000000-0005-0000-0000-0000E8160000}"/>
    <cellStyle name="20% - Accent4 18 2 2 2" xfId="24707" xr:uid="{00000000-0005-0000-0000-0000E9160000}"/>
    <cellStyle name="20% - Accent4 18 2 3" xfId="18840" xr:uid="{00000000-0005-0000-0000-0000EA160000}"/>
    <cellStyle name="20% - Accent4 18 3" xfId="1518" xr:uid="{00000000-0005-0000-0000-0000EB160000}"/>
    <cellStyle name="20% - Accent4 18 3 2" xfId="12490" xr:uid="{00000000-0005-0000-0000-0000EC160000}"/>
    <cellStyle name="20% - Accent4 18 3 2 2" xfId="26202" xr:uid="{00000000-0005-0000-0000-0000ED160000}"/>
    <cellStyle name="20% - Accent4 18 3 3" xfId="18841" xr:uid="{00000000-0005-0000-0000-0000EE160000}"/>
    <cellStyle name="20% - Accent4 18 4" xfId="1519" xr:uid="{00000000-0005-0000-0000-0000EF160000}"/>
    <cellStyle name="20% - Accent4 18 4 2" xfId="14860" xr:uid="{00000000-0005-0000-0000-0000F0160000}"/>
    <cellStyle name="20% - Accent4 18 4 2 2" xfId="28409" xr:uid="{00000000-0005-0000-0000-0000F1160000}"/>
    <cellStyle name="20% - Accent4 18 4 3" xfId="18842" xr:uid="{00000000-0005-0000-0000-0000F2160000}"/>
    <cellStyle name="20% - Accent4 18 5" xfId="9040" xr:uid="{00000000-0005-0000-0000-0000F3160000}"/>
    <cellStyle name="20% - Accent4 18 5 2" xfId="23515" xr:uid="{00000000-0005-0000-0000-0000F4160000}"/>
    <cellStyle name="20% - Accent4 18 6" xfId="18839" xr:uid="{00000000-0005-0000-0000-0000F5160000}"/>
    <cellStyle name="20% - Accent4 19" xfId="1520" xr:uid="{00000000-0005-0000-0000-0000F6160000}"/>
    <cellStyle name="20% - Accent4 19 2" xfId="1521" xr:uid="{00000000-0005-0000-0000-0000F7160000}"/>
    <cellStyle name="20% - Accent4 19 2 2" xfId="11713" xr:uid="{00000000-0005-0000-0000-0000F8160000}"/>
    <cellStyle name="20% - Accent4 19 2 2 2" xfId="25433" xr:uid="{00000000-0005-0000-0000-0000F9160000}"/>
    <cellStyle name="20% - Accent4 19 2 3" xfId="18844" xr:uid="{00000000-0005-0000-0000-0000FA160000}"/>
    <cellStyle name="20% - Accent4 19 3" xfId="1522" xr:uid="{00000000-0005-0000-0000-0000FB160000}"/>
    <cellStyle name="20% - Accent4 19 3 2" xfId="12450" xr:uid="{00000000-0005-0000-0000-0000FC160000}"/>
    <cellStyle name="20% - Accent4 19 3 2 2" xfId="26162" xr:uid="{00000000-0005-0000-0000-0000FD160000}"/>
    <cellStyle name="20% - Accent4 19 3 3" xfId="18845" xr:uid="{00000000-0005-0000-0000-0000FE160000}"/>
    <cellStyle name="20% - Accent4 19 4" xfId="1523" xr:uid="{00000000-0005-0000-0000-0000FF160000}"/>
    <cellStyle name="20% - Accent4 19 4 2" xfId="14861" xr:uid="{00000000-0005-0000-0000-000000170000}"/>
    <cellStyle name="20% - Accent4 19 4 2 2" xfId="28410" xr:uid="{00000000-0005-0000-0000-000001170000}"/>
    <cellStyle name="20% - Accent4 19 4 3" xfId="18846" xr:uid="{00000000-0005-0000-0000-000002170000}"/>
    <cellStyle name="20% - Accent4 19 5" xfId="10465" xr:uid="{00000000-0005-0000-0000-000003170000}"/>
    <cellStyle name="20% - Accent4 19 5 2" xfId="24424" xr:uid="{00000000-0005-0000-0000-000004170000}"/>
    <cellStyle name="20% - Accent4 19 6" xfId="18843" xr:uid="{00000000-0005-0000-0000-000005170000}"/>
    <cellStyle name="20% - Accent4 2" xfId="1524" xr:uid="{00000000-0005-0000-0000-000006170000}"/>
    <cellStyle name="20% - Accent4 2 10" xfId="1525" xr:uid="{00000000-0005-0000-0000-000007170000}"/>
    <cellStyle name="20% - Accent4 2 10 2" xfId="1526" xr:uid="{00000000-0005-0000-0000-000008170000}"/>
    <cellStyle name="20% - Accent4 2 10 2 2" xfId="14863" xr:uid="{00000000-0005-0000-0000-000009170000}"/>
    <cellStyle name="20% - Accent4 2 10 2 2 2" xfId="28412" xr:uid="{00000000-0005-0000-0000-00000A170000}"/>
    <cellStyle name="20% - Accent4 2 10 2 3" xfId="18849" xr:uid="{00000000-0005-0000-0000-00000B170000}"/>
    <cellStyle name="20% - Accent4 2 10 3" xfId="11842" xr:uid="{00000000-0005-0000-0000-00000C170000}"/>
    <cellStyle name="20% - Accent4 2 10 3 2" xfId="25557" xr:uid="{00000000-0005-0000-0000-00000D170000}"/>
    <cellStyle name="20% - Accent4 2 10 4" xfId="18848" xr:uid="{00000000-0005-0000-0000-00000E170000}"/>
    <cellStyle name="20% - Accent4 2 11" xfId="1527" xr:uid="{00000000-0005-0000-0000-00000F170000}"/>
    <cellStyle name="20% - Accent4 2 11 2" xfId="12543" xr:uid="{00000000-0005-0000-0000-000010170000}"/>
    <cellStyle name="20% - Accent4 2 11 2 2" xfId="26255" xr:uid="{00000000-0005-0000-0000-000011170000}"/>
    <cellStyle name="20% - Accent4 2 11 3" xfId="18850" xr:uid="{00000000-0005-0000-0000-000012170000}"/>
    <cellStyle name="20% - Accent4 2 12" xfId="1528" xr:uid="{00000000-0005-0000-0000-000013170000}"/>
    <cellStyle name="20% - Accent4 2 12 2" xfId="13441" xr:uid="{00000000-0005-0000-0000-000014170000}"/>
    <cellStyle name="20% - Accent4 2 12 2 2" xfId="26990" xr:uid="{00000000-0005-0000-0000-000015170000}"/>
    <cellStyle name="20% - Accent4 2 12 3" xfId="18851" xr:uid="{00000000-0005-0000-0000-000016170000}"/>
    <cellStyle name="20% - Accent4 2 13" xfId="1529" xr:uid="{00000000-0005-0000-0000-000017170000}"/>
    <cellStyle name="20% - Accent4 2 13 2" xfId="14022" xr:uid="{00000000-0005-0000-0000-000018170000}"/>
    <cellStyle name="20% - Accent4 2 13 2 2" xfId="27571" xr:uid="{00000000-0005-0000-0000-000019170000}"/>
    <cellStyle name="20% - Accent4 2 13 3" xfId="18852" xr:uid="{00000000-0005-0000-0000-00001A170000}"/>
    <cellStyle name="20% - Accent4 2 14" xfId="1530" xr:uid="{00000000-0005-0000-0000-00001B170000}"/>
    <cellStyle name="20% - Accent4 2 14 2" xfId="14862" xr:uid="{00000000-0005-0000-0000-00001C170000}"/>
    <cellStyle name="20% - Accent4 2 14 2 2" xfId="28411" xr:uid="{00000000-0005-0000-0000-00001D170000}"/>
    <cellStyle name="20% - Accent4 2 14 3" xfId="18853" xr:uid="{00000000-0005-0000-0000-00001E170000}"/>
    <cellStyle name="20% - Accent4 2 15" xfId="1531" xr:uid="{00000000-0005-0000-0000-00001F170000}"/>
    <cellStyle name="20% - Accent4 2 15 2" xfId="15908" xr:uid="{00000000-0005-0000-0000-000020170000}"/>
    <cellStyle name="20% - Accent4 2 15 2 2" xfId="29315" xr:uid="{00000000-0005-0000-0000-000021170000}"/>
    <cellStyle name="20% - Accent4 2 15 3" xfId="18854" xr:uid="{00000000-0005-0000-0000-000022170000}"/>
    <cellStyle name="20% - Accent4 2 16" xfId="9041" xr:uid="{00000000-0005-0000-0000-000023170000}"/>
    <cellStyle name="20% - Accent4 2 16 2" xfId="23516" xr:uid="{00000000-0005-0000-0000-000024170000}"/>
    <cellStyle name="20% - Accent4 2 17" xfId="18847" xr:uid="{00000000-0005-0000-0000-000025170000}"/>
    <cellStyle name="20% - Accent4 2 18" xfId="33074" xr:uid="{00000000-0005-0000-0000-000026170000}"/>
    <cellStyle name="20% - Accent4 2 2" xfId="1532" xr:uid="{00000000-0005-0000-0000-000027170000}"/>
    <cellStyle name="20% - Accent4 2 2 10" xfId="1533" xr:uid="{00000000-0005-0000-0000-000028170000}"/>
    <cellStyle name="20% - Accent4 2 2 10 2" xfId="14864" xr:uid="{00000000-0005-0000-0000-000029170000}"/>
    <cellStyle name="20% - Accent4 2 2 10 2 2" xfId="28413" xr:uid="{00000000-0005-0000-0000-00002A170000}"/>
    <cellStyle name="20% - Accent4 2 2 10 3" xfId="18856" xr:uid="{00000000-0005-0000-0000-00002B170000}"/>
    <cellStyle name="20% - Accent4 2 2 11" xfId="1534" xr:uid="{00000000-0005-0000-0000-00002C170000}"/>
    <cellStyle name="20% - Accent4 2 2 11 2" xfId="15954" xr:uid="{00000000-0005-0000-0000-00002D170000}"/>
    <cellStyle name="20% - Accent4 2 2 11 2 2" xfId="29361" xr:uid="{00000000-0005-0000-0000-00002E170000}"/>
    <cellStyle name="20% - Accent4 2 2 11 3" xfId="18857" xr:uid="{00000000-0005-0000-0000-00002F170000}"/>
    <cellStyle name="20% - Accent4 2 2 12" xfId="9042" xr:uid="{00000000-0005-0000-0000-000030170000}"/>
    <cellStyle name="20% - Accent4 2 2 12 2" xfId="23517" xr:uid="{00000000-0005-0000-0000-000031170000}"/>
    <cellStyle name="20% - Accent4 2 2 13" xfId="18855" xr:uid="{00000000-0005-0000-0000-000032170000}"/>
    <cellStyle name="20% - Accent4 2 2 2" xfId="1535" xr:uid="{00000000-0005-0000-0000-000033170000}"/>
    <cellStyle name="20% - Accent4 2 2 2 10" xfId="1536" xr:uid="{00000000-0005-0000-0000-000034170000}"/>
    <cellStyle name="20% - Accent4 2 2 2 10 2" xfId="16097" xr:uid="{00000000-0005-0000-0000-000035170000}"/>
    <cellStyle name="20% - Accent4 2 2 2 10 2 2" xfId="29504" xr:uid="{00000000-0005-0000-0000-000036170000}"/>
    <cellStyle name="20% - Accent4 2 2 2 10 3" xfId="18859" xr:uid="{00000000-0005-0000-0000-000037170000}"/>
    <cellStyle name="20% - Accent4 2 2 2 11" xfId="9043" xr:uid="{00000000-0005-0000-0000-000038170000}"/>
    <cellStyle name="20% - Accent4 2 2 2 11 2" xfId="23518" xr:uid="{00000000-0005-0000-0000-000039170000}"/>
    <cellStyle name="20% - Accent4 2 2 2 12" xfId="18858" xr:uid="{00000000-0005-0000-0000-00003A170000}"/>
    <cellStyle name="20% - Accent4 2 2 2 2" xfId="1537" xr:uid="{00000000-0005-0000-0000-00003B170000}"/>
    <cellStyle name="20% - Accent4 2 2 2 2 10" xfId="9044" xr:uid="{00000000-0005-0000-0000-00003C170000}"/>
    <cellStyle name="20% - Accent4 2 2 2 2 10 2" xfId="23519" xr:uid="{00000000-0005-0000-0000-00003D170000}"/>
    <cellStyle name="20% - Accent4 2 2 2 2 11" xfId="18860" xr:uid="{00000000-0005-0000-0000-00003E170000}"/>
    <cellStyle name="20% - Accent4 2 2 2 2 2" xfId="1538" xr:uid="{00000000-0005-0000-0000-00003F170000}"/>
    <cellStyle name="20% - Accent4 2 2 2 2 2 2" xfId="1539" xr:uid="{00000000-0005-0000-0000-000040170000}"/>
    <cellStyle name="20% - Accent4 2 2 2 2 2 2 2" xfId="10770" xr:uid="{00000000-0005-0000-0000-000041170000}"/>
    <cellStyle name="20% - Accent4 2 2 2 2 2 2 2 2" xfId="24712" xr:uid="{00000000-0005-0000-0000-000042170000}"/>
    <cellStyle name="20% - Accent4 2 2 2 2 2 2 3" xfId="18862" xr:uid="{00000000-0005-0000-0000-000043170000}"/>
    <cellStyle name="20% - Accent4 2 2 2 2 2 3" xfId="1540" xr:uid="{00000000-0005-0000-0000-000044170000}"/>
    <cellStyle name="20% - Accent4 2 2 2 2 2 3 2" xfId="12623" xr:uid="{00000000-0005-0000-0000-000045170000}"/>
    <cellStyle name="20% - Accent4 2 2 2 2 2 3 2 2" xfId="26335" xr:uid="{00000000-0005-0000-0000-000046170000}"/>
    <cellStyle name="20% - Accent4 2 2 2 2 2 3 3" xfId="18863" xr:uid="{00000000-0005-0000-0000-000047170000}"/>
    <cellStyle name="20% - Accent4 2 2 2 2 2 4" xfId="1541" xr:uid="{00000000-0005-0000-0000-000048170000}"/>
    <cellStyle name="20% - Accent4 2 2 2 2 2 4 2" xfId="14867" xr:uid="{00000000-0005-0000-0000-000049170000}"/>
    <cellStyle name="20% - Accent4 2 2 2 2 2 4 2 2" xfId="28416" xr:uid="{00000000-0005-0000-0000-00004A170000}"/>
    <cellStyle name="20% - Accent4 2 2 2 2 2 4 3" xfId="18864" xr:uid="{00000000-0005-0000-0000-00004B170000}"/>
    <cellStyle name="20% - Accent4 2 2 2 2 2 5" xfId="1542" xr:uid="{00000000-0005-0000-0000-00004C170000}"/>
    <cellStyle name="20% - Accent4 2 2 2 2 2 5 2" xfId="16967" xr:uid="{00000000-0005-0000-0000-00004D170000}"/>
    <cellStyle name="20% - Accent4 2 2 2 2 2 5 2 2" xfId="30374" xr:uid="{00000000-0005-0000-0000-00004E170000}"/>
    <cellStyle name="20% - Accent4 2 2 2 2 2 5 3" xfId="18865" xr:uid="{00000000-0005-0000-0000-00004F170000}"/>
    <cellStyle name="20% - Accent4 2 2 2 2 2 6" xfId="9045" xr:uid="{00000000-0005-0000-0000-000050170000}"/>
    <cellStyle name="20% - Accent4 2 2 2 2 2 6 2" xfId="23520" xr:uid="{00000000-0005-0000-0000-000051170000}"/>
    <cellStyle name="20% - Accent4 2 2 2 2 2 7" xfId="18861" xr:uid="{00000000-0005-0000-0000-000052170000}"/>
    <cellStyle name="20% - Accent4 2 2 2 2 3" xfId="1543" xr:uid="{00000000-0005-0000-0000-000053170000}"/>
    <cellStyle name="20% - Accent4 2 2 2 2 3 2" xfId="1544" xr:uid="{00000000-0005-0000-0000-000054170000}"/>
    <cellStyle name="20% - Accent4 2 2 2 2 3 2 2" xfId="14868" xr:uid="{00000000-0005-0000-0000-000055170000}"/>
    <cellStyle name="20% - Accent4 2 2 2 2 3 2 2 2" xfId="28417" xr:uid="{00000000-0005-0000-0000-000056170000}"/>
    <cellStyle name="20% - Accent4 2 2 2 2 3 2 3" xfId="18867" xr:uid="{00000000-0005-0000-0000-000057170000}"/>
    <cellStyle name="20% - Accent4 2 2 2 2 3 3" xfId="10769" xr:uid="{00000000-0005-0000-0000-000058170000}"/>
    <cellStyle name="20% - Accent4 2 2 2 2 3 3 2" xfId="24711" xr:uid="{00000000-0005-0000-0000-000059170000}"/>
    <cellStyle name="20% - Accent4 2 2 2 2 3 4" xfId="18866" xr:uid="{00000000-0005-0000-0000-00005A170000}"/>
    <cellStyle name="20% - Accent4 2 2 2 2 4" xfId="1545" xr:uid="{00000000-0005-0000-0000-00005B170000}"/>
    <cellStyle name="20% - Accent4 2 2 2 2 4 2" xfId="12355" xr:uid="{00000000-0005-0000-0000-00005C170000}"/>
    <cellStyle name="20% - Accent4 2 2 2 2 4 2 2" xfId="26067" xr:uid="{00000000-0005-0000-0000-00005D170000}"/>
    <cellStyle name="20% - Accent4 2 2 2 2 4 3" xfId="18868" xr:uid="{00000000-0005-0000-0000-00005E170000}"/>
    <cellStyle name="20% - Accent4 2 2 2 2 5" xfId="1546" xr:uid="{00000000-0005-0000-0000-00005F170000}"/>
    <cellStyle name="20% - Accent4 2 2 2 2 5 2" xfId="11850" xr:uid="{00000000-0005-0000-0000-000060170000}"/>
    <cellStyle name="20% - Accent4 2 2 2 2 5 2 2" xfId="25565" xr:uid="{00000000-0005-0000-0000-000061170000}"/>
    <cellStyle name="20% - Accent4 2 2 2 2 5 3" xfId="18869" xr:uid="{00000000-0005-0000-0000-000062170000}"/>
    <cellStyle name="20% - Accent4 2 2 2 2 6" xfId="1547" xr:uid="{00000000-0005-0000-0000-000063170000}"/>
    <cellStyle name="20% - Accent4 2 2 2 2 6 2" xfId="13919" xr:uid="{00000000-0005-0000-0000-000064170000}"/>
    <cellStyle name="20% - Accent4 2 2 2 2 6 2 2" xfId="27468" xr:uid="{00000000-0005-0000-0000-000065170000}"/>
    <cellStyle name="20% - Accent4 2 2 2 2 6 3" xfId="18870" xr:uid="{00000000-0005-0000-0000-000066170000}"/>
    <cellStyle name="20% - Accent4 2 2 2 2 7" xfId="1548" xr:uid="{00000000-0005-0000-0000-000067170000}"/>
    <cellStyle name="20% - Accent4 2 2 2 2 7 2" xfId="14500" xr:uid="{00000000-0005-0000-0000-000068170000}"/>
    <cellStyle name="20% - Accent4 2 2 2 2 7 2 2" xfId="28049" xr:uid="{00000000-0005-0000-0000-000069170000}"/>
    <cellStyle name="20% - Accent4 2 2 2 2 7 3" xfId="18871" xr:uid="{00000000-0005-0000-0000-00006A170000}"/>
    <cellStyle name="20% - Accent4 2 2 2 2 8" xfId="1549" xr:uid="{00000000-0005-0000-0000-00006B170000}"/>
    <cellStyle name="20% - Accent4 2 2 2 2 8 2" xfId="14866" xr:uid="{00000000-0005-0000-0000-00006C170000}"/>
    <cellStyle name="20% - Accent4 2 2 2 2 8 2 2" xfId="28415" xr:uid="{00000000-0005-0000-0000-00006D170000}"/>
    <cellStyle name="20% - Accent4 2 2 2 2 8 3" xfId="18872" xr:uid="{00000000-0005-0000-0000-00006E170000}"/>
    <cellStyle name="20% - Accent4 2 2 2 2 9" xfId="1550" xr:uid="{00000000-0005-0000-0000-00006F170000}"/>
    <cellStyle name="20% - Accent4 2 2 2 2 9 2" xfId="16386" xr:uid="{00000000-0005-0000-0000-000070170000}"/>
    <cellStyle name="20% - Accent4 2 2 2 2 9 2 2" xfId="29793" xr:uid="{00000000-0005-0000-0000-000071170000}"/>
    <cellStyle name="20% - Accent4 2 2 2 2 9 3" xfId="18873" xr:uid="{00000000-0005-0000-0000-000072170000}"/>
    <cellStyle name="20% - Accent4 2 2 2 3" xfId="1551" xr:uid="{00000000-0005-0000-0000-000073170000}"/>
    <cellStyle name="20% - Accent4 2 2 2 3 2" xfId="1552" xr:uid="{00000000-0005-0000-0000-000074170000}"/>
    <cellStyle name="20% - Accent4 2 2 2 3 2 2" xfId="10771" xr:uid="{00000000-0005-0000-0000-000075170000}"/>
    <cellStyle name="20% - Accent4 2 2 2 3 2 2 2" xfId="24713" xr:uid="{00000000-0005-0000-0000-000076170000}"/>
    <cellStyle name="20% - Accent4 2 2 2 3 2 3" xfId="18875" xr:uid="{00000000-0005-0000-0000-000077170000}"/>
    <cellStyle name="20% - Accent4 2 2 2 3 3" xfId="1553" xr:uid="{00000000-0005-0000-0000-000078170000}"/>
    <cellStyle name="20% - Accent4 2 2 2 3 3 2" xfId="11754" xr:uid="{00000000-0005-0000-0000-000079170000}"/>
    <cellStyle name="20% - Accent4 2 2 2 3 3 2 2" xfId="25469" xr:uid="{00000000-0005-0000-0000-00007A170000}"/>
    <cellStyle name="20% - Accent4 2 2 2 3 3 3" xfId="18876" xr:uid="{00000000-0005-0000-0000-00007B170000}"/>
    <cellStyle name="20% - Accent4 2 2 2 3 4" xfId="1554" xr:uid="{00000000-0005-0000-0000-00007C170000}"/>
    <cellStyle name="20% - Accent4 2 2 2 3 4 2" xfId="14869" xr:uid="{00000000-0005-0000-0000-00007D170000}"/>
    <cellStyle name="20% - Accent4 2 2 2 3 4 2 2" xfId="28418" xr:uid="{00000000-0005-0000-0000-00007E170000}"/>
    <cellStyle name="20% - Accent4 2 2 2 3 4 3" xfId="18877" xr:uid="{00000000-0005-0000-0000-00007F170000}"/>
    <cellStyle name="20% - Accent4 2 2 2 3 5" xfId="1555" xr:uid="{00000000-0005-0000-0000-000080170000}"/>
    <cellStyle name="20% - Accent4 2 2 2 3 5 2" xfId="16678" xr:uid="{00000000-0005-0000-0000-000081170000}"/>
    <cellStyle name="20% - Accent4 2 2 2 3 5 2 2" xfId="30085" xr:uid="{00000000-0005-0000-0000-000082170000}"/>
    <cellStyle name="20% - Accent4 2 2 2 3 5 3" xfId="18878" xr:uid="{00000000-0005-0000-0000-000083170000}"/>
    <cellStyle name="20% - Accent4 2 2 2 3 6" xfId="9046" xr:uid="{00000000-0005-0000-0000-000084170000}"/>
    <cellStyle name="20% - Accent4 2 2 2 3 6 2" xfId="23521" xr:uid="{00000000-0005-0000-0000-000085170000}"/>
    <cellStyle name="20% - Accent4 2 2 2 3 7" xfId="18874" xr:uid="{00000000-0005-0000-0000-000086170000}"/>
    <cellStyle name="20% - Accent4 2 2 2 4" xfId="1556" xr:uid="{00000000-0005-0000-0000-000087170000}"/>
    <cellStyle name="20% - Accent4 2 2 2 4 2" xfId="1557" xr:uid="{00000000-0005-0000-0000-000088170000}"/>
    <cellStyle name="20% - Accent4 2 2 2 4 2 2" xfId="14870" xr:uid="{00000000-0005-0000-0000-000089170000}"/>
    <cellStyle name="20% - Accent4 2 2 2 4 2 2 2" xfId="28419" xr:uid="{00000000-0005-0000-0000-00008A170000}"/>
    <cellStyle name="20% - Accent4 2 2 2 4 2 3" xfId="18880" xr:uid="{00000000-0005-0000-0000-00008B170000}"/>
    <cellStyle name="20% - Accent4 2 2 2 4 3" xfId="10768" xr:uid="{00000000-0005-0000-0000-00008C170000}"/>
    <cellStyle name="20% - Accent4 2 2 2 4 3 2" xfId="24710" xr:uid="{00000000-0005-0000-0000-00008D170000}"/>
    <cellStyle name="20% - Accent4 2 2 2 4 4" xfId="18879" xr:uid="{00000000-0005-0000-0000-00008E170000}"/>
    <cellStyle name="20% - Accent4 2 2 2 5" xfId="1558" xr:uid="{00000000-0005-0000-0000-00008F170000}"/>
    <cellStyle name="20% - Accent4 2 2 2 5 2" xfId="12055" xr:uid="{00000000-0005-0000-0000-000090170000}"/>
    <cellStyle name="20% - Accent4 2 2 2 5 2 2" xfId="25770" xr:uid="{00000000-0005-0000-0000-000091170000}"/>
    <cellStyle name="20% - Accent4 2 2 2 5 3" xfId="18881" xr:uid="{00000000-0005-0000-0000-000092170000}"/>
    <cellStyle name="20% - Accent4 2 2 2 6" xfId="1559" xr:uid="{00000000-0005-0000-0000-000093170000}"/>
    <cellStyle name="20% - Accent4 2 2 2 6 2" xfId="12488" xr:uid="{00000000-0005-0000-0000-000094170000}"/>
    <cellStyle name="20% - Accent4 2 2 2 6 2 2" xfId="26200" xr:uid="{00000000-0005-0000-0000-000095170000}"/>
    <cellStyle name="20% - Accent4 2 2 2 6 3" xfId="18882" xr:uid="{00000000-0005-0000-0000-000096170000}"/>
    <cellStyle name="20% - Accent4 2 2 2 7" xfId="1560" xr:uid="{00000000-0005-0000-0000-000097170000}"/>
    <cellStyle name="20% - Accent4 2 2 2 7 2" xfId="13630" xr:uid="{00000000-0005-0000-0000-000098170000}"/>
    <cellStyle name="20% - Accent4 2 2 2 7 2 2" xfId="27179" xr:uid="{00000000-0005-0000-0000-000099170000}"/>
    <cellStyle name="20% - Accent4 2 2 2 7 3" xfId="18883" xr:uid="{00000000-0005-0000-0000-00009A170000}"/>
    <cellStyle name="20% - Accent4 2 2 2 8" xfId="1561" xr:uid="{00000000-0005-0000-0000-00009B170000}"/>
    <cellStyle name="20% - Accent4 2 2 2 8 2" xfId="14211" xr:uid="{00000000-0005-0000-0000-00009C170000}"/>
    <cellStyle name="20% - Accent4 2 2 2 8 2 2" xfId="27760" xr:uid="{00000000-0005-0000-0000-00009D170000}"/>
    <cellStyle name="20% - Accent4 2 2 2 8 3" xfId="18884" xr:uid="{00000000-0005-0000-0000-00009E170000}"/>
    <cellStyle name="20% - Accent4 2 2 2 9" xfId="1562" xr:uid="{00000000-0005-0000-0000-00009F170000}"/>
    <cellStyle name="20% - Accent4 2 2 2 9 2" xfId="14865" xr:uid="{00000000-0005-0000-0000-0000A0170000}"/>
    <cellStyle name="20% - Accent4 2 2 2 9 2 2" xfId="28414" xr:uid="{00000000-0005-0000-0000-0000A1170000}"/>
    <cellStyle name="20% - Accent4 2 2 2 9 3" xfId="18885" xr:uid="{00000000-0005-0000-0000-0000A2170000}"/>
    <cellStyle name="20% - Accent4 2 2 3" xfId="1563" xr:uid="{00000000-0005-0000-0000-0000A3170000}"/>
    <cellStyle name="20% - Accent4 2 2 3 10" xfId="9047" xr:uid="{00000000-0005-0000-0000-0000A4170000}"/>
    <cellStyle name="20% - Accent4 2 2 3 10 2" xfId="23522" xr:uid="{00000000-0005-0000-0000-0000A5170000}"/>
    <cellStyle name="20% - Accent4 2 2 3 11" xfId="18886" xr:uid="{00000000-0005-0000-0000-0000A6170000}"/>
    <cellStyle name="20% - Accent4 2 2 3 2" xfId="1564" xr:uid="{00000000-0005-0000-0000-0000A7170000}"/>
    <cellStyle name="20% - Accent4 2 2 3 2 2" xfId="1565" xr:uid="{00000000-0005-0000-0000-0000A8170000}"/>
    <cellStyle name="20% - Accent4 2 2 3 2 2 2" xfId="10773" xr:uid="{00000000-0005-0000-0000-0000A9170000}"/>
    <cellStyle name="20% - Accent4 2 2 3 2 2 2 2" xfId="24715" xr:uid="{00000000-0005-0000-0000-0000AA170000}"/>
    <cellStyle name="20% - Accent4 2 2 3 2 2 3" xfId="18888" xr:uid="{00000000-0005-0000-0000-0000AB170000}"/>
    <cellStyle name="20% - Accent4 2 2 3 2 3" xfId="1566" xr:uid="{00000000-0005-0000-0000-0000AC170000}"/>
    <cellStyle name="20% - Accent4 2 2 3 2 3 2" xfId="11775" xr:uid="{00000000-0005-0000-0000-0000AD170000}"/>
    <cellStyle name="20% - Accent4 2 2 3 2 3 2 2" xfId="25490" xr:uid="{00000000-0005-0000-0000-0000AE170000}"/>
    <cellStyle name="20% - Accent4 2 2 3 2 3 3" xfId="18889" xr:uid="{00000000-0005-0000-0000-0000AF170000}"/>
    <cellStyle name="20% - Accent4 2 2 3 2 4" xfId="1567" xr:uid="{00000000-0005-0000-0000-0000B0170000}"/>
    <cellStyle name="20% - Accent4 2 2 3 2 4 2" xfId="14872" xr:uid="{00000000-0005-0000-0000-0000B1170000}"/>
    <cellStyle name="20% - Accent4 2 2 3 2 4 2 2" xfId="28421" xr:uid="{00000000-0005-0000-0000-0000B2170000}"/>
    <cellStyle name="20% - Accent4 2 2 3 2 4 3" xfId="18890" xr:uid="{00000000-0005-0000-0000-0000B3170000}"/>
    <cellStyle name="20% - Accent4 2 2 3 2 5" xfId="1568" xr:uid="{00000000-0005-0000-0000-0000B4170000}"/>
    <cellStyle name="20% - Accent4 2 2 3 2 5 2" xfId="16824" xr:uid="{00000000-0005-0000-0000-0000B5170000}"/>
    <cellStyle name="20% - Accent4 2 2 3 2 5 2 2" xfId="30231" xr:uid="{00000000-0005-0000-0000-0000B6170000}"/>
    <cellStyle name="20% - Accent4 2 2 3 2 5 3" xfId="18891" xr:uid="{00000000-0005-0000-0000-0000B7170000}"/>
    <cellStyle name="20% - Accent4 2 2 3 2 6" xfId="9048" xr:uid="{00000000-0005-0000-0000-0000B8170000}"/>
    <cellStyle name="20% - Accent4 2 2 3 2 6 2" xfId="23523" xr:uid="{00000000-0005-0000-0000-0000B9170000}"/>
    <cellStyle name="20% - Accent4 2 2 3 2 7" xfId="18887" xr:uid="{00000000-0005-0000-0000-0000BA170000}"/>
    <cellStyle name="20% - Accent4 2 2 3 3" xfId="1569" xr:uid="{00000000-0005-0000-0000-0000BB170000}"/>
    <cellStyle name="20% - Accent4 2 2 3 3 2" xfId="1570" xr:uid="{00000000-0005-0000-0000-0000BC170000}"/>
    <cellStyle name="20% - Accent4 2 2 3 3 2 2" xfId="14873" xr:uid="{00000000-0005-0000-0000-0000BD170000}"/>
    <cellStyle name="20% - Accent4 2 2 3 3 2 2 2" xfId="28422" xr:uid="{00000000-0005-0000-0000-0000BE170000}"/>
    <cellStyle name="20% - Accent4 2 2 3 3 2 3" xfId="18893" xr:uid="{00000000-0005-0000-0000-0000BF170000}"/>
    <cellStyle name="20% - Accent4 2 2 3 3 3" xfId="10772" xr:uid="{00000000-0005-0000-0000-0000C0170000}"/>
    <cellStyle name="20% - Accent4 2 2 3 3 3 2" xfId="24714" xr:uid="{00000000-0005-0000-0000-0000C1170000}"/>
    <cellStyle name="20% - Accent4 2 2 3 3 4" xfId="18892" xr:uid="{00000000-0005-0000-0000-0000C2170000}"/>
    <cellStyle name="20% - Accent4 2 2 3 4" xfId="1571" xr:uid="{00000000-0005-0000-0000-0000C3170000}"/>
    <cellStyle name="20% - Accent4 2 2 3 4 2" xfId="12212" xr:uid="{00000000-0005-0000-0000-0000C4170000}"/>
    <cellStyle name="20% - Accent4 2 2 3 4 2 2" xfId="25924" xr:uid="{00000000-0005-0000-0000-0000C5170000}"/>
    <cellStyle name="20% - Accent4 2 2 3 4 3" xfId="18894" xr:uid="{00000000-0005-0000-0000-0000C6170000}"/>
    <cellStyle name="20% - Accent4 2 2 3 5" xfId="1572" xr:uid="{00000000-0005-0000-0000-0000C7170000}"/>
    <cellStyle name="20% - Accent4 2 2 3 5 2" xfId="12535" xr:uid="{00000000-0005-0000-0000-0000C8170000}"/>
    <cellStyle name="20% - Accent4 2 2 3 5 2 2" xfId="26247" xr:uid="{00000000-0005-0000-0000-0000C9170000}"/>
    <cellStyle name="20% - Accent4 2 2 3 5 3" xfId="18895" xr:uid="{00000000-0005-0000-0000-0000CA170000}"/>
    <cellStyle name="20% - Accent4 2 2 3 6" xfId="1573" xr:uid="{00000000-0005-0000-0000-0000CB170000}"/>
    <cellStyle name="20% - Accent4 2 2 3 6 2" xfId="13776" xr:uid="{00000000-0005-0000-0000-0000CC170000}"/>
    <cellStyle name="20% - Accent4 2 2 3 6 2 2" xfId="27325" xr:uid="{00000000-0005-0000-0000-0000CD170000}"/>
    <cellStyle name="20% - Accent4 2 2 3 6 3" xfId="18896" xr:uid="{00000000-0005-0000-0000-0000CE170000}"/>
    <cellStyle name="20% - Accent4 2 2 3 7" xfId="1574" xr:uid="{00000000-0005-0000-0000-0000CF170000}"/>
    <cellStyle name="20% - Accent4 2 2 3 7 2" xfId="14357" xr:uid="{00000000-0005-0000-0000-0000D0170000}"/>
    <cellStyle name="20% - Accent4 2 2 3 7 2 2" xfId="27906" xr:uid="{00000000-0005-0000-0000-0000D1170000}"/>
    <cellStyle name="20% - Accent4 2 2 3 7 3" xfId="18897" xr:uid="{00000000-0005-0000-0000-0000D2170000}"/>
    <cellStyle name="20% - Accent4 2 2 3 8" xfId="1575" xr:uid="{00000000-0005-0000-0000-0000D3170000}"/>
    <cellStyle name="20% - Accent4 2 2 3 8 2" xfId="14871" xr:uid="{00000000-0005-0000-0000-0000D4170000}"/>
    <cellStyle name="20% - Accent4 2 2 3 8 2 2" xfId="28420" xr:uid="{00000000-0005-0000-0000-0000D5170000}"/>
    <cellStyle name="20% - Accent4 2 2 3 8 3" xfId="18898" xr:uid="{00000000-0005-0000-0000-0000D6170000}"/>
    <cellStyle name="20% - Accent4 2 2 3 9" xfId="1576" xr:uid="{00000000-0005-0000-0000-0000D7170000}"/>
    <cellStyle name="20% - Accent4 2 2 3 9 2" xfId="16243" xr:uid="{00000000-0005-0000-0000-0000D8170000}"/>
    <cellStyle name="20% - Accent4 2 2 3 9 2 2" xfId="29650" xr:uid="{00000000-0005-0000-0000-0000D9170000}"/>
    <cellStyle name="20% - Accent4 2 2 3 9 3" xfId="18899" xr:uid="{00000000-0005-0000-0000-0000DA170000}"/>
    <cellStyle name="20% - Accent4 2 2 4" xfId="1577" xr:uid="{00000000-0005-0000-0000-0000DB170000}"/>
    <cellStyle name="20% - Accent4 2 2 4 2" xfId="1578" xr:uid="{00000000-0005-0000-0000-0000DC170000}"/>
    <cellStyle name="20% - Accent4 2 2 4 2 2" xfId="10774" xr:uid="{00000000-0005-0000-0000-0000DD170000}"/>
    <cellStyle name="20% - Accent4 2 2 4 2 2 2" xfId="24716" xr:uid="{00000000-0005-0000-0000-0000DE170000}"/>
    <cellStyle name="20% - Accent4 2 2 4 2 3" xfId="18901" xr:uid="{00000000-0005-0000-0000-0000DF170000}"/>
    <cellStyle name="20% - Accent4 2 2 4 3" xfId="1579" xr:uid="{00000000-0005-0000-0000-0000E0170000}"/>
    <cellStyle name="20% - Accent4 2 2 4 3 2" xfId="12747" xr:uid="{00000000-0005-0000-0000-0000E1170000}"/>
    <cellStyle name="20% - Accent4 2 2 4 3 2 2" xfId="26459" xr:uid="{00000000-0005-0000-0000-0000E2170000}"/>
    <cellStyle name="20% - Accent4 2 2 4 3 3" xfId="18902" xr:uid="{00000000-0005-0000-0000-0000E3170000}"/>
    <cellStyle name="20% - Accent4 2 2 4 4" xfId="1580" xr:uid="{00000000-0005-0000-0000-0000E4170000}"/>
    <cellStyle name="20% - Accent4 2 2 4 4 2" xfId="14874" xr:uid="{00000000-0005-0000-0000-0000E5170000}"/>
    <cellStyle name="20% - Accent4 2 2 4 4 2 2" xfId="28423" xr:uid="{00000000-0005-0000-0000-0000E6170000}"/>
    <cellStyle name="20% - Accent4 2 2 4 4 3" xfId="18903" xr:uid="{00000000-0005-0000-0000-0000E7170000}"/>
    <cellStyle name="20% - Accent4 2 2 4 5" xfId="1581" xr:uid="{00000000-0005-0000-0000-0000E8170000}"/>
    <cellStyle name="20% - Accent4 2 2 4 5 2" xfId="17171" xr:uid="{00000000-0005-0000-0000-0000E9170000}"/>
    <cellStyle name="20% - Accent4 2 2 4 5 2 2" xfId="30530" xr:uid="{00000000-0005-0000-0000-0000EA170000}"/>
    <cellStyle name="20% - Accent4 2 2 4 5 3" xfId="18904" xr:uid="{00000000-0005-0000-0000-0000EB170000}"/>
    <cellStyle name="20% - Accent4 2 2 4 6" xfId="9049" xr:uid="{00000000-0005-0000-0000-0000EC170000}"/>
    <cellStyle name="20% - Accent4 2 2 4 6 2" xfId="23524" xr:uid="{00000000-0005-0000-0000-0000ED170000}"/>
    <cellStyle name="20% - Accent4 2 2 4 7" xfId="18900" xr:uid="{00000000-0005-0000-0000-0000EE170000}"/>
    <cellStyle name="20% - Accent4 2 2 5" xfId="1582" xr:uid="{00000000-0005-0000-0000-0000EF170000}"/>
    <cellStyle name="20% - Accent4 2 2 5 2" xfId="1583" xr:uid="{00000000-0005-0000-0000-0000F0170000}"/>
    <cellStyle name="20% - Accent4 2 2 5 2 2" xfId="14875" xr:uid="{00000000-0005-0000-0000-0000F1170000}"/>
    <cellStyle name="20% - Accent4 2 2 5 2 2 2" xfId="28424" xr:uid="{00000000-0005-0000-0000-0000F2170000}"/>
    <cellStyle name="20% - Accent4 2 2 5 2 3" xfId="18906" xr:uid="{00000000-0005-0000-0000-0000F3170000}"/>
    <cellStyle name="20% - Accent4 2 2 5 3" xfId="1584" xr:uid="{00000000-0005-0000-0000-0000F4170000}"/>
    <cellStyle name="20% - Accent4 2 2 5 3 2" xfId="17260" xr:uid="{00000000-0005-0000-0000-0000F5170000}"/>
    <cellStyle name="20% - Accent4 2 2 5 3 2 2" xfId="30619" xr:uid="{00000000-0005-0000-0000-0000F6170000}"/>
    <cellStyle name="20% - Accent4 2 2 5 3 3" xfId="18907" xr:uid="{00000000-0005-0000-0000-0000F7170000}"/>
    <cellStyle name="20% - Accent4 2 2 5 4" xfId="10767" xr:uid="{00000000-0005-0000-0000-0000F8170000}"/>
    <cellStyle name="20% - Accent4 2 2 5 4 2" xfId="24709" xr:uid="{00000000-0005-0000-0000-0000F9170000}"/>
    <cellStyle name="20% - Accent4 2 2 5 5" xfId="18905" xr:uid="{00000000-0005-0000-0000-0000FA170000}"/>
    <cellStyle name="20% - Accent4 2 2 6" xfId="1585" xr:uid="{00000000-0005-0000-0000-0000FB170000}"/>
    <cellStyle name="20% - Accent4 2 2 6 2" xfId="1586" xr:uid="{00000000-0005-0000-0000-0000FC170000}"/>
    <cellStyle name="20% - Accent4 2 2 6 2 2" xfId="16535" xr:uid="{00000000-0005-0000-0000-0000FD170000}"/>
    <cellStyle name="20% - Accent4 2 2 6 2 2 2" xfId="29942" xr:uid="{00000000-0005-0000-0000-0000FE170000}"/>
    <cellStyle name="20% - Accent4 2 2 6 2 3" xfId="18909" xr:uid="{00000000-0005-0000-0000-0000FF170000}"/>
    <cellStyle name="20% - Accent4 2 2 6 3" xfId="11910" xr:uid="{00000000-0005-0000-0000-000000180000}"/>
    <cellStyle name="20% - Accent4 2 2 6 3 2" xfId="25625" xr:uid="{00000000-0005-0000-0000-000001180000}"/>
    <cellStyle name="20% - Accent4 2 2 6 4" xfId="18908" xr:uid="{00000000-0005-0000-0000-000002180000}"/>
    <cellStyle name="20% - Accent4 2 2 7" xfId="1587" xr:uid="{00000000-0005-0000-0000-000003180000}"/>
    <cellStyle name="20% - Accent4 2 2 7 2" xfId="12397" xr:uid="{00000000-0005-0000-0000-000004180000}"/>
    <cellStyle name="20% - Accent4 2 2 7 2 2" xfId="26109" xr:uid="{00000000-0005-0000-0000-000005180000}"/>
    <cellStyle name="20% - Accent4 2 2 7 3" xfId="18910" xr:uid="{00000000-0005-0000-0000-000006180000}"/>
    <cellStyle name="20% - Accent4 2 2 8" xfId="1588" xr:uid="{00000000-0005-0000-0000-000007180000}"/>
    <cellStyle name="20% - Accent4 2 2 8 2" xfId="13487" xr:uid="{00000000-0005-0000-0000-000008180000}"/>
    <cellStyle name="20% - Accent4 2 2 8 2 2" xfId="27036" xr:uid="{00000000-0005-0000-0000-000009180000}"/>
    <cellStyle name="20% - Accent4 2 2 8 3" xfId="18911" xr:uid="{00000000-0005-0000-0000-00000A180000}"/>
    <cellStyle name="20% - Accent4 2 2 9" xfId="1589" xr:uid="{00000000-0005-0000-0000-00000B180000}"/>
    <cellStyle name="20% - Accent4 2 2 9 2" xfId="14068" xr:uid="{00000000-0005-0000-0000-00000C180000}"/>
    <cellStyle name="20% - Accent4 2 2 9 2 2" xfId="27617" xr:uid="{00000000-0005-0000-0000-00000D180000}"/>
    <cellStyle name="20% - Accent4 2 2 9 3" xfId="18912" xr:uid="{00000000-0005-0000-0000-00000E180000}"/>
    <cellStyle name="20% - Accent4 2 3" xfId="1590" xr:uid="{00000000-0005-0000-0000-00000F180000}"/>
    <cellStyle name="20% - Accent4 2 3 10" xfId="1591" xr:uid="{00000000-0005-0000-0000-000010180000}"/>
    <cellStyle name="20% - Accent4 2 3 10 2" xfId="16051" xr:uid="{00000000-0005-0000-0000-000011180000}"/>
    <cellStyle name="20% - Accent4 2 3 10 2 2" xfId="29458" xr:uid="{00000000-0005-0000-0000-000012180000}"/>
    <cellStyle name="20% - Accent4 2 3 10 3" xfId="18914" xr:uid="{00000000-0005-0000-0000-000013180000}"/>
    <cellStyle name="20% - Accent4 2 3 11" xfId="9050" xr:uid="{00000000-0005-0000-0000-000014180000}"/>
    <cellStyle name="20% - Accent4 2 3 11 2" xfId="23525" xr:uid="{00000000-0005-0000-0000-000015180000}"/>
    <cellStyle name="20% - Accent4 2 3 12" xfId="18913" xr:uid="{00000000-0005-0000-0000-000016180000}"/>
    <cellStyle name="20% - Accent4 2 3 2" xfId="1592" xr:uid="{00000000-0005-0000-0000-000017180000}"/>
    <cellStyle name="20% - Accent4 2 3 2 10" xfId="9051" xr:uid="{00000000-0005-0000-0000-000018180000}"/>
    <cellStyle name="20% - Accent4 2 3 2 10 2" xfId="23526" xr:uid="{00000000-0005-0000-0000-000019180000}"/>
    <cellStyle name="20% - Accent4 2 3 2 11" xfId="18915" xr:uid="{00000000-0005-0000-0000-00001A180000}"/>
    <cellStyle name="20% - Accent4 2 3 2 2" xfId="1593" xr:uid="{00000000-0005-0000-0000-00001B180000}"/>
    <cellStyle name="20% - Accent4 2 3 2 2 2" xfId="1594" xr:uid="{00000000-0005-0000-0000-00001C180000}"/>
    <cellStyle name="20% - Accent4 2 3 2 2 2 2" xfId="10777" xr:uid="{00000000-0005-0000-0000-00001D180000}"/>
    <cellStyle name="20% - Accent4 2 3 2 2 2 2 2" xfId="24719" xr:uid="{00000000-0005-0000-0000-00001E180000}"/>
    <cellStyle name="20% - Accent4 2 3 2 2 2 3" xfId="18917" xr:uid="{00000000-0005-0000-0000-00001F180000}"/>
    <cellStyle name="20% - Accent4 2 3 2 2 3" xfId="1595" xr:uid="{00000000-0005-0000-0000-000020180000}"/>
    <cellStyle name="20% - Accent4 2 3 2 2 3 2" xfId="11769" xr:uid="{00000000-0005-0000-0000-000021180000}"/>
    <cellStyle name="20% - Accent4 2 3 2 2 3 2 2" xfId="25484" xr:uid="{00000000-0005-0000-0000-000022180000}"/>
    <cellStyle name="20% - Accent4 2 3 2 2 3 3" xfId="18918" xr:uid="{00000000-0005-0000-0000-000023180000}"/>
    <cellStyle name="20% - Accent4 2 3 2 2 4" xfId="1596" xr:uid="{00000000-0005-0000-0000-000024180000}"/>
    <cellStyle name="20% - Accent4 2 3 2 2 4 2" xfId="14878" xr:uid="{00000000-0005-0000-0000-000025180000}"/>
    <cellStyle name="20% - Accent4 2 3 2 2 4 2 2" xfId="28427" xr:uid="{00000000-0005-0000-0000-000026180000}"/>
    <cellStyle name="20% - Accent4 2 3 2 2 4 3" xfId="18919" xr:uid="{00000000-0005-0000-0000-000027180000}"/>
    <cellStyle name="20% - Accent4 2 3 2 2 5" xfId="1597" xr:uid="{00000000-0005-0000-0000-000028180000}"/>
    <cellStyle name="20% - Accent4 2 3 2 2 5 2" xfId="16921" xr:uid="{00000000-0005-0000-0000-000029180000}"/>
    <cellStyle name="20% - Accent4 2 3 2 2 5 2 2" xfId="30328" xr:uid="{00000000-0005-0000-0000-00002A180000}"/>
    <cellStyle name="20% - Accent4 2 3 2 2 5 3" xfId="18920" xr:uid="{00000000-0005-0000-0000-00002B180000}"/>
    <cellStyle name="20% - Accent4 2 3 2 2 6" xfId="9052" xr:uid="{00000000-0005-0000-0000-00002C180000}"/>
    <cellStyle name="20% - Accent4 2 3 2 2 6 2" xfId="23527" xr:uid="{00000000-0005-0000-0000-00002D180000}"/>
    <cellStyle name="20% - Accent4 2 3 2 2 7" xfId="18916" xr:uid="{00000000-0005-0000-0000-00002E180000}"/>
    <cellStyle name="20% - Accent4 2 3 2 3" xfId="1598" xr:uid="{00000000-0005-0000-0000-00002F180000}"/>
    <cellStyle name="20% - Accent4 2 3 2 3 2" xfId="1599" xr:uid="{00000000-0005-0000-0000-000030180000}"/>
    <cellStyle name="20% - Accent4 2 3 2 3 2 2" xfId="14879" xr:uid="{00000000-0005-0000-0000-000031180000}"/>
    <cellStyle name="20% - Accent4 2 3 2 3 2 2 2" xfId="28428" xr:uid="{00000000-0005-0000-0000-000032180000}"/>
    <cellStyle name="20% - Accent4 2 3 2 3 2 3" xfId="18922" xr:uid="{00000000-0005-0000-0000-000033180000}"/>
    <cellStyle name="20% - Accent4 2 3 2 3 3" xfId="10776" xr:uid="{00000000-0005-0000-0000-000034180000}"/>
    <cellStyle name="20% - Accent4 2 3 2 3 3 2" xfId="24718" xr:uid="{00000000-0005-0000-0000-000035180000}"/>
    <cellStyle name="20% - Accent4 2 3 2 3 4" xfId="18921" xr:uid="{00000000-0005-0000-0000-000036180000}"/>
    <cellStyle name="20% - Accent4 2 3 2 4" xfId="1600" xr:uid="{00000000-0005-0000-0000-000037180000}"/>
    <cellStyle name="20% - Accent4 2 3 2 4 2" xfId="12309" xr:uid="{00000000-0005-0000-0000-000038180000}"/>
    <cellStyle name="20% - Accent4 2 3 2 4 2 2" xfId="26021" xr:uid="{00000000-0005-0000-0000-000039180000}"/>
    <cellStyle name="20% - Accent4 2 3 2 4 3" xfId="18923" xr:uid="{00000000-0005-0000-0000-00003A180000}"/>
    <cellStyle name="20% - Accent4 2 3 2 5" xfId="1601" xr:uid="{00000000-0005-0000-0000-00003B180000}"/>
    <cellStyle name="20% - Accent4 2 3 2 5 2" xfId="12603" xr:uid="{00000000-0005-0000-0000-00003C180000}"/>
    <cellStyle name="20% - Accent4 2 3 2 5 2 2" xfId="26315" xr:uid="{00000000-0005-0000-0000-00003D180000}"/>
    <cellStyle name="20% - Accent4 2 3 2 5 3" xfId="18924" xr:uid="{00000000-0005-0000-0000-00003E180000}"/>
    <cellStyle name="20% - Accent4 2 3 2 6" xfId="1602" xr:uid="{00000000-0005-0000-0000-00003F180000}"/>
    <cellStyle name="20% - Accent4 2 3 2 6 2" xfId="13873" xr:uid="{00000000-0005-0000-0000-000040180000}"/>
    <cellStyle name="20% - Accent4 2 3 2 6 2 2" xfId="27422" xr:uid="{00000000-0005-0000-0000-000041180000}"/>
    <cellStyle name="20% - Accent4 2 3 2 6 3" xfId="18925" xr:uid="{00000000-0005-0000-0000-000042180000}"/>
    <cellStyle name="20% - Accent4 2 3 2 7" xfId="1603" xr:uid="{00000000-0005-0000-0000-000043180000}"/>
    <cellStyle name="20% - Accent4 2 3 2 7 2" xfId="14454" xr:uid="{00000000-0005-0000-0000-000044180000}"/>
    <cellStyle name="20% - Accent4 2 3 2 7 2 2" xfId="28003" xr:uid="{00000000-0005-0000-0000-000045180000}"/>
    <cellStyle name="20% - Accent4 2 3 2 7 3" xfId="18926" xr:uid="{00000000-0005-0000-0000-000046180000}"/>
    <cellStyle name="20% - Accent4 2 3 2 8" xfId="1604" xr:uid="{00000000-0005-0000-0000-000047180000}"/>
    <cellStyle name="20% - Accent4 2 3 2 8 2" xfId="14877" xr:uid="{00000000-0005-0000-0000-000048180000}"/>
    <cellStyle name="20% - Accent4 2 3 2 8 2 2" xfId="28426" xr:uid="{00000000-0005-0000-0000-000049180000}"/>
    <cellStyle name="20% - Accent4 2 3 2 8 3" xfId="18927" xr:uid="{00000000-0005-0000-0000-00004A180000}"/>
    <cellStyle name="20% - Accent4 2 3 2 9" xfId="1605" xr:uid="{00000000-0005-0000-0000-00004B180000}"/>
    <cellStyle name="20% - Accent4 2 3 2 9 2" xfId="16340" xr:uid="{00000000-0005-0000-0000-00004C180000}"/>
    <cellStyle name="20% - Accent4 2 3 2 9 2 2" xfId="29747" xr:uid="{00000000-0005-0000-0000-00004D180000}"/>
    <cellStyle name="20% - Accent4 2 3 2 9 3" xfId="18928" xr:uid="{00000000-0005-0000-0000-00004E180000}"/>
    <cellStyle name="20% - Accent4 2 3 3" xfId="1606" xr:uid="{00000000-0005-0000-0000-00004F180000}"/>
    <cellStyle name="20% - Accent4 2 3 3 2" xfId="1607" xr:uid="{00000000-0005-0000-0000-000050180000}"/>
    <cellStyle name="20% - Accent4 2 3 3 2 2" xfId="10778" xr:uid="{00000000-0005-0000-0000-000051180000}"/>
    <cellStyle name="20% - Accent4 2 3 3 2 2 2" xfId="24720" xr:uid="{00000000-0005-0000-0000-000052180000}"/>
    <cellStyle name="20% - Accent4 2 3 3 2 3" xfId="18930" xr:uid="{00000000-0005-0000-0000-000053180000}"/>
    <cellStyle name="20% - Accent4 2 3 3 3" xfId="1608" xr:uid="{00000000-0005-0000-0000-000054180000}"/>
    <cellStyle name="20% - Accent4 2 3 3 3 2" xfId="12502" xr:uid="{00000000-0005-0000-0000-000055180000}"/>
    <cellStyle name="20% - Accent4 2 3 3 3 2 2" xfId="26214" xr:uid="{00000000-0005-0000-0000-000056180000}"/>
    <cellStyle name="20% - Accent4 2 3 3 3 3" xfId="18931" xr:uid="{00000000-0005-0000-0000-000057180000}"/>
    <cellStyle name="20% - Accent4 2 3 3 4" xfId="1609" xr:uid="{00000000-0005-0000-0000-000058180000}"/>
    <cellStyle name="20% - Accent4 2 3 3 4 2" xfId="14880" xr:uid="{00000000-0005-0000-0000-000059180000}"/>
    <cellStyle name="20% - Accent4 2 3 3 4 2 2" xfId="28429" xr:uid="{00000000-0005-0000-0000-00005A180000}"/>
    <cellStyle name="20% - Accent4 2 3 3 4 3" xfId="18932" xr:uid="{00000000-0005-0000-0000-00005B180000}"/>
    <cellStyle name="20% - Accent4 2 3 3 5" xfId="1610" xr:uid="{00000000-0005-0000-0000-00005C180000}"/>
    <cellStyle name="20% - Accent4 2 3 3 5 2" xfId="16632" xr:uid="{00000000-0005-0000-0000-00005D180000}"/>
    <cellStyle name="20% - Accent4 2 3 3 5 2 2" xfId="30039" xr:uid="{00000000-0005-0000-0000-00005E180000}"/>
    <cellStyle name="20% - Accent4 2 3 3 5 3" xfId="18933" xr:uid="{00000000-0005-0000-0000-00005F180000}"/>
    <cellStyle name="20% - Accent4 2 3 3 6" xfId="9053" xr:uid="{00000000-0005-0000-0000-000060180000}"/>
    <cellStyle name="20% - Accent4 2 3 3 6 2" xfId="23528" xr:uid="{00000000-0005-0000-0000-000061180000}"/>
    <cellStyle name="20% - Accent4 2 3 3 7" xfId="18929" xr:uid="{00000000-0005-0000-0000-000062180000}"/>
    <cellStyle name="20% - Accent4 2 3 4" xfId="1611" xr:uid="{00000000-0005-0000-0000-000063180000}"/>
    <cellStyle name="20% - Accent4 2 3 4 2" xfId="1612" xr:uid="{00000000-0005-0000-0000-000064180000}"/>
    <cellStyle name="20% - Accent4 2 3 4 2 2" xfId="14881" xr:uid="{00000000-0005-0000-0000-000065180000}"/>
    <cellStyle name="20% - Accent4 2 3 4 2 2 2" xfId="28430" xr:uid="{00000000-0005-0000-0000-000066180000}"/>
    <cellStyle name="20% - Accent4 2 3 4 2 3" xfId="18935" xr:uid="{00000000-0005-0000-0000-000067180000}"/>
    <cellStyle name="20% - Accent4 2 3 4 3" xfId="10775" xr:uid="{00000000-0005-0000-0000-000068180000}"/>
    <cellStyle name="20% - Accent4 2 3 4 3 2" xfId="24717" xr:uid="{00000000-0005-0000-0000-000069180000}"/>
    <cellStyle name="20% - Accent4 2 3 4 4" xfId="18934" xr:uid="{00000000-0005-0000-0000-00006A180000}"/>
    <cellStyle name="20% - Accent4 2 3 5" xfId="1613" xr:uid="{00000000-0005-0000-0000-00006B180000}"/>
    <cellStyle name="20% - Accent4 2 3 5 2" xfId="12009" xr:uid="{00000000-0005-0000-0000-00006C180000}"/>
    <cellStyle name="20% - Accent4 2 3 5 2 2" xfId="25724" xr:uid="{00000000-0005-0000-0000-00006D180000}"/>
    <cellStyle name="20% - Accent4 2 3 5 3" xfId="18936" xr:uid="{00000000-0005-0000-0000-00006E180000}"/>
    <cellStyle name="20% - Accent4 2 3 6" xfId="1614" xr:uid="{00000000-0005-0000-0000-00006F180000}"/>
    <cellStyle name="20% - Accent4 2 3 6 2" xfId="12748" xr:uid="{00000000-0005-0000-0000-000070180000}"/>
    <cellStyle name="20% - Accent4 2 3 6 2 2" xfId="26460" xr:uid="{00000000-0005-0000-0000-000071180000}"/>
    <cellStyle name="20% - Accent4 2 3 6 3" xfId="18937" xr:uid="{00000000-0005-0000-0000-000072180000}"/>
    <cellStyle name="20% - Accent4 2 3 7" xfId="1615" xr:uid="{00000000-0005-0000-0000-000073180000}"/>
    <cellStyle name="20% - Accent4 2 3 7 2" xfId="13584" xr:uid="{00000000-0005-0000-0000-000074180000}"/>
    <cellStyle name="20% - Accent4 2 3 7 2 2" xfId="27133" xr:uid="{00000000-0005-0000-0000-000075180000}"/>
    <cellStyle name="20% - Accent4 2 3 7 3" xfId="18938" xr:uid="{00000000-0005-0000-0000-000076180000}"/>
    <cellStyle name="20% - Accent4 2 3 8" xfId="1616" xr:uid="{00000000-0005-0000-0000-000077180000}"/>
    <cellStyle name="20% - Accent4 2 3 8 2" xfId="14165" xr:uid="{00000000-0005-0000-0000-000078180000}"/>
    <cellStyle name="20% - Accent4 2 3 8 2 2" xfId="27714" xr:uid="{00000000-0005-0000-0000-000079180000}"/>
    <cellStyle name="20% - Accent4 2 3 8 3" xfId="18939" xr:uid="{00000000-0005-0000-0000-00007A180000}"/>
    <cellStyle name="20% - Accent4 2 3 9" xfId="1617" xr:uid="{00000000-0005-0000-0000-00007B180000}"/>
    <cellStyle name="20% - Accent4 2 3 9 2" xfId="14876" xr:uid="{00000000-0005-0000-0000-00007C180000}"/>
    <cellStyle name="20% - Accent4 2 3 9 2 2" xfId="28425" xr:uid="{00000000-0005-0000-0000-00007D180000}"/>
    <cellStyle name="20% - Accent4 2 3 9 3" xfId="18940" xr:uid="{00000000-0005-0000-0000-00007E180000}"/>
    <cellStyle name="20% - Accent4 2 4" xfId="1618" xr:uid="{00000000-0005-0000-0000-00007F180000}"/>
    <cellStyle name="20% - Accent4 2 4 10" xfId="9054" xr:uid="{00000000-0005-0000-0000-000080180000}"/>
    <cellStyle name="20% - Accent4 2 4 10 2" xfId="23529" xr:uid="{00000000-0005-0000-0000-000081180000}"/>
    <cellStyle name="20% - Accent4 2 4 11" xfId="18941" xr:uid="{00000000-0005-0000-0000-000082180000}"/>
    <cellStyle name="20% - Accent4 2 4 2" xfId="1619" xr:uid="{00000000-0005-0000-0000-000083180000}"/>
    <cellStyle name="20% - Accent4 2 4 2 2" xfId="1620" xr:uid="{00000000-0005-0000-0000-000084180000}"/>
    <cellStyle name="20% - Accent4 2 4 2 2 2" xfId="10780" xr:uid="{00000000-0005-0000-0000-000085180000}"/>
    <cellStyle name="20% - Accent4 2 4 2 2 2 2" xfId="24722" xr:uid="{00000000-0005-0000-0000-000086180000}"/>
    <cellStyle name="20% - Accent4 2 4 2 2 3" xfId="18943" xr:uid="{00000000-0005-0000-0000-000087180000}"/>
    <cellStyle name="20% - Accent4 2 4 2 3" xfId="1621" xr:uid="{00000000-0005-0000-0000-000088180000}"/>
    <cellStyle name="20% - Accent4 2 4 2 3 2" xfId="12553" xr:uid="{00000000-0005-0000-0000-000089180000}"/>
    <cellStyle name="20% - Accent4 2 4 2 3 2 2" xfId="26265" xr:uid="{00000000-0005-0000-0000-00008A180000}"/>
    <cellStyle name="20% - Accent4 2 4 2 3 3" xfId="18944" xr:uid="{00000000-0005-0000-0000-00008B180000}"/>
    <cellStyle name="20% - Accent4 2 4 2 4" xfId="1622" xr:uid="{00000000-0005-0000-0000-00008C180000}"/>
    <cellStyle name="20% - Accent4 2 4 2 4 2" xfId="14883" xr:uid="{00000000-0005-0000-0000-00008D180000}"/>
    <cellStyle name="20% - Accent4 2 4 2 4 2 2" xfId="28432" xr:uid="{00000000-0005-0000-0000-00008E180000}"/>
    <cellStyle name="20% - Accent4 2 4 2 4 3" xfId="18945" xr:uid="{00000000-0005-0000-0000-00008F180000}"/>
    <cellStyle name="20% - Accent4 2 4 2 5" xfId="1623" xr:uid="{00000000-0005-0000-0000-000090180000}"/>
    <cellStyle name="20% - Accent4 2 4 2 5 2" xfId="16778" xr:uid="{00000000-0005-0000-0000-000091180000}"/>
    <cellStyle name="20% - Accent4 2 4 2 5 2 2" xfId="30185" xr:uid="{00000000-0005-0000-0000-000092180000}"/>
    <cellStyle name="20% - Accent4 2 4 2 5 3" xfId="18946" xr:uid="{00000000-0005-0000-0000-000093180000}"/>
    <cellStyle name="20% - Accent4 2 4 2 6" xfId="9055" xr:uid="{00000000-0005-0000-0000-000094180000}"/>
    <cellStyle name="20% - Accent4 2 4 2 6 2" xfId="23530" xr:uid="{00000000-0005-0000-0000-000095180000}"/>
    <cellStyle name="20% - Accent4 2 4 2 7" xfId="18942" xr:uid="{00000000-0005-0000-0000-000096180000}"/>
    <cellStyle name="20% - Accent4 2 4 3" xfId="1624" xr:uid="{00000000-0005-0000-0000-000097180000}"/>
    <cellStyle name="20% - Accent4 2 4 3 2" xfId="1625" xr:uid="{00000000-0005-0000-0000-000098180000}"/>
    <cellStyle name="20% - Accent4 2 4 3 2 2" xfId="14884" xr:uid="{00000000-0005-0000-0000-000099180000}"/>
    <cellStyle name="20% - Accent4 2 4 3 2 2 2" xfId="28433" xr:uid="{00000000-0005-0000-0000-00009A180000}"/>
    <cellStyle name="20% - Accent4 2 4 3 2 3" xfId="18948" xr:uid="{00000000-0005-0000-0000-00009B180000}"/>
    <cellStyle name="20% - Accent4 2 4 3 3" xfId="10779" xr:uid="{00000000-0005-0000-0000-00009C180000}"/>
    <cellStyle name="20% - Accent4 2 4 3 3 2" xfId="24721" xr:uid="{00000000-0005-0000-0000-00009D180000}"/>
    <cellStyle name="20% - Accent4 2 4 3 4" xfId="18947" xr:uid="{00000000-0005-0000-0000-00009E180000}"/>
    <cellStyle name="20% - Accent4 2 4 4" xfId="1626" xr:uid="{00000000-0005-0000-0000-00009F180000}"/>
    <cellStyle name="20% - Accent4 2 4 4 2" xfId="12166" xr:uid="{00000000-0005-0000-0000-0000A0180000}"/>
    <cellStyle name="20% - Accent4 2 4 4 2 2" xfId="25878" xr:uid="{00000000-0005-0000-0000-0000A1180000}"/>
    <cellStyle name="20% - Accent4 2 4 4 3" xfId="18949" xr:uid="{00000000-0005-0000-0000-0000A2180000}"/>
    <cellStyle name="20% - Accent4 2 4 5" xfId="1627" xr:uid="{00000000-0005-0000-0000-0000A3180000}"/>
    <cellStyle name="20% - Accent4 2 4 5 2" xfId="12499" xr:uid="{00000000-0005-0000-0000-0000A4180000}"/>
    <cellStyle name="20% - Accent4 2 4 5 2 2" xfId="26211" xr:uid="{00000000-0005-0000-0000-0000A5180000}"/>
    <cellStyle name="20% - Accent4 2 4 5 3" xfId="18950" xr:uid="{00000000-0005-0000-0000-0000A6180000}"/>
    <cellStyle name="20% - Accent4 2 4 6" xfId="1628" xr:uid="{00000000-0005-0000-0000-0000A7180000}"/>
    <cellStyle name="20% - Accent4 2 4 6 2" xfId="13730" xr:uid="{00000000-0005-0000-0000-0000A8180000}"/>
    <cellStyle name="20% - Accent4 2 4 6 2 2" xfId="27279" xr:uid="{00000000-0005-0000-0000-0000A9180000}"/>
    <cellStyle name="20% - Accent4 2 4 6 3" xfId="18951" xr:uid="{00000000-0005-0000-0000-0000AA180000}"/>
    <cellStyle name="20% - Accent4 2 4 7" xfId="1629" xr:uid="{00000000-0005-0000-0000-0000AB180000}"/>
    <cellStyle name="20% - Accent4 2 4 7 2" xfId="14311" xr:uid="{00000000-0005-0000-0000-0000AC180000}"/>
    <cellStyle name="20% - Accent4 2 4 7 2 2" xfId="27860" xr:uid="{00000000-0005-0000-0000-0000AD180000}"/>
    <cellStyle name="20% - Accent4 2 4 7 3" xfId="18952" xr:uid="{00000000-0005-0000-0000-0000AE180000}"/>
    <cellStyle name="20% - Accent4 2 4 8" xfId="1630" xr:uid="{00000000-0005-0000-0000-0000AF180000}"/>
    <cellStyle name="20% - Accent4 2 4 8 2" xfId="14882" xr:uid="{00000000-0005-0000-0000-0000B0180000}"/>
    <cellStyle name="20% - Accent4 2 4 8 2 2" xfId="28431" xr:uid="{00000000-0005-0000-0000-0000B1180000}"/>
    <cellStyle name="20% - Accent4 2 4 8 3" xfId="18953" xr:uid="{00000000-0005-0000-0000-0000B2180000}"/>
    <cellStyle name="20% - Accent4 2 4 9" xfId="1631" xr:uid="{00000000-0005-0000-0000-0000B3180000}"/>
    <cellStyle name="20% - Accent4 2 4 9 2" xfId="16197" xr:uid="{00000000-0005-0000-0000-0000B4180000}"/>
    <cellStyle name="20% - Accent4 2 4 9 2 2" xfId="29604" xr:uid="{00000000-0005-0000-0000-0000B5180000}"/>
    <cellStyle name="20% - Accent4 2 4 9 3" xfId="18954" xr:uid="{00000000-0005-0000-0000-0000B6180000}"/>
    <cellStyle name="20% - Accent4 2 5" xfId="1632" xr:uid="{00000000-0005-0000-0000-0000B7180000}"/>
    <cellStyle name="20% - Accent4 2 5 2" xfId="1633" xr:uid="{00000000-0005-0000-0000-0000B8180000}"/>
    <cellStyle name="20% - Accent4 2 5 2 2" xfId="1634" xr:uid="{00000000-0005-0000-0000-0000B9180000}"/>
    <cellStyle name="20% - Accent4 2 5 2 2 2" xfId="10782" xr:uid="{00000000-0005-0000-0000-0000BA180000}"/>
    <cellStyle name="20% - Accent4 2 5 2 2 2 2" xfId="24724" xr:uid="{00000000-0005-0000-0000-0000BB180000}"/>
    <cellStyle name="20% - Accent4 2 5 2 2 3" xfId="18957" xr:uid="{00000000-0005-0000-0000-0000BC180000}"/>
    <cellStyle name="20% - Accent4 2 5 2 3" xfId="1635" xr:uid="{00000000-0005-0000-0000-0000BD180000}"/>
    <cellStyle name="20% - Accent4 2 5 2 3 2" xfId="12780" xr:uid="{00000000-0005-0000-0000-0000BE180000}"/>
    <cellStyle name="20% - Accent4 2 5 2 3 2 2" xfId="26492" xr:uid="{00000000-0005-0000-0000-0000BF180000}"/>
    <cellStyle name="20% - Accent4 2 5 2 3 3" xfId="18958" xr:uid="{00000000-0005-0000-0000-0000C0180000}"/>
    <cellStyle name="20% - Accent4 2 5 2 4" xfId="1636" xr:uid="{00000000-0005-0000-0000-0000C1180000}"/>
    <cellStyle name="20% - Accent4 2 5 2 4 2" xfId="14886" xr:uid="{00000000-0005-0000-0000-0000C2180000}"/>
    <cellStyle name="20% - Accent4 2 5 2 4 2 2" xfId="28435" xr:uid="{00000000-0005-0000-0000-0000C3180000}"/>
    <cellStyle name="20% - Accent4 2 5 2 4 3" xfId="18959" xr:uid="{00000000-0005-0000-0000-0000C4180000}"/>
    <cellStyle name="20% - Accent4 2 5 2 5" xfId="9057" xr:uid="{00000000-0005-0000-0000-0000C5180000}"/>
    <cellStyle name="20% - Accent4 2 5 2 5 2" xfId="23532" xr:uid="{00000000-0005-0000-0000-0000C6180000}"/>
    <cellStyle name="20% - Accent4 2 5 2 6" xfId="18956" xr:uid="{00000000-0005-0000-0000-0000C7180000}"/>
    <cellStyle name="20% - Accent4 2 5 3" xfId="1637" xr:uid="{00000000-0005-0000-0000-0000C8180000}"/>
    <cellStyle name="20% - Accent4 2 5 3 2" xfId="10781" xr:uid="{00000000-0005-0000-0000-0000C9180000}"/>
    <cellStyle name="20% - Accent4 2 5 3 2 2" xfId="24723" xr:uid="{00000000-0005-0000-0000-0000CA180000}"/>
    <cellStyle name="20% - Accent4 2 5 3 3" xfId="18960" xr:uid="{00000000-0005-0000-0000-0000CB180000}"/>
    <cellStyle name="20% - Accent4 2 5 4" xfId="1638" xr:uid="{00000000-0005-0000-0000-0000CC180000}"/>
    <cellStyle name="20% - Accent4 2 5 4 2" xfId="12522" xr:uid="{00000000-0005-0000-0000-0000CD180000}"/>
    <cellStyle name="20% - Accent4 2 5 4 2 2" xfId="26234" xr:uid="{00000000-0005-0000-0000-0000CE180000}"/>
    <cellStyle name="20% - Accent4 2 5 4 3" xfId="18961" xr:uid="{00000000-0005-0000-0000-0000CF180000}"/>
    <cellStyle name="20% - Accent4 2 5 5" xfId="1639" xr:uid="{00000000-0005-0000-0000-0000D0180000}"/>
    <cellStyle name="20% - Accent4 2 5 5 2" xfId="14885" xr:uid="{00000000-0005-0000-0000-0000D1180000}"/>
    <cellStyle name="20% - Accent4 2 5 5 2 2" xfId="28434" xr:uid="{00000000-0005-0000-0000-0000D2180000}"/>
    <cellStyle name="20% - Accent4 2 5 5 3" xfId="18962" xr:uid="{00000000-0005-0000-0000-0000D3180000}"/>
    <cellStyle name="20% - Accent4 2 5 6" xfId="1640" xr:uid="{00000000-0005-0000-0000-0000D4180000}"/>
    <cellStyle name="20% - Accent4 2 5 6 2" xfId="17010" xr:uid="{00000000-0005-0000-0000-0000D5180000}"/>
    <cellStyle name="20% - Accent4 2 5 6 2 2" xfId="30417" xr:uid="{00000000-0005-0000-0000-0000D6180000}"/>
    <cellStyle name="20% - Accent4 2 5 6 3" xfId="18963" xr:uid="{00000000-0005-0000-0000-0000D7180000}"/>
    <cellStyle name="20% - Accent4 2 5 7" xfId="9056" xr:uid="{00000000-0005-0000-0000-0000D8180000}"/>
    <cellStyle name="20% - Accent4 2 5 7 2" xfId="23531" xr:uid="{00000000-0005-0000-0000-0000D9180000}"/>
    <cellStyle name="20% - Accent4 2 5 8" xfId="18955" xr:uid="{00000000-0005-0000-0000-0000DA180000}"/>
    <cellStyle name="20% - Accent4 2 6" xfId="1641" xr:uid="{00000000-0005-0000-0000-0000DB180000}"/>
    <cellStyle name="20% - Accent4 2 6 2" xfId="1642" xr:uid="{00000000-0005-0000-0000-0000DC180000}"/>
    <cellStyle name="20% - Accent4 2 6 2 2" xfId="10783" xr:uid="{00000000-0005-0000-0000-0000DD180000}"/>
    <cellStyle name="20% - Accent4 2 6 2 2 2" xfId="24725" xr:uid="{00000000-0005-0000-0000-0000DE180000}"/>
    <cellStyle name="20% - Accent4 2 6 2 3" xfId="18965" xr:uid="{00000000-0005-0000-0000-0000DF180000}"/>
    <cellStyle name="20% - Accent4 2 6 3" xfId="1643" xr:uid="{00000000-0005-0000-0000-0000E0180000}"/>
    <cellStyle name="20% - Accent4 2 6 3 2" xfId="12406" xr:uid="{00000000-0005-0000-0000-0000E1180000}"/>
    <cellStyle name="20% - Accent4 2 6 3 2 2" xfId="26118" xr:uid="{00000000-0005-0000-0000-0000E2180000}"/>
    <cellStyle name="20% - Accent4 2 6 3 3" xfId="18966" xr:uid="{00000000-0005-0000-0000-0000E3180000}"/>
    <cellStyle name="20% - Accent4 2 6 4" xfId="1644" xr:uid="{00000000-0005-0000-0000-0000E4180000}"/>
    <cellStyle name="20% - Accent4 2 6 4 2" xfId="14887" xr:uid="{00000000-0005-0000-0000-0000E5180000}"/>
    <cellStyle name="20% - Accent4 2 6 4 2 2" xfId="28436" xr:uid="{00000000-0005-0000-0000-0000E6180000}"/>
    <cellStyle name="20% - Accent4 2 6 4 3" xfId="18967" xr:uid="{00000000-0005-0000-0000-0000E7180000}"/>
    <cellStyle name="20% - Accent4 2 6 5" xfId="1645" xr:uid="{00000000-0005-0000-0000-0000E8180000}"/>
    <cellStyle name="20% - Accent4 2 6 5 2" xfId="17125" xr:uid="{00000000-0005-0000-0000-0000E9180000}"/>
    <cellStyle name="20% - Accent4 2 6 5 2 2" xfId="30484" xr:uid="{00000000-0005-0000-0000-0000EA180000}"/>
    <cellStyle name="20% - Accent4 2 6 5 3" xfId="18968" xr:uid="{00000000-0005-0000-0000-0000EB180000}"/>
    <cellStyle name="20% - Accent4 2 6 6" xfId="9058" xr:uid="{00000000-0005-0000-0000-0000EC180000}"/>
    <cellStyle name="20% - Accent4 2 6 6 2" xfId="23533" xr:uid="{00000000-0005-0000-0000-0000ED180000}"/>
    <cellStyle name="20% - Accent4 2 6 7" xfId="18964" xr:uid="{00000000-0005-0000-0000-0000EE180000}"/>
    <cellStyle name="20% - Accent4 2 7" xfId="1646" xr:uid="{00000000-0005-0000-0000-0000EF180000}"/>
    <cellStyle name="20% - Accent4 2 7 2" xfId="1647" xr:uid="{00000000-0005-0000-0000-0000F0180000}"/>
    <cellStyle name="20% - Accent4 2 7 2 2" xfId="10784" xr:uid="{00000000-0005-0000-0000-0000F1180000}"/>
    <cellStyle name="20% - Accent4 2 7 2 2 2" xfId="24726" xr:uid="{00000000-0005-0000-0000-0000F2180000}"/>
    <cellStyle name="20% - Accent4 2 7 2 3" xfId="18970" xr:uid="{00000000-0005-0000-0000-0000F3180000}"/>
    <cellStyle name="20% - Accent4 2 7 3" xfId="1648" xr:uid="{00000000-0005-0000-0000-0000F4180000}"/>
    <cellStyle name="20% - Accent4 2 7 3 2" xfId="12788" xr:uid="{00000000-0005-0000-0000-0000F5180000}"/>
    <cellStyle name="20% - Accent4 2 7 3 2 2" xfId="26500" xr:uid="{00000000-0005-0000-0000-0000F6180000}"/>
    <cellStyle name="20% - Accent4 2 7 3 3" xfId="18971" xr:uid="{00000000-0005-0000-0000-0000F7180000}"/>
    <cellStyle name="20% - Accent4 2 7 4" xfId="1649" xr:uid="{00000000-0005-0000-0000-0000F8180000}"/>
    <cellStyle name="20% - Accent4 2 7 4 2" xfId="14888" xr:uid="{00000000-0005-0000-0000-0000F9180000}"/>
    <cellStyle name="20% - Accent4 2 7 4 2 2" xfId="28437" xr:uid="{00000000-0005-0000-0000-0000FA180000}"/>
    <cellStyle name="20% - Accent4 2 7 4 3" xfId="18972" xr:uid="{00000000-0005-0000-0000-0000FB180000}"/>
    <cellStyle name="20% - Accent4 2 7 5" xfId="1650" xr:uid="{00000000-0005-0000-0000-0000FC180000}"/>
    <cellStyle name="20% - Accent4 2 7 5 2" xfId="17214" xr:uid="{00000000-0005-0000-0000-0000FD180000}"/>
    <cellStyle name="20% - Accent4 2 7 5 2 2" xfId="30573" xr:uid="{00000000-0005-0000-0000-0000FE180000}"/>
    <cellStyle name="20% - Accent4 2 7 5 3" xfId="18973" xr:uid="{00000000-0005-0000-0000-0000FF180000}"/>
    <cellStyle name="20% - Accent4 2 7 6" xfId="9059" xr:uid="{00000000-0005-0000-0000-000000190000}"/>
    <cellStyle name="20% - Accent4 2 7 6 2" xfId="23534" xr:uid="{00000000-0005-0000-0000-000001190000}"/>
    <cellStyle name="20% - Accent4 2 7 7" xfId="18969" xr:uid="{00000000-0005-0000-0000-000002190000}"/>
    <cellStyle name="20% - Accent4 2 8" xfId="1651" xr:uid="{00000000-0005-0000-0000-000003190000}"/>
    <cellStyle name="20% - Accent4 2 8 2" xfId="1652" xr:uid="{00000000-0005-0000-0000-000004190000}"/>
    <cellStyle name="20% - Accent4 2 8 2 2" xfId="12480" xr:uid="{00000000-0005-0000-0000-000005190000}"/>
    <cellStyle name="20% - Accent4 2 8 2 2 2" xfId="26192" xr:uid="{00000000-0005-0000-0000-000006190000}"/>
    <cellStyle name="20% - Accent4 2 8 2 3" xfId="18975" xr:uid="{00000000-0005-0000-0000-000007190000}"/>
    <cellStyle name="20% - Accent4 2 8 3" xfId="1653" xr:uid="{00000000-0005-0000-0000-000008190000}"/>
    <cellStyle name="20% - Accent4 2 8 3 2" xfId="14889" xr:uid="{00000000-0005-0000-0000-000009190000}"/>
    <cellStyle name="20% - Accent4 2 8 3 2 2" xfId="28438" xr:uid="{00000000-0005-0000-0000-00000A190000}"/>
    <cellStyle name="20% - Accent4 2 8 3 3" xfId="18976" xr:uid="{00000000-0005-0000-0000-00000B190000}"/>
    <cellStyle name="20% - Accent4 2 8 4" xfId="1654" xr:uid="{00000000-0005-0000-0000-00000C190000}"/>
    <cellStyle name="20% - Accent4 2 8 4 2" xfId="16489" xr:uid="{00000000-0005-0000-0000-00000D190000}"/>
    <cellStyle name="20% - Accent4 2 8 4 2 2" xfId="29896" xr:uid="{00000000-0005-0000-0000-00000E190000}"/>
    <cellStyle name="20% - Accent4 2 8 4 3" xfId="18977" xr:uid="{00000000-0005-0000-0000-00000F190000}"/>
    <cellStyle name="20% - Accent4 2 8 5" xfId="10531" xr:uid="{00000000-0005-0000-0000-000010190000}"/>
    <cellStyle name="20% - Accent4 2 8 5 2" xfId="24473" xr:uid="{00000000-0005-0000-0000-000011190000}"/>
    <cellStyle name="20% - Accent4 2 8 6" xfId="18974" xr:uid="{00000000-0005-0000-0000-000012190000}"/>
    <cellStyle name="20% - Accent4 2 9" xfId="1655" xr:uid="{00000000-0005-0000-0000-000013190000}"/>
    <cellStyle name="20% - Accent4 2 9 2" xfId="1656" xr:uid="{00000000-0005-0000-0000-000014190000}"/>
    <cellStyle name="20% - Accent4 2 9 2 2" xfId="12593" xr:uid="{00000000-0005-0000-0000-000015190000}"/>
    <cellStyle name="20% - Accent4 2 9 2 2 2" xfId="26305" xr:uid="{00000000-0005-0000-0000-000016190000}"/>
    <cellStyle name="20% - Accent4 2 9 2 3" xfId="18979" xr:uid="{00000000-0005-0000-0000-000017190000}"/>
    <cellStyle name="20% - Accent4 2 9 3" xfId="1657" xr:uid="{00000000-0005-0000-0000-000018190000}"/>
    <cellStyle name="20% - Accent4 2 9 3 2" xfId="14890" xr:uid="{00000000-0005-0000-0000-000019190000}"/>
    <cellStyle name="20% - Accent4 2 9 3 2 2" xfId="28439" xr:uid="{00000000-0005-0000-0000-00001A190000}"/>
    <cellStyle name="20% - Accent4 2 9 3 3" xfId="18980" xr:uid="{00000000-0005-0000-0000-00001B190000}"/>
    <cellStyle name="20% - Accent4 2 9 4" xfId="10766" xr:uid="{00000000-0005-0000-0000-00001C190000}"/>
    <cellStyle name="20% - Accent4 2 9 4 2" xfId="24708" xr:uid="{00000000-0005-0000-0000-00001D190000}"/>
    <cellStyle name="20% - Accent4 2 9 5" xfId="18978" xr:uid="{00000000-0005-0000-0000-00001E190000}"/>
    <cellStyle name="20% - Accent4 20" xfId="1658" xr:uid="{00000000-0005-0000-0000-00001F190000}"/>
    <cellStyle name="20% - Accent4 20 2" xfId="1659" xr:uid="{00000000-0005-0000-0000-000020190000}"/>
    <cellStyle name="20% - Accent4 20 2 2" xfId="12683" xr:uid="{00000000-0005-0000-0000-000021190000}"/>
    <cellStyle name="20% - Accent4 20 2 2 2" xfId="26395" xr:uid="{00000000-0005-0000-0000-000022190000}"/>
    <cellStyle name="20% - Accent4 20 2 3" xfId="18982" xr:uid="{00000000-0005-0000-0000-000023190000}"/>
    <cellStyle name="20% - Accent4 20 3" xfId="1660" xr:uid="{00000000-0005-0000-0000-000024190000}"/>
    <cellStyle name="20% - Accent4 20 3 2" xfId="14891" xr:uid="{00000000-0005-0000-0000-000025190000}"/>
    <cellStyle name="20% - Accent4 20 3 2 2" xfId="28440" xr:uid="{00000000-0005-0000-0000-000026190000}"/>
    <cellStyle name="20% - Accent4 20 3 3" xfId="18983" xr:uid="{00000000-0005-0000-0000-000027190000}"/>
    <cellStyle name="20% - Accent4 20 4" xfId="10506" xr:uid="{00000000-0005-0000-0000-000028190000}"/>
    <cellStyle name="20% - Accent4 20 4 2" xfId="24454" xr:uid="{00000000-0005-0000-0000-000029190000}"/>
    <cellStyle name="20% - Accent4 20 5" xfId="18981" xr:uid="{00000000-0005-0000-0000-00002A190000}"/>
    <cellStyle name="20% - Accent4 21" xfId="1661" xr:uid="{00000000-0005-0000-0000-00002B190000}"/>
    <cellStyle name="20% - Accent4 21 2" xfId="1662" xr:uid="{00000000-0005-0000-0000-00002C190000}"/>
    <cellStyle name="20% - Accent4 21 2 2" xfId="12601" xr:uid="{00000000-0005-0000-0000-00002D190000}"/>
    <cellStyle name="20% - Accent4 21 2 2 2" xfId="26313" xr:uid="{00000000-0005-0000-0000-00002E190000}"/>
    <cellStyle name="20% - Accent4 21 2 3" xfId="18985" xr:uid="{00000000-0005-0000-0000-00002F190000}"/>
    <cellStyle name="20% - Accent4 21 3" xfId="1663" xr:uid="{00000000-0005-0000-0000-000030190000}"/>
    <cellStyle name="20% - Accent4 21 3 2" xfId="14892" xr:uid="{00000000-0005-0000-0000-000031190000}"/>
    <cellStyle name="20% - Accent4 21 3 2 2" xfId="28441" xr:uid="{00000000-0005-0000-0000-000032190000}"/>
    <cellStyle name="20% - Accent4 21 3 3" xfId="18986" xr:uid="{00000000-0005-0000-0000-000033190000}"/>
    <cellStyle name="20% - Accent4 21 4" xfId="10755" xr:uid="{00000000-0005-0000-0000-000034190000}"/>
    <cellStyle name="20% - Accent4 21 4 2" xfId="24697" xr:uid="{00000000-0005-0000-0000-000035190000}"/>
    <cellStyle name="20% - Accent4 21 5" xfId="18984" xr:uid="{00000000-0005-0000-0000-000036190000}"/>
    <cellStyle name="20% - Accent4 22" xfId="1664" xr:uid="{00000000-0005-0000-0000-000037190000}"/>
    <cellStyle name="20% - Accent4 22 2" xfId="11742" xr:uid="{00000000-0005-0000-0000-000038190000}"/>
    <cellStyle name="20% - Accent4 22 2 2" xfId="25457" xr:uid="{00000000-0005-0000-0000-000039190000}"/>
    <cellStyle name="20% - Accent4 22 3" xfId="18987" xr:uid="{00000000-0005-0000-0000-00003A190000}"/>
    <cellStyle name="20% - Accent4 23" xfId="1665" xr:uid="{00000000-0005-0000-0000-00003B190000}"/>
    <cellStyle name="20% - Accent4 23 2" xfId="12447" xr:uid="{00000000-0005-0000-0000-00003C190000}"/>
    <cellStyle name="20% - Accent4 23 2 2" xfId="26159" xr:uid="{00000000-0005-0000-0000-00003D190000}"/>
    <cellStyle name="20% - Accent4 23 3" xfId="18988" xr:uid="{00000000-0005-0000-0000-00003E190000}"/>
    <cellStyle name="20% - Accent4 24" xfId="1666" xr:uid="{00000000-0005-0000-0000-00003F190000}"/>
    <cellStyle name="20% - Accent4 24 2" xfId="13381" xr:uid="{00000000-0005-0000-0000-000040190000}"/>
    <cellStyle name="20% - Accent4 24 2 2" xfId="26930" xr:uid="{00000000-0005-0000-0000-000041190000}"/>
    <cellStyle name="20% - Accent4 24 3" xfId="18989" xr:uid="{00000000-0005-0000-0000-000042190000}"/>
    <cellStyle name="20% - Accent4 25" xfId="1667" xr:uid="{00000000-0005-0000-0000-000043190000}"/>
    <cellStyle name="20% - Accent4 25 2" xfId="13962" xr:uid="{00000000-0005-0000-0000-000044190000}"/>
    <cellStyle name="20% - Accent4 25 2 2" xfId="27511" xr:uid="{00000000-0005-0000-0000-000045190000}"/>
    <cellStyle name="20% - Accent4 25 3" xfId="18990" xr:uid="{00000000-0005-0000-0000-000046190000}"/>
    <cellStyle name="20% - Accent4 26" xfId="1668" xr:uid="{00000000-0005-0000-0000-000047190000}"/>
    <cellStyle name="20% - Accent4 26 2" xfId="14849" xr:uid="{00000000-0005-0000-0000-000048190000}"/>
    <cellStyle name="20% - Accent4 26 2 2" xfId="28398" xr:uid="{00000000-0005-0000-0000-000049190000}"/>
    <cellStyle name="20% - Accent4 26 3" xfId="18991" xr:uid="{00000000-0005-0000-0000-00004A190000}"/>
    <cellStyle name="20% - Accent4 27" xfId="1669" xr:uid="{00000000-0005-0000-0000-00004B190000}"/>
    <cellStyle name="20% - Accent4 27 2" xfId="15837" xr:uid="{00000000-0005-0000-0000-00004C190000}"/>
    <cellStyle name="20% - Accent4 27 2 2" xfId="29244" xr:uid="{00000000-0005-0000-0000-00004D190000}"/>
    <cellStyle name="20% - Accent4 27 3" xfId="18992" xr:uid="{00000000-0005-0000-0000-00004E190000}"/>
    <cellStyle name="20% - Accent4 28" xfId="1670" xr:uid="{00000000-0005-0000-0000-00004F190000}"/>
    <cellStyle name="20% - Accent4 28 2" xfId="15848" xr:uid="{00000000-0005-0000-0000-000050190000}"/>
    <cellStyle name="20% - Accent4 28 2 2" xfId="29255" xr:uid="{00000000-0005-0000-0000-000051190000}"/>
    <cellStyle name="20% - Accent4 28 3" xfId="18993" xr:uid="{00000000-0005-0000-0000-000052190000}"/>
    <cellStyle name="20% - Accent4 29" xfId="1671" xr:uid="{00000000-0005-0000-0000-000053190000}"/>
    <cellStyle name="20% - Accent4 29 2" xfId="9030" xr:uid="{00000000-0005-0000-0000-000054190000}"/>
    <cellStyle name="20% - Accent4 29 2 2" xfId="23505" xr:uid="{00000000-0005-0000-0000-000055190000}"/>
    <cellStyle name="20% - Accent4 29 3" xfId="18994" xr:uid="{00000000-0005-0000-0000-000056190000}"/>
    <cellStyle name="20% - Accent4 3" xfId="1672" xr:uid="{00000000-0005-0000-0000-000057190000}"/>
    <cellStyle name="20% - Accent4 3 10" xfId="1673" xr:uid="{00000000-0005-0000-0000-000058190000}"/>
    <cellStyle name="20% - Accent4 3 10 2" xfId="14045" xr:uid="{00000000-0005-0000-0000-000059190000}"/>
    <cellStyle name="20% - Accent4 3 10 2 2" xfId="27594" xr:uid="{00000000-0005-0000-0000-00005A190000}"/>
    <cellStyle name="20% - Accent4 3 10 3" xfId="18996" xr:uid="{00000000-0005-0000-0000-00005B190000}"/>
    <cellStyle name="20% - Accent4 3 11" xfId="1674" xr:uid="{00000000-0005-0000-0000-00005C190000}"/>
    <cellStyle name="20% - Accent4 3 11 2" xfId="14893" xr:uid="{00000000-0005-0000-0000-00005D190000}"/>
    <cellStyle name="20% - Accent4 3 11 2 2" xfId="28442" xr:uid="{00000000-0005-0000-0000-00005E190000}"/>
    <cellStyle name="20% - Accent4 3 11 3" xfId="18997" xr:uid="{00000000-0005-0000-0000-00005F190000}"/>
    <cellStyle name="20% - Accent4 3 12" xfId="1675" xr:uid="{00000000-0005-0000-0000-000060190000}"/>
    <cellStyle name="20% - Accent4 3 12 2" xfId="15931" xr:uid="{00000000-0005-0000-0000-000061190000}"/>
    <cellStyle name="20% - Accent4 3 12 2 2" xfId="29338" xr:uid="{00000000-0005-0000-0000-000062190000}"/>
    <cellStyle name="20% - Accent4 3 12 3" xfId="18998" xr:uid="{00000000-0005-0000-0000-000063190000}"/>
    <cellStyle name="20% - Accent4 3 13" xfId="9060" xr:uid="{00000000-0005-0000-0000-000064190000}"/>
    <cellStyle name="20% - Accent4 3 13 2" xfId="23535" xr:uid="{00000000-0005-0000-0000-000065190000}"/>
    <cellStyle name="20% - Accent4 3 14" xfId="18995" xr:uid="{00000000-0005-0000-0000-000066190000}"/>
    <cellStyle name="20% - Accent4 3 2" xfId="1676" xr:uid="{00000000-0005-0000-0000-000067190000}"/>
    <cellStyle name="20% - Accent4 3 2 10" xfId="1677" xr:uid="{00000000-0005-0000-0000-000068190000}"/>
    <cellStyle name="20% - Accent4 3 2 10 2" xfId="16074" xr:uid="{00000000-0005-0000-0000-000069190000}"/>
    <cellStyle name="20% - Accent4 3 2 10 2 2" xfId="29481" xr:uid="{00000000-0005-0000-0000-00006A190000}"/>
    <cellStyle name="20% - Accent4 3 2 10 3" xfId="19000" xr:uid="{00000000-0005-0000-0000-00006B190000}"/>
    <cellStyle name="20% - Accent4 3 2 11" xfId="9061" xr:uid="{00000000-0005-0000-0000-00006C190000}"/>
    <cellStyle name="20% - Accent4 3 2 11 2" xfId="23536" xr:uid="{00000000-0005-0000-0000-00006D190000}"/>
    <cellStyle name="20% - Accent4 3 2 12" xfId="18999" xr:uid="{00000000-0005-0000-0000-00006E190000}"/>
    <cellStyle name="20% - Accent4 3 2 2" xfId="1678" xr:uid="{00000000-0005-0000-0000-00006F190000}"/>
    <cellStyle name="20% - Accent4 3 2 2 10" xfId="9062" xr:uid="{00000000-0005-0000-0000-000070190000}"/>
    <cellStyle name="20% - Accent4 3 2 2 10 2" xfId="23537" xr:uid="{00000000-0005-0000-0000-000071190000}"/>
    <cellStyle name="20% - Accent4 3 2 2 11" xfId="19001" xr:uid="{00000000-0005-0000-0000-000072190000}"/>
    <cellStyle name="20% - Accent4 3 2 2 2" xfId="1679" xr:uid="{00000000-0005-0000-0000-000073190000}"/>
    <cellStyle name="20% - Accent4 3 2 2 2 2" xfId="1680" xr:uid="{00000000-0005-0000-0000-000074190000}"/>
    <cellStyle name="20% - Accent4 3 2 2 2 2 2" xfId="10788" xr:uid="{00000000-0005-0000-0000-000075190000}"/>
    <cellStyle name="20% - Accent4 3 2 2 2 2 2 2" xfId="24730" xr:uid="{00000000-0005-0000-0000-000076190000}"/>
    <cellStyle name="20% - Accent4 3 2 2 2 2 3" xfId="19003" xr:uid="{00000000-0005-0000-0000-000077190000}"/>
    <cellStyle name="20% - Accent4 3 2 2 2 3" xfId="1681" xr:uid="{00000000-0005-0000-0000-000078190000}"/>
    <cellStyle name="20% - Accent4 3 2 2 2 3 2" xfId="12771" xr:uid="{00000000-0005-0000-0000-000079190000}"/>
    <cellStyle name="20% - Accent4 3 2 2 2 3 2 2" xfId="26483" xr:uid="{00000000-0005-0000-0000-00007A190000}"/>
    <cellStyle name="20% - Accent4 3 2 2 2 3 3" xfId="19004" xr:uid="{00000000-0005-0000-0000-00007B190000}"/>
    <cellStyle name="20% - Accent4 3 2 2 2 4" xfId="1682" xr:uid="{00000000-0005-0000-0000-00007C190000}"/>
    <cellStyle name="20% - Accent4 3 2 2 2 4 2" xfId="14896" xr:uid="{00000000-0005-0000-0000-00007D190000}"/>
    <cellStyle name="20% - Accent4 3 2 2 2 4 2 2" xfId="28445" xr:uid="{00000000-0005-0000-0000-00007E190000}"/>
    <cellStyle name="20% - Accent4 3 2 2 2 4 3" xfId="19005" xr:uid="{00000000-0005-0000-0000-00007F190000}"/>
    <cellStyle name="20% - Accent4 3 2 2 2 5" xfId="1683" xr:uid="{00000000-0005-0000-0000-000080190000}"/>
    <cellStyle name="20% - Accent4 3 2 2 2 5 2" xfId="16944" xr:uid="{00000000-0005-0000-0000-000081190000}"/>
    <cellStyle name="20% - Accent4 3 2 2 2 5 2 2" xfId="30351" xr:uid="{00000000-0005-0000-0000-000082190000}"/>
    <cellStyle name="20% - Accent4 3 2 2 2 5 3" xfId="19006" xr:uid="{00000000-0005-0000-0000-000083190000}"/>
    <cellStyle name="20% - Accent4 3 2 2 2 6" xfId="9063" xr:uid="{00000000-0005-0000-0000-000084190000}"/>
    <cellStyle name="20% - Accent4 3 2 2 2 6 2" xfId="23538" xr:uid="{00000000-0005-0000-0000-000085190000}"/>
    <cellStyle name="20% - Accent4 3 2 2 2 7" xfId="19002" xr:uid="{00000000-0005-0000-0000-000086190000}"/>
    <cellStyle name="20% - Accent4 3 2 2 3" xfId="1684" xr:uid="{00000000-0005-0000-0000-000087190000}"/>
    <cellStyle name="20% - Accent4 3 2 2 3 2" xfId="1685" xr:uid="{00000000-0005-0000-0000-000088190000}"/>
    <cellStyle name="20% - Accent4 3 2 2 3 2 2" xfId="14897" xr:uid="{00000000-0005-0000-0000-000089190000}"/>
    <cellStyle name="20% - Accent4 3 2 2 3 2 2 2" xfId="28446" xr:uid="{00000000-0005-0000-0000-00008A190000}"/>
    <cellStyle name="20% - Accent4 3 2 2 3 2 3" xfId="19008" xr:uid="{00000000-0005-0000-0000-00008B190000}"/>
    <cellStyle name="20% - Accent4 3 2 2 3 3" xfId="10787" xr:uid="{00000000-0005-0000-0000-00008C190000}"/>
    <cellStyle name="20% - Accent4 3 2 2 3 3 2" xfId="24729" xr:uid="{00000000-0005-0000-0000-00008D190000}"/>
    <cellStyle name="20% - Accent4 3 2 2 3 4" xfId="19007" xr:uid="{00000000-0005-0000-0000-00008E190000}"/>
    <cellStyle name="20% - Accent4 3 2 2 4" xfId="1686" xr:uid="{00000000-0005-0000-0000-00008F190000}"/>
    <cellStyle name="20% - Accent4 3 2 2 4 2" xfId="12332" xr:uid="{00000000-0005-0000-0000-000090190000}"/>
    <cellStyle name="20% - Accent4 3 2 2 4 2 2" xfId="26044" xr:uid="{00000000-0005-0000-0000-000091190000}"/>
    <cellStyle name="20% - Accent4 3 2 2 4 3" xfId="19009" xr:uid="{00000000-0005-0000-0000-000092190000}"/>
    <cellStyle name="20% - Accent4 3 2 2 5" xfId="1687" xr:uid="{00000000-0005-0000-0000-000093190000}"/>
    <cellStyle name="20% - Accent4 3 2 2 5 2" xfId="12595" xr:uid="{00000000-0005-0000-0000-000094190000}"/>
    <cellStyle name="20% - Accent4 3 2 2 5 2 2" xfId="26307" xr:uid="{00000000-0005-0000-0000-000095190000}"/>
    <cellStyle name="20% - Accent4 3 2 2 5 3" xfId="19010" xr:uid="{00000000-0005-0000-0000-000096190000}"/>
    <cellStyle name="20% - Accent4 3 2 2 6" xfId="1688" xr:uid="{00000000-0005-0000-0000-000097190000}"/>
    <cellStyle name="20% - Accent4 3 2 2 6 2" xfId="13896" xr:uid="{00000000-0005-0000-0000-000098190000}"/>
    <cellStyle name="20% - Accent4 3 2 2 6 2 2" xfId="27445" xr:uid="{00000000-0005-0000-0000-000099190000}"/>
    <cellStyle name="20% - Accent4 3 2 2 6 3" xfId="19011" xr:uid="{00000000-0005-0000-0000-00009A190000}"/>
    <cellStyle name="20% - Accent4 3 2 2 7" xfId="1689" xr:uid="{00000000-0005-0000-0000-00009B190000}"/>
    <cellStyle name="20% - Accent4 3 2 2 7 2" xfId="14477" xr:uid="{00000000-0005-0000-0000-00009C190000}"/>
    <cellStyle name="20% - Accent4 3 2 2 7 2 2" xfId="28026" xr:uid="{00000000-0005-0000-0000-00009D190000}"/>
    <cellStyle name="20% - Accent4 3 2 2 7 3" xfId="19012" xr:uid="{00000000-0005-0000-0000-00009E190000}"/>
    <cellStyle name="20% - Accent4 3 2 2 8" xfId="1690" xr:uid="{00000000-0005-0000-0000-00009F190000}"/>
    <cellStyle name="20% - Accent4 3 2 2 8 2" xfId="14895" xr:uid="{00000000-0005-0000-0000-0000A0190000}"/>
    <cellStyle name="20% - Accent4 3 2 2 8 2 2" xfId="28444" xr:uid="{00000000-0005-0000-0000-0000A1190000}"/>
    <cellStyle name="20% - Accent4 3 2 2 8 3" xfId="19013" xr:uid="{00000000-0005-0000-0000-0000A2190000}"/>
    <cellStyle name="20% - Accent4 3 2 2 9" xfId="1691" xr:uid="{00000000-0005-0000-0000-0000A3190000}"/>
    <cellStyle name="20% - Accent4 3 2 2 9 2" xfId="16363" xr:uid="{00000000-0005-0000-0000-0000A4190000}"/>
    <cellStyle name="20% - Accent4 3 2 2 9 2 2" xfId="29770" xr:uid="{00000000-0005-0000-0000-0000A5190000}"/>
    <cellStyle name="20% - Accent4 3 2 2 9 3" xfId="19014" xr:uid="{00000000-0005-0000-0000-0000A6190000}"/>
    <cellStyle name="20% - Accent4 3 2 3" xfId="1692" xr:uid="{00000000-0005-0000-0000-0000A7190000}"/>
    <cellStyle name="20% - Accent4 3 2 3 2" xfId="1693" xr:uid="{00000000-0005-0000-0000-0000A8190000}"/>
    <cellStyle name="20% - Accent4 3 2 3 2 2" xfId="10789" xr:uid="{00000000-0005-0000-0000-0000A9190000}"/>
    <cellStyle name="20% - Accent4 3 2 3 2 2 2" xfId="24731" xr:uid="{00000000-0005-0000-0000-0000AA190000}"/>
    <cellStyle name="20% - Accent4 3 2 3 2 3" xfId="19016" xr:uid="{00000000-0005-0000-0000-0000AB190000}"/>
    <cellStyle name="20% - Accent4 3 2 3 3" xfId="1694" xr:uid="{00000000-0005-0000-0000-0000AC190000}"/>
    <cellStyle name="20% - Accent4 3 2 3 3 2" xfId="11868" xr:uid="{00000000-0005-0000-0000-0000AD190000}"/>
    <cellStyle name="20% - Accent4 3 2 3 3 2 2" xfId="25583" xr:uid="{00000000-0005-0000-0000-0000AE190000}"/>
    <cellStyle name="20% - Accent4 3 2 3 3 3" xfId="19017" xr:uid="{00000000-0005-0000-0000-0000AF190000}"/>
    <cellStyle name="20% - Accent4 3 2 3 4" xfId="1695" xr:uid="{00000000-0005-0000-0000-0000B0190000}"/>
    <cellStyle name="20% - Accent4 3 2 3 4 2" xfId="14898" xr:uid="{00000000-0005-0000-0000-0000B1190000}"/>
    <cellStyle name="20% - Accent4 3 2 3 4 2 2" xfId="28447" xr:uid="{00000000-0005-0000-0000-0000B2190000}"/>
    <cellStyle name="20% - Accent4 3 2 3 4 3" xfId="19018" xr:uid="{00000000-0005-0000-0000-0000B3190000}"/>
    <cellStyle name="20% - Accent4 3 2 3 5" xfId="1696" xr:uid="{00000000-0005-0000-0000-0000B4190000}"/>
    <cellStyle name="20% - Accent4 3 2 3 5 2" xfId="16655" xr:uid="{00000000-0005-0000-0000-0000B5190000}"/>
    <cellStyle name="20% - Accent4 3 2 3 5 2 2" xfId="30062" xr:uid="{00000000-0005-0000-0000-0000B6190000}"/>
    <cellStyle name="20% - Accent4 3 2 3 5 3" xfId="19019" xr:uid="{00000000-0005-0000-0000-0000B7190000}"/>
    <cellStyle name="20% - Accent4 3 2 3 6" xfId="9064" xr:uid="{00000000-0005-0000-0000-0000B8190000}"/>
    <cellStyle name="20% - Accent4 3 2 3 6 2" xfId="23539" xr:uid="{00000000-0005-0000-0000-0000B9190000}"/>
    <cellStyle name="20% - Accent4 3 2 3 7" xfId="19015" xr:uid="{00000000-0005-0000-0000-0000BA190000}"/>
    <cellStyle name="20% - Accent4 3 2 4" xfId="1697" xr:uid="{00000000-0005-0000-0000-0000BB190000}"/>
    <cellStyle name="20% - Accent4 3 2 4 2" xfId="1698" xr:uid="{00000000-0005-0000-0000-0000BC190000}"/>
    <cellStyle name="20% - Accent4 3 2 4 2 2" xfId="14899" xr:uid="{00000000-0005-0000-0000-0000BD190000}"/>
    <cellStyle name="20% - Accent4 3 2 4 2 2 2" xfId="28448" xr:uid="{00000000-0005-0000-0000-0000BE190000}"/>
    <cellStyle name="20% - Accent4 3 2 4 2 3" xfId="19021" xr:uid="{00000000-0005-0000-0000-0000BF190000}"/>
    <cellStyle name="20% - Accent4 3 2 4 3" xfId="10786" xr:uid="{00000000-0005-0000-0000-0000C0190000}"/>
    <cellStyle name="20% - Accent4 3 2 4 3 2" xfId="24728" xr:uid="{00000000-0005-0000-0000-0000C1190000}"/>
    <cellStyle name="20% - Accent4 3 2 4 4" xfId="19020" xr:uid="{00000000-0005-0000-0000-0000C2190000}"/>
    <cellStyle name="20% - Accent4 3 2 5" xfId="1699" xr:uid="{00000000-0005-0000-0000-0000C3190000}"/>
    <cellStyle name="20% - Accent4 3 2 5 2" xfId="12032" xr:uid="{00000000-0005-0000-0000-0000C4190000}"/>
    <cellStyle name="20% - Accent4 3 2 5 2 2" xfId="25747" xr:uid="{00000000-0005-0000-0000-0000C5190000}"/>
    <cellStyle name="20% - Accent4 3 2 5 3" xfId="19022" xr:uid="{00000000-0005-0000-0000-0000C6190000}"/>
    <cellStyle name="20% - Accent4 3 2 6" xfId="1700" xr:uid="{00000000-0005-0000-0000-0000C7190000}"/>
    <cellStyle name="20% - Accent4 3 2 6 2" xfId="12528" xr:uid="{00000000-0005-0000-0000-0000C8190000}"/>
    <cellStyle name="20% - Accent4 3 2 6 2 2" xfId="26240" xr:uid="{00000000-0005-0000-0000-0000C9190000}"/>
    <cellStyle name="20% - Accent4 3 2 6 3" xfId="19023" xr:uid="{00000000-0005-0000-0000-0000CA190000}"/>
    <cellStyle name="20% - Accent4 3 2 7" xfId="1701" xr:uid="{00000000-0005-0000-0000-0000CB190000}"/>
    <cellStyle name="20% - Accent4 3 2 7 2" xfId="13607" xr:uid="{00000000-0005-0000-0000-0000CC190000}"/>
    <cellStyle name="20% - Accent4 3 2 7 2 2" xfId="27156" xr:uid="{00000000-0005-0000-0000-0000CD190000}"/>
    <cellStyle name="20% - Accent4 3 2 7 3" xfId="19024" xr:uid="{00000000-0005-0000-0000-0000CE190000}"/>
    <cellStyle name="20% - Accent4 3 2 8" xfId="1702" xr:uid="{00000000-0005-0000-0000-0000CF190000}"/>
    <cellStyle name="20% - Accent4 3 2 8 2" xfId="14188" xr:uid="{00000000-0005-0000-0000-0000D0190000}"/>
    <cellStyle name="20% - Accent4 3 2 8 2 2" xfId="27737" xr:uid="{00000000-0005-0000-0000-0000D1190000}"/>
    <cellStyle name="20% - Accent4 3 2 8 3" xfId="19025" xr:uid="{00000000-0005-0000-0000-0000D2190000}"/>
    <cellStyle name="20% - Accent4 3 2 9" xfId="1703" xr:uid="{00000000-0005-0000-0000-0000D3190000}"/>
    <cellStyle name="20% - Accent4 3 2 9 2" xfId="14894" xr:uid="{00000000-0005-0000-0000-0000D4190000}"/>
    <cellStyle name="20% - Accent4 3 2 9 2 2" xfId="28443" xr:uid="{00000000-0005-0000-0000-0000D5190000}"/>
    <cellStyle name="20% - Accent4 3 2 9 3" xfId="19026" xr:uid="{00000000-0005-0000-0000-0000D6190000}"/>
    <cellStyle name="20% - Accent4 3 3" xfId="1704" xr:uid="{00000000-0005-0000-0000-0000D7190000}"/>
    <cellStyle name="20% - Accent4 3 3 10" xfId="9065" xr:uid="{00000000-0005-0000-0000-0000D8190000}"/>
    <cellStyle name="20% - Accent4 3 3 10 2" xfId="23540" xr:uid="{00000000-0005-0000-0000-0000D9190000}"/>
    <cellStyle name="20% - Accent4 3 3 11" xfId="19027" xr:uid="{00000000-0005-0000-0000-0000DA190000}"/>
    <cellStyle name="20% - Accent4 3 3 2" xfId="1705" xr:uid="{00000000-0005-0000-0000-0000DB190000}"/>
    <cellStyle name="20% - Accent4 3 3 2 2" xfId="1706" xr:uid="{00000000-0005-0000-0000-0000DC190000}"/>
    <cellStyle name="20% - Accent4 3 3 2 2 2" xfId="10791" xr:uid="{00000000-0005-0000-0000-0000DD190000}"/>
    <cellStyle name="20% - Accent4 3 3 2 2 2 2" xfId="24733" xr:uid="{00000000-0005-0000-0000-0000DE190000}"/>
    <cellStyle name="20% - Accent4 3 3 2 2 3" xfId="19029" xr:uid="{00000000-0005-0000-0000-0000DF190000}"/>
    <cellStyle name="20% - Accent4 3 3 2 3" xfId="1707" xr:uid="{00000000-0005-0000-0000-0000E0190000}"/>
    <cellStyle name="20% - Accent4 3 3 2 3 2" xfId="12516" xr:uid="{00000000-0005-0000-0000-0000E1190000}"/>
    <cellStyle name="20% - Accent4 3 3 2 3 2 2" xfId="26228" xr:uid="{00000000-0005-0000-0000-0000E2190000}"/>
    <cellStyle name="20% - Accent4 3 3 2 3 3" xfId="19030" xr:uid="{00000000-0005-0000-0000-0000E3190000}"/>
    <cellStyle name="20% - Accent4 3 3 2 4" xfId="1708" xr:uid="{00000000-0005-0000-0000-0000E4190000}"/>
    <cellStyle name="20% - Accent4 3 3 2 4 2" xfId="14901" xr:uid="{00000000-0005-0000-0000-0000E5190000}"/>
    <cellStyle name="20% - Accent4 3 3 2 4 2 2" xfId="28450" xr:uid="{00000000-0005-0000-0000-0000E6190000}"/>
    <cellStyle name="20% - Accent4 3 3 2 4 3" xfId="19031" xr:uid="{00000000-0005-0000-0000-0000E7190000}"/>
    <cellStyle name="20% - Accent4 3 3 2 5" xfId="1709" xr:uid="{00000000-0005-0000-0000-0000E8190000}"/>
    <cellStyle name="20% - Accent4 3 3 2 5 2" xfId="16801" xr:uid="{00000000-0005-0000-0000-0000E9190000}"/>
    <cellStyle name="20% - Accent4 3 3 2 5 2 2" xfId="30208" xr:uid="{00000000-0005-0000-0000-0000EA190000}"/>
    <cellStyle name="20% - Accent4 3 3 2 5 3" xfId="19032" xr:uid="{00000000-0005-0000-0000-0000EB190000}"/>
    <cellStyle name="20% - Accent4 3 3 2 6" xfId="9066" xr:uid="{00000000-0005-0000-0000-0000EC190000}"/>
    <cellStyle name="20% - Accent4 3 3 2 6 2" xfId="23541" xr:uid="{00000000-0005-0000-0000-0000ED190000}"/>
    <cellStyle name="20% - Accent4 3 3 2 7" xfId="19028" xr:uid="{00000000-0005-0000-0000-0000EE190000}"/>
    <cellStyle name="20% - Accent4 3 3 3" xfId="1710" xr:uid="{00000000-0005-0000-0000-0000EF190000}"/>
    <cellStyle name="20% - Accent4 3 3 3 2" xfId="1711" xr:uid="{00000000-0005-0000-0000-0000F0190000}"/>
    <cellStyle name="20% - Accent4 3 3 3 2 2" xfId="14902" xr:uid="{00000000-0005-0000-0000-0000F1190000}"/>
    <cellStyle name="20% - Accent4 3 3 3 2 2 2" xfId="28451" xr:uid="{00000000-0005-0000-0000-0000F2190000}"/>
    <cellStyle name="20% - Accent4 3 3 3 2 3" xfId="19034" xr:uid="{00000000-0005-0000-0000-0000F3190000}"/>
    <cellStyle name="20% - Accent4 3 3 3 3" xfId="10790" xr:uid="{00000000-0005-0000-0000-0000F4190000}"/>
    <cellStyle name="20% - Accent4 3 3 3 3 2" xfId="24732" xr:uid="{00000000-0005-0000-0000-0000F5190000}"/>
    <cellStyle name="20% - Accent4 3 3 3 4" xfId="19033" xr:uid="{00000000-0005-0000-0000-0000F6190000}"/>
    <cellStyle name="20% - Accent4 3 3 4" xfId="1712" xr:uid="{00000000-0005-0000-0000-0000F7190000}"/>
    <cellStyle name="20% - Accent4 3 3 4 2" xfId="12189" xr:uid="{00000000-0005-0000-0000-0000F8190000}"/>
    <cellStyle name="20% - Accent4 3 3 4 2 2" xfId="25901" xr:uid="{00000000-0005-0000-0000-0000F9190000}"/>
    <cellStyle name="20% - Accent4 3 3 4 3" xfId="19035" xr:uid="{00000000-0005-0000-0000-0000FA190000}"/>
    <cellStyle name="20% - Accent4 3 3 5" xfId="1713" xr:uid="{00000000-0005-0000-0000-0000FB190000}"/>
    <cellStyle name="20% - Accent4 3 3 5 2" xfId="12545" xr:uid="{00000000-0005-0000-0000-0000FC190000}"/>
    <cellStyle name="20% - Accent4 3 3 5 2 2" xfId="26257" xr:uid="{00000000-0005-0000-0000-0000FD190000}"/>
    <cellStyle name="20% - Accent4 3 3 5 3" xfId="19036" xr:uid="{00000000-0005-0000-0000-0000FE190000}"/>
    <cellStyle name="20% - Accent4 3 3 6" xfId="1714" xr:uid="{00000000-0005-0000-0000-0000FF190000}"/>
    <cellStyle name="20% - Accent4 3 3 6 2" xfId="13753" xr:uid="{00000000-0005-0000-0000-0000001A0000}"/>
    <cellStyle name="20% - Accent4 3 3 6 2 2" xfId="27302" xr:uid="{00000000-0005-0000-0000-0000011A0000}"/>
    <cellStyle name="20% - Accent4 3 3 6 3" xfId="19037" xr:uid="{00000000-0005-0000-0000-0000021A0000}"/>
    <cellStyle name="20% - Accent4 3 3 7" xfId="1715" xr:uid="{00000000-0005-0000-0000-0000031A0000}"/>
    <cellStyle name="20% - Accent4 3 3 7 2" xfId="14334" xr:uid="{00000000-0005-0000-0000-0000041A0000}"/>
    <cellStyle name="20% - Accent4 3 3 7 2 2" xfId="27883" xr:uid="{00000000-0005-0000-0000-0000051A0000}"/>
    <cellStyle name="20% - Accent4 3 3 7 3" xfId="19038" xr:uid="{00000000-0005-0000-0000-0000061A0000}"/>
    <cellStyle name="20% - Accent4 3 3 8" xfId="1716" xr:uid="{00000000-0005-0000-0000-0000071A0000}"/>
    <cellStyle name="20% - Accent4 3 3 8 2" xfId="14900" xr:uid="{00000000-0005-0000-0000-0000081A0000}"/>
    <cellStyle name="20% - Accent4 3 3 8 2 2" xfId="28449" xr:uid="{00000000-0005-0000-0000-0000091A0000}"/>
    <cellStyle name="20% - Accent4 3 3 8 3" xfId="19039" xr:uid="{00000000-0005-0000-0000-00000A1A0000}"/>
    <cellStyle name="20% - Accent4 3 3 9" xfId="1717" xr:uid="{00000000-0005-0000-0000-00000B1A0000}"/>
    <cellStyle name="20% - Accent4 3 3 9 2" xfId="16220" xr:uid="{00000000-0005-0000-0000-00000C1A0000}"/>
    <cellStyle name="20% - Accent4 3 3 9 2 2" xfId="29627" xr:uid="{00000000-0005-0000-0000-00000D1A0000}"/>
    <cellStyle name="20% - Accent4 3 3 9 3" xfId="19040" xr:uid="{00000000-0005-0000-0000-00000E1A0000}"/>
    <cellStyle name="20% - Accent4 3 4" xfId="1718" xr:uid="{00000000-0005-0000-0000-00000F1A0000}"/>
    <cellStyle name="20% - Accent4 3 4 2" xfId="1719" xr:uid="{00000000-0005-0000-0000-0000101A0000}"/>
    <cellStyle name="20% - Accent4 3 4 2 2" xfId="10792" xr:uid="{00000000-0005-0000-0000-0000111A0000}"/>
    <cellStyle name="20% - Accent4 3 4 2 2 2" xfId="24734" xr:uid="{00000000-0005-0000-0000-0000121A0000}"/>
    <cellStyle name="20% - Accent4 3 4 2 3" xfId="19042" xr:uid="{00000000-0005-0000-0000-0000131A0000}"/>
    <cellStyle name="20% - Accent4 3 4 3" xfId="1720" xr:uid="{00000000-0005-0000-0000-0000141A0000}"/>
    <cellStyle name="20% - Accent4 3 4 3 2" xfId="12590" xr:uid="{00000000-0005-0000-0000-0000151A0000}"/>
    <cellStyle name="20% - Accent4 3 4 3 2 2" xfId="26302" xr:uid="{00000000-0005-0000-0000-0000161A0000}"/>
    <cellStyle name="20% - Accent4 3 4 3 3" xfId="19043" xr:uid="{00000000-0005-0000-0000-0000171A0000}"/>
    <cellStyle name="20% - Accent4 3 4 4" xfId="1721" xr:uid="{00000000-0005-0000-0000-0000181A0000}"/>
    <cellStyle name="20% - Accent4 3 4 4 2" xfId="14903" xr:uid="{00000000-0005-0000-0000-0000191A0000}"/>
    <cellStyle name="20% - Accent4 3 4 4 2 2" xfId="28452" xr:uid="{00000000-0005-0000-0000-00001A1A0000}"/>
    <cellStyle name="20% - Accent4 3 4 4 3" xfId="19044" xr:uid="{00000000-0005-0000-0000-00001B1A0000}"/>
    <cellStyle name="20% - Accent4 3 4 5" xfId="1722" xr:uid="{00000000-0005-0000-0000-00001C1A0000}"/>
    <cellStyle name="20% - Accent4 3 4 5 2" xfId="17148" xr:uid="{00000000-0005-0000-0000-00001D1A0000}"/>
    <cellStyle name="20% - Accent4 3 4 5 2 2" xfId="30507" xr:uid="{00000000-0005-0000-0000-00001E1A0000}"/>
    <cellStyle name="20% - Accent4 3 4 5 3" xfId="19045" xr:uid="{00000000-0005-0000-0000-00001F1A0000}"/>
    <cellStyle name="20% - Accent4 3 4 6" xfId="9067" xr:uid="{00000000-0005-0000-0000-0000201A0000}"/>
    <cellStyle name="20% - Accent4 3 4 6 2" xfId="23542" xr:uid="{00000000-0005-0000-0000-0000211A0000}"/>
    <cellStyle name="20% - Accent4 3 4 7" xfId="19041" xr:uid="{00000000-0005-0000-0000-0000221A0000}"/>
    <cellStyle name="20% - Accent4 3 5" xfId="1723" xr:uid="{00000000-0005-0000-0000-0000231A0000}"/>
    <cellStyle name="20% - Accent4 3 5 2" xfId="1724" xr:uid="{00000000-0005-0000-0000-0000241A0000}"/>
    <cellStyle name="20% - Accent4 3 5 2 2" xfId="10793" xr:uid="{00000000-0005-0000-0000-0000251A0000}"/>
    <cellStyle name="20% - Accent4 3 5 2 2 2" xfId="24735" xr:uid="{00000000-0005-0000-0000-0000261A0000}"/>
    <cellStyle name="20% - Accent4 3 5 2 3" xfId="19047" xr:uid="{00000000-0005-0000-0000-0000271A0000}"/>
    <cellStyle name="20% - Accent4 3 5 3" xfId="1725" xr:uid="{00000000-0005-0000-0000-0000281A0000}"/>
    <cellStyle name="20% - Accent4 3 5 3 2" xfId="11851" xr:uid="{00000000-0005-0000-0000-0000291A0000}"/>
    <cellStyle name="20% - Accent4 3 5 3 2 2" xfId="25566" xr:uid="{00000000-0005-0000-0000-00002A1A0000}"/>
    <cellStyle name="20% - Accent4 3 5 3 3" xfId="19048" xr:uid="{00000000-0005-0000-0000-00002B1A0000}"/>
    <cellStyle name="20% - Accent4 3 5 4" xfId="1726" xr:uid="{00000000-0005-0000-0000-00002C1A0000}"/>
    <cellStyle name="20% - Accent4 3 5 4 2" xfId="14904" xr:uid="{00000000-0005-0000-0000-00002D1A0000}"/>
    <cellStyle name="20% - Accent4 3 5 4 2 2" xfId="28453" xr:uid="{00000000-0005-0000-0000-00002E1A0000}"/>
    <cellStyle name="20% - Accent4 3 5 4 3" xfId="19049" xr:uid="{00000000-0005-0000-0000-00002F1A0000}"/>
    <cellStyle name="20% - Accent4 3 5 5" xfId="1727" xr:uid="{00000000-0005-0000-0000-0000301A0000}"/>
    <cellStyle name="20% - Accent4 3 5 5 2" xfId="17237" xr:uid="{00000000-0005-0000-0000-0000311A0000}"/>
    <cellStyle name="20% - Accent4 3 5 5 2 2" xfId="30596" xr:uid="{00000000-0005-0000-0000-0000321A0000}"/>
    <cellStyle name="20% - Accent4 3 5 5 3" xfId="19050" xr:uid="{00000000-0005-0000-0000-0000331A0000}"/>
    <cellStyle name="20% - Accent4 3 5 6" xfId="9068" xr:uid="{00000000-0005-0000-0000-0000341A0000}"/>
    <cellStyle name="20% - Accent4 3 5 6 2" xfId="23543" xr:uid="{00000000-0005-0000-0000-0000351A0000}"/>
    <cellStyle name="20% - Accent4 3 5 7" xfId="19046" xr:uid="{00000000-0005-0000-0000-0000361A0000}"/>
    <cellStyle name="20% - Accent4 3 6" xfId="1728" xr:uid="{00000000-0005-0000-0000-0000371A0000}"/>
    <cellStyle name="20% - Accent4 3 6 2" xfId="1729" xr:uid="{00000000-0005-0000-0000-0000381A0000}"/>
    <cellStyle name="20% - Accent4 3 6 2 2" xfId="14905" xr:uid="{00000000-0005-0000-0000-0000391A0000}"/>
    <cellStyle name="20% - Accent4 3 6 2 2 2" xfId="28454" xr:uid="{00000000-0005-0000-0000-00003A1A0000}"/>
    <cellStyle name="20% - Accent4 3 6 2 3" xfId="19052" xr:uid="{00000000-0005-0000-0000-00003B1A0000}"/>
    <cellStyle name="20% - Accent4 3 6 3" xfId="1730" xr:uid="{00000000-0005-0000-0000-00003C1A0000}"/>
    <cellStyle name="20% - Accent4 3 6 3 2" xfId="16512" xr:uid="{00000000-0005-0000-0000-00003D1A0000}"/>
    <cellStyle name="20% - Accent4 3 6 3 2 2" xfId="29919" xr:uid="{00000000-0005-0000-0000-00003E1A0000}"/>
    <cellStyle name="20% - Accent4 3 6 3 3" xfId="19053" xr:uid="{00000000-0005-0000-0000-00003F1A0000}"/>
    <cellStyle name="20% - Accent4 3 6 4" xfId="10785" xr:uid="{00000000-0005-0000-0000-0000401A0000}"/>
    <cellStyle name="20% - Accent4 3 6 4 2" xfId="24727" xr:uid="{00000000-0005-0000-0000-0000411A0000}"/>
    <cellStyle name="20% - Accent4 3 6 5" xfId="19051" xr:uid="{00000000-0005-0000-0000-0000421A0000}"/>
    <cellStyle name="20% - Accent4 3 7" xfId="1731" xr:uid="{00000000-0005-0000-0000-0000431A0000}"/>
    <cellStyle name="20% - Accent4 3 7 2" xfId="11884" xr:uid="{00000000-0005-0000-0000-0000441A0000}"/>
    <cellStyle name="20% - Accent4 3 7 2 2" xfId="25599" xr:uid="{00000000-0005-0000-0000-0000451A0000}"/>
    <cellStyle name="20% - Accent4 3 7 3" xfId="19054" xr:uid="{00000000-0005-0000-0000-0000461A0000}"/>
    <cellStyle name="20% - Accent4 3 8" xfId="1732" xr:uid="{00000000-0005-0000-0000-0000471A0000}"/>
    <cellStyle name="20% - Accent4 3 8 2" xfId="12435" xr:uid="{00000000-0005-0000-0000-0000481A0000}"/>
    <cellStyle name="20% - Accent4 3 8 2 2" xfId="26147" xr:uid="{00000000-0005-0000-0000-0000491A0000}"/>
    <cellStyle name="20% - Accent4 3 8 3" xfId="19055" xr:uid="{00000000-0005-0000-0000-00004A1A0000}"/>
    <cellStyle name="20% - Accent4 3 9" xfId="1733" xr:uid="{00000000-0005-0000-0000-00004B1A0000}"/>
    <cellStyle name="20% - Accent4 3 9 2" xfId="13464" xr:uid="{00000000-0005-0000-0000-00004C1A0000}"/>
    <cellStyle name="20% - Accent4 3 9 2 2" xfId="27013" xr:uid="{00000000-0005-0000-0000-00004D1A0000}"/>
    <cellStyle name="20% - Accent4 3 9 3" xfId="19056" xr:uid="{00000000-0005-0000-0000-00004E1A0000}"/>
    <cellStyle name="20% - Accent4 30" xfId="23257" xr:uid="{00000000-0005-0000-0000-00004F1A0000}"/>
    <cellStyle name="20% - Accent4 4" xfId="1734" xr:uid="{00000000-0005-0000-0000-0000501A0000}"/>
    <cellStyle name="20% - Accent4 4 10" xfId="1735" xr:uid="{00000000-0005-0000-0000-0000511A0000}"/>
    <cellStyle name="20% - Accent4 4 10 2" xfId="14906" xr:uid="{00000000-0005-0000-0000-0000521A0000}"/>
    <cellStyle name="20% - Accent4 4 10 2 2" xfId="28455" xr:uid="{00000000-0005-0000-0000-0000531A0000}"/>
    <cellStyle name="20% - Accent4 4 10 3" xfId="19058" xr:uid="{00000000-0005-0000-0000-0000541A0000}"/>
    <cellStyle name="20% - Accent4 4 11" xfId="1736" xr:uid="{00000000-0005-0000-0000-0000551A0000}"/>
    <cellStyle name="20% - Accent4 4 11 2" xfId="15882" xr:uid="{00000000-0005-0000-0000-0000561A0000}"/>
    <cellStyle name="20% - Accent4 4 11 2 2" xfId="29289" xr:uid="{00000000-0005-0000-0000-0000571A0000}"/>
    <cellStyle name="20% - Accent4 4 11 3" xfId="19059" xr:uid="{00000000-0005-0000-0000-0000581A0000}"/>
    <cellStyle name="20% - Accent4 4 12" xfId="9069" xr:uid="{00000000-0005-0000-0000-0000591A0000}"/>
    <cellStyle name="20% - Accent4 4 12 2" xfId="23544" xr:uid="{00000000-0005-0000-0000-00005A1A0000}"/>
    <cellStyle name="20% - Accent4 4 13" xfId="19057" xr:uid="{00000000-0005-0000-0000-00005B1A0000}"/>
    <cellStyle name="20% - Accent4 4 2" xfId="1737" xr:uid="{00000000-0005-0000-0000-00005C1A0000}"/>
    <cellStyle name="20% - Accent4 4 2 10" xfId="1738" xr:uid="{00000000-0005-0000-0000-00005D1A0000}"/>
    <cellStyle name="20% - Accent4 4 2 10 2" xfId="16025" xr:uid="{00000000-0005-0000-0000-00005E1A0000}"/>
    <cellStyle name="20% - Accent4 4 2 10 2 2" xfId="29432" xr:uid="{00000000-0005-0000-0000-00005F1A0000}"/>
    <cellStyle name="20% - Accent4 4 2 10 3" xfId="19061" xr:uid="{00000000-0005-0000-0000-0000601A0000}"/>
    <cellStyle name="20% - Accent4 4 2 11" xfId="9070" xr:uid="{00000000-0005-0000-0000-0000611A0000}"/>
    <cellStyle name="20% - Accent4 4 2 11 2" xfId="23545" xr:uid="{00000000-0005-0000-0000-0000621A0000}"/>
    <cellStyle name="20% - Accent4 4 2 12" xfId="19060" xr:uid="{00000000-0005-0000-0000-0000631A0000}"/>
    <cellStyle name="20% - Accent4 4 2 2" xfId="1739" xr:uid="{00000000-0005-0000-0000-0000641A0000}"/>
    <cellStyle name="20% - Accent4 4 2 2 10" xfId="9071" xr:uid="{00000000-0005-0000-0000-0000651A0000}"/>
    <cellStyle name="20% - Accent4 4 2 2 10 2" xfId="23546" xr:uid="{00000000-0005-0000-0000-0000661A0000}"/>
    <cellStyle name="20% - Accent4 4 2 2 11" xfId="19062" xr:uid="{00000000-0005-0000-0000-0000671A0000}"/>
    <cellStyle name="20% - Accent4 4 2 2 2" xfId="1740" xr:uid="{00000000-0005-0000-0000-0000681A0000}"/>
    <cellStyle name="20% - Accent4 4 2 2 2 2" xfId="1741" xr:uid="{00000000-0005-0000-0000-0000691A0000}"/>
    <cellStyle name="20% - Accent4 4 2 2 2 2 2" xfId="10797" xr:uid="{00000000-0005-0000-0000-00006A1A0000}"/>
    <cellStyle name="20% - Accent4 4 2 2 2 2 2 2" xfId="24739" xr:uid="{00000000-0005-0000-0000-00006B1A0000}"/>
    <cellStyle name="20% - Accent4 4 2 2 2 2 3" xfId="19064" xr:uid="{00000000-0005-0000-0000-00006C1A0000}"/>
    <cellStyle name="20% - Accent4 4 2 2 2 3" xfId="1742" xr:uid="{00000000-0005-0000-0000-00006D1A0000}"/>
    <cellStyle name="20% - Accent4 4 2 2 2 3 2" xfId="11738" xr:uid="{00000000-0005-0000-0000-00006E1A0000}"/>
    <cellStyle name="20% - Accent4 4 2 2 2 3 2 2" xfId="25453" xr:uid="{00000000-0005-0000-0000-00006F1A0000}"/>
    <cellStyle name="20% - Accent4 4 2 2 2 3 3" xfId="19065" xr:uid="{00000000-0005-0000-0000-0000701A0000}"/>
    <cellStyle name="20% - Accent4 4 2 2 2 4" xfId="1743" xr:uid="{00000000-0005-0000-0000-0000711A0000}"/>
    <cellStyle name="20% - Accent4 4 2 2 2 4 2" xfId="14909" xr:uid="{00000000-0005-0000-0000-0000721A0000}"/>
    <cellStyle name="20% - Accent4 4 2 2 2 4 2 2" xfId="28458" xr:uid="{00000000-0005-0000-0000-0000731A0000}"/>
    <cellStyle name="20% - Accent4 4 2 2 2 4 3" xfId="19066" xr:uid="{00000000-0005-0000-0000-0000741A0000}"/>
    <cellStyle name="20% - Accent4 4 2 2 2 5" xfId="1744" xr:uid="{00000000-0005-0000-0000-0000751A0000}"/>
    <cellStyle name="20% - Accent4 4 2 2 2 5 2" xfId="16895" xr:uid="{00000000-0005-0000-0000-0000761A0000}"/>
    <cellStyle name="20% - Accent4 4 2 2 2 5 2 2" xfId="30302" xr:uid="{00000000-0005-0000-0000-0000771A0000}"/>
    <cellStyle name="20% - Accent4 4 2 2 2 5 3" xfId="19067" xr:uid="{00000000-0005-0000-0000-0000781A0000}"/>
    <cellStyle name="20% - Accent4 4 2 2 2 6" xfId="9072" xr:uid="{00000000-0005-0000-0000-0000791A0000}"/>
    <cellStyle name="20% - Accent4 4 2 2 2 6 2" xfId="23547" xr:uid="{00000000-0005-0000-0000-00007A1A0000}"/>
    <cellStyle name="20% - Accent4 4 2 2 2 7" xfId="19063" xr:uid="{00000000-0005-0000-0000-00007B1A0000}"/>
    <cellStyle name="20% - Accent4 4 2 2 3" xfId="1745" xr:uid="{00000000-0005-0000-0000-00007C1A0000}"/>
    <cellStyle name="20% - Accent4 4 2 2 3 2" xfId="1746" xr:uid="{00000000-0005-0000-0000-00007D1A0000}"/>
    <cellStyle name="20% - Accent4 4 2 2 3 2 2" xfId="14910" xr:uid="{00000000-0005-0000-0000-00007E1A0000}"/>
    <cellStyle name="20% - Accent4 4 2 2 3 2 2 2" xfId="28459" xr:uid="{00000000-0005-0000-0000-00007F1A0000}"/>
    <cellStyle name="20% - Accent4 4 2 2 3 2 3" xfId="19069" xr:uid="{00000000-0005-0000-0000-0000801A0000}"/>
    <cellStyle name="20% - Accent4 4 2 2 3 3" xfId="10796" xr:uid="{00000000-0005-0000-0000-0000811A0000}"/>
    <cellStyle name="20% - Accent4 4 2 2 3 3 2" xfId="24738" xr:uid="{00000000-0005-0000-0000-0000821A0000}"/>
    <cellStyle name="20% - Accent4 4 2 2 3 4" xfId="19068" xr:uid="{00000000-0005-0000-0000-0000831A0000}"/>
    <cellStyle name="20% - Accent4 4 2 2 4" xfId="1747" xr:uid="{00000000-0005-0000-0000-0000841A0000}"/>
    <cellStyle name="20% - Accent4 4 2 2 4 2" xfId="12283" xr:uid="{00000000-0005-0000-0000-0000851A0000}"/>
    <cellStyle name="20% - Accent4 4 2 2 4 2 2" xfId="25995" xr:uid="{00000000-0005-0000-0000-0000861A0000}"/>
    <cellStyle name="20% - Accent4 4 2 2 4 3" xfId="19070" xr:uid="{00000000-0005-0000-0000-0000871A0000}"/>
    <cellStyle name="20% - Accent4 4 2 2 5" xfId="1748" xr:uid="{00000000-0005-0000-0000-0000881A0000}"/>
    <cellStyle name="20% - Accent4 4 2 2 5 2" xfId="12751" xr:uid="{00000000-0005-0000-0000-0000891A0000}"/>
    <cellStyle name="20% - Accent4 4 2 2 5 2 2" xfId="26463" xr:uid="{00000000-0005-0000-0000-00008A1A0000}"/>
    <cellStyle name="20% - Accent4 4 2 2 5 3" xfId="19071" xr:uid="{00000000-0005-0000-0000-00008B1A0000}"/>
    <cellStyle name="20% - Accent4 4 2 2 6" xfId="1749" xr:uid="{00000000-0005-0000-0000-00008C1A0000}"/>
    <cellStyle name="20% - Accent4 4 2 2 6 2" xfId="13847" xr:uid="{00000000-0005-0000-0000-00008D1A0000}"/>
    <cellStyle name="20% - Accent4 4 2 2 6 2 2" xfId="27396" xr:uid="{00000000-0005-0000-0000-00008E1A0000}"/>
    <cellStyle name="20% - Accent4 4 2 2 6 3" xfId="19072" xr:uid="{00000000-0005-0000-0000-00008F1A0000}"/>
    <cellStyle name="20% - Accent4 4 2 2 7" xfId="1750" xr:uid="{00000000-0005-0000-0000-0000901A0000}"/>
    <cellStyle name="20% - Accent4 4 2 2 7 2" xfId="14428" xr:uid="{00000000-0005-0000-0000-0000911A0000}"/>
    <cellStyle name="20% - Accent4 4 2 2 7 2 2" xfId="27977" xr:uid="{00000000-0005-0000-0000-0000921A0000}"/>
    <cellStyle name="20% - Accent4 4 2 2 7 3" xfId="19073" xr:uid="{00000000-0005-0000-0000-0000931A0000}"/>
    <cellStyle name="20% - Accent4 4 2 2 8" xfId="1751" xr:uid="{00000000-0005-0000-0000-0000941A0000}"/>
    <cellStyle name="20% - Accent4 4 2 2 8 2" xfId="14908" xr:uid="{00000000-0005-0000-0000-0000951A0000}"/>
    <cellStyle name="20% - Accent4 4 2 2 8 2 2" xfId="28457" xr:uid="{00000000-0005-0000-0000-0000961A0000}"/>
    <cellStyle name="20% - Accent4 4 2 2 8 3" xfId="19074" xr:uid="{00000000-0005-0000-0000-0000971A0000}"/>
    <cellStyle name="20% - Accent4 4 2 2 9" xfId="1752" xr:uid="{00000000-0005-0000-0000-0000981A0000}"/>
    <cellStyle name="20% - Accent4 4 2 2 9 2" xfId="16314" xr:uid="{00000000-0005-0000-0000-0000991A0000}"/>
    <cellStyle name="20% - Accent4 4 2 2 9 2 2" xfId="29721" xr:uid="{00000000-0005-0000-0000-00009A1A0000}"/>
    <cellStyle name="20% - Accent4 4 2 2 9 3" xfId="19075" xr:uid="{00000000-0005-0000-0000-00009B1A0000}"/>
    <cellStyle name="20% - Accent4 4 2 3" xfId="1753" xr:uid="{00000000-0005-0000-0000-00009C1A0000}"/>
    <cellStyle name="20% - Accent4 4 2 3 2" xfId="1754" xr:uid="{00000000-0005-0000-0000-00009D1A0000}"/>
    <cellStyle name="20% - Accent4 4 2 3 2 2" xfId="10798" xr:uid="{00000000-0005-0000-0000-00009E1A0000}"/>
    <cellStyle name="20% - Accent4 4 2 3 2 2 2" xfId="24740" xr:uid="{00000000-0005-0000-0000-00009F1A0000}"/>
    <cellStyle name="20% - Accent4 4 2 3 2 3" xfId="19077" xr:uid="{00000000-0005-0000-0000-0000A01A0000}"/>
    <cellStyle name="20% - Accent4 4 2 3 3" xfId="1755" xr:uid="{00000000-0005-0000-0000-0000A11A0000}"/>
    <cellStyle name="20% - Accent4 4 2 3 3 2" xfId="12635" xr:uid="{00000000-0005-0000-0000-0000A21A0000}"/>
    <cellStyle name="20% - Accent4 4 2 3 3 2 2" xfId="26347" xr:uid="{00000000-0005-0000-0000-0000A31A0000}"/>
    <cellStyle name="20% - Accent4 4 2 3 3 3" xfId="19078" xr:uid="{00000000-0005-0000-0000-0000A41A0000}"/>
    <cellStyle name="20% - Accent4 4 2 3 4" xfId="1756" xr:uid="{00000000-0005-0000-0000-0000A51A0000}"/>
    <cellStyle name="20% - Accent4 4 2 3 4 2" xfId="14911" xr:uid="{00000000-0005-0000-0000-0000A61A0000}"/>
    <cellStyle name="20% - Accent4 4 2 3 4 2 2" xfId="28460" xr:uid="{00000000-0005-0000-0000-0000A71A0000}"/>
    <cellStyle name="20% - Accent4 4 2 3 4 3" xfId="19079" xr:uid="{00000000-0005-0000-0000-0000A81A0000}"/>
    <cellStyle name="20% - Accent4 4 2 3 5" xfId="1757" xr:uid="{00000000-0005-0000-0000-0000A91A0000}"/>
    <cellStyle name="20% - Accent4 4 2 3 5 2" xfId="16606" xr:uid="{00000000-0005-0000-0000-0000AA1A0000}"/>
    <cellStyle name="20% - Accent4 4 2 3 5 2 2" xfId="30013" xr:uid="{00000000-0005-0000-0000-0000AB1A0000}"/>
    <cellStyle name="20% - Accent4 4 2 3 5 3" xfId="19080" xr:uid="{00000000-0005-0000-0000-0000AC1A0000}"/>
    <cellStyle name="20% - Accent4 4 2 3 6" xfId="9073" xr:uid="{00000000-0005-0000-0000-0000AD1A0000}"/>
    <cellStyle name="20% - Accent4 4 2 3 6 2" xfId="23548" xr:uid="{00000000-0005-0000-0000-0000AE1A0000}"/>
    <cellStyle name="20% - Accent4 4 2 3 7" xfId="19076" xr:uid="{00000000-0005-0000-0000-0000AF1A0000}"/>
    <cellStyle name="20% - Accent4 4 2 4" xfId="1758" xr:uid="{00000000-0005-0000-0000-0000B01A0000}"/>
    <cellStyle name="20% - Accent4 4 2 4 2" xfId="1759" xr:uid="{00000000-0005-0000-0000-0000B11A0000}"/>
    <cellStyle name="20% - Accent4 4 2 4 2 2" xfId="14912" xr:uid="{00000000-0005-0000-0000-0000B21A0000}"/>
    <cellStyle name="20% - Accent4 4 2 4 2 2 2" xfId="28461" xr:uid="{00000000-0005-0000-0000-0000B31A0000}"/>
    <cellStyle name="20% - Accent4 4 2 4 2 3" xfId="19082" xr:uid="{00000000-0005-0000-0000-0000B41A0000}"/>
    <cellStyle name="20% - Accent4 4 2 4 3" xfId="10795" xr:uid="{00000000-0005-0000-0000-0000B51A0000}"/>
    <cellStyle name="20% - Accent4 4 2 4 3 2" xfId="24737" xr:uid="{00000000-0005-0000-0000-0000B61A0000}"/>
    <cellStyle name="20% - Accent4 4 2 4 4" xfId="19081" xr:uid="{00000000-0005-0000-0000-0000B71A0000}"/>
    <cellStyle name="20% - Accent4 4 2 5" xfId="1760" xr:uid="{00000000-0005-0000-0000-0000B81A0000}"/>
    <cellStyle name="20% - Accent4 4 2 5 2" xfId="11983" xr:uid="{00000000-0005-0000-0000-0000B91A0000}"/>
    <cellStyle name="20% - Accent4 4 2 5 2 2" xfId="25698" xr:uid="{00000000-0005-0000-0000-0000BA1A0000}"/>
    <cellStyle name="20% - Accent4 4 2 5 3" xfId="19083" xr:uid="{00000000-0005-0000-0000-0000BB1A0000}"/>
    <cellStyle name="20% - Accent4 4 2 6" xfId="1761" xr:uid="{00000000-0005-0000-0000-0000BC1A0000}"/>
    <cellStyle name="20% - Accent4 4 2 6 2" xfId="12507" xr:uid="{00000000-0005-0000-0000-0000BD1A0000}"/>
    <cellStyle name="20% - Accent4 4 2 6 2 2" xfId="26219" xr:uid="{00000000-0005-0000-0000-0000BE1A0000}"/>
    <cellStyle name="20% - Accent4 4 2 6 3" xfId="19084" xr:uid="{00000000-0005-0000-0000-0000BF1A0000}"/>
    <cellStyle name="20% - Accent4 4 2 7" xfId="1762" xr:uid="{00000000-0005-0000-0000-0000C01A0000}"/>
    <cellStyle name="20% - Accent4 4 2 7 2" xfId="13558" xr:uid="{00000000-0005-0000-0000-0000C11A0000}"/>
    <cellStyle name="20% - Accent4 4 2 7 2 2" xfId="27107" xr:uid="{00000000-0005-0000-0000-0000C21A0000}"/>
    <cellStyle name="20% - Accent4 4 2 7 3" xfId="19085" xr:uid="{00000000-0005-0000-0000-0000C31A0000}"/>
    <cellStyle name="20% - Accent4 4 2 8" xfId="1763" xr:uid="{00000000-0005-0000-0000-0000C41A0000}"/>
    <cellStyle name="20% - Accent4 4 2 8 2" xfId="14139" xr:uid="{00000000-0005-0000-0000-0000C51A0000}"/>
    <cellStyle name="20% - Accent4 4 2 8 2 2" xfId="27688" xr:uid="{00000000-0005-0000-0000-0000C61A0000}"/>
    <cellStyle name="20% - Accent4 4 2 8 3" xfId="19086" xr:uid="{00000000-0005-0000-0000-0000C71A0000}"/>
    <cellStyle name="20% - Accent4 4 2 9" xfId="1764" xr:uid="{00000000-0005-0000-0000-0000C81A0000}"/>
    <cellStyle name="20% - Accent4 4 2 9 2" xfId="14907" xr:uid="{00000000-0005-0000-0000-0000C91A0000}"/>
    <cellStyle name="20% - Accent4 4 2 9 2 2" xfId="28456" xr:uid="{00000000-0005-0000-0000-0000CA1A0000}"/>
    <cellStyle name="20% - Accent4 4 2 9 3" xfId="19087" xr:uid="{00000000-0005-0000-0000-0000CB1A0000}"/>
    <cellStyle name="20% - Accent4 4 3" xfId="1765" xr:uid="{00000000-0005-0000-0000-0000CC1A0000}"/>
    <cellStyle name="20% - Accent4 4 3 10" xfId="9074" xr:uid="{00000000-0005-0000-0000-0000CD1A0000}"/>
    <cellStyle name="20% - Accent4 4 3 10 2" xfId="23549" xr:uid="{00000000-0005-0000-0000-0000CE1A0000}"/>
    <cellStyle name="20% - Accent4 4 3 11" xfId="19088" xr:uid="{00000000-0005-0000-0000-0000CF1A0000}"/>
    <cellStyle name="20% - Accent4 4 3 2" xfId="1766" xr:uid="{00000000-0005-0000-0000-0000D01A0000}"/>
    <cellStyle name="20% - Accent4 4 3 2 2" xfId="1767" xr:uid="{00000000-0005-0000-0000-0000D11A0000}"/>
    <cellStyle name="20% - Accent4 4 3 2 2 2" xfId="10800" xr:uid="{00000000-0005-0000-0000-0000D21A0000}"/>
    <cellStyle name="20% - Accent4 4 3 2 2 2 2" xfId="24742" xr:uid="{00000000-0005-0000-0000-0000D31A0000}"/>
    <cellStyle name="20% - Accent4 4 3 2 2 3" xfId="19090" xr:uid="{00000000-0005-0000-0000-0000D41A0000}"/>
    <cellStyle name="20% - Accent4 4 3 2 3" xfId="1768" xr:uid="{00000000-0005-0000-0000-0000D51A0000}"/>
    <cellStyle name="20% - Accent4 4 3 2 3 2" xfId="12609" xr:uid="{00000000-0005-0000-0000-0000D61A0000}"/>
    <cellStyle name="20% - Accent4 4 3 2 3 2 2" xfId="26321" xr:uid="{00000000-0005-0000-0000-0000D71A0000}"/>
    <cellStyle name="20% - Accent4 4 3 2 3 3" xfId="19091" xr:uid="{00000000-0005-0000-0000-0000D81A0000}"/>
    <cellStyle name="20% - Accent4 4 3 2 4" xfId="1769" xr:uid="{00000000-0005-0000-0000-0000D91A0000}"/>
    <cellStyle name="20% - Accent4 4 3 2 4 2" xfId="14914" xr:uid="{00000000-0005-0000-0000-0000DA1A0000}"/>
    <cellStyle name="20% - Accent4 4 3 2 4 2 2" xfId="28463" xr:uid="{00000000-0005-0000-0000-0000DB1A0000}"/>
    <cellStyle name="20% - Accent4 4 3 2 4 3" xfId="19092" xr:uid="{00000000-0005-0000-0000-0000DC1A0000}"/>
    <cellStyle name="20% - Accent4 4 3 2 5" xfId="1770" xr:uid="{00000000-0005-0000-0000-0000DD1A0000}"/>
    <cellStyle name="20% - Accent4 4 3 2 5 2" xfId="16755" xr:uid="{00000000-0005-0000-0000-0000DE1A0000}"/>
    <cellStyle name="20% - Accent4 4 3 2 5 2 2" xfId="30162" xr:uid="{00000000-0005-0000-0000-0000DF1A0000}"/>
    <cellStyle name="20% - Accent4 4 3 2 5 3" xfId="19093" xr:uid="{00000000-0005-0000-0000-0000E01A0000}"/>
    <cellStyle name="20% - Accent4 4 3 2 6" xfId="9075" xr:uid="{00000000-0005-0000-0000-0000E11A0000}"/>
    <cellStyle name="20% - Accent4 4 3 2 6 2" xfId="23550" xr:uid="{00000000-0005-0000-0000-0000E21A0000}"/>
    <cellStyle name="20% - Accent4 4 3 2 7" xfId="19089" xr:uid="{00000000-0005-0000-0000-0000E31A0000}"/>
    <cellStyle name="20% - Accent4 4 3 3" xfId="1771" xr:uid="{00000000-0005-0000-0000-0000E41A0000}"/>
    <cellStyle name="20% - Accent4 4 3 3 2" xfId="1772" xr:uid="{00000000-0005-0000-0000-0000E51A0000}"/>
    <cellStyle name="20% - Accent4 4 3 3 2 2" xfId="14915" xr:uid="{00000000-0005-0000-0000-0000E61A0000}"/>
    <cellStyle name="20% - Accent4 4 3 3 2 2 2" xfId="28464" xr:uid="{00000000-0005-0000-0000-0000E71A0000}"/>
    <cellStyle name="20% - Accent4 4 3 3 2 3" xfId="19095" xr:uid="{00000000-0005-0000-0000-0000E81A0000}"/>
    <cellStyle name="20% - Accent4 4 3 3 3" xfId="10799" xr:uid="{00000000-0005-0000-0000-0000E91A0000}"/>
    <cellStyle name="20% - Accent4 4 3 3 3 2" xfId="24741" xr:uid="{00000000-0005-0000-0000-0000EA1A0000}"/>
    <cellStyle name="20% - Accent4 4 3 3 4" xfId="19094" xr:uid="{00000000-0005-0000-0000-0000EB1A0000}"/>
    <cellStyle name="20% - Accent4 4 3 4" xfId="1773" xr:uid="{00000000-0005-0000-0000-0000EC1A0000}"/>
    <cellStyle name="20% - Accent4 4 3 4 2" xfId="12143" xr:uid="{00000000-0005-0000-0000-0000ED1A0000}"/>
    <cellStyle name="20% - Accent4 4 3 4 2 2" xfId="25855" xr:uid="{00000000-0005-0000-0000-0000EE1A0000}"/>
    <cellStyle name="20% - Accent4 4 3 4 3" xfId="19096" xr:uid="{00000000-0005-0000-0000-0000EF1A0000}"/>
    <cellStyle name="20% - Accent4 4 3 5" xfId="1774" xr:uid="{00000000-0005-0000-0000-0000F01A0000}"/>
    <cellStyle name="20% - Accent4 4 3 5 2" xfId="12636" xr:uid="{00000000-0005-0000-0000-0000F11A0000}"/>
    <cellStyle name="20% - Accent4 4 3 5 2 2" xfId="26348" xr:uid="{00000000-0005-0000-0000-0000F21A0000}"/>
    <cellStyle name="20% - Accent4 4 3 5 3" xfId="19097" xr:uid="{00000000-0005-0000-0000-0000F31A0000}"/>
    <cellStyle name="20% - Accent4 4 3 6" xfId="1775" xr:uid="{00000000-0005-0000-0000-0000F41A0000}"/>
    <cellStyle name="20% - Accent4 4 3 6 2" xfId="13707" xr:uid="{00000000-0005-0000-0000-0000F51A0000}"/>
    <cellStyle name="20% - Accent4 4 3 6 2 2" xfId="27256" xr:uid="{00000000-0005-0000-0000-0000F61A0000}"/>
    <cellStyle name="20% - Accent4 4 3 6 3" xfId="19098" xr:uid="{00000000-0005-0000-0000-0000F71A0000}"/>
    <cellStyle name="20% - Accent4 4 3 7" xfId="1776" xr:uid="{00000000-0005-0000-0000-0000F81A0000}"/>
    <cellStyle name="20% - Accent4 4 3 7 2" xfId="14288" xr:uid="{00000000-0005-0000-0000-0000F91A0000}"/>
    <cellStyle name="20% - Accent4 4 3 7 2 2" xfId="27837" xr:uid="{00000000-0005-0000-0000-0000FA1A0000}"/>
    <cellStyle name="20% - Accent4 4 3 7 3" xfId="19099" xr:uid="{00000000-0005-0000-0000-0000FB1A0000}"/>
    <cellStyle name="20% - Accent4 4 3 8" xfId="1777" xr:uid="{00000000-0005-0000-0000-0000FC1A0000}"/>
    <cellStyle name="20% - Accent4 4 3 8 2" xfId="14913" xr:uid="{00000000-0005-0000-0000-0000FD1A0000}"/>
    <cellStyle name="20% - Accent4 4 3 8 2 2" xfId="28462" xr:uid="{00000000-0005-0000-0000-0000FE1A0000}"/>
    <cellStyle name="20% - Accent4 4 3 8 3" xfId="19100" xr:uid="{00000000-0005-0000-0000-0000FF1A0000}"/>
    <cellStyle name="20% - Accent4 4 3 9" xfId="1778" xr:uid="{00000000-0005-0000-0000-0000001B0000}"/>
    <cellStyle name="20% - Accent4 4 3 9 2" xfId="16174" xr:uid="{00000000-0005-0000-0000-0000011B0000}"/>
    <cellStyle name="20% - Accent4 4 3 9 2 2" xfId="29581" xr:uid="{00000000-0005-0000-0000-0000021B0000}"/>
    <cellStyle name="20% - Accent4 4 3 9 3" xfId="19101" xr:uid="{00000000-0005-0000-0000-0000031B0000}"/>
    <cellStyle name="20% - Accent4 4 4" xfId="1779" xr:uid="{00000000-0005-0000-0000-0000041B0000}"/>
    <cellStyle name="20% - Accent4 4 4 2" xfId="1780" xr:uid="{00000000-0005-0000-0000-0000051B0000}"/>
    <cellStyle name="20% - Accent4 4 4 2 2" xfId="10801" xr:uid="{00000000-0005-0000-0000-0000061B0000}"/>
    <cellStyle name="20% - Accent4 4 4 2 2 2" xfId="24743" xr:uid="{00000000-0005-0000-0000-0000071B0000}"/>
    <cellStyle name="20% - Accent4 4 4 2 3" xfId="19103" xr:uid="{00000000-0005-0000-0000-0000081B0000}"/>
    <cellStyle name="20% - Accent4 4 4 3" xfId="1781" xr:uid="{00000000-0005-0000-0000-0000091B0000}"/>
    <cellStyle name="20% - Accent4 4 4 3 2" xfId="12425" xr:uid="{00000000-0005-0000-0000-00000A1B0000}"/>
    <cellStyle name="20% - Accent4 4 4 3 2 2" xfId="26137" xr:uid="{00000000-0005-0000-0000-00000B1B0000}"/>
    <cellStyle name="20% - Accent4 4 4 3 3" xfId="19104" xr:uid="{00000000-0005-0000-0000-00000C1B0000}"/>
    <cellStyle name="20% - Accent4 4 4 4" xfId="1782" xr:uid="{00000000-0005-0000-0000-00000D1B0000}"/>
    <cellStyle name="20% - Accent4 4 4 4 2" xfId="14916" xr:uid="{00000000-0005-0000-0000-00000E1B0000}"/>
    <cellStyle name="20% - Accent4 4 4 4 2 2" xfId="28465" xr:uid="{00000000-0005-0000-0000-00000F1B0000}"/>
    <cellStyle name="20% - Accent4 4 4 4 3" xfId="19105" xr:uid="{00000000-0005-0000-0000-0000101B0000}"/>
    <cellStyle name="20% - Accent4 4 4 5" xfId="1783" xr:uid="{00000000-0005-0000-0000-0000111B0000}"/>
    <cellStyle name="20% - Accent4 4 4 5 2" xfId="16463" xr:uid="{00000000-0005-0000-0000-0000121B0000}"/>
    <cellStyle name="20% - Accent4 4 4 5 2 2" xfId="29870" xr:uid="{00000000-0005-0000-0000-0000131B0000}"/>
    <cellStyle name="20% - Accent4 4 4 5 3" xfId="19106" xr:uid="{00000000-0005-0000-0000-0000141B0000}"/>
    <cellStyle name="20% - Accent4 4 4 6" xfId="9076" xr:uid="{00000000-0005-0000-0000-0000151B0000}"/>
    <cellStyle name="20% - Accent4 4 4 6 2" xfId="23551" xr:uid="{00000000-0005-0000-0000-0000161B0000}"/>
    <cellStyle name="20% - Accent4 4 4 7" xfId="19102" xr:uid="{00000000-0005-0000-0000-0000171B0000}"/>
    <cellStyle name="20% - Accent4 4 5" xfId="1784" xr:uid="{00000000-0005-0000-0000-0000181B0000}"/>
    <cellStyle name="20% - Accent4 4 5 2" xfId="1785" xr:uid="{00000000-0005-0000-0000-0000191B0000}"/>
    <cellStyle name="20% - Accent4 4 5 2 2" xfId="14917" xr:uid="{00000000-0005-0000-0000-00001A1B0000}"/>
    <cellStyle name="20% - Accent4 4 5 2 2 2" xfId="28466" xr:uid="{00000000-0005-0000-0000-00001B1B0000}"/>
    <cellStyle name="20% - Accent4 4 5 2 3" xfId="19108" xr:uid="{00000000-0005-0000-0000-00001C1B0000}"/>
    <cellStyle name="20% - Accent4 4 5 3" xfId="10794" xr:uid="{00000000-0005-0000-0000-00001D1B0000}"/>
    <cellStyle name="20% - Accent4 4 5 3 2" xfId="24736" xr:uid="{00000000-0005-0000-0000-00001E1B0000}"/>
    <cellStyle name="20% - Accent4 4 5 4" xfId="19107" xr:uid="{00000000-0005-0000-0000-00001F1B0000}"/>
    <cellStyle name="20% - Accent4 4 6" xfId="1786" xr:uid="{00000000-0005-0000-0000-0000201B0000}"/>
    <cellStyle name="20% - Accent4 4 6 2" xfId="11814" xr:uid="{00000000-0005-0000-0000-0000211B0000}"/>
    <cellStyle name="20% - Accent4 4 6 2 2" xfId="25529" xr:uid="{00000000-0005-0000-0000-0000221B0000}"/>
    <cellStyle name="20% - Accent4 4 6 3" xfId="19109" xr:uid="{00000000-0005-0000-0000-0000231B0000}"/>
    <cellStyle name="20% - Accent4 4 7" xfId="1787" xr:uid="{00000000-0005-0000-0000-0000241B0000}"/>
    <cellStyle name="20% - Accent4 4 7 2" xfId="11858" xr:uid="{00000000-0005-0000-0000-0000251B0000}"/>
    <cellStyle name="20% - Accent4 4 7 2 2" xfId="25573" xr:uid="{00000000-0005-0000-0000-0000261B0000}"/>
    <cellStyle name="20% - Accent4 4 7 3" xfId="19110" xr:uid="{00000000-0005-0000-0000-0000271B0000}"/>
    <cellStyle name="20% - Accent4 4 8" xfId="1788" xr:uid="{00000000-0005-0000-0000-0000281B0000}"/>
    <cellStyle name="20% - Accent4 4 8 2" xfId="13415" xr:uid="{00000000-0005-0000-0000-0000291B0000}"/>
    <cellStyle name="20% - Accent4 4 8 2 2" xfId="26964" xr:uid="{00000000-0005-0000-0000-00002A1B0000}"/>
    <cellStyle name="20% - Accent4 4 8 3" xfId="19111" xr:uid="{00000000-0005-0000-0000-00002B1B0000}"/>
    <cellStyle name="20% - Accent4 4 9" xfId="1789" xr:uid="{00000000-0005-0000-0000-00002C1B0000}"/>
    <cellStyle name="20% - Accent4 4 9 2" xfId="13996" xr:uid="{00000000-0005-0000-0000-00002D1B0000}"/>
    <cellStyle name="20% - Accent4 4 9 2 2" xfId="27545" xr:uid="{00000000-0005-0000-0000-00002E1B0000}"/>
    <cellStyle name="20% - Accent4 4 9 3" xfId="19112" xr:uid="{00000000-0005-0000-0000-00002F1B0000}"/>
    <cellStyle name="20% - Accent4 5" xfId="1790" xr:uid="{00000000-0005-0000-0000-0000301B0000}"/>
    <cellStyle name="20% - Accent4 5 10" xfId="1791" xr:uid="{00000000-0005-0000-0000-0000311B0000}"/>
    <cellStyle name="20% - Accent4 5 10 2" xfId="14918" xr:uid="{00000000-0005-0000-0000-0000321B0000}"/>
    <cellStyle name="20% - Accent4 5 10 2 2" xfId="28467" xr:uid="{00000000-0005-0000-0000-0000331B0000}"/>
    <cellStyle name="20% - Accent4 5 10 3" xfId="19114" xr:uid="{00000000-0005-0000-0000-0000341B0000}"/>
    <cellStyle name="20% - Accent4 5 11" xfId="1792" xr:uid="{00000000-0005-0000-0000-0000351B0000}"/>
    <cellStyle name="20% - Accent4 5 11 2" xfId="15865" xr:uid="{00000000-0005-0000-0000-0000361B0000}"/>
    <cellStyle name="20% - Accent4 5 11 2 2" xfId="29272" xr:uid="{00000000-0005-0000-0000-0000371B0000}"/>
    <cellStyle name="20% - Accent4 5 11 3" xfId="19115" xr:uid="{00000000-0005-0000-0000-0000381B0000}"/>
    <cellStyle name="20% - Accent4 5 12" xfId="9077" xr:uid="{00000000-0005-0000-0000-0000391B0000}"/>
    <cellStyle name="20% - Accent4 5 12 2" xfId="23552" xr:uid="{00000000-0005-0000-0000-00003A1B0000}"/>
    <cellStyle name="20% - Accent4 5 13" xfId="19113" xr:uid="{00000000-0005-0000-0000-00003B1B0000}"/>
    <cellStyle name="20% - Accent4 5 2" xfId="1793" xr:uid="{00000000-0005-0000-0000-00003C1B0000}"/>
    <cellStyle name="20% - Accent4 5 2 10" xfId="1794" xr:uid="{00000000-0005-0000-0000-00003D1B0000}"/>
    <cellStyle name="20% - Accent4 5 2 10 2" xfId="16008" xr:uid="{00000000-0005-0000-0000-00003E1B0000}"/>
    <cellStyle name="20% - Accent4 5 2 10 2 2" xfId="29415" xr:uid="{00000000-0005-0000-0000-00003F1B0000}"/>
    <cellStyle name="20% - Accent4 5 2 10 3" xfId="19117" xr:uid="{00000000-0005-0000-0000-0000401B0000}"/>
    <cellStyle name="20% - Accent4 5 2 11" xfId="9078" xr:uid="{00000000-0005-0000-0000-0000411B0000}"/>
    <cellStyle name="20% - Accent4 5 2 11 2" xfId="23553" xr:uid="{00000000-0005-0000-0000-0000421B0000}"/>
    <cellStyle name="20% - Accent4 5 2 12" xfId="19116" xr:uid="{00000000-0005-0000-0000-0000431B0000}"/>
    <cellStyle name="20% - Accent4 5 2 2" xfId="1795" xr:uid="{00000000-0005-0000-0000-0000441B0000}"/>
    <cellStyle name="20% - Accent4 5 2 2 10" xfId="9079" xr:uid="{00000000-0005-0000-0000-0000451B0000}"/>
    <cellStyle name="20% - Accent4 5 2 2 10 2" xfId="23554" xr:uid="{00000000-0005-0000-0000-0000461B0000}"/>
    <cellStyle name="20% - Accent4 5 2 2 11" xfId="19118" xr:uid="{00000000-0005-0000-0000-0000471B0000}"/>
    <cellStyle name="20% - Accent4 5 2 2 2" xfId="1796" xr:uid="{00000000-0005-0000-0000-0000481B0000}"/>
    <cellStyle name="20% - Accent4 5 2 2 2 2" xfId="1797" xr:uid="{00000000-0005-0000-0000-0000491B0000}"/>
    <cellStyle name="20% - Accent4 5 2 2 2 2 2" xfId="10805" xr:uid="{00000000-0005-0000-0000-00004A1B0000}"/>
    <cellStyle name="20% - Accent4 5 2 2 2 2 2 2" xfId="24747" xr:uid="{00000000-0005-0000-0000-00004B1B0000}"/>
    <cellStyle name="20% - Accent4 5 2 2 2 2 3" xfId="19120" xr:uid="{00000000-0005-0000-0000-00004C1B0000}"/>
    <cellStyle name="20% - Accent4 5 2 2 2 3" xfId="1798" xr:uid="{00000000-0005-0000-0000-00004D1B0000}"/>
    <cellStyle name="20% - Accent4 5 2 2 2 3 2" xfId="12738" xr:uid="{00000000-0005-0000-0000-00004E1B0000}"/>
    <cellStyle name="20% - Accent4 5 2 2 2 3 2 2" xfId="26450" xr:uid="{00000000-0005-0000-0000-00004F1B0000}"/>
    <cellStyle name="20% - Accent4 5 2 2 2 3 3" xfId="19121" xr:uid="{00000000-0005-0000-0000-0000501B0000}"/>
    <cellStyle name="20% - Accent4 5 2 2 2 4" xfId="1799" xr:uid="{00000000-0005-0000-0000-0000511B0000}"/>
    <cellStyle name="20% - Accent4 5 2 2 2 4 2" xfId="14921" xr:uid="{00000000-0005-0000-0000-0000521B0000}"/>
    <cellStyle name="20% - Accent4 5 2 2 2 4 2 2" xfId="28470" xr:uid="{00000000-0005-0000-0000-0000531B0000}"/>
    <cellStyle name="20% - Accent4 5 2 2 2 4 3" xfId="19122" xr:uid="{00000000-0005-0000-0000-0000541B0000}"/>
    <cellStyle name="20% - Accent4 5 2 2 2 5" xfId="1800" xr:uid="{00000000-0005-0000-0000-0000551B0000}"/>
    <cellStyle name="20% - Accent4 5 2 2 2 5 2" xfId="16878" xr:uid="{00000000-0005-0000-0000-0000561B0000}"/>
    <cellStyle name="20% - Accent4 5 2 2 2 5 2 2" xfId="30285" xr:uid="{00000000-0005-0000-0000-0000571B0000}"/>
    <cellStyle name="20% - Accent4 5 2 2 2 5 3" xfId="19123" xr:uid="{00000000-0005-0000-0000-0000581B0000}"/>
    <cellStyle name="20% - Accent4 5 2 2 2 6" xfId="9080" xr:uid="{00000000-0005-0000-0000-0000591B0000}"/>
    <cellStyle name="20% - Accent4 5 2 2 2 6 2" xfId="23555" xr:uid="{00000000-0005-0000-0000-00005A1B0000}"/>
    <cellStyle name="20% - Accent4 5 2 2 2 7" xfId="19119" xr:uid="{00000000-0005-0000-0000-00005B1B0000}"/>
    <cellStyle name="20% - Accent4 5 2 2 3" xfId="1801" xr:uid="{00000000-0005-0000-0000-00005C1B0000}"/>
    <cellStyle name="20% - Accent4 5 2 2 3 2" xfId="1802" xr:uid="{00000000-0005-0000-0000-00005D1B0000}"/>
    <cellStyle name="20% - Accent4 5 2 2 3 2 2" xfId="14922" xr:uid="{00000000-0005-0000-0000-00005E1B0000}"/>
    <cellStyle name="20% - Accent4 5 2 2 3 2 2 2" xfId="28471" xr:uid="{00000000-0005-0000-0000-00005F1B0000}"/>
    <cellStyle name="20% - Accent4 5 2 2 3 2 3" xfId="19125" xr:uid="{00000000-0005-0000-0000-0000601B0000}"/>
    <cellStyle name="20% - Accent4 5 2 2 3 3" xfId="10804" xr:uid="{00000000-0005-0000-0000-0000611B0000}"/>
    <cellStyle name="20% - Accent4 5 2 2 3 3 2" xfId="24746" xr:uid="{00000000-0005-0000-0000-0000621B0000}"/>
    <cellStyle name="20% - Accent4 5 2 2 3 4" xfId="19124" xr:uid="{00000000-0005-0000-0000-0000631B0000}"/>
    <cellStyle name="20% - Accent4 5 2 2 4" xfId="1803" xr:uid="{00000000-0005-0000-0000-0000641B0000}"/>
    <cellStyle name="20% - Accent4 5 2 2 4 2" xfId="12266" xr:uid="{00000000-0005-0000-0000-0000651B0000}"/>
    <cellStyle name="20% - Accent4 5 2 2 4 2 2" xfId="25978" xr:uid="{00000000-0005-0000-0000-0000661B0000}"/>
    <cellStyle name="20% - Accent4 5 2 2 4 3" xfId="19126" xr:uid="{00000000-0005-0000-0000-0000671B0000}"/>
    <cellStyle name="20% - Accent4 5 2 2 5" xfId="1804" xr:uid="{00000000-0005-0000-0000-0000681B0000}"/>
    <cellStyle name="20% - Accent4 5 2 2 5 2" xfId="12770" xr:uid="{00000000-0005-0000-0000-0000691B0000}"/>
    <cellStyle name="20% - Accent4 5 2 2 5 2 2" xfId="26482" xr:uid="{00000000-0005-0000-0000-00006A1B0000}"/>
    <cellStyle name="20% - Accent4 5 2 2 5 3" xfId="19127" xr:uid="{00000000-0005-0000-0000-00006B1B0000}"/>
    <cellStyle name="20% - Accent4 5 2 2 6" xfId="1805" xr:uid="{00000000-0005-0000-0000-00006C1B0000}"/>
    <cellStyle name="20% - Accent4 5 2 2 6 2" xfId="13830" xr:uid="{00000000-0005-0000-0000-00006D1B0000}"/>
    <cellStyle name="20% - Accent4 5 2 2 6 2 2" xfId="27379" xr:uid="{00000000-0005-0000-0000-00006E1B0000}"/>
    <cellStyle name="20% - Accent4 5 2 2 6 3" xfId="19128" xr:uid="{00000000-0005-0000-0000-00006F1B0000}"/>
    <cellStyle name="20% - Accent4 5 2 2 7" xfId="1806" xr:uid="{00000000-0005-0000-0000-0000701B0000}"/>
    <cellStyle name="20% - Accent4 5 2 2 7 2" xfId="14411" xr:uid="{00000000-0005-0000-0000-0000711B0000}"/>
    <cellStyle name="20% - Accent4 5 2 2 7 2 2" xfId="27960" xr:uid="{00000000-0005-0000-0000-0000721B0000}"/>
    <cellStyle name="20% - Accent4 5 2 2 7 3" xfId="19129" xr:uid="{00000000-0005-0000-0000-0000731B0000}"/>
    <cellStyle name="20% - Accent4 5 2 2 8" xfId="1807" xr:uid="{00000000-0005-0000-0000-0000741B0000}"/>
    <cellStyle name="20% - Accent4 5 2 2 8 2" xfId="14920" xr:uid="{00000000-0005-0000-0000-0000751B0000}"/>
    <cellStyle name="20% - Accent4 5 2 2 8 2 2" xfId="28469" xr:uid="{00000000-0005-0000-0000-0000761B0000}"/>
    <cellStyle name="20% - Accent4 5 2 2 8 3" xfId="19130" xr:uid="{00000000-0005-0000-0000-0000771B0000}"/>
    <cellStyle name="20% - Accent4 5 2 2 9" xfId="1808" xr:uid="{00000000-0005-0000-0000-0000781B0000}"/>
    <cellStyle name="20% - Accent4 5 2 2 9 2" xfId="16297" xr:uid="{00000000-0005-0000-0000-0000791B0000}"/>
    <cellStyle name="20% - Accent4 5 2 2 9 2 2" xfId="29704" xr:uid="{00000000-0005-0000-0000-00007A1B0000}"/>
    <cellStyle name="20% - Accent4 5 2 2 9 3" xfId="19131" xr:uid="{00000000-0005-0000-0000-00007B1B0000}"/>
    <cellStyle name="20% - Accent4 5 2 3" xfId="1809" xr:uid="{00000000-0005-0000-0000-00007C1B0000}"/>
    <cellStyle name="20% - Accent4 5 2 3 2" xfId="1810" xr:uid="{00000000-0005-0000-0000-00007D1B0000}"/>
    <cellStyle name="20% - Accent4 5 2 3 2 2" xfId="10806" xr:uid="{00000000-0005-0000-0000-00007E1B0000}"/>
    <cellStyle name="20% - Accent4 5 2 3 2 2 2" xfId="24748" xr:uid="{00000000-0005-0000-0000-00007F1B0000}"/>
    <cellStyle name="20% - Accent4 5 2 3 2 3" xfId="19133" xr:uid="{00000000-0005-0000-0000-0000801B0000}"/>
    <cellStyle name="20% - Accent4 5 2 3 3" xfId="1811" xr:uid="{00000000-0005-0000-0000-0000811B0000}"/>
    <cellStyle name="20% - Accent4 5 2 3 3 2" xfId="12529" xr:uid="{00000000-0005-0000-0000-0000821B0000}"/>
    <cellStyle name="20% - Accent4 5 2 3 3 2 2" xfId="26241" xr:uid="{00000000-0005-0000-0000-0000831B0000}"/>
    <cellStyle name="20% - Accent4 5 2 3 3 3" xfId="19134" xr:uid="{00000000-0005-0000-0000-0000841B0000}"/>
    <cellStyle name="20% - Accent4 5 2 3 4" xfId="1812" xr:uid="{00000000-0005-0000-0000-0000851B0000}"/>
    <cellStyle name="20% - Accent4 5 2 3 4 2" xfId="14923" xr:uid="{00000000-0005-0000-0000-0000861B0000}"/>
    <cellStyle name="20% - Accent4 5 2 3 4 2 2" xfId="28472" xr:uid="{00000000-0005-0000-0000-0000871B0000}"/>
    <cellStyle name="20% - Accent4 5 2 3 4 3" xfId="19135" xr:uid="{00000000-0005-0000-0000-0000881B0000}"/>
    <cellStyle name="20% - Accent4 5 2 3 5" xfId="1813" xr:uid="{00000000-0005-0000-0000-0000891B0000}"/>
    <cellStyle name="20% - Accent4 5 2 3 5 2" xfId="16589" xr:uid="{00000000-0005-0000-0000-00008A1B0000}"/>
    <cellStyle name="20% - Accent4 5 2 3 5 2 2" xfId="29996" xr:uid="{00000000-0005-0000-0000-00008B1B0000}"/>
    <cellStyle name="20% - Accent4 5 2 3 5 3" xfId="19136" xr:uid="{00000000-0005-0000-0000-00008C1B0000}"/>
    <cellStyle name="20% - Accent4 5 2 3 6" xfId="9081" xr:uid="{00000000-0005-0000-0000-00008D1B0000}"/>
    <cellStyle name="20% - Accent4 5 2 3 6 2" xfId="23556" xr:uid="{00000000-0005-0000-0000-00008E1B0000}"/>
    <cellStyle name="20% - Accent4 5 2 3 7" xfId="19132" xr:uid="{00000000-0005-0000-0000-00008F1B0000}"/>
    <cellStyle name="20% - Accent4 5 2 4" xfId="1814" xr:uid="{00000000-0005-0000-0000-0000901B0000}"/>
    <cellStyle name="20% - Accent4 5 2 4 2" xfId="1815" xr:uid="{00000000-0005-0000-0000-0000911B0000}"/>
    <cellStyle name="20% - Accent4 5 2 4 2 2" xfId="14924" xr:uid="{00000000-0005-0000-0000-0000921B0000}"/>
    <cellStyle name="20% - Accent4 5 2 4 2 2 2" xfId="28473" xr:uid="{00000000-0005-0000-0000-0000931B0000}"/>
    <cellStyle name="20% - Accent4 5 2 4 2 3" xfId="19138" xr:uid="{00000000-0005-0000-0000-0000941B0000}"/>
    <cellStyle name="20% - Accent4 5 2 4 3" xfId="10803" xr:uid="{00000000-0005-0000-0000-0000951B0000}"/>
    <cellStyle name="20% - Accent4 5 2 4 3 2" xfId="24745" xr:uid="{00000000-0005-0000-0000-0000961B0000}"/>
    <cellStyle name="20% - Accent4 5 2 4 4" xfId="19137" xr:uid="{00000000-0005-0000-0000-0000971B0000}"/>
    <cellStyle name="20% - Accent4 5 2 5" xfId="1816" xr:uid="{00000000-0005-0000-0000-0000981B0000}"/>
    <cellStyle name="20% - Accent4 5 2 5 2" xfId="11966" xr:uid="{00000000-0005-0000-0000-0000991B0000}"/>
    <cellStyle name="20% - Accent4 5 2 5 2 2" xfId="25681" xr:uid="{00000000-0005-0000-0000-00009A1B0000}"/>
    <cellStyle name="20% - Accent4 5 2 5 3" xfId="19139" xr:uid="{00000000-0005-0000-0000-00009B1B0000}"/>
    <cellStyle name="20% - Accent4 5 2 6" xfId="1817" xr:uid="{00000000-0005-0000-0000-00009C1B0000}"/>
    <cellStyle name="20% - Accent4 5 2 6 2" xfId="12715" xr:uid="{00000000-0005-0000-0000-00009D1B0000}"/>
    <cellStyle name="20% - Accent4 5 2 6 2 2" xfId="26427" xr:uid="{00000000-0005-0000-0000-00009E1B0000}"/>
    <cellStyle name="20% - Accent4 5 2 6 3" xfId="19140" xr:uid="{00000000-0005-0000-0000-00009F1B0000}"/>
    <cellStyle name="20% - Accent4 5 2 7" xfId="1818" xr:uid="{00000000-0005-0000-0000-0000A01B0000}"/>
    <cellStyle name="20% - Accent4 5 2 7 2" xfId="13541" xr:uid="{00000000-0005-0000-0000-0000A11B0000}"/>
    <cellStyle name="20% - Accent4 5 2 7 2 2" xfId="27090" xr:uid="{00000000-0005-0000-0000-0000A21B0000}"/>
    <cellStyle name="20% - Accent4 5 2 7 3" xfId="19141" xr:uid="{00000000-0005-0000-0000-0000A31B0000}"/>
    <cellStyle name="20% - Accent4 5 2 8" xfId="1819" xr:uid="{00000000-0005-0000-0000-0000A41B0000}"/>
    <cellStyle name="20% - Accent4 5 2 8 2" xfId="14122" xr:uid="{00000000-0005-0000-0000-0000A51B0000}"/>
    <cellStyle name="20% - Accent4 5 2 8 2 2" xfId="27671" xr:uid="{00000000-0005-0000-0000-0000A61B0000}"/>
    <cellStyle name="20% - Accent4 5 2 8 3" xfId="19142" xr:uid="{00000000-0005-0000-0000-0000A71B0000}"/>
    <cellStyle name="20% - Accent4 5 2 9" xfId="1820" xr:uid="{00000000-0005-0000-0000-0000A81B0000}"/>
    <cellStyle name="20% - Accent4 5 2 9 2" xfId="14919" xr:uid="{00000000-0005-0000-0000-0000A91B0000}"/>
    <cellStyle name="20% - Accent4 5 2 9 2 2" xfId="28468" xr:uid="{00000000-0005-0000-0000-0000AA1B0000}"/>
    <cellStyle name="20% - Accent4 5 2 9 3" xfId="19143" xr:uid="{00000000-0005-0000-0000-0000AB1B0000}"/>
    <cellStyle name="20% - Accent4 5 3" xfId="1821" xr:uid="{00000000-0005-0000-0000-0000AC1B0000}"/>
    <cellStyle name="20% - Accent4 5 3 10" xfId="9082" xr:uid="{00000000-0005-0000-0000-0000AD1B0000}"/>
    <cellStyle name="20% - Accent4 5 3 10 2" xfId="23557" xr:uid="{00000000-0005-0000-0000-0000AE1B0000}"/>
    <cellStyle name="20% - Accent4 5 3 11" xfId="19144" xr:uid="{00000000-0005-0000-0000-0000AF1B0000}"/>
    <cellStyle name="20% - Accent4 5 3 2" xfId="1822" xr:uid="{00000000-0005-0000-0000-0000B01B0000}"/>
    <cellStyle name="20% - Accent4 5 3 2 2" xfId="1823" xr:uid="{00000000-0005-0000-0000-0000B11B0000}"/>
    <cellStyle name="20% - Accent4 5 3 2 2 2" xfId="10808" xr:uid="{00000000-0005-0000-0000-0000B21B0000}"/>
    <cellStyle name="20% - Accent4 5 3 2 2 2 2" xfId="24750" xr:uid="{00000000-0005-0000-0000-0000B31B0000}"/>
    <cellStyle name="20% - Accent4 5 3 2 2 3" xfId="19146" xr:uid="{00000000-0005-0000-0000-0000B41B0000}"/>
    <cellStyle name="20% - Accent4 5 3 2 3" xfId="1824" xr:uid="{00000000-0005-0000-0000-0000B51B0000}"/>
    <cellStyle name="20% - Accent4 5 3 2 3 2" xfId="12536" xr:uid="{00000000-0005-0000-0000-0000B61B0000}"/>
    <cellStyle name="20% - Accent4 5 3 2 3 2 2" xfId="26248" xr:uid="{00000000-0005-0000-0000-0000B71B0000}"/>
    <cellStyle name="20% - Accent4 5 3 2 3 3" xfId="19147" xr:uid="{00000000-0005-0000-0000-0000B81B0000}"/>
    <cellStyle name="20% - Accent4 5 3 2 4" xfId="1825" xr:uid="{00000000-0005-0000-0000-0000B91B0000}"/>
    <cellStyle name="20% - Accent4 5 3 2 4 2" xfId="14926" xr:uid="{00000000-0005-0000-0000-0000BA1B0000}"/>
    <cellStyle name="20% - Accent4 5 3 2 4 2 2" xfId="28475" xr:uid="{00000000-0005-0000-0000-0000BB1B0000}"/>
    <cellStyle name="20% - Accent4 5 3 2 4 3" xfId="19148" xr:uid="{00000000-0005-0000-0000-0000BC1B0000}"/>
    <cellStyle name="20% - Accent4 5 3 2 5" xfId="1826" xr:uid="{00000000-0005-0000-0000-0000BD1B0000}"/>
    <cellStyle name="20% - Accent4 5 3 2 5 2" xfId="16738" xr:uid="{00000000-0005-0000-0000-0000BE1B0000}"/>
    <cellStyle name="20% - Accent4 5 3 2 5 2 2" xfId="30145" xr:uid="{00000000-0005-0000-0000-0000BF1B0000}"/>
    <cellStyle name="20% - Accent4 5 3 2 5 3" xfId="19149" xr:uid="{00000000-0005-0000-0000-0000C01B0000}"/>
    <cellStyle name="20% - Accent4 5 3 2 6" xfId="9083" xr:uid="{00000000-0005-0000-0000-0000C11B0000}"/>
    <cellStyle name="20% - Accent4 5 3 2 6 2" xfId="23558" xr:uid="{00000000-0005-0000-0000-0000C21B0000}"/>
    <cellStyle name="20% - Accent4 5 3 2 7" xfId="19145" xr:uid="{00000000-0005-0000-0000-0000C31B0000}"/>
    <cellStyle name="20% - Accent4 5 3 3" xfId="1827" xr:uid="{00000000-0005-0000-0000-0000C41B0000}"/>
    <cellStyle name="20% - Accent4 5 3 3 2" xfId="1828" xr:uid="{00000000-0005-0000-0000-0000C51B0000}"/>
    <cellStyle name="20% - Accent4 5 3 3 2 2" xfId="14927" xr:uid="{00000000-0005-0000-0000-0000C61B0000}"/>
    <cellStyle name="20% - Accent4 5 3 3 2 2 2" xfId="28476" xr:uid="{00000000-0005-0000-0000-0000C71B0000}"/>
    <cellStyle name="20% - Accent4 5 3 3 2 3" xfId="19151" xr:uid="{00000000-0005-0000-0000-0000C81B0000}"/>
    <cellStyle name="20% - Accent4 5 3 3 3" xfId="10807" xr:uid="{00000000-0005-0000-0000-0000C91B0000}"/>
    <cellStyle name="20% - Accent4 5 3 3 3 2" xfId="24749" xr:uid="{00000000-0005-0000-0000-0000CA1B0000}"/>
    <cellStyle name="20% - Accent4 5 3 3 4" xfId="19150" xr:uid="{00000000-0005-0000-0000-0000CB1B0000}"/>
    <cellStyle name="20% - Accent4 5 3 4" xfId="1829" xr:uid="{00000000-0005-0000-0000-0000CC1B0000}"/>
    <cellStyle name="20% - Accent4 5 3 4 2" xfId="12126" xr:uid="{00000000-0005-0000-0000-0000CD1B0000}"/>
    <cellStyle name="20% - Accent4 5 3 4 2 2" xfId="25838" xr:uid="{00000000-0005-0000-0000-0000CE1B0000}"/>
    <cellStyle name="20% - Accent4 5 3 4 3" xfId="19152" xr:uid="{00000000-0005-0000-0000-0000CF1B0000}"/>
    <cellStyle name="20% - Accent4 5 3 5" xfId="1830" xr:uid="{00000000-0005-0000-0000-0000D01B0000}"/>
    <cellStyle name="20% - Accent4 5 3 5 2" xfId="12563" xr:uid="{00000000-0005-0000-0000-0000D11B0000}"/>
    <cellStyle name="20% - Accent4 5 3 5 2 2" xfId="26275" xr:uid="{00000000-0005-0000-0000-0000D21B0000}"/>
    <cellStyle name="20% - Accent4 5 3 5 3" xfId="19153" xr:uid="{00000000-0005-0000-0000-0000D31B0000}"/>
    <cellStyle name="20% - Accent4 5 3 6" xfId="1831" xr:uid="{00000000-0005-0000-0000-0000D41B0000}"/>
    <cellStyle name="20% - Accent4 5 3 6 2" xfId="13690" xr:uid="{00000000-0005-0000-0000-0000D51B0000}"/>
    <cellStyle name="20% - Accent4 5 3 6 2 2" xfId="27239" xr:uid="{00000000-0005-0000-0000-0000D61B0000}"/>
    <cellStyle name="20% - Accent4 5 3 6 3" xfId="19154" xr:uid="{00000000-0005-0000-0000-0000D71B0000}"/>
    <cellStyle name="20% - Accent4 5 3 7" xfId="1832" xr:uid="{00000000-0005-0000-0000-0000D81B0000}"/>
    <cellStyle name="20% - Accent4 5 3 7 2" xfId="14271" xr:uid="{00000000-0005-0000-0000-0000D91B0000}"/>
    <cellStyle name="20% - Accent4 5 3 7 2 2" xfId="27820" xr:uid="{00000000-0005-0000-0000-0000DA1B0000}"/>
    <cellStyle name="20% - Accent4 5 3 7 3" xfId="19155" xr:uid="{00000000-0005-0000-0000-0000DB1B0000}"/>
    <cellStyle name="20% - Accent4 5 3 8" xfId="1833" xr:uid="{00000000-0005-0000-0000-0000DC1B0000}"/>
    <cellStyle name="20% - Accent4 5 3 8 2" xfId="14925" xr:uid="{00000000-0005-0000-0000-0000DD1B0000}"/>
    <cellStyle name="20% - Accent4 5 3 8 2 2" xfId="28474" xr:uid="{00000000-0005-0000-0000-0000DE1B0000}"/>
    <cellStyle name="20% - Accent4 5 3 8 3" xfId="19156" xr:uid="{00000000-0005-0000-0000-0000DF1B0000}"/>
    <cellStyle name="20% - Accent4 5 3 9" xfId="1834" xr:uid="{00000000-0005-0000-0000-0000E01B0000}"/>
    <cellStyle name="20% - Accent4 5 3 9 2" xfId="16157" xr:uid="{00000000-0005-0000-0000-0000E11B0000}"/>
    <cellStyle name="20% - Accent4 5 3 9 2 2" xfId="29564" xr:uid="{00000000-0005-0000-0000-0000E21B0000}"/>
    <cellStyle name="20% - Accent4 5 3 9 3" xfId="19157" xr:uid="{00000000-0005-0000-0000-0000E31B0000}"/>
    <cellStyle name="20% - Accent4 5 4" xfId="1835" xr:uid="{00000000-0005-0000-0000-0000E41B0000}"/>
    <cellStyle name="20% - Accent4 5 4 2" xfId="1836" xr:uid="{00000000-0005-0000-0000-0000E51B0000}"/>
    <cellStyle name="20% - Accent4 5 4 2 2" xfId="10809" xr:uid="{00000000-0005-0000-0000-0000E61B0000}"/>
    <cellStyle name="20% - Accent4 5 4 2 2 2" xfId="24751" xr:uid="{00000000-0005-0000-0000-0000E71B0000}"/>
    <cellStyle name="20% - Accent4 5 4 2 3" xfId="19159" xr:uid="{00000000-0005-0000-0000-0000E81B0000}"/>
    <cellStyle name="20% - Accent4 5 4 3" xfId="1837" xr:uid="{00000000-0005-0000-0000-0000E91B0000}"/>
    <cellStyle name="20% - Accent4 5 4 3 2" xfId="12804" xr:uid="{00000000-0005-0000-0000-0000EA1B0000}"/>
    <cellStyle name="20% - Accent4 5 4 3 2 2" xfId="26516" xr:uid="{00000000-0005-0000-0000-0000EB1B0000}"/>
    <cellStyle name="20% - Accent4 5 4 3 3" xfId="19160" xr:uid="{00000000-0005-0000-0000-0000EC1B0000}"/>
    <cellStyle name="20% - Accent4 5 4 4" xfId="1838" xr:uid="{00000000-0005-0000-0000-0000ED1B0000}"/>
    <cellStyle name="20% - Accent4 5 4 4 2" xfId="14928" xr:uid="{00000000-0005-0000-0000-0000EE1B0000}"/>
    <cellStyle name="20% - Accent4 5 4 4 2 2" xfId="28477" xr:uid="{00000000-0005-0000-0000-0000EF1B0000}"/>
    <cellStyle name="20% - Accent4 5 4 4 3" xfId="19161" xr:uid="{00000000-0005-0000-0000-0000F01B0000}"/>
    <cellStyle name="20% - Accent4 5 4 5" xfId="1839" xr:uid="{00000000-0005-0000-0000-0000F11B0000}"/>
    <cellStyle name="20% - Accent4 5 4 5 2" xfId="16446" xr:uid="{00000000-0005-0000-0000-0000F21B0000}"/>
    <cellStyle name="20% - Accent4 5 4 5 2 2" xfId="29853" xr:uid="{00000000-0005-0000-0000-0000F31B0000}"/>
    <cellStyle name="20% - Accent4 5 4 5 3" xfId="19162" xr:uid="{00000000-0005-0000-0000-0000F41B0000}"/>
    <cellStyle name="20% - Accent4 5 4 6" xfId="9084" xr:uid="{00000000-0005-0000-0000-0000F51B0000}"/>
    <cellStyle name="20% - Accent4 5 4 6 2" xfId="23559" xr:uid="{00000000-0005-0000-0000-0000F61B0000}"/>
    <cellStyle name="20% - Accent4 5 4 7" xfId="19158" xr:uid="{00000000-0005-0000-0000-0000F71B0000}"/>
    <cellStyle name="20% - Accent4 5 5" xfId="1840" xr:uid="{00000000-0005-0000-0000-0000F81B0000}"/>
    <cellStyle name="20% - Accent4 5 5 2" xfId="1841" xr:uid="{00000000-0005-0000-0000-0000F91B0000}"/>
    <cellStyle name="20% - Accent4 5 5 2 2" xfId="14929" xr:uid="{00000000-0005-0000-0000-0000FA1B0000}"/>
    <cellStyle name="20% - Accent4 5 5 2 2 2" xfId="28478" xr:uid="{00000000-0005-0000-0000-0000FB1B0000}"/>
    <cellStyle name="20% - Accent4 5 5 2 3" xfId="19164" xr:uid="{00000000-0005-0000-0000-0000FC1B0000}"/>
    <cellStyle name="20% - Accent4 5 5 3" xfId="10802" xr:uid="{00000000-0005-0000-0000-0000FD1B0000}"/>
    <cellStyle name="20% - Accent4 5 5 3 2" xfId="24744" xr:uid="{00000000-0005-0000-0000-0000FE1B0000}"/>
    <cellStyle name="20% - Accent4 5 5 4" xfId="19163" xr:uid="{00000000-0005-0000-0000-0000FF1B0000}"/>
    <cellStyle name="20% - Accent4 5 6" xfId="1842" xr:uid="{00000000-0005-0000-0000-0000001C0000}"/>
    <cellStyle name="20% - Accent4 5 6 2" xfId="11797" xr:uid="{00000000-0005-0000-0000-0000011C0000}"/>
    <cellStyle name="20% - Accent4 5 6 2 2" xfId="25512" xr:uid="{00000000-0005-0000-0000-0000021C0000}"/>
    <cellStyle name="20% - Accent4 5 6 3" xfId="19165" xr:uid="{00000000-0005-0000-0000-0000031C0000}"/>
    <cellStyle name="20% - Accent4 5 7" xfId="1843" xr:uid="{00000000-0005-0000-0000-0000041C0000}"/>
    <cellStyle name="20% - Accent4 5 7 2" xfId="12717" xr:uid="{00000000-0005-0000-0000-0000051C0000}"/>
    <cellStyle name="20% - Accent4 5 7 2 2" xfId="26429" xr:uid="{00000000-0005-0000-0000-0000061C0000}"/>
    <cellStyle name="20% - Accent4 5 7 3" xfId="19166" xr:uid="{00000000-0005-0000-0000-0000071C0000}"/>
    <cellStyle name="20% - Accent4 5 8" xfId="1844" xr:uid="{00000000-0005-0000-0000-0000081C0000}"/>
    <cellStyle name="20% - Accent4 5 8 2" xfId="13398" xr:uid="{00000000-0005-0000-0000-0000091C0000}"/>
    <cellStyle name="20% - Accent4 5 8 2 2" xfId="26947" xr:uid="{00000000-0005-0000-0000-00000A1C0000}"/>
    <cellStyle name="20% - Accent4 5 8 3" xfId="19167" xr:uid="{00000000-0005-0000-0000-00000B1C0000}"/>
    <cellStyle name="20% - Accent4 5 9" xfId="1845" xr:uid="{00000000-0005-0000-0000-00000C1C0000}"/>
    <cellStyle name="20% - Accent4 5 9 2" xfId="13979" xr:uid="{00000000-0005-0000-0000-00000D1C0000}"/>
    <cellStyle name="20% - Accent4 5 9 2 2" xfId="27528" xr:uid="{00000000-0005-0000-0000-00000E1C0000}"/>
    <cellStyle name="20% - Accent4 5 9 3" xfId="19168" xr:uid="{00000000-0005-0000-0000-00000F1C0000}"/>
    <cellStyle name="20% - Accent4 6" xfId="1846" xr:uid="{00000000-0005-0000-0000-0000101C0000}"/>
    <cellStyle name="20% - Accent4 6 10" xfId="1847" xr:uid="{00000000-0005-0000-0000-0000111C0000}"/>
    <cellStyle name="20% - Accent4 6 10 2" xfId="14930" xr:uid="{00000000-0005-0000-0000-0000121C0000}"/>
    <cellStyle name="20% - Accent4 6 10 2 2" xfId="28479" xr:uid="{00000000-0005-0000-0000-0000131C0000}"/>
    <cellStyle name="20% - Accent4 6 10 3" xfId="19170" xr:uid="{00000000-0005-0000-0000-0000141C0000}"/>
    <cellStyle name="20% - Accent4 6 11" xfId="1848" xr:uid="{00000000-0005-0000-0000-0000151C0000}"/>
    <cellStyle name="20% - Accent4 6 11 2" xfId="15971" xr:uid="{00000000-0005-0000-0000-0000161C0000}"/>
    <cellStyle name="20% - Accent4 6 11 2 2" xfId="29378" xr:uid="{00000000-0005-0000-0000-0000171C0000}"/>
    <cellStyle name="20% - Accent4 6 11 3" xfId="19171" xr:uid="{00000000-0005-0000-0000-0000181C0000}"/>
    <cellStyle name="20% - Accent4 6 12" xfId="9085" xr:uid="{00000000-0005-0000-0000-0000191C0000}"/>
    <cellStyle name="20% - Accent4 6 12 2" xfId="23560" xr:uid="{00000000-0005-0000-0000-00001A1C0000}"/>
    <cellStyle name="20% - Accent4 6 13" xfId="19169" xr:uid="{00000000-0005-0000-0000-00001B1C0000}"/>
    <cellStyle name="20% - Accent4 6 2" xfId="1849" xr:uid="{00000000-0005-0000-0000-00001C1C0000}"/>
    <cellStyle name="20% - Accent4 6 2 10" xfId="1850" xr:uid="{00000000-0005-0000-0000-00001D1C0000}"/>
    <cellStyle name="20% - Accent4 6 2 10 2" xfId="16114" xr:uid="{00000000-0005-0000-0000-00001E1C0000}"/>
    <cellStyle name="20% - Accent4 6 2 10 2 2" xfId="29521" xr:uid="{00000000-0005-0000-0000-00001F1C0000}"/>
    <cellStyle name="20% - Accent4 6 2 10 3" xfId="19173" xr:uid="{00000000-0005-0000-0000-0000201C0000}"/>
    <cellStyle name="20% - Accent4 6 2 11" xfId="9086" xr:uid="{00000000-0005-0000-0000-0000211C0000}"/>
    <cellStyle name="20% - Accent4 6 2 11 2" xfId="23561" xr:uid="{00000000-0005-0000-0000-0000221C0000}"/>
    <cellStyle name="20% - Accent4 6 2 12" xfId="19172" xr:uid="{00000000-0005-0000-0000-0000231C0000}"/>
    <cellStyle name="20% - Accent4 6 2 2" xfId="1851" xr:uid="{00000000-0005-0000-0000-0000241C0000}"/>
    <cellStyle name="20% - Accent4 6 2 2 10" xfId="9087" xr:uid="{00000000-0005-0000-0000-0000251C0000}"/>
    <cellStyle name="20% - Accent4 6 2 2 10 2" xfId="23562" xr:uid="{00000000-0005-0000-0000-0000261C0000}"/>
    <cellStyle name="20% - Accent4 6 2 2 11" xfId="19174" xr:uid="{00000000-0005-0000-0000-0000271C0000}"/>
    <cellStyle name="20% - Accent4 6 2 2 2" xfId="1852" xr:uid="{00000000-0005-0000-0000-0000281C0000}"/>
    <cellStyle name="20% - Accent4 6 2 2 2 2" xfId="1853" xr:uid="{00000000-0005-0000-0000-0000291C0000}"/>
    <cellStyle name="20% - Accent4 6 2 2 2 2 2" xfId="10813" xr:uid="{00000000-0005-0000-0000-00002A1C0000}"/>
    <cellStyle name="20% - Accent4 6 2 2 2 2 2 2" xfId="24755" xr:uid="{00000000-0005-0000-0000-00002B1C0000}"/>
    <cellStyle name="20% - Accent4 6 2 2 2 2 3" xfId="19176" xr:uid="{00000000-0005-0000-0000-00002C1C0000}"/>
    <cellStyle name="20% - Accent4 6 2 2 2 3" xfId="1854" xr:uid="{00000000-0005-0000-0000-00002D1C0000}"/>
    <cellStyle name="20% - Accent4 6 2 2 2 3 2" xfId="12763" xr:uid="{00000000-0005-0000-0000-00002E1C0000}"/>
    <cellStyle name="20% - Accent4 6 2 2 2 3 2 2" xfId="26475" xr:uid="{00000000-0005-0000-0000-00002F1C0000}"/>
    <cellStyle name="20% - Accent4 6 2 2 2 3 3" xfId="19177" xr:uid="{00000000-0005-0000-0000-0000301C0000}"/>
    <cellStyle name="20% - Accent4 6 2 2 2 4" xfId="1855" xr:uid="{00000000-0005-0000-0000-0000311C0000}"/>
    <cellStyle name="20% - Accent4 6 2 2 2 4 2" xfId="14933" xr:uid="{00000000-0005-0000-0000-0000321C0000}"/>
    <cellStyle name="20% - Accent4 6 2 2 2 4 2 2" xfId="28482" xr:uid="{00000000-0005-0000-0000-0000331C0000}"/>
    <cellStyle name="20% - Accent4 6 2 2 2 4 3" xfId="19178" xr:uid="{00000000-0005-0000-0000-0000341C0000}"/>
    <cellStyle name="20% - Accent4 6 2 2 2 5" xfId="1856" xr:uid="{00000000-0005-0000-0000-0000351C0000}"/>
    <cellStyle name="20% - Accent4 6 2 2 2 5 2" xfId="16984" xr:uid="{00000000-0005-0000-0000-0000361C0000}"/>
    <cellStyle name="20% - Accent4 6 2 2 2 5 2 2" xfId="30391" xr:uid="{00000000-0005-0000-0000-0000371C0000}"/>
    <cellStyle name="20% - Accent4 6 2 2 2 5 3" xfId="19179" xr:uid="{00000000-0005-0000-0000-0000381C0000}"/>
    <cellStyle name="20% - Accent4 6 2 2 2 6" xfId="9088" xr:uid="{00000000-0005-0000-0000-0000391C0000}"/>
    <cellStyle name="20% - Accent4 6 2 2 2 6 2" xfId="23563" xr:uid="{00000000-0005-0000-0000-00003A1C0000}"/>
    <cellStyle name="20% - Accent4 6 2 2 2 7" xfId="19175" xr:uid="{00000000-0005-0000-0000-00003B1C0000}"/>
    <cellStyle name="20% - Accent4 6 2 2 3" xfId="1857" xr:uid="{00000000-0005-0000-0000-00003C1C0000}"/>
    <cellStyle name="20% - Accent4 6 2 2 3 2" xfId="1858" xr:uid="{00000000-0005-0000-0000-00003D1C0000}"/>
    <cellStyle name="20% - Accent4 6 2 2 3 2 2" xfId="14934" xr:uid="{00000000-0005-0000-0000-00003E1C0000}"/>
    <cellStyle name="20% - Accent4 6 2 2 3 2 2 2" xfId="28483" xr:uid="{00000000-0005-0000-0000-00003F1C0000}"/>
    <cellStyle name="20% - Accent4 6 2 2 3 2 3" xfId="19181" xr:uid="{00000000-0005-0000-0000-0000401C0000}"/>
    <cellStyle name="20% - Accent4 6 2 2 3 3" xfId="10812" xr:uid="{00000000-0005-0000-0000-0000411C0000}"/>
    <cellStyle name="20% - Accent4 6 2 2 3 3 2" xfId="24754" xr:uid="{00000000-0005-0000-0000-0000421C0000}"/>
    <cellStyle name="20% - Accent4 6 2 2 3 4" xfId="19180" xr:uid="{00000000-0005-0000-0000-0000431C0000}"/>
    <cellStyle name="20% - Accent4 6 2 2 4" xfId="1859" xr:uid="{00000000-0005-0000-0000-0000441C0000}"/>
    <cellStyle name="20% - Accent4 6 2 2 4 2" xfId="12372" xr:uid="{00000000-0005-0000-0000-0000451C0000}"/>
    <cellStyle name="20% - Accent4 6 2 2 4 2 2" xfId="26084" xr:uid="{00000000-0005-0000-0000-0000461C0000}"/>
    <cellStyle name="20% - Accent4 6 2 2 4 3" xfId="19182" xr:uid="{00000000-0005-0000-0000-0000471C0000}"/>
    <cellStyle name="20% - Accent4 6 2 2 5" xfId="1860" xr:uid="{00000000-0005-0000-0000-0000481C0000}"/>
    <cellStyle name="20% - Accent4 6 2 2 5 2" xfId="12414" xr:uid="{00000000-0005-0000-0000-0000491C0000}"/>
    <cellStyle name="20% - Accent4 6 2 2 5 2 2" xfId="26126" xr:uid="{00000000-0005-0000-0000-00004A1C0000}"/>
    <cellStyle name="20% - Accent4 6 2 2 5 3" xfId="19183" xr:uid="{00000000-0005-0000-0000-00004B1C0000}"/>
    <cellStyle name="20% - Accent4 6 2 2 6" xfId="1861" xr:uid="{00000000-0005-0000-0000-00004C1C0000}"/>
    <cellStyle name="20% - Accent4 6 2 2 6 2" xfId="13936" xr:uid="{00000000-0005-0000-0000-00004D1C0000}"/>
    <cellStyle name="20% - Accent4 6 2 2 6 2 2" xfId="27485" xr:uid="{00000000-0005-0000-0000-00004E1C0000}"/>
    <cellStyle name="20% - Accent4 6 2 2 6 3" xfId="19184" xr:uid="{00000000-0005-0000-0000-00004F1C0000}"/>
    <cellStyle name="20% - Accent4 6 2 2 7" xfId="1862" xr:uid="{00000000-0005-0000-0000-0000501C0000}"/>
    <cellStyle name="20% - Accent4 6 2 2 7 2" xfId="14517" xr:uid="{00000000-0005-0000-0000-0000511C0000}"/>
    <cellStyle name="20% - Accent4 6 2 2 7 2 2" xfId="28066" xr:uid="{00000000-0005-0000-0000-0000521C0000}"/>
    <cellStyle name="20% - Accent4 6 2 2 7 3" xfId="19185" xr:uid="{00000000-0005-0000-0000-0000531C0000}"/>
    <cellStyle name="20% - Accent4 6 2 2 8" xfId="1863" xr:uid="{00000000-0005-0000-0000-0000541C0000}"/>
    <cellStyle name="20% - Accent4 6 2 2 8 2" xfId="14932" xr:uid="{00000000-0005-0000-0000-0000551C0000}"/>
    <cellStyle name="20% - Accent4 6 2 2 8 2 2" xfId="28481" xr:uid="{00000000-0005-0000-0000-0000561C0000}"/>
    <cellStyle name="20% - Accent4 6 2 2 8 3" xfId="19186" xr:uid="{00000000-0005-0000-0000-0000571C0000}"/>
    <cellStyle name="20% - Accent4 6 2 2 9" xfId="1864" xr:uid="{00000000-0005-0000-0000-0000581C0000}"/>
    <cellStyle name="20% - Accent4 6 2 2 9 2" xfId="16403" xr:uid="{00000000-0005-0000-0000-0000591C0000}"/>
    <cellStyle name="20% - Accent4 6 2 2 9 2 2" xfId="29810" xr:uid="{00000000-0005-0000-0000-00005A1C0000}"/>
    <cellStyle name="20% - Accent4 6 2 2 9 3" xfId="19187" xr:uid="{00000000-0005-0000-0000-00005B1C0000}"/>
    <cellStyle name="20% - Accent4 6 2 3" xfId="1865" xr:uid="{00000000-0005-0000-0000-00005C1C0000}"/>
    <cellStyle name="20% - Accent4 6 2 3 2" xfId="1866" xr:uid="{00000000-0005-0000-0000-00005D1C0000}"/>
    <cellStyle name="20% - Accent4 6 2 3 2 2" xfId="10814" xr:uid="{00000000-0005-0000-0000-00005E1C0000}"/>
    <cellStyle name="20% - Accent4 6 2 3 2 2 2" xfId="24756" xr:uid="{00000000-0005-0000-0000-00005F1C0000}"/>
    <cellStyle name="20% - Accent4 6 2 3 2 3" xfId="19189" xr:uid="{00000000-0005-0000-0000-0000601C0000}"/>
    <cellStyle name="20% - Accent4 6 2 3 3" xfId="1867" xr:uid="{00000000-0005-0000-0000-0000611C0000}"/>
    <cellStyle name="20% - Accent4 6 2 3 3 2" xfId="12632" xr:uid="{00000000-0005-0000-0000-0000621C0000}"/>
    <cellStyle name="20% - Accent4 6 2 3 3 2 2" xfId="26344" xr:uid="{00000000-0005-0000-0000-0000631C0000}"/>
    <cellStyle name="20% - Accent4 6 2 3 3 3" xfId="19190" xr:uid="{00000000-0005-0000-0000-0000641C0000}"/>
    <cellStyle name="20% - Accent4 6 2 3 4" xfId="1868" xr:uid="{00000000-0005-0000-0000-0000651C0000}"/>
    <cellStyle name="20% - Accent4 6 2 3 4 2" xfId="14935" xr:uid="{00000000-0005-0000-0000-0000661C0000}"/>
    <cellStyle name="20% - Accent4 6 2 3 4 2 2" xfId="28484" xr:uid="{00000000-0005-0000-0000-0000671C0000}"/>
    <cellStyle name="20% - Accent4 6 2 3 4 3" xfId="19191" xr:uid="{00000000-0005-0000-0000-0000681C0000}"/>
    <cellStyle name="20% - Accent4 6 2 3 5" xfId="1869" xr:uid="{00000000-0005-0000-0000-0000691C0000}"/>
    <cellStyle name="20% - Accent4 6 2 3 5 2" xfId="16695" xr:uid="{00000000-0005-0000-0000-00006A1C0000}"/>
    <cellStyle name="20% - Accent4 6 2 3 5 2 2" xfId="30102" xr:uid="{00000000-0005-0000-0000-00006B1C0000}"/>
    <cellStyle name="20% - Accent4 6 2 3 5 3" xfId="19192" xr:uid="{00000000-0005-0000-0000-00006C1C0000}"/>
    <cellStyle name="20% - Accent4 6 2 3 6" xfId="9089" xr:uid="{00000000-0005-0000-0000-00006D1C0000}"/>
    <cellStyle name="20% - Accent4 6 2 3 6 2" xfId="23564" xr:uid="{00000000-0005-0000-0000-00006E1C0000}"/>
    <cellStyle name="20% - Accent4 6 2 3 7" xfId="19188" xr:uid="{00000000-0005-0000-0000-00006F1C0000}"/>
    <cellStyle name="20% - Accent4 6 2 4" xfId="1870" xr:uid="{00000000-0005-0000-0000-0000701C0000}"/>
    <cellStyle name="20% - Accent4 6 2 4 2" xfId="1871" xr:uid="{00000000-0005-0000-0000-0000711C0000}"/>
    <cellStyle name="20% - Accent4 6 2 4 2 2" xfId="14936" xr:uid="{00000000-0005-0000-0000-0000721C0000}"/>
    <cellStyle name="20% - Accent4 6 2 4 2 2 2" xfId="28485" xr:uid="{00000000-0005-0000-0000-0000731C0000}"/>
    <cellStyle name="20% - Accent4 6 2 4 2 3" xfId="19194" xr:uid="{00000000-0005-0000-0000-0000741C0000}"/>
    <cellStyle name="20% - Accent4 6 2 4 3" xfId="10811" xr:uid="{00000000-0005-0000-0000-0000751C0000}"/>
    <cellStyle name="20% - Accent4 6 2 4 3 2" xfId="24753" xr:uid="{00000000-0005-0000-0000-0000761C0000}"/>
    <cellStyle name="20% - Accent4 6 2 4 4" xfId="19193" xr:uid="{00000000-0005-0000-0000-0000771C0000}"/>
    <cellStyle name="20% - Accent4 6 2 5" xfId="1872" xr:uid="{00000000-0005-0000-0000-0000781C0000}"/>
    <cellStyle name="20% - Accent4 6 2 5 2" xfId="12072" xr:uid="{00000000-0005-0000-0000-0000791C0000}"/>
    <cellStyle name="20% - Accent4 6 2 5 2 2" xfId="25787" xr:uid="{00000000-0005-0000-0000-00007A1C0000}"/>
    <cellStyle name="20% - Accent4 6 2 5 3" xfId="19195" xr:uid="{00000000-0005-0000-0000-00007B1C0000}"/>
    <cellStyle name="20% - Accent4 6 2 6" xfId="1873" xr:uid="{00000000-0005-0000-0000-00007C1C0000}"/>
    <cellStyle name="20% - Accent4 6 2 6 2" xfId="12702" xr:uid="{00000000-0005-0000-0000-00007D1C0000}"/>
    <cellStyle name="20% - Accent4 6 2 6 2 2" xfId="26414" xr:uid="{00000000-0005-0000-0000-00007E1C0000}"/>
    <cellStyle name="20% - Accent4 6 2 6 3" xfId="19196" xr:uid="{00000000-0005-0000-0000-00007F1C0000}"/>
    <cellStyle name="20% - Accent4 6 2 7" xfId="1874" xr:uid="{00000000-0005-0000-0000-0000801C0000}"/>
    <cellStyle name="20% - Accent4 6 2 7 2" xfId="13647" xr:uid="{00000000-0005-0000-0000-0000811C0000}"/>
    <cellStyle name="20% - Accent4 6 2 7 2 2" xfId="27196" xr:uid="{00000000-0005-0000-0000-0000821C0000}"/>
    <cellStyle name="20% - Accent4 6 2 7 3" xfId="19197" xr:uid="{00000000-0005-0000-0000-0000831C0000}"/>
    <cellStyle name="20% - Accent4 6 2 8" xfId="1875" xr:uid="{00000000-0005-0000-0000-0000841C0000}"/>
    <cellStyle name="20% - Accent4 6 2 8 2" xfId="14228" xr:uid="{00000000-0005-0000-0000-0000851C0000}"/>
    <cellStyle name="20% - Accent4 6 2 8 2 2" xfId="27777" xr:uid="{00000000-0005-0000-0000-0000861C0000}"/>
    <cellStyle name="20% - Accent4 6 2 8 3" xfId="19198" xr:uid="{00000000-0005-0000-0000-0000871C0000}"/>
    <cellStyle name="20% - Accent4 6 2 9" xfId="1876" xr:uid="{00000000-0005-0000-0000-0000881C0000}"/>
    <cellStyle name="20% - Accent4 6 2 9 2" xfId="14931" xr:uid="{00000000-0005-0000-0000-0000891C0000}"/>
    <cellStyle name="20% - Accent4 6 2 9 2 2" xfId="28480" xr:uid="{00000000-0005-0000-0000-00008A1C0000}"/>
    <cellStyle name="20% - Accent4 6 2 9 3" xfId="19199" xr:uid="{00000000-0005-0000-0000-00008B1C0000}"/>
    <cellStyle name="20% - Accent4 6 3" xfId="1877" xr:uid="{00000000-0005-0000-0000-00008C1C0000}"/>
    <cellStyle name="20% - Accent4 6 3 10" xfId="9090" xr:uid="{00000000-0005-0000-0000-00008D1C0000}"/>
    <cellStyle name="20% - Accent4 6 3 10 2" xfId="23565" xr:uid="{00000000-0005-0000-0000-00008E1C0000}"/>
    <cellStyle name="20% - Accent4 6 3 11" xfId="19200" xr:uid="{00000000-0005-0000-0000-00008F1C0000}"/>
    <cellStyle name="20% - Accent4 6 3 2" xfId="1878" xr:uid="{00000000-0005-0000-0000-0000901C0000}"/>
    <cellStyle name="20% - Accent4 6 3 2 2" xfId="1879" xr:uid="{00000000-0005-0000-0000-0000911C0000}"/>
    <cellStyle name="20% - Accent4 6 3 2 2 2" xfId="10816" xr:uid="{00000000-0005-0000-0000-0000921C0000}"/>
    <cellStyle name="20% - Accent4 6 3 2 2 2 2" xfId="24758" xr:uid="{00000000-0005-0000-0000-0000931C0000}"/>
    <cellStyle name="20% - Accent4 6 3 2 2 3" xfId="19202" xr:uid="{00000000-0005-0000-0000-0000941C0000}"/>
    <cellStyle name="20% - Accent4 6 3 2 3" xfId="1880" xr:uid="{00000000-0005-0000-0000-0000951C0000}"/>
    <cellStyle name="20% - Accent4 6 3 2 3 2" xfId="12401" xr:uid="{00000000-0005-0000-0000-0000961C0000}"/>
    <cellStyle name="20% - Accent4 6 3 2 3 2 2" xfId="26113" xr:uid="{00000000-0005-0000-0000-0000971C0000}"/>
    <cellStyle name="20% - Accent4 6 3 2 3 3" xfId="19203" xr:uid="{00000000-0005-0000-0000-0000981C0000}"/>
    <cellStyle name="20% - Accent4 6 3 2 4" xfId="1881" xr:uid="{00000000-0005-0000-0000-0000991C0000}"/>
    <cellStyle name="20% - Accent4 6 3 2 4 2" xfId="14938" xr:uid="{00000000-0005-0000-0000-00009A1C0000}"/>
    <cellStyle name="20% - Accent4 6 3 2 4 2 2" xfId="28487" xr:uid="{00000000-0005-0000-0000-00009B1C0000}"/>
    <cellStyle name="20% - Accent4 6 3 2 4 3" xfId="19204" xr:uid="{00000000-0005-0000-0000-00009C1C0000}"/>
    <cellStyle name="20% - Accent4 6 3 2 5" xfId="1882" xr:uid="{00000000-0005-0000-0000-00009D1C0000}"/>
    <cellStyle name="20% - Accent4 6 3 2 5 2" xfId="16841" xr:uid="{00000000-0005-0000-0000-00009E1C0000}"/>
    <cellStyle name="20% - Accent4 6 3 2 5 2 2" xfId="30248" xr:uid="{00000000-0005-0000-0000-00009F1C0000}"/>
    <cellStyle name="20% - Accent4 6 3 2 5 3" xfId="19205" xr:uid="{00000000-0005-0000-0000-0000A01C0000}"/>
    <cellStyle name="20% - Accent4 6 3 2 6" xfId="9091" xr:uid="{00000000-0005-0000-0000-0000A11C0000}"/>
    <cellStyle name="20% - Accent4 6 3 2 6 2" xfId="23566" xr:uid="{00000000-0005-0000-0000-0000A21C0000}"/>
    <cellStyle name="20% - Accent4 6 3 2 7" xfId="19201" xr:uid="{00000000-0005-0000-0000-0000A31C0000}"/>
    <cellStyle name="20% - Accent4 6 3 3" xfId="1883" xr:uid="{00000000-0005-0000-0000-0000A41C0000}"/>
    <cellStyle name="20% - Accent4 6 3 3 2" xfId="1884" xr:uid="{00000000-0005-0000-0000-0000A51C0000}"/>
    <cellStyle name="20% - Accent4 6 3 3 2 2" xfId="14939" xr:uid="{00000000-0005-0000-0000-0000A61C0000}"/>
    <cellStyle name="20% - Accent4 6 3 3 2 2 2" xfId="28488" xr:uid="{00000000-0005-0000-0000-0000A71C0000}"/>
    <cellStyle name="20% - Accent4 6 3 3 2 3" xfId="19207" xr:uid="{00000000-0005-0000-0000-0000A81C0000}"/>
    <cellStyle name="20% - Accent4 6 3 3 3" xfId="10815" xr:uid="{00000000-0005-0000-0000-0000A91C0000}"/>
    <cellStyle name="20% - Accent4 6 3 3 3 2" xfId="24757" xr:uid="{00000000-0005-0000-0000-0000AA1C0000}"/>
    <cellStyle name="20% - Accent4 6 3 3 4" xfId="19206" xr:uid="{00000000-0005-0000-0000-0000AB1C0000}"/>
    <cellStyle name="20% - Accent4 6 3 4" xfId="1885" xr:uid="{00000000-0005-0000-0000-0000AC1C0000}"/>
    <cellStyle name="20% - Accent4 6 3 4 2" xfId="12229" xr:uid="{00000000-0005-0000-0000-0000AD1C0000}"/>
    <cellStyle name="20% - Accent4 6 3 4 2 2" xfId="25941" xr:uid="{00000000-0005-0000-0000-0000AE1C0000}"/>
    <cellStyle name="20% - Accent4 6 3 4 3" xfId="19208" xr:uid="{00000000-0005-0000-0000-0000AF1C0000}"/>
    <cellStyle name="20% - Accent4 6 3 5" xfId="1886" xr:uid="{00000000-0005-0000-0000-0000B01C0000}"/>
    <cellStyle name="20% - Accent4 6 3 5 2" xfId="11788" xr:uid="{00000000-0005-0000-0000-0000B11C0000}"/>
    <cellStyle name="20% - Accent4 6 3 5 2 2" xfId="25503" xr:uid="{00000000-0005-0000-0000-0000B21C0000}"/>
    <cellStyle name="20% - Accent4 6 3 5 3" xfId="19209" xr:uid="{00000000-0005-0000-0000-0000B31C0000}"/>
    <cellStyle name="20% - Accent4 6 3 6" xfId="1887" xr:uid="{00000000-0005-0000-0000-0000B41C0000}"/>
    <cellStyle name="20% - Accent4 6 3 6 2" xfId="13793" xr:uid="{00000000-0005-0000-0000-0000B51C0000}"/>
    <cellStyle name="20% - Accent4 6 3 6 2 2" xfId="27342" xr:uid="{00000000-0005-0000-0000-0000B61C0000}"/>
    <cellStyle name="20% - Accent4 6 3 6 3" xfId="19210" xr:uid="{00000000-0005-0000-0000-0000B71C0000}"/>
    <cellStyle name="20% - Accent4 6 3 7" xfId="1888" xr:uid="{00000000-0005-0000-0000-0000B81C0000}"/>
    <cellStyle name="20% - Accent4 6 3 7 2" xfId="14374" xr:uid="{00000000-0005-0000-0000-0000B91C0000}"/>
    <cellStyle name="20% - Accent4 6 3 7 2 2" xfId="27923" xr:uid="{00000000-0005-0000-0000-0000BA1C0000}"/>
    <cellStyle name="20% - Accent4 6 3 7 3" xfId="19211" xr:uid="{00000000-0005-0000-0000-0000BB1C0000}"/>
    <cellStyle name="20% - Accent4 6 3 8" xfId="1889" xr:uid="{00000000-0005-0000-0000-0000BC1C0000}"/>
    <cellStyle name="20% - Accent4 6 3 8 2" xfId="14937" xr:uid="{00000000-0005-0000-0000-0000BD1C0000}"/>
    <cellStyle name="20% - Accent4 6 3 8 2 2" xfId="28486" xr:uid="{00000000-0005-0000-0000-0000BE1C0000}"/>
    <cellStyle name="20% - Accent4 6 3 8 3" xfId="19212" xr:uid="{00000000-0005-0000-0000-0000BF1C0000}"/>
    <cellStyle name="20% - Accent4 6 3 9" xfId="1890" xr:uid="{00000000-0005-0000-0000-0000C01C0000}"/>
    <cellStyle name="20% - Accent4 6 3 9 2" xfId="16260" xr:uid="{00000000-0005-0000-0000-0000C11C0000}"/>
    <cellStyle name="20% - Accent4 6 3 9 2 2" xfId="29667" xr:uid="{00000000-0005-0000-0000-0000C21C0000}"/>
    <cellStyle name="20% - Accent4 6 3 9 3" xfId="19213" xr:uid="{00000000-0005-0000-0000-0000C31C0000}"/>
    <cellStyle name="20% - Accent4 6 4" xfId="1891" xr:uid="{00000000-0005-0000-0000-0000C41C0000}"/>
    <cellStyle name="20% - Accent4 6 4 2" xfId="1892" xr:uid="{00000000-0005-0000-0000-0000C51C0000}"/>
    <cellStyle name="20% - Accent4 6 4 2 2" xfId="10817" xr:uid="{00000000-0005-0000-0000-0000C61C0000}"/>
    <cellStyle name="20% - Accent4 6 4 2 2 2" xfId="24759" xr:uid="{00000000-0005-0000-0000-0000C71C0000}"/>
    <cellStyle name="20% - Accent4 6 4 2 3" xfId="19215" xr:uid="{00000000-0005-0000-0000-0000C81C0000}"/>
    <cellStyle name="20% - Accent4 6 4 3" xfId="1893" xr:uid="{00000000-0005-0000-0000-0000C91C0000}"/>
    <cellStyle name="20% - Accent4 6 4 3 2" xfId="12106" xr:uid="{00000000-0005-0000-0000-0000CA1C0000}"/>
    <cellStyle name="20% - Accent4 6 4 3 2 2" xfId="25818" xr:uid="{00000000-0005-0000-0000-0000CB1C0000}"/>
    <cellStyle name="20% - Accent4 6 4 3 3" xfId="19216" xr:uid="{00000000-0005-0000-0000-0000CC1C0000}"/>
    <cellStyle name="20% - Accent4 6 4 4" xfId="1894" xr:uid="{00000000-0005-0000-0000-0000CD1C0000}"/>
    <cellStyle name="20% - Accent4 6 4 4 2" xfId="14940" xr:uid="{00000000-0005-0000-0000-0000CE1C0000}"/>
    <cellStyle name="20% - Accent4 6 4 4 2 2" xfId="28489" xr:uid="{00000000-0005-0000-0000-0000CF1C0000}"/>
    <cellStyle name="20% - Accent4 6 4 4 3" xfId="19217" xr:uid="{00000000-0005-0000-0000-0000D01C0000}"/>
    <cellStyle name="20% - Accent4 6 4 5" xfId="1895" xr:uid="{00000000-0005-0000-0000-0000D11C0000}"/>
    <cellStyle name="20% - Accent4 6 4 5 2" xfId="16552" xr:uid="{00000000-0005-0000-0000-0000D21C0000}"/>
    <cellStyle name="20% - Accent4 6 4 5 2 2" xfId="29959" xr:uid="{00000000-0005-0000-0000-0000D31C0000}"/>
    <cellStyle name="20% - Accent4 6 4 5 3" xfId="19218" xr:uid="{00000000-0005-0000-0000-0000D41C0000}"/>
    <cellStyle name="20% - Accent4 6 4 6" xfId="9092" xr:uid="{00000000-0005-0000-0000-0000D51C0000}"/>
    <cellStyle name="20% - Accent4 6 4 6 2" xfId="23567" xr:uid="{00000000-0005-0000-0000-0000D61C0000}"/>
    <cellStyle name="20% - Accent4 6 4 7" xfId="19214" xr:uid="{00000000-0005-0000-0000-0000D71C0000}"/>
    <cellStyle name="20% - Accent4 6 5" xfId="1896" xr:uid="{00000000-0005-0000-0000-0000D81C0000}"/>
    <cellStyle name="20% - Accent4 6 5 2" xfId="1897" xr:uid="{00000000-0005-0000-0000-0000D91C0000}"/>
    <cellStyle name="20% - Accent4 6 5 2 2" xfId="14941" xr:uid="{00000000-0005-0000-0000-0000DA1C0000}"/>
    <cellStyle name="20% - Accent4 6 5 2 2 2" xfId="28490" xr:uid="{00000000-0005-0000-0000-0000DB1C0000}"/>
    <cellStyle name="20% - Accent4 6 5 2 3" xfId="19220" xr:uid="{00000000-0005-0000-0000-0000DC1C0000}"/>
    <cellStyle name="20% - Accent4 6 5 3" xfId="10810" xr:uid="{00000000-0005-0000-0000-0000DD1C0000}"/>
    <cellStyle name="20% - Accent4 6 5 3 2" xfId="24752" xr:uid="{00000000-0005-0000-0000-0000DE1C0000}"/>
    <cellStyle name="20% - Accent4 6 5 4" xfId="19219" xr:uid="{00000000-0005-0000-0000-0000DF1C0000}"/>
    <cellStyle name="20% - Accent4 6 6" xfId="1898" xr:uid="{00000000-0005-0000-0000-0000E01C0000}"/>
    <cellStyle name="20% - Accent4 6 6 2" xfId="11927" xr:uid="{00000000-0005-0000-0000-0000E11C0000}"/>
    <cellStyle name="20% - Accent4 6 6 2 2" xfId="25642" xr:uid="{00000000-0005-0000-0000-0000E21C0000}"/>
    <cellStyle name="20% - Accent4 6 6 3" xfId="19221" xr:uid="{00000000-0005-0000-0000-0000E31C0000}"/>
    <cellStyle name="20% - Accent4 6 7" xfId="1899" xr:uid="{00000000-0005-0000-0000-0000E41C0000}"/>
    <cellStyle name="20% - Accent4 6 7 2" xfId="12407" xr:uid="{00000000-0005-0000-0000-0000E51C0000}"/>
    <cellStyle name="20% - Accent4 6 7 2 2" xfId="26119" xr:uid="{00000000-0005-0000-0000-0000E61C0000}"/>
    <cellStyle name="20% - Accent4 6 7 3" xfId="19222" xr:uid="{00000000-0005-0000-0000-0000E71C0000}"/>
    <cellStyle name="20% - Accent4 6 8" xfId="1900" xr:uid="{00000000-0005-0000-0000-0000E81C0000}"/>
    <cellStyle name="20% - Accent4 6 8 2" xfId="13504" xr:uid="{00000000-0005-0000-0000-0000E91C0000}"/>
    <cellStyle name="20% - Accent4 6 8 2 2" xfId="27053" xr:uid="{00000000-0005-0000-0000-0000EA1C0000}"/>
    <cellStyle name="20% - Accent4 6 8 3" xfId="19223" xr:uid="{00000000-0005-0000-0000-0000EB1C0000}"/>
    <cellStyle name="20% - Accent4 6 9" xfId="1901" xr:uid="{00000000-0005-0000-0000-0000EC1C0000}"/>
    <cellStyle name="20% - Accent4 6 9 2" xfId="14085" xr:uid="{00000000-0005-0000-0000-0000ED1C0000}"/>
    <cellStyle name="20% - Accent4 6 9 2 2" xfId="27634" xr:uid="{00000000-0005-0000-0000-0000EE1C0000}"/>
    <cellStyle name="20% - Accent4 6 9 3" xfId="19224" xr:uid="{00000000-0005-0000-0000-0000EF1C0000}"/>
    <cellStyle name="20% - Accent4 7" xfId="1902" xr:uid="{00000000-0005-0000-0000-0000F01C0000}"/>
    <cellStyle name="20% - Accent4 7 10" xfId="1903" xr:uid="{00000000-0005-0000-0000-0000F11C0000}"/>
    <cellStyle name="20% - Accent4 7 10 2" xfId="15994" xr:uid="{00000000-0005-0000-0000-0000F21C0000}"/>
    <cellStyle name="20% - Accent4 7 10 2 2" xfId="29401" xr:uid="{00000000-0005-0000-0000-0000F31C0000}"/>
    <cellStyle name="20% - Accent4 7 10 3" xfId="19226" xr:uid="{00000000-0005-0000-0000-0000F41C0000}"/>
    <cellStyle name="20% - Accent4 7 11" xfId="9093" xr:uid="{00000000-0005-0000-0000-0000F51C0000}"/>
    <cellStyle name="20% - Accent4 7 11 2" xfId="23568" xr:uid="{00000000-0005-0000-0000-0000F61C0000}"/>
    <cellStyle name="20% - Accent4 7 12" xfId="19225" xr:uid="{00000000-0005-0000-0000-0000F71C0000}"/>
    <cellStyle name="20% - Accent4 7 2" xfId="1904" xr:uid="{00000000-0005-0000-0000-0000F81C0000}"/>
    <cellStyle name="20% - Accent4 7 2 10" xfId="9094" xr:uid="{00000000-0005-0000-0000-0000F91C0000}"/>
    <cellStyle name="20% - Accent4 7 2 10 2" xfId="23569" xr:uid="{00000000-0005-0000-0000-0000FA1C0000}"/>
    <cellStyle name="20% - Accent4 7 2 11" xfId="19227" xr:uid="{00000000-0005-0000-0000-0000FB1C0000}"/>
    <cellStyle name="20% - Accent4 7 2 2" xfId="1905" xr:uid="{00000000-0005-0000-0000-0000FC1C0000}"/>
    <cellStyle name="20% - Accent4 7 2 2 2" xfId="1906" xr:uid="{00000000-0005-0000-0000-0000FD1C0000}"/>
    <cellStyle name="20% - Accent4 7 2 2 2 2" xfId="10820" xr:uid="{00000000-0005-0000-0000-0000FE1C0000}"/>
    <cellStyle name="20% - Accent4 7 2 2 2 2 2" xfId="24762" xr:uid="{00000000-0005-0000-0000-0000FF1C0000}"/>
    <cellStyle name="20% - Accent4 7 2 2 2 3" xfId="19229" xr:uid="{00000000-0005-0000-0000-0000001D0000}"/>
    <cellStyle name="20% - Accent4 7 2 2 3" xfId="1907" xr:uid="{00000000-0005-0000-0000-0000011D0000}"/>
    <cellStyle name="20% - Accent4 7 2 2 3 2" xfId="12411" xr:uid="{00000000-0005-0000-0000-0000021D0000}"/>
    <cellStyle name="20% - Accent4 7 2 2 3 2 2" xfId="26123" xr:uid="{00000000-0005-0000-0000-0000031D0000}"/>
    <cellStyle name="20% - Accent4 7 2 2 3 3" xfId="19230" xr:uid="{00000000-0005-0000-0000-0000041D0000}"/>
    <cellStyle name="20% - Accent4 7 2 2 4" xfId="1908" xr:uid="{00000000-0005-0000-0000-0000051D0000}"/>
    <cellStyle name="20% - Accent4 7 2 2 4 2" xfId="14944" xr:uid="{00000000-0005-0000-0000-0000061D0000}"/>
    <cellStyle name="20% - Accent4 7 2 2 4 2 2" xfId="28493" xr:uid="{00000000-0005-0000-0000-0000071D0000}"/>
    <cellStyle name="20% - Accent4 7 2 2 4 3" xfId="19231" xr:uid="{00000000-0005-0000-0000-0000081D0000}"/>
    <cellStyle name="20% - Accent4 7 2 2 5" xfId="1909" xr:uid="{00000000-0005-0000-0000-0000091D0000}"/>
    <cellStyle name="20% - Accent4 7 2 2 5 2" xfId="16864" xr:uid="{00000000-0005-0000-0000-00000A1D0000}"/>
    <cellStyle name="20% - Accent4 7 2 2 5 2 2" xfId="30271" xr:uid="{00000000-0005-0000-0000-00000B1D0000}"/>
    <cellStyle name="20% - Accent4 7 2 2 5 3" xfId="19232" xr:uid="{00000000-0005-0000-0000-00000C1D0000}"/>
    <cellStyle name="20% - Accent4 7 2 2 6" xfId="9095" xr:uid="{00000000-0005-0000-0000-00000D1D0000}"/>
    <cellStyle name="20% - Accent4 7 2 2 6 2" xfId="23570" xr:uid="{00000000-0005-0000-0000-00000E1D0000}"/>
    <cellStyle name="20% - Accent4 7 2 2 7" xfId="19228" xr:uid="{00000000-0005-0000-0000-00000F1D0000}"/>
    <cellStyle name="20% - Accent4 7 2 3" xfId="1910" xr:uid="{00000000-0005-0000-0000-0000101D0000}"/>
    <cellStyle name="20% - Accent4 7 2 3 2" xfId="1911" xr:uid="{00000000-0005-0000-0000-0000111D0000}"/>
    <cellStyle name="20% - Accent4 7 2 3 2 2" xfId="14945" xr:uid="{00000000-0005-0000-0000-0000121D0000}"/>
    <cellStyle name="20% - Accent4 7 2 3 2 2 2" xfId="28494" xr:uid="{00000000-0005-0000-0000-0000131D0000}"/>
    <cellStyle name="20% - Accent4 7 2 3 2 3" xfId="19234" xr:uid="{00000000-0005-0000-0000-0000141D0000}"/>
    <cellStyle name="20% - Accent4 7 2 3 3" xfId="10819" xr:uid="{00000000-0005-0000-0000-0000151D0000}"/>
    <cellStyle name="20% - Accent4 7 2 3 3 2" xfId="24761" xr:uid="{00000000-0005-0000-0000-0000161D0000}"/>
    <cellStyle name="20% - Accent4 7 2 3 4" xfId="19233" xr:uid="{00000000-0005-0000-0000-0000171D0000}"/>
    <cellStyle name="20% - Accent4 7 2 4" xfId="1912" xr:uid="{00000000-0005-0000-0000-0000181D0000}"/>
    <cellStyle name="20% - Accent4 7 2 4 2" xfId="12252" xr:uid="{00000000-0005-0000-0000-0000191D0000}"/>
    <cellStyle name="20% - Accent4 7 2 4 2 2" xfId="25964" xr:uid="{00000000-0005-0000-0000-00001A1D0000}"/>
    <cellStyle name="20% - Accent4 7 2 4 3" xfId="19235" xr:uid="{00000000-0005-0000-0000-00001B1D0000}"/>
    <cellStyle name="20% - Accent4 7 2 5" xfId="1913" xr:uid="{00000000-0005-0000-0000-00001C1D0000}"/>
    <cellStyle name="20% - Accent4 7 2 5 2" xfId="12733" xr:uid="{00000000-0005-0000-0000-00001D1D0000}"/>
    <cellStyle name="20% - Accent4 7 2 5 2 2" xfId="26445" xr:uid="{00000000-0005-0000-0000-00001E1D0000}"/>
    <cellStyle name="20% - Accent4 7 2 5 3" xfId="19236" xr:uid="{00000000-0005-0000-0000-00001F1D0000}"/>
    <cellStyle name="20% - Accent4 7 2 6" xfId="1914" xr:uid="{00000000-0005-0000-0000-0000201D0000}"/>
    <cellStyle name="20% - Accent4 7 2 6 2" xfId="13816" xr:uid="{00000000-0005-0000-0000-0000211D0000}"/>
    <cellStyle name="20% - Accent4 7 2 6 2 2" xfId="27365" xr:uid="{00000000-0005-0000-0000-0000221D0000}"/>
    <cellStyle name="20% - Accent4 7 2 6 3" xfId="19237" xr:uid="{00000000-0005-0000-0000-0000231D0000}"/>
    <cellStyle name="20% - Accent4 7 2 7" xfId="1915" xr:uid="{00000000-0005-0000-0000-0000241D0000}"/>
    <cellStyle name="20% - Accent4 7 2 7 2" xfId="14397" xr:uid="{00000000-0005-0000-0000-0000251D0000}"/>
    <cellStyle name="20% - Accent4 7 2 7 2 2" xfId="27946" xr:uid="{00000000-0005-0000-0000-0000261D0000}"/>
    <cellStyle name="20% - Accent4 7 2 7 3" xfId="19238" xr:uid="{00000000-0005-0000-0000-0000271D0000}"/>
    <cellStyle name="20% - Accent4 7 2 8" xfId="1916" xr:uid="{00000000-0005-0000-0000-0000281D0000}"/>
    <cellStyle name="20% - Accent4 7 2 8 2" xfId="14943" xr:uid="{00000000-0005-0000-0000-0000291D0000}"/>
    <cellStyle name="20% - Accent4 7 2 8 2 2" xfId="28492" xr:uid="{00000000-0005-0000-0000-00002A1D0000}"/>
    <cellStyle name="20% - Accent4 7 2 8 3" xfId="19239" xr:uid="{00000000-0005-0000-0000-00002B1D0000}"/>
    <cellStyle name="20% - Accent4 7 2 9" xfId="1917" xr:uid="{00000000-0005-0000-0000-00002C1D0000}"/>
    <cellStyle name="20% - Accent4 7 2 9 2" xfId="16283" xr:uid="{00000000-0005-0000-0000-00002D1D0000}"/>
    <cellStyle name="20% - Accent4 7 2 9 2 2" xfId="29690" xr:uid="{00000000-0005-0000-0000-00002E1D0000}"/>
    <cellStyle name="20% - Accent4 7 2 9 3" xfId="19240" xr:uid="{00000000-0005-0000-0000-00002F1D0000}"/>
    <cellStyle name="20% - Accent4 7 3" xfId="1918" xr:uid="{00000000-0005-0000-0000-0000301D0000}"/>
    <cellStyle name="20% - Accent4 7 3 2" xfId="1919" xr:uid="{00000000-0005-0000-0000-0000311D0000}"/>
    <cellStyle name="20% - Accent4 7 3 2 2" xfId="10821" xr:uid="{00000000-0005-0000-0000-0000321D0000}"/>
    <cellStyle name="20% - Accent4 7 3 2 2 2" xfId="24763" xr:uid="{00000000-0005-0000-0000-0000331D0000}"/>
    <cellStyle name="20% - Accent4 7 3 2 3" xfId="19242" xr:uid="{00000000-0005-0000-0000-0000341D0000}"/>
    <cellStyle name="20% - Accent4 7 3 3" xfId="1920" xr:uid="{00000000-0005-0000-0000-0000351D0000}"/>
    <cellStyle name="20% - Accent4 7 3 3 2" xfId="12600" xr:uid="{00000000-0005-0000-0000-0000361D0000}"/>
    <cellStyle name="20% - Accent4 7 3 3 2 2" xfId="26312" xr:uid="{00000000-0005-0000-0000-0000371D0000}"/>
    <cellStyle name="20% - Accent4 7 3 3 3" xfId="19243" xr:uid="{00000000-0005-0000-0000-0000381D0000}"/>
    <cellStyle name="20% - Accent4 7 3 4" xfId="1921" xr:uid="{00000000-0005-0000-0000-0000391D0000}"/>
    <cellStyle name="20% - Accent4 7 3 4 2" xfId="14946" xr:uid="{00000000-0005-0000-0000-00003A1D0000}"/>
    <cellStyle name="20% - Accent4 7 3 4 2 2" xfId="28495" xr:uid="{00000000-0005-0000-0000-00003B1D0000}"/>
    <cellStyle name="20% - Accent4 7 3 4 3" xfId="19244" xr:uid="{00000000-0005-0000-0000-00003C1D0000}"/>
    <cellStyle name="20% - Accent4 7 3 5" xfId="1922" xr:uid="{00000000-0005-0000-0000-00003D1D0000}"/>
    <cellStyle name="20% - Accent4 7 3 5 2" xfId="16575" xr:uid="{00000000-0005-0000-0000-00003E1D0000}"/>
    <cellStyle name="20% - Accent4 7 3 5 2 2" xfId="29982" xr:uid="{00000000-0005-0000-0000-00003F1D0000}"/>
    <cellStyle name="20% - Accent4 7 3 5 3" xfId="19245" xr:uid="{00000000-0005-0000-0000-0000401D0000}"/>
    <cellStyle name="20% - Accent4 7 3 6" xfId="9096" xr:uid="{00000000-0005-0000-0000-0000411D0000}"/>
    <cellStyle name="20% - Accent4 7 3 6 2" xfId="23571" xr:uid="{00000000-0005-0000-0000-0000421D0000}"/>
    <cellStyle name="20% - Accent4 7 3 7" xfId="19241" xr:uid="{00000000-0005-0000-0000-0000431D0000}"/>
    <cellStyle name="20% - Accent4 7 4" xfId="1923" xr:uid="{00000000-0005-0000-0000-0000441D0000}"/>
    <cellStyle name="20% - Accent4 7 4 2" xfId="1924" xr:uid="{00000000-0005-0000-0000-0000451D0000}"/>
    <cellStyle name="20% - Accent4 7 4 2 2" xfId="14947" xr:uid="{00000000-0005-0000-0000-0000461D0000}"/>
    <cellStyle name="20% - Accent4 7 4 2 2 2" xfId="28496" xr:uid="{00000000-0005-0000-0000-0000471D0000}"/>
    <cellStyle name="20% - Accent4 7 4 2 3" xfId="19247" xr:uid="{00000000-0005-0000-0000-0000481D0000}"/>
    <cellStyle name="20% - Accent4 7 4 3" xfId="10818" xr:uid="{00000000-0005-0000-0000-0000491D0000}"/>
    <cellStyle name="20% - Accent4 7 4 3 2" xfId="24760" xr:uid="{00000000-0005-0000-0000-00004A1D0000}"/>
    <cellStyle name="20% - Accent4 7 4 4" xfId="19246" xr:uid="{00000000-0005-0000-0000-00004B1D0000}"/>
    <cellStyle name="20% - Accent4 7 5" xfId="1925" xr:uid="{00000000-0005-0000-0000-00004C1D0000}"/>
    <cellStyle name="20% - Accent4 7 5 2" xfId="11950" xr:uid="{00000000-0005-0000-0000-00004D1D0000}"/>
    <cellStyle name="20% - Accent4 7 5 2 2" xfId="25665" xr:uid="{00000000-0005-0000-0000-00004E1D0000}"/>
    <cellStyle name="20% - Accent4 7 5 3" xfId="19248" xr:uid="{00000000-0005-0000-0000-00004F1D0000}"/>
    <cellStyle name="20% - Accent4 7 6" xfId="1926" xr:uid="{00000000-0005-0000-0000-0000501D0000}"/>
    <cellStyle name="20% - Accent4 7 6 2" xfId="12761" xr:uid="{00000000-0005-0000-0000-0000511D0000}"/>
    <cellStyle name="20% - Accent4 7 6 2 2" xfId="26473" xr:uid="{00000000-0005-0000-0000-0000521D0000}"/>
    <cellStyle name="20% - Accent4 7 6 3" xfId="19249" xr:uid="{00000000-0005-0000-0000-0000531D0000}"/>
    <cellStyle name="20% - Accent4 7 7" xfId="1927" xr:uid="{00000000-0005-0000-0000-0000541D0000}"/>
    <cellStyle name="20% - Accent4 7 7 2" xfId="13527" xr:uid="{00000000-0005-0000-0000-0000551D0000}"/>
    <cellStyle name="20% - Accent4 7 7 2 2" xfId="27076" xr:uid="{00000000-0005-0000-0000-0000561D0000}"/>
    <cellStyle name="20% - Accent4 7 7 3" xfId="19250" xr:uid="{00000000-0005-0000-0000-0000571D0000}"/>
    <cellStyle name="20% - Accent4 7 8" xfId="1928" xr:uid="{00000000-0005-0000-0000-0000581D0000}"/>
    <cellStyle name="20% - Accent4 7 8 2" xfId="14108" xr:uid="{00000000-0005-0000-0000-0000591D0000}"/>
    <cellStyle name="20% - Accent4 7 8 2 2" xfId="27657" xr:uid="{00000000-0005-0000-0000-00005A1D0000}"/>
    <cellStyle name="20% - Accent4 7 8 3" xfId="19251" xr:uid="{00000000-0005-0000-0000-00005B1D0000}"/>
    <cellStyle name="20% - Accent4 7 9" xfId="1929" xr:uid="{00000000-0005-0000-0000-00005C1D0000}"/>
    <cellStyle name="20% - Accent4 7 9 2" xfId="14942" xr:uid="{00000000-0005-0000-0000-00005D1D0000}"/>
    <cellStyle name="20% - Accent4 7 9 2 2" xfId="28491" xr:uid="{00000000-0005-0000-0000-00005E1D0000}"/>
    <cellStyle name="20% - Accent4 7 9 3" xfId="19252" xr:uid="{00000000-0005-0000-0000-00005F1D0000}"/>
    <cellStyle name="20% - Accent4 8" xfId="1930" xr:uid="{00000000-0005-0000-0000-0000601D0000}"/>
    <cellStyle name="20% - Accent4 8 10" xfId="9097" xr:uid="{00000000-0005-0000-0000-0000611D0000}"/>
    <cellStyle name="20% - Accent4 8 10 2" xfId="23572" xr:uid="{00000000-0005-0000-0000-0000621D0000}"/>
    <cellStyle name="20% - Accent4 8 11" xfId="19253" xr:uid="{00000000-0005-0000-0000-0000631D0000}"/>
    <cellStyle name="20% - Accent4 8 2" xfId="1931" xr:uid="{00000000-0005-0000-0000-0000641D0000}"/>
    <cellStyle name="20% - Accent4 8 2 2" xfId="1932" xr:uid="{00000000-0005-0000-0000-0000651D0000}"/>
    <cellStyle name="20% - Accent4 8 2 2 2" xfId="10823" xr:uid="{00000000-0005-0000-0000-0000661D0000}"/>
    <cellStyle name="20% - Accent4 8 2 2 2 2" xfId="24765" xr:uid="{00000000-0005-0000-0000-0000671D0000}"/>
    <cellStyle name="20% - Accent4 8 2 2 3" xfId="19255" xr:uid="{00000000-0005-0000-0000-0000681D0000}"/>
    <cellStyle name="20% - Accent4 8 2 3" xfId="1933" xr:uid="{00000000-0005-0000-0000-0000691D0000}"/>
    <cellStyle name="20% - Accent4 8 2 3 2" xfId="12724" xr:uid="{00000000-0005-0000-0000-00006A1D0000}"/>
    <cellStyle name="20% - Accent4 8 2 3 2 2" xfId="26436" xr:uid="{00000000-0005-0000-0000-00006B1D0000}"/>
    <cellStyle name="20% - Accent4 8 2 3 3" xfId="19256" xr:uid="{00000000-0005-0000-0000-00006C1D0000}"/>
    <cellStyle name="20% - Accent4 8 2 4" xfId="1934" xr:uid="{00000000-0005-0000-0000-00006D1D0000}"/>
    <cellStyle name="20% - Accent4 8 2 4 2" xfId="14949" xr:uid="{00000000-0005-0000-0000-00006E1D0000}"/>
    <cellStyle name="20% - Accent4 8 2 4 2 2" xfId="28498" xr:uid="{00000000-0005-0000-0000-00006F1D0000}"/>
    <cellStyle name="20% - Accent4 8 2 4 3" xfId="19257" xr:uid="{00000000-0005-0000-0000-0000701D0000}"/>
    <cellStyle name="20% - Accent4 8 2 5" xfId="1935" xr:uid="{00000000-0005-0000-0000-0000711D0000}"/>
    <cellStyle name="20% - Accent4 8 2 5 2" xfId="16715" xr:uid="{00000000-0005-0000-0000-0000721D0000}"/>
    <cellStyle name="20% - Accent4 8 2 5 2 2" xfId="30122" xr:uid="{00000000-0005-0000-0000-0000731D0000}"/>
    <cellStyle name="20% - Accent4 8 2 5 3" xfId="19258" xr:uid="{00000000-0005-0000-0000-0000741D0000}"/>
    <cellStyle name="20% - Accent4 8 2 6" xfId="9098" xr:uid="{00000000-0005-0000-0000-0000751D0000}"/>
    <cellStyle name="20% - Accent4 8 2 6 2" xfId="23573" xr:uid="{00000000-0005-0000-0000-0000761D0000}"/>
    <cellStyle name="20% - Accent4 8 2 7" xfId="19254" xr:uid="{00000000-0005-0000-0000-0000771D0000}"/>
    <cellStyle name="20% - Accent4 8 3" xfId="1936" xr:uid="{00000000-0005-0000-0000-0000781D0000}"/>
    <cellStyle name="20% - Accent4 8 3 2" xfId="1937" xr:uid="{00000000-0005-0000-0000-0000791D0000}"/>
    <cellStyle name="20% - Accent4 8 3 2 2" xfId="14950" xr:uid="{00000000-0005-0000-0000-00007A1D0000}"/>
    <cellStyle name="20% - Accent4 8 3 2 2 2" xfId="28499" xr:uid="{00000000-0005-0000-0000-00007B1D0000}"/>
    <cellStyle name="20% - Accent4 8 3 2 3" xfId="19260" xr:uid="{00000000-0005-0000-0000-00007C1D0000}"/>
    <cellStyle name="20% - Accent4 8 3 3" xfId="10822" xr:uid="{00000000-0005-0000-0000-00007D1D0000}"/>
    <cellStyle name="20% - Accent4 8 3 3 2" xfId="24764" xr:uid="{00000000-0005-0000-0000-00007E1D0000}"/>
    <cellStyle name="20% - Accent4 8 3 4" xfId="19259" xr:uid="{00000000-0005-0000-0000-00007F1D0000}"/>
    <cellStyle name="20% - Accent4 8 4" xfId="1938" xr:uid="{00000000-0005-0000-0000-0000801D0000}"/>
    <cellStyle name="20% - Accent4 8 4 2" xfId="12093" xr:uid="{00000000-0005-0000-0000-0000811D0000}"/>
    <cellStyle name="20% - Accent4 8 4 2 2" xfId="25807" xr:uid="{00000000-0005-0000-0000-0000821D0000}"/>
    <cellStyle name="20% - Accent4 8 4 3" xfId="19261" xr:uid="{00000000-0005-0000-0000-0000831D0000}"/>
    <cellStyle name="20% - Accent4 8 5" xfId="1939" xr:uid="{00000000-0005-0000-0000-0000841D0000}"/>
    <cellStyle name="20% - Accent4 8 5 2" xfId="12500" xr:uid="{00000000-0005-0000-0000-0000851D0000}"/>
    <cellStyle name="20% - Accent4 8 5 2 2" xfId="26212" xr:uid="{00000000-0005-0000-0000-0000861D0000}"/>
    <cellStyle name="20% - Accent4 8 5 3" xfId="19262" xr:uid="{00000000-0005-0000-0000-0000871D0000}"/>
    <cellStyle name="20% - Accent4 8 6" xfId="1940" xr:uid="{00000000-0005-0000-0000-0000881D0000}"/>
    <cellStyle name="20% - Accent4 8 6 2" xfId="13667" xr:uid="{00000000-0005-0000-0000-0000891D0000}"/>
    <cellStyle name="20% - Accent4 8 6 2 2" xfId="27216" xr:uid="{00000000-0005-0000-0000-00008A1D0000}"/>
    <cellStyle name="20% - Accent4 8 6 3" xfId="19263" xr:uid="{00000000-0005-0000-0000-00008B1D0000}"/>
    <cellStyle name="20% - Accent4 8 7" xfId="1941" xr:uid="{00000000-0005-0000-0000-00008C1D0000}"/>
    <cellStyle name="20% - Accent4 8 7 2" xfId="14248" xr:uid="{00000000-0005-0000-0000-00008D1D0000}"/>
    <cellStyle name="20% - Accent4 8 7 2 2" xfId="27797" xr:uid="{00000000-0005-0000-0000-00008E1D0000}"/>
    <cellStyle name="20% - Accent4 8 7 3" xfId="19264" xr:uid="{00000000-0005-0000-0000-00008F1D0000}"/>
    <cellStyle name="20% - Accent4 8 8" xfId="1942" xr:uid="{00000000-0005-0000-0000-0000901D0000}"/>
    <cellStyle name="20% - Accent4 8 8 2" xfId="14948" xr:uid="{00000000-0005-0000-0000-0000911D0000}"/>
    <cellStyle name="20% - Accent4 8 8 2 2" xfId="28497" xr:uid="{00000000-0005-0000-0000-0000921D0000}"/>
    <cellStyle name="20% - Accent4 8 8 3" xfId="19265" xr:uid="{00000000-0005-0000-0000-0000931D0000}"/>
    <cellStyle name="20% - Accent4 8 9" xfId="1943" xr:uid="{00000000-0005-0000-0000-0000941D0000}"/>
    <cellStyle name="20% - Accent4 8 9 2" xfId="16134" xr:uid="{00000000-0005-0000-0000-0000951D0000}"/>
    <cellStyle name="20% - Accent4 8 9 2 2" xfId="29541" xr:uid="{00000000-0005-0000-0000-0000961D0000}"/>
    <cellStyle name="20% - Accent4 8 9 3" xfId="19266" xr:uid="{00000000-0005-0000-0000-0000971D0000}"/>
    <cellStyle name="20% - Accent4 9" xfId="1944" xr:uid="{00000000-0005-0000-0000-0000981D0000}"/>
    <cellStyle name="20% - Accent4 9 2" xfId="1945" xr:uid="{00000000-0005-0000-0000-0000991D0000}"/>
    <cellStyle name="20% - Accent4 9 2 2" xfId="10824" xr:uid="{00000000-0005-0000-0000-00009A1D0000}"/>
    <cellStyle name="20% - Accent4 9 2 2 2" xfId="24766" xr:uid="{00000000-0005-0000-0000-00009B1D0000}"/>
    <cellStyle name="20% - Accent4 9 2 3" xfId="19268" xr:uid="{00000000-0005-0000-0000-00009C1D0000}"/>
    <cellStyle name="20% - Accent4 9 3" xfId="1946" xr:uid="{00000000-0005-0000-0000-00009D1D0000}"/>
    <cellStyle name="20% - Accent4 9 3 2" xfId="12638" xr:uid="{00000000-0005-0000-0000-00009E1D0000}"/>
    <cellStyle name="20% - Accent4 9 3 2 2" xfId="26350" xr:uid="{00000000-0005-0000-0000-00009F1D0000}"/>
    <cellStyle name="20% - Accent4 9 3 3" xfId="19269" xr:uid="{00000000-0005-0000-0000-0000A01D0000}"/>
    <cellStyle name="20% - Accent4 9 4" xfId="1947" xr:uid="{00000000-0005-0000-0000-0000A11D0000}"/>
    <cellStyle name="20% - Accent4 9 4 2" xfId="14951" xr:uid="{00000000-0005-0000-0000-0000A21D0000}"/>
    <cellStyle name="20% - Accent4 9 4 2 2" xfId="28500" xr:uid="{00000000-0005-0000-0000-0000A31D0000}"/>
    <cellStyle name="20% - Accent4 9 4 3" xfId="19270" xr:uid="{00000000-0005-0000-0000-0000A41D0000}"/>
    <cellStyle name="20% - Accent4 9 5" xfId="1948" xr:uid="{00000000-0005-0000-0000-0000A51D0000}"/>
    <cellStyle name="20% - Accent4 9 5 2" xfId="17099" xr:uid="{00000000-0005-0000-0000-0000A61D0000}"/>
    <cellStyle name="20% - Accent4 9 5 2 2" xfId="30458" xr:uid="{00000000-0005-0000-0000-0000A71D0000}"/>
    <cellStyle name="20% - Accent4 9 5 3" xfId="19271" xr:uid="{00000000-0005-0000-0000-0000A81D0000}"/>
    <cellStyle name="20% - Accent4 9 6" xfId="9099" xr:uid="{00000000-0005-0000-0000-0000A91D0000}"/>
    <cellStyle name="20% - Accent4 9 6 2" xfId="23574" xr:uid="{00000000-0005-0000-0000-0000AA1D0000}"/>
    <cellStyle name="20% - Accent4 9 7" xfId="19267" xr:uid="{00000000-0005-0000-0000-0000AB1D0000}"/>
    <cellStyle name="20% - Accent5" xfId="43" builtinId="46" customBuiltin="1"/>
    <cellStyle name="20% - Accent5 10" xfId="1949" xr:uid="{00000000-0005-0000-0000-0000AD1D0000}"/>
    <cellStyle name="20% - Accent5 10 2" xfId="1950" xr:uid="{00000000-0005-0000-0000-0000AE1D0000}"/>
    <cellStyle name="20% - Accent5 10 2 2" xfId="12439" xr:uid="{00000000-0005-0000-0000-0000AF1D0000}"/>
    <cellStyle name="20% - Accent5 10 2 2 2" xfId="26151" xr:uid="{00000000-0005-0000-0000-0000B01D0000}"/>
    <cellStyle name="20% - Accent5 10 2 3" xfId="19274" xr:uid="{00000000-0005-0000-0000-0000B11D0000}"/>
    <cellStyle name="20% - Accent5 10 3" xfId="1951" xr:uid="{00000000-0005-0000-0000-0000B21D0000}"/>
    <cellStyle name="20% - Accent5 10 3 2" xfId="14952" xr:uid="{00000000-0005-0000-0000-0000B31D0000}"/>
    <cellStyle name="20% - Accent5 10 3 2 2" xfId="28501" xr:uid="{00000000-0005-0000-0000-0000B41D0000}"/>
    <cellStyle name="20% - Accent5 10 3 3" xfId="19275" xr:uid="{00000000-0005-0000-0000-0000B51D0000}"/>
    <cellStyle name="20% - Accent5 10 4" xfId="1952" xr:uid="{00000000-0005-0000-0000-0000B61D0000}"/>
    <cellStyle name="20% - Accent5 10 4 2" xfId="17189" xr:uid="{00000000-0005-0000-0000-0000B71D0000}"/>
    <cellStyle name="20% - Accent5 10 4 2 2" xfId="30548" xr:uid="{00000000-0005-0000-0000-0000B81D0000}"/>
    <cellStyle name="20% - Accent5 10 4 3" xfId="19276" xr:uid="{00000000-0005-0000-0000-0000B91D0000}"/>
    <cellStyle name="20% - Accent5 10 5" xfId="10507" xr:uid="{00000000-0005-0000-0000-0000BA1D0000}"/>
    <cellStyle name="20% - Accent5 10 5 2" xfId="24455" xr:uid="{00000000-0005-0000-0000-0000BB1D0000}"/>
    <cellStyle name="20% - Accent5 10 6" xfId="19273" xr:uid="{00000000-0005-0000-0000-0000BC1D0000}"/>
    <cellStyle name="20% - Accent5 11" xfId="1953" xr:uid="{00000000-0005-0000-0000-0000BD1D0000}"/>
    <cellStyle name="20% - Accent5 11 2" xfId="1954" xr:uid="{00000000-0005-0000-0000-0000BE1D0000}"/>
    <cellStyle name="20% - Accent5 11 2 2" xfId="12440" xr:uid="{00000000-0005-0000-0000-0000BF1D0000}"/>
    <cellStyle name="20% - Accent5 11 2 2 2" xfId="26152" xr:uid="{00000000-0005-0000-0000-0000C01D0000}"/>
    <cellStyle name="20% - Accent5 11 2 3" xfId="19278" xr:uid="{00000000-0005-0000-0000-0000C11D0000}"/>
    <cellStyle name="20% - Accent5 11 3" xfId="1955" xr:uid="{00000000-0005-0000-0000-0000C21D0000}"/>
    <cellStyle name="20% - Accent5 11 3 2" xfId="14953" xr:uid="{00000000-0005-0000-0000-0000C31D0000}"/>
    <cellStyle name="20% - Accent5 11 3 2 2" xfId="28502" xr:uid="{00000000-0005-0000-0000-0000C41D0000}"/>
    <cellStyle name="20% - Accent5 11 3 3" xfId="19279" xr:uid="{00000000-0005-0000-0000-0000C51D0000}"/>
    <cellStyle name="20% - Accent5 11 4" xfId="1956" xr:uid="{00000000-0005-0000-0000-0000C61D0000}"/>
    <cellStyle name="20% - Accent5 11 4 2" xfId="17278" xr:uid="{00000000-0005-0000-0000-0000C71D0000}"/>
    <cellStyle name="20% - Accent5 11 4 2 2" xfId="30637" xr:uid="{00000000-0005-0000-0000-0000C81D0000}"/>
    <cellStyle name="20% - Accent5 11 4 3" xfId="19280" xr:uid="{00000000-0005-0000-0000-0000C91D0000}"/>
    <cellStyle name="20% - Accent5 11 5" xfId="10825" xr:uid="{00000000-0005-0000-0000-0000CA1D0000}"/>
    <cellStyle name="20% - Accent5 11 5 2" xfId="24767" xr:uid="{00000000-0005-0000-0000-0000CB1D0000}"/>
    <cellStyle name="20% - Accent5 11 6" xfId="19277" xr:uid="{00000000-0005-0000-0000-0000CC1D0000}"/>
    <cellStyle name="20% - Accent5 12" xfId="1957" xr:uid="{00000000-0005-0000-0000-0000CD1D0000}"/>
    <cellStyle name="20% - Accent5 12 2" xfId="1958" xr:uid="{00000000-0005-0000-0000-0000CE1D0000}"/>
    <cellStyle name="20% - Accent5 12 2 2" xfId="16430" xr:uid="{00000000-0005-0000-0000-0000CF1D0000}"/>
    <cellStyle name="20% - Accent5 12 2 2 2" xfId="29837" xr:uid="{00000000-0005-0000-0000-0000D01D0000}"/>
    <cellStyle name="20% - Accent5 12 2 3" xfId="19282" xr:uid="{00000000-0005-0000-0000-0000D11D0000}"/>
    <cellStyle name="20% - Accent5 12 3" xfId="11743" xr:uid="{00000000-0005-0000-0000-0000D21D0000}"/>
    <cellStyle name="20% - Accent5 12 3 2" xfId="25458" xr:uid="{00000000-0005-0000-0000-0000D31D0000}"/>
    <cellStyle name="20% - Accent5 12 4" xfId="19281" xr:uid="{00000000-0005-0000-0000-0000D41D0000}"/>
    <cellStyle name="20% - Accent5 13" xfId="1959" xr:uid="{00000000-0005-0000-0000-0000D51D0000}"/>
    <cellStyle name="20% - Accent5 13 2" xfId="13382" xr:uid="{00000000-0005-0000-0000-0000D61D0000}"/>
    <cellStyle name="20% - Accent5 13 2 2" xfId="26931" xr:uid="{00000000-0005-0000-0000-0000D71D0000}"/>
    <cellStyle name="20% - Accent5 13 3" xfId="19283" xr:uid="{00000000-0005-0000-0000-0000D81D0000}"/>
    <cellStyle name="20% - Accent5 14" xfId="1960" xr:uid="{00000000-0005-0000-0000-0000D91D0000}"/>
    <cellStyle name="20% - Accent5 14 2" xfId="13963" xr:uid="{00000000-0005-0000-0000-0000DA1D0000}"/>
    <cellStyle name="20% - Accent5 14 2 2" xfId="27512" xr:uid="{00000000-0005-0000-0000-0000DB1D0000}"/>
    <cellStyle name="20% - Accent5 14 3" xfId="19284" xr:uid="{00000000-0005-0000-0000-0000DC1D0000}"/>
    <cellStyle name="20% - Accent5 15" xfId="1961" xr:uid="{00000000-0005-0000-0000-0000DD1D0000}"/>
    <cellStyle name="20% - Accent5 15 2" xfId="15836" xr:uid="{00000000-0005-0000-0000-0000DE1D0000}"/>
    <cellStyle name="20% - Accent5 15 2 2" xfId="29243" xr:uid="{00000000-0005-0000-0000-0000DF1D0000}"/>
    <cellStyle name="20% - Accent5 15 3" xfId="19285" xr:uid="{00000000-0005-0000-0000-0000E01D0000}"/>
    <cellStyle name="20% - Accent5 16" xfId="1962" xr:uid="{00000000-0005-0000-0000-0000E11D0000}"/>
    <cellStyle name="20% - Accent5 16 2" xfId="15849" xr:uid="{00000000-0005-0000-0000-0000E21D0000}"/>
    <cellStyle name="20% - Accent5 16 2 2" xfId="29256" xr:uid="{00000000-0005-0000-0000-0000E31D0000}"/>
    <cellStyle name="20% - Accent5 16 3" xfId="19286" xr:uid="{00000000-0005-0000-0000-0000E41D0000}"/>
    <cellStyle name="20% - Accent5 17" xfId="8818" xr:uid="{00000000-0005-0000-0000-0000E51D0000}"/>
    <cellStyle name="20% - Accent5 17 2" xfId="23294" xr:uid="{00000000-0005-0000-0000-0000E61D0000}"/>
    <cellStyle name="20% - Accent5 18" xfId="19272" xr:uid="{00000000-0005-0000-0000-0000E71D0000}"/>
    <cellStyle name="20% - Accent5 2" xfId="1963" xr:uid="{00000000-0005-0000-0000-0000E81D0000}"/>
    <cellStyle name="20% - Accent5 2 10" xfId="1964" xr:uid="{00000000-0005-0000-0000-0000E91D0000}"/>
    <cellStyle name="20% - Accent5 2 10 2" xfId="15910" xr:uid="{00000000-0005-0000-0000-0000EA1D0000}"/>
    <cellStyle name="20% - Accent5 2 10 2 2" xfId="29317" xr:uid="{00000000-0005-0000-0000-0000EB1D0000}"/>
    <cellStyle name="20% - Accent5 2 10 3" xfId="19288" xr:uid="{00000000-0005-0000-0000-0000EC1D0000}"/>
    <cellStyle name="20% - Accent5 2 11" xfId="9100" xr:uid="{00000000-0005-0000-0000-0000ED1D0000}"/>
    <cellStyle name="20% - Accent5 2 11 2" xfId="23575" xr:uid="{00000000-0005-0000-0000-0000EE1D0000}"/>
    <cellStyle name="20% - Accent5 2 12" xfId="19287" xr:uid="{00000000-0005-0000-0000-0000EF1D0000}"/>
    <cellStyle name="20% - Accent5 2 13" xfId="33078" xr:uid="{00000000-0005-0000-0000-0000F01D0000}"/>
    <cellStyle name="20% - Accent5 2 2" xfId="1965" xr:uid="{00000000-0005-0000-0000-0000F11D0000}"/>
    <cellStyle name="20% - Accent5 2 2 10" xfId="19289" xr:uid="{00000000-0005-0000-0000-0000F21D0000}"/>
    <cellStyle name="20% - Accent5 2 2 2" xfId="1966" xr:uid="{00000000-0005-0000-0000-0000F31D0000}"/>
    <cellStyle name="20% - Accent5 2 2 2 2" xfId="1967" xr:uid="{00000000-0005-0000-0000-0000F41D0000}"/>
    <cellStyle name="20% - Accent5 2 2 2 2 2" xfId="1968" xr:uid="{00000000-0005-0000-0000-0000F51D0000}"/>
    <cellStyle name="20% - Accent5 2 2 2 2 2 2" xfId="1969" xr:uid="{00000000-0005-0000-0000-0000F61D0000}"/>
    <cellStyle name="20% - Accent5 2 2 2 2 2 2 2" xfId="16969" xr:uid="{00000000-0005-0000-0000-0000F71D0000}"/>
    <cellStyle name="20% - Accent5 2 2 2 2 2 2 2 2" xfId="30376" xr:uid="{00000000-0005-0000-0000-0000F81D0000}"/>
    <cellStyle name="20% - Accent5 2 2 2 2 2 2 3" xfId="19293" xr:uid="{00000000-0005-0000-0000-0000F91D0000}"/>
    <cellStyle name="20% - Accent5 2 2 2 2 2 3" xfId="10829" xr:uid="{00000000-0005-0000-0000-0000FA1D0000}"/>
    <cellStyle name="20% - Accent5 2 2 2 2 2 3 2" xfId="24771" xr:uid="{00000000-0005-0000-0000-0000FB1D0000}"/>
    <cellStyle name="20% - Accent5 2 2 2 2 2 4" xfId="19292" xr:uid="{00000000-0005-0000-0000-0000FC1D0000}"/>
    <cellStyle name="20% - Accent5 2 2 2 2 3" xfId="1970" xr:uid="{00000000-0005-0000-0000-0000FD1D0000}"/>
    <cellStyle name="20% - Accent5 2 2 2 2 3 2" xfId="12357" xr:uid="{00000000-0005-0000-0000-0000FE1D0000}"/>
    <cellStyle name="20% - Accent5 2 2 2 2 3 2 2" xfId="26069" xr:uid="{00000000-0005-0000-0000-0000FF1D0000}"/>
    <cellStyle name="20% - Accent5 2 2 2 2 3 3" xfId="19294" xr:uid="{00000000-0005-0000-0000-0000001E0000}"/>
    <cellStyle name="20% - Accent5 2 2 2 2 4" xfId="1971" xr:uid="{00000000-0005-0000-0000-0000011E0000}"/>
    <cellStyle name="20% - Accent5 2 2 2 2 4 2" xfId="13921" xr:uid="{00000000-0005-0000-0000-0000021E0000}"/>
    <cellStyle name="20% - Accent5 2 2 2 2 4 2 2" xfId="27470" xr:uid="{00000000-0005-0000-0000-0000031E0000}"/>
    <cellStyle name="20% - Accent5 2 2 2 2 4 3" xfId="19295" xr:uid="{00000000-0005-0000-0000-0000041E0000}"/>
    <cellStyle name="20% - Accent5 2 2 2 2 5" xfId="1972" xr:uid="{00000000-0005-0000-0000-0000051E0000}"/>
    <cellStyle name="20% - Accent5 2 2 2 2 5 2" xfId="14502" xr:uid="{00000000-0005-0000-0000-0000061E0000}"/>
    <cellStyle name="20% - Accent5 2 2 2 2 5 2 2" xfId="28051" xr:uid="{00000000-0005-0000-0000-0000071E0000}"/>
    <cellStyle name="20% - Accent5 2 2 2 2 5 3" xfId="19296" xr:uid="{00000000-0005-0000-0000-0000081E0000}"/>
    <cellStyle name="20% - Accent5 2 2 2 2 6" xfId="1973" xr:uid="{00000000-0005-0000-0000-0000091E0000}"/>
    <cellStyle name="20% - Accent5 2 2 2 2 6 2" xfId="16388" xr:uid="{00000000-0005-0000-0000-00000A1E0000}"/>
    <cellStyle name="20% - Accent5 2 2 2 2 6 2 2" xfId="29795" xr:uid="{00000000-0005-0000-0000-00000B1E0000}"/>
    <cellStyle name="20% - Accent5 2 2 2 2 6 3" xfId="19297" xr:uid="{00000000-0005-0000-0000-00000C1E0000}"/>
    <cellStyle name="20% - Accent5 2 2 2 2 7" xfId="9103" xr:uid="{00000000-0005-0000-0000-00000D1E0000}"/>
    <cellStyle name="20% - Accent5 2 2 2 2 7 2" xfId="23578" xr:uid="{00000000-0005-0000-0000-00000E1E0000}"/>
    <cellStyle name="20% - Accent5 2 2 2 2 8" xfId="19291" xr:uid="{00000000-0005-0000-0000-00000F1E0000}"/>
    <cellStyle name="20% - Accent5 2 2 2 3" xfId="1974" xr:uid="{00000000-0005-0000-0000-0000101E0000}"/>
    <cellStyle name="20% - Accent5 2 2 2 3 2" xfId="1975" xr:uid="{00000000-0005-0000-0000-0000111E0000}"/>
    <cellStyle name="20% - Accent5 2 2 2 3 2 2" xfId="16680" xr:uid="{00000000-0005-0000-0000-0000121E0000}"/>
    <cellStyle name="20% - Accent5 2 2 2 3 2 2 2" xfId="30087" xr:uid="{00000000-0005-0000-0000-0000131E0000}"/>
    <cellStyle name="20% - Accent5 2 2 2 3 2 3" xfId="19299" xr:uid="{00000000-0005-0000-0000-0000141E0000}"/>
    <cellStyle name="20% - Accent5 2 2 2 3 3" xfId="10828" xr:uid="{00000000-0005-0000-0000-0000151E0000}"/>
    <cellStyle name="20% - Accent5 2 2 2 3 3 2" xfId="24770" xr:uid="{00000000-0005-0000-0000-0000161E0000}"/>
    <cellStyle name="20% - Accent5 2 2 2 3 4" xfId="19298" xr:uid="{00000000-0005-0000-0000-0000171E0000}"/>
    <cellStyle name="20% - Accent5 2 2 2 4" xfId="1976" xr:uid="{00000000-0005-0000-0000-0000181E0000}"/>
    <cellStyle name="20% - Accent5 2 2 2 4 2" xfId="12057" xr:uid="{00000000-0005-0000-0000-0000191E0000}"/>
    <cellStyle name="20% - Accent5 2 2 2 4 2 2" xfId="25772" xr:uid="{00000000-0005-0000-0000-00001A1E0000}"/>
    <cellStyle name="20% - Accent5 2 2 2 4 3" xfId="19300" xr:uid="{00000000-0005-0000-0000-00001B1E0000}"/>
    <cellStyle name="20% - Accent5 2 2 2 5" xfId="1977" xr:uid="{00000000-0005-0000-0000-00001C1E0000}"/>
    <cellStyle name="20% - Accent5 2 2 2 5 2" xfId="13632" xr:uid="{00000000-0005-0000-0000-00001D1E0000}"/>
    <cellStyle name="20% - Accent5 2 2 2 5 2 2" xfId="27181" xr:uid="{00000000-0005-0000-0000-00001E1E0000}"/>
    <cellStyle name="20% - Accent5 2 2 2 5 3" xfId="19301" xr:uid="{00000000-0005-0000-0000-00001F1E0000}"/>
    <cellStyle name="20% - Accent5 2 2 2 6" xfId="1978" xr:uid="{00000000-0005-0000-0000-0000201E0000}"/>
    <cellStyle name="20% - Accent5 2 2 2 6 2" xfId="14213" xr:uid="{00000000-0005-0000-0000-0000211E0000}"/>
    <cellStyle name="20% - Accent5 2 2 2 6 2 2" xfId="27762" xr:uid="{00000000-0005-0000-0000-0000221E0000}"/>
    <cellStyle name="20% - Accent5 2 2 2 6 3" xfId="19302" xr:uid="{00000000-0005-0000-0000-0000231E0000}"/>
    <cellStyle name="20% - Accent5 2 2 2 7" xfId="1979" xr:uid="{00000000-0005-0000-0000-0000241E0000}"/>
    <cellStyle name="20% - Accent5 2 2 2 7 2" xfId="16099" xr:uid="{00000000-0005-0000-0000-0000251E0000}"/>
    <cellStyle name="20% - Accent5 2 2 2 7 2 2" xfId="29506" xr:uid="{00000000-0005-0000-0000-0000261E0000}"/>
    <cellStyle name="20% - Accent5 2 2 2 7 3" xfId="19303" xr:uid="{00000000-0005-0000-0000-0000271E0000}"/>
    <cellStyle name="20% - Accent5 2 2 2 8" xfId="9102" xr:uid="{00000000-0005-0000-0000-0000281E0000}"/>
    <cellStyle name="20% - Accent5 2 2 2 8 2" xfId="23577" xr:uid="{00000000-0005-0000-0000-0000291E0000}"/>
    <cellStyle name="20% - Accent5 2 2 2 9" xfId="19290" xr:uid="{00000000-0005-0000-0000-00002A1E0000}"/>
    <cellStyle name="20% - Accent5 2 2 3" xfId="1980" xr:uid="{00000000-0005-0000-0000-00002B1E0000}"/>
    <cellStyle name="20% - Accent5 2 2 3 2" xfId="1981" xr:uid="{00000000-0005-0000-0000-00002C1E0000}"/>
    <cellStyle name="20% - Accent5 2 2 3 2 2" xfId="1982" xr:uid="{00000000-0005-0000-0000-00002D1E0000}"/>
    <cellStyle name="20% - Accent5 2 2 3 2 2 2" xfId="16826" xr:uid="{00000000-0005-0000-0000-00002E1E0000}"/>
    <cellStyle name="20% - Accent5 2 2 3 2 2 2 2" xfId="30233" xr:uid="{00000000-0005-0000-0000-00002F1E0000}"/>
    <cellStyle name="20% - Accent5 2 2 3 2 2 3" xfId="19306" xr:uid="{00000000-0005-0000-0000-0000301E0000}"/>
    <cellStyle name="20% - Accent5 2 2 3 2 3" xfId="10830" xr:uid="{00000000-0005-0000-0000-0000311E0000}"/>
    <cellStyle name="20% - Accent5 2 2 3 2 3 2" xfId="24772" xr:uid="{00000000-0005-0000-0000-0000321E0000}"/>
    <cellStyle name="20% - Accent5 2 2 3 2 4" xfId="19305" xr:uid="{00000000-0005-0000-0000-0000331E0000}"/>
    <cellStyle name="20% - Accent5 2 2 3 3" xfId="1983" xr:uid="{00000000-0005-0000-0000-0000341E0000}"/>
    <cellStyle name="20% - Accent5 2 2 3 3 2" xfId="12214" xr:uid="{00000000-0005-0000-0000-0000351E0000}"/>
    <cellStyle name="20% - Accent5 2 2 3 3 2 2" xfId="25926" xr:uid="{00000000-0005-0000-0000-0000361E0000}"/>
    <cellStyle name="20% - Accent5 2 2 3 3 3" xfId="19307" xr:uid="{00000000-0005-0000-0000-0000371E0000}"/>
    <cellStyle name="20% - Accent5 2 2 3 4" xfId="1984" xr:uid="{00000000-0005-0000-0000-0000381E0000}"/>
    <cellStyle name="20% - Accent5 2 2 3 4 2" xfId="13778" xr:uid="{00000000-0005-0000-0000-0000391E0000}"/>
    <cellStyle name="20% - Accent5 2 2 3 4 2 2" xfId="27327" xr:uid="{00000000-0005-0000-0000-00003A1E0000}"/>
    <cellStyle name="20% - Accent5 2 2 3 4 3" xfId="19308" xr:uid="{00000000-0005-0000-0000-00003B1E0000}"/>
    <cellStyle name="20% - Accent5 2 2 3 5" xfId="1985" xr:uid="{00000000-0005-0000-0000-00003C1E0000}"/>
    <cellStyle name="20% - Accent5 2 2 3 5 2" xfId="14359" xr:uid="{00000000-0005-0000-0000-00003D1E0000}"/>
    <cellStyle name="20% - Accent5 2 2 3 5 2 2" xfId="27908" xr:uid="{00000000-0005-0000-0000-00003E1E0000}"/>
    <cellStyle name="20% - Accent5 2 2 3 5 3" xfId="19309" xr:uid="{00000000-0005-0000-0000-00003F1E0000}"/>
    <cellStyle name="20% - Accent5 2 2 3 6" xfId="1986" xr:uid="{00000000-0005-0000-0000-0000401E0000}"/>
    <cellStyle name="20% - Accent5 2 2 3 6 2" xfId="16245" xr:uid="{00000000-0005-0000-0000-0000411E0000}"/>
    <cellStyle name="20% - Accent5 2 2 3 6 2 2" xfId="29652" xr:uid="{00000000-0005-0000-0000-0000421E0000}"/>
    <cellStyle name="20% - Accent5 2 2 3 6 3" xfId="19310" xr:uid="{00000000-0005-0000-0000-0000431E0000}"/>
    <cellStyle name="20% - Accent5 2 2 3 7" xfId="9104" xr:uid="{00000000-0005-0000-0000-0000441E0000}"/>
    <cellStyle name="20% - Accent5 2 2 3 7 2" xfId="23579" xr:uid="{00000000-0005-0000-0000-0000451E0000}"/>
    <cellStyle name="20% - Accent5 2 2 3 8" xfId="19304" xr:uid="{00000000-0005-0000-0000-0000461E0000}"/>
    <cellStyle name="20% - Accent5 2 2 4" xfId="1987" xr:uid="{00000000-0005-0000-0000-0000471E0000}"/>
    <cellStyle name="20% - Accent5 2 2 4 2" xfId="1988" xr:uid="{00000000-0005-0000-0000-0000481E0000}"/>
    <cellStyle name="20% - Accent5 2 2 4 2 2" xfId="17173" xr:uid="{00000000-0005-0000-0000-0000491E0000}"/>
    <cellStyle name="20% - Accent5 2 2 4 2 2 2" xfId="30532" xr:uid="{00000000-0005-0000-0000-00004A1E0000}"/>
    <cellStyle name="20% - Accent5 2 2 4 2 3" xfId="19312" xr:uid="{00000000-0005-0000-0000-00004B1E0000}"/>
    <cellStyle name="20% - Accent5 2 2 4 3" xfId="10827" xr:uid="{00000000-0005-0000-0000-00004C1E0000}"/>
    <cellStyle name="20% - Accent5 2 2 4 3 2" xfId="24769" xr:uid="{00000000-0005-0000-0000-00004D1E0000}"/>
    <cellStyle name="20% - Accent5 2 2 4 4" xfId="19311" xr:uid="{00000000-0005-0000-0000-00004E1E0000}"/>
    <cellStyle name="20% - Accent5 2 2 5" xfId="1989" xr:uid="{00000000-0005-0000-0000-00004F1E0000}"/>
    <cellStyle name="20% - Accent5 2 2 5 2" xfId="1990" xr:uid="{00000000-0005-0000-0000-0000501E0000}"/>
    <cellStyle name="20% - Accent5 2 2 5 2 2" xfId="17262" xr:uid="{00000000-0005-0000-0000-0000511E0000}"/>
    <cellStyle name="20% - Accent5 2 2 5 2 2 2" xfId="30621" xr:uid="{00000000-0005-0000-0000-0000521E0000}"/>
    <cellStyle name="20% - Accent5 2 2 5 2 3" xfId="19314" xr:uid="{00000000-0005-0000-0000-0000531E0000}"/>
    <cellStyle name="20% - Accent5 2 2 5 3" xfId="11912" xr:uid="{00000000-0005-0000-0000-0000541E0000}"/>
    <cellStyle name="20% - Accent5 2 2 5 3 2" xfId="25627" xr:uid="{00000000-0005-0000-0000-0000551E0000}"/>
    <cellStyle name="20% - Accent5 2 2 5 4" xfId="19313" xr:uid="{00000000-0005-0000-0000-0000561E0000}"/>
    <cellStyle name="20% - Accent5 2 2 6" xfId="1991" xr:uid="{00000000-0005-0000-0000-0000571E0000}"/>
    <cellStyle name="20% - Accent5 2 2 6 2" xfId="1992" xr:uid="{00000000-0005-0000-0000-0000581E0000}"/>
    <cellStyle name="20% - Accent5 2 2 6 2 2" xfId="16537" xr:uid="{00000000-0005-0000-0000-0000591E0000}"/>
    <cellStyle name="20% - Accent5 2 2 6 2 2 2" xfId="29944" xr:uid="{00000000-0005-0000-0000-00005A1E0000}"/>
    <cellStyle name="20% - Accent5 2 2 6 2 3" xfId="19316" xr:uid="{00000000-0005-0000-0000-00005B1E0000}"/>
    <cellStyle name="20% - Accent5 2 2 6 3" xfId="13489" xr:uid="{00000000-0005-0000-0000-00005C1E0000}"/>
    <cellStyle name="20% - Accent5 2 2 6 3 2" xfId="27038" xr:uid="{00000000-0005-0000-0000-00005D1E0000}"/>
    <cellStyle name="20% - Accent5 2 2 6 4" xfId="19315" xr:uid="{00000000-0005-0000-0000-00005E1E0000}"/>
    <cellStyle name="20% - Accent5 2 2 7" xfId="1993" xr:uid="{00000000-0005-0000-0000-00005F1E0000}"/>
    <cellStyle name="20% - Accent5 2 2 7 2" xfId="14070" xr:uid="{00000000-0005-0000-0000-0000601E0000}"/>
    <cellStyle name="20% - Accent5 2 2 7 2 2" xfId="27619" xr:uid="{00000000-0005-0000-0000-0000611E0000}"/>
    <cellStyle name="20% - Accent5 2 2 7 3" xfId="19317" xr:uid="{00000000-0005-0000-0000-0000621E0000}"/>
    <cellStyle name="20% - Accent5 2 2 8" xfId="1994" xr:uid="{00000000-0005-0000-0000-0000631E0000}"/>
    <cellStyle name="20% - Accent5 2 2 8 2" xfId="15956" xr:uid="{00000000-0005-0000-0000-0000641E0000}"/>
    <cellStyle name="20% - Accent5 2 2 8 2 2" xfId="29363" xr:uid="{00000000-0005-0000-0000-0000651E0000}"/>
    <cellStyle name="20% - Accent5 2 2 8 3" xfId="19318" xr:uid="{00000000-0005-0000-0000-0000661E0000}"/>
    <cellStyle name="20% - Accent5 2 2 9" xfId="9101" xr:uid="{00000000-0005-0000-0000-0000671E0000}"/>
    <cellStyle name="20% - Accent5 2 2 9 2" xfId="23576" xr:uid="{00000000-0005-0000-0000-0000681E0000}"/>
    <cellStyle name="20% - Accent5 2 3" xfId="1995" xr:uid="{00000000-0005-0000-0000-0000691E0000}"/>
    <cellStyle name="20% - Accent5 2 3 2" xfId="1996" xr:uid="{00000000-0005-0000-0000-00006A1E0000}"/>
    <cellStyle name="20% - Accent5 2 3 2 2" xfId="1997" xr:uid="{00000000-0005-0000-0000-00006B1E0000}"/>
    <cellStyle name="20% - Accent5 2 3 2 2 2" xfId="1998" xr:uid="{00000000-0005-0000-0000-00006C1E0000}"/>
    <cellStyle name="20% - Accent5 2 3 2 2 2 2" xfId="16923" xr:uid="{00000000-0005-0000-0000-00006D1E0000}"/>
    <cellStyle name="20% - Accent5 2 3 2 2 2 2 2" xfId="30330" xr:uid="{00000000-0005-0000-0000-00006E1E0000}"/>
    <cellStyle name="20% - Accent5 2 3 2 2 2 3" xfId="19322" xr:uid="{00000000-0005-0000-0000-00006F1E0000}"/>
    <cellStyle name="20% - Accent5 2 3 2 2 3" xfId="10832" xr:uid="{00000000-0005-0000-0000-0000701E0000}"/>
    <cellStyle name="20% - Accent5 2 3 2 2 3 2" xfId="24774" xr:uid="{00000000-0005-0000-0000-0000711E0000}"/>
    <cellStyle name="20% - Accent5 2 3 2 2 4" xfId="19321" xr:uid="{00000000-0005-0000-0000-0000721E0000}"/>
    <cellStyle name="20% - Accent5 2 3 2 3" xfId="1999" xr:uid="{00000000-0005-0000-0000-0000731E0000}"/>
    <cellStyle name="20% - Accent5 2 3 2 3 2" xfId="12311" xr:uid="{00000000-0005-0000-0000-0000741E0000}"/>
    <cellStyle name="20% - Accent5 2 3 2 3 2 2" xfId="26023" xr:uid="{00000000-0005-0000-0000-0000751E0000}"/>
    <cellStyle name="20% - Accent5 2 3 2 3 3" xfId="19323" xr:uid="{00000000-0005-0000-0000-0000761E0000}"/>
    <cellStyle name="20% - Accent5 2 3 2 4" xfId="2000" xr:uid="{00000000-0005-0000-0000-0000771E0000}"/>
    <cellStyle name="20% - Accent5 2 3 2 4 2" xfId="13875" xr:uid="{00000000-0005-0000-0000-0000781E0000}"/>
    <cellStyle name="20% - Accent5 2 3 2 4 2 2" xfId="27424" xr:uid="{00000000-0005-0000-0000-0000791E0000}"/>
    <cellStyle name="20% - Accent5 2 3 2 4 3" xfId="19324" xr:uid="{00000000-0005-0000-0000-00007A1E0000}"/>
    <cellStyle name="20% - Accent5 2 3 2 5" xfId="2001" xr:uid="{00000000-0005-0000-0000-00007B1E0000}"/>
    <cellStyle name="20% - Accent5 2 3 2 5 2" xfId="14456" xr:uid="{00000000-0005-0000-0000-00007C1E0000}"/>
    <cellStyle name="20% - Accent5 2 3 2 5 2 2" xfId="28005" xr:uid="{00000000-0005-0000-0000-00007D1E0000}"/>
    <cellStyle name="20% - Accent5 2 3 2 5 3" xfId="19325" xr:uid="{00000000-0005-0000-0000-00007E1E0000}"/>
    <cellStyle name="20% - Accent5 2 3 2 6" xfId="2002" xr:uid="{00000000-0005-0000-0000-00007F1E0000}"/>
    <cellStyle name="20% - Accent5 2 3 2 6 2" xfId="16342" xr:uid="{00000000-0005-0000-0000-0000801E0000}"/>
    <cellStyle name="20% - Accent5 2 3 2 6 2 2" xfId="29749" xr:uid="{00000000-0005-0000-0000-0000811E0000}"/>
    <cellStyle name="20% - Accent5 2 3 2 6 3" xfId="19326" xr:uid="{00000000-0005-0000-0000-0000821E0000}"/>
    <cellStyle name="20% - Accent5 2 3 2 7" xfId="9106" xr:uid="{00000000-0005-0000-0000-0000831E0000}"/>
    <cellStyle name="20% - Accent5 2 3 2 7 2" xfId="23581" xr:uid="{00000000-0005-0000-0000-0000841E0000}"/>
    <cellStyle name="20% - Accent5 2 3 2 8" xfId="19320" xr:uid="{00000000-0005-0000-0000-0000851E0000}"/>
    <cellStyle name="20% - Accent5 2 3 3" xfId="2003" xr:uid="{00000000-0005-0000-0000-0000861E0000}"/>
    <cellStyle name="20% - Accent5 2 3 3 2" xfId="2004" xr:uid="{00000000-0005-0000-0000-0000871E0000}"/>
    <cellStyle name="20% - Accent5 2 3 3 2 2" xfId="16634" xr:uid="{00000000-0005-0000-0000-0000881E0000}"/>
    <cellStyle name="20% - Accent5 2 3 3 2 2 2" xfId="30041" xr:uid="{00000000-0005-0000-0000-0000891E0000}"/>
    <cellStyle name="20% - Accent5 2 3 3 2 3" xfId="19328" xr:uid="{00000000-0005-0000-0000-00008A1E0000}"/>
    <cellStyle name="20% - Accent5 2 3 3 3" xfId="10831" xr:uid="{00000000-0005-0000-0000-00008B1E0000}"/>
    <cellStyle name="20% - Accent5 2 3 3 3 2" xfId="24773" xr:uid="{00000000-0005-0000-0000-00008C1E0000}"/>
    <cellStyle name="20% - Accent5 2 3 3 4" xfId="19327" xr:uid="{00000000-0005-0000-0000-00008D1E0000}"/>
    <cellStyle name="20% - Accent5 2 3 4" xfId="2005" xr:uid="{00000000-0005-0000-0000-00008E1E0000}"/>
    <cellStyle name="20% - Accent5 2 3 4 2" xfId="12011" xr:uid="{00000000-0005-0000-0000-00008F1E0000}"/>
    <cellStyle name="20% - Accent5 2 3 4 2 2" xfId="25726" xr:uid="{00000000-0005-0000-0000-0000901E0000}"/>
    <cellStyle name="20% - Accent5 2 3 4 3" xfId="19329" xr:uid="{00000000-0005-0000-0000-0000911E0000}"/>
    <cellStyle name="20% - Accent5 2 3 5" xfId="2006" xr:uid="{00000000-0005-0000-0000-0000921E0000}"/>
    <cellStyle name="20% - Accent5 2 3 5 2" xfId="13586" xr:uid="{00000000-0005-0000-0000-0000931E0000}"/>
    <cellStyle name="20% - Accent5 2 3 5 2 2" xfId="27135" xr:uid="{00000000-0005-0000-0000-0000941E0000}"/>
    <cellStyle name="20% - Accent5 2 3 5 3" xfId="19330" xr:uid="{00000000-0005-0000-0000-0000951E0000}"/>
    <cellStyle name="20% - Accent5 2 3 6" xfId="2007" xr:uid="{00000000-0005-0000-0000-0000961E0000}"/>
    <cellStyle name="20% - Accent5 2 3 6 2" xfId="14167" xr:uid="{00000000-0005-0000-0000-0000971E0000}"/>
    <cellStyle name="20% - Accent5 2 3 6 2 2" xfId="27716" xr:uid="{00000000-0005-0000-0000-0000981E0000}"/>
    <cellStyle name="20% - Accent5 2 3 6 3" xfId="19331" xr:uid="{00000000-0005-0000-0000-0000991E0000}"/>
    <cellStyle name="20% - Accent5 2 3 7" xfId="2008" xr:uid="{00000000-0005-0000-0000-00009A1E0000}"/>
    <cellStyle name="20% - Accent5 2 3 7 2" xfId="16053" xr:uid="{00000000-0005-0000-0000-00009B1E0000}"/>
    <cellStyle name="20% - Accent5 2 3 7 2 2" xfId="29460" xr:uid="{00000000-0005-0000-0000-00009C1E0000}"/>
    <cellStyle name="20% - Accent5 2 3 7 3" xfId="19332" xr:uid="{00000000-0005-0000-0000-00009D1E0000}"/>
    <cellStyle name="20% - Accent5 2 3 8" xfId="9105" xr:uid="{00000000-0005-0000-0000-00009E1E0000}"/>
    <cellStyle name="20% - Accent5 2 3 8 2" xfId="23580" xr:uid="{00000000-0005-0000-0000-00009F1E0000}"/>
    <cellStyle name="20% - Accent5 2 3 9" xfId="19319" xr:uid="{00000000-0005-0000-0000-0000A01E0000}"/>
    <cellStyle name="20% - Accent5 2 4" xfId="2009" xr:uid="{00000000-0005-0000-0000-0000A11E0000}"/>
    <cellStyle name="20% - Accent5 2 4 2" xfId="2010" xr:uid="{00000000-0005-0000-0000-0000A21E0000}"/>
    <cellStyle name="20% - Accent5 2 4 2 2" xfId="2011" xr:uid="{00000000-0005-0000-0000-0000A31E0000}"/>
    <cellStyle name="20% - Accent5 2 4 2 2 2" xfId="16780" xr:uid="{00000000-0005-0000-0000-0000A41E0000}"/>
    <cellStyle name="20% - Accent5 2 4 2 2 2 2" xfId="30187" xr:uid="{00000000-0005-0000-0000-0000A51E0000}"/>
    <cellStyle name="20% - Accent5 2 4 2 2 3" xfId="19335" xr:uid="{00000000-0005-0000-0000-0000A61E0000}"/>
    <cellStyle name="20% - Accent5 2 4 2 3" xfId="10833" xr:uid="{00000000-0005-0000-0000-0000A71E0000}"/>
    <cellStyle name="20% - Accent5 2 4 2 3 2" xfId="24775" xr:uid="{00000000-0005-0000-0000-0000A81E0000}"/>
    <cellStyle name="20% - Accent5 2 4 2 4" xfId="19334" xr:uid="{00000000-0005-0000-0000-0000A91E0000}"/>
    <cellStyle name="20% - Accent5 2 4 3" xfId="2012" xr:uid="{00000000-0005-0000-0000-0000AA1E0000}"/>
    <cellStyle name="20% - Accent5 2 4 3 2" xfId="12168" xr:uid="{00000000-0005-0000-0000-0000AB1E0000}"/>
    <cellStyle name="20% - Accent5 2 4 3 2 2" xfId="25880" xr:uid="{00000000-0005-0000-0000-0000AC1E0000}"/>
    <cellStyle name="20% - Accent5 2 4 3 3" xfId="19336" xr:uid="{00000000-0005-0000-0000-0000AD1E0000}"/>
    <cellStyle name="20% - Accent5 2 4 4" xfId="2013" xr:uid="{00000000-0005-0000-0000-0000AE1E0000}"/>
    <cellStyle name="20% - Accent5 2 4 4 2" xfId="13732" xr:uid="{00000000-0005-0000-0000-0000AF1E0000}"/>
    <cellStyle name="20% - Accent5 2 4 4 2 2" xfId="27281" xr:uid="{00000000-0005-0000-0000-0000B01E0000}"/>
    <cellStyle name="20% - Accent5 2 4 4 3" xfId="19337" xr:uid="{00000000-0005-0000-0000-0000B11E0000}"/>
    <cellStyle name="20% - Accent5 2 4 5" xfId="2014" xr:uid="{00000000-0005-0000-0000-0000B21E0000}"/>
    <cellStyle name="20% - Accent5 2 4 5 2" xfId="14313" xr:uid="{00000000-0005-0000-0000-0000B31E0000}"/>
    <cellStyle name="20% - Accent5 2 4 5 2 2" xfId="27862" xr:uid="{00000000-0005-0000-0000-0000B41E0000}"/>
    <cellStyle name="20% - Accent5 2 4 5 3" xfId="19338" xr:uid="{00000000-0005-0000-0000-0000B51E0000}"/>
    <cellStyle name="20% - Accent5 2 4 6" xfId="2015" xr:uid="{00000000-0005-0000-0000-0000B61E0000}"/>
    <cellStyle name="20% - Accent5 2 4 6 2" xfId="16199" xr:uid="{00000000-0005-0000-0000-0000B71E0000}"/>
    <cellStyle name="20% - Accent5 2 4 6 2 2" xfId="29606" xr:uid="{00000000-0005-0000-0000-0000B81E0000}"/>
    <cellStyle name="20% - Accent5 2 4 6 3" xfId="19339" xr:uid="{00000000-0005-0000-0000-0000B91E0000}"/>
    <cellStyle name="20% - Accent5 2 4 7" xfId="9107" xr:uid="{00000000-0005-0000-0000-0000BA1E0000}"/>
    <cellStyle name="20% - Accent5 2 4 7 2" xfId="23582" xr:uid="{00000000-0005-0000-0000-0000BB1E0000}"/>
    <cellStyle name="20% - Accent5 2 4 8" xfId="19333" xr:uid="{00000000-0005-0000-0000-0000BC1E0000}"/>
    <cellStyle name="20% - Accent5 2 5" xfId="2016" xr:uid="{00000000-0005-0000-0000-0000BD1E0000}"/>
    <cellStyle name="20% - Accent5 2 5 2" xfId="2017" xr:uid="{00000000-0005-0000-0000-0000BE1E0000}"/>
    <cellStyle name="20% - Accent5 2 5 2 2" xfId="12639" xr:uid="{00000000-0005-0000-0000-0000BF1E0000}"/>
    <cellStyle name="20% - Accent5 2 5 2 2 2" xfId="26351" xr:uid="{00000000-0005-0000-0000-0000C01E0000}"/>
    <cellStyle name="20% - Accent5 2 5 2 3" xfId="19341" xr:uid="{00000000-0005-0000-0000-0000C11E0000}"/>
    <cellStyle name="20% - Accent5 2 5 3" xfId="2018" xr:uid="{00000000-0005-0000-0000-0000C21E0000}"/>
    <cellStyle name="20% - Accent5 2 5 3 2" xfId="14954" xr:uid="{00000000-0005-0000-0000-0000C31E0000}"/>
    <cellStyle name="20% - Accent5 2 5 3 2 2" xfId="28503" xr:uid="{00000000-0005-0000-0000-0000C41E0000}"/>
    <cellStyle name="20% - Accent5 2 5 3 3" xfId="19342" xr:uid="{00000000-0005-0000-0000-0000C51E0000}"/>
    <cellStyle name="20% - Accent5 2 5 4" xfId="2019" xr:uid="{00000000-0005-0000-0000-0000C61E0000}"/>
    <cellStyle name="20% - Accent5 2 5 4 2" xfId="17011" xr:uid="{00000000-0005-0000-0000-0000C71E0000}"/>
    <cellStyle name="20% - Accent5 2 5 4 2 2" xfId="30418" xr:uid="{00000000-0005-0000-0000-0000C81E0000}"/>
    <cellStyle name="20% - Accent5 2 5 4 3" xfId="19343" xr:uid="{00000000-0005-0000-0000-0000C91E0000}"/>
    <cellStyle name="20% - Accent5 2 5 5" xfId="10532" xr:uid="{00000000-0005-0000-0000-0000CA1E0000}"/>
    <cellStyle name="20% - Accent5 2 5 5 2" xfId="24474" xr:uid="{00000000-0005-0000-0000-0000CB1E0000}"/>
    <cellStyle name="20% - Accent5 2 5 6" xfId="19340" xr:uid="{00000000-0005-0000-0000-0000CC1E0000}"/>
    <cellStyle name="20% - Accent5 2 6" xfId="2020" xr:uid="{00000000-0005-0000-0000-0000CD1E0000}"/>
    <cellStyle name="20% - Accent5 2 6 2" xfId="2021" xr:uid="{00000000-0005-0000-0000-0000CE1E0000}"/>
    <cellStyle name="20% - Accent5 2 6 2 2" xfId="12521" xr:uid="{00000000-0005-0000-0000-0000CF1E0000}"/>
    <cellStyle name="20% - Accent5 2 6 2 2 2" xfId="26233" xr:uid="{00000000-0005-0000-0000-0000D01E0000}"/>
    <cellStyle name="20% - Accent5 2 6 2 3" xfId="19345" xr:uid="{00000000-0005-0000-0000-0000D11E0000}"/>
    <cellStyle name="20% - Accent5 2 6 3" xfId="2022" xr:uid="{00000000-0005-0000-0000-0000D21E0000}"/>
    <cellStyle name="20% - Accent5 2 6 3 2" xfId="14955" xr:uid="{00000000-0005-0000-0000-0000D31E0000}"/>
    <cellStyle name="20% - Accent5 2 6 3 2 2" xfId="28504" xr:uid="{00000000-0005-0000-0000-0000D41E0000}"/>
    <cellStyle name="20% - Accent5 2 6 3 3" xfId="19346" xr:uid="{00000000-0005-0000-0000-0000D51E0000}"/>
    <cellStyle name="20% - Accent5 2 6 4" xfId="2023" xr:uid="{00000000-0005-0000-0000-0000D61E0000}"/>
    <cellStyle name="20% - Accent5 2 6 4 2" xfId="17127" xr:uid="{00000000-0005-0000-0000-0000D71E0000}"/>
    <cellStyle name="20% - Accent5 2 6 4 2 2" xfId="30486" xr:uid="{00000000-0005-0000-0000-0000D81E0000}"/>
    <cellStyle name="20% - Accent5 2 6 4 3" xfId="19347" xr:uid="{00000000-0005-0000-0000-0000D91E0000}"/>
    <cellStyle name="20% - Accent5 2 6 5" xfId="10826" xr:uid="{00000000-0005-0000-0000-0000DA1E0000}"/>
    <cellStyle name="20% - Accent5 2 6 5 2" xfId="24768" xr:uid="{00000000-0005-0000-0000-0000DB1E0000}"/>
    <cellStyle name="20% - Accent5 2 6 6" xfId="19344" xr:uid="{00000000-0005-0000-0000-0000DC1E0000}"/>
    <cellStyle name="20% - Accent5 2 7" xfId="2024" xr:uid="{00000000-0005-0000-0000-0000DD1E0000}"/>
    <cellStyle name="20% - Accent5 2 7 2" xfId="2025" xr:uid="{00000000-0005-0000-0000-0000DE1E0000}"/>
    <cellStyle name="20% - Accent5 2 7 2 2" xfId="17216" xr:uid="{00000000-0005-0000-0000-0000DF1E0000}"/>
    <cellStyle name="20% - Accent5 2 7 2 2 2" xfId="30575" xr:uid="{00000000-0005-0000-0000-0000E01E0000}"/>
    <cellStyle name="20% - Accent5 2 7 2 3" xfId="19349" xr:uid="{00000000-0005-0000-0000-0000E11E0000}"/>
    <cellStyle name="20% - Accent5 2 7 3" xfId="11845" xr:uid="{00000000-0005-0000-0000-0000E21E0000}"/>
    <cellStyle name="20% - Accent5 2 7 3 2" xfId="25560" xr:uid="{00000000-0005-0000-0000-0000E31E0000}"/>
    <cellStyle name="20% - Accent5 2 7 4" xfId="19348" xr:uid="{00000000-0005-0000-0000-0000E41E0000}"/>
    <cellStyle name="20% - Accent5 2 8" xfId="2026" xr:uid="{00000000-0005-0000-0000-0000E51E0000}"/>
    <cellStyle name="20% - Accent5 2 8 2" xfId="2027" xr:uid="{00000000-0005-0000-0000-0000E61E0000}"/>
    <cellStyle name="20% - Accent5 2 8 2 2" xfId="16491" xr:uid="{00000000-0005-0000-0000-0000E71E0000}"/>
    <cellStyle name="20% - Accent5 2 8 2 2 2" xfId="29898" xr:uid="{00000000-0005-0000-0000-0000E81E0000}"/>
    <cellStyle name="20% - Accent5 2 8 2 3" xfId="19351" xr:uid="{00000000-0005-0000-0000-0000E91E0000}"/>
    <cellStyle name="20% - Accent5 2 8 3" xfId="13443" xr:uid="{00000000-0005-0000-0000-0000EA1E0000}"/>
    <cellStyle name="20% - Accent5 2 8 3 2" xfId="26992" xr:uid="{00000000-0005-0000-0000-0000EB1E0000}"/>
    <cellStyle name="20% - Accent5 2 8 4" xfId="19350" xr:uid="{00000000-0005-0000-0000-0000EC1E0000}"/>
    <cellStyle name="20% - Accent5 2 9" xfId="2028" xr:uid="{00000000-0005-0000-0000-0000ED1E0000}"/>
    <cellStyle name="20% - Accent5 2 9 2" xfId="14024" xr:uid="{00000000-0005-0000-0000-0000EE1E0000}"/>
    <cellStyle name="20% - Accent5 2 9 2 2" xfId="27573" xr:uid="{00000000-0005-0000-0000-0000EF1E0000}"/>
    <cellStyle name="20% - Accent5 2 9 3" xfId="19352" xr:uid="{00000000-0005-0000-0000-0000F01E0000}"/>
    <cellStyle name="20% - Accent5 3" xfId="2029" xr:uid="{00000000-0005-0000-0000-0000F11E0000}"/>
    <cellStyle name="20% - Accent5 3 10" xfId="19353" xr:uid="{00000000-0005-0000-0000-0000F21E0000}"/>
    <cellStyle name="20% - Accent5 3 2" xfId="2030" xr:uid="{00000000-0005-0000-0000-0000F31E0000}"/>
    <cellStyle name="20% - Accent5 3 2 2" xfId="2031" xr:uid="{00000000-0005-0000-0000-0000F41E0000}"/>
    <cellStyle name="20% - Accent5 3 2 2 2" xfId="2032" xr:uid="{00000000-0005-0000-0000-0000F51E0000}"/>
    <cellStyle name="20% - Accent5 3 2 2 2 2" xfId="2033" xr:uid="{00000000-0005-0000-0000-0000F61E0000}"/>
    <cellStyle name="20% - Accent5 3 2 2 2 2 2" xfId="16946" xr:uid="{00000000-0005-0000-0000-0000F71E0000}"/>
    <cellStyle name="20% - Accent5 3 2 2 2 2 2 2" xfId="30353" xr:uid="{00000000-0005-0000-0000-0000F81E0000}"/>
    <cellStyle name="20% - Accent5 3 2 2 2 2 3" xfId="19357" xr:uid="{00000000-0005-0000-0000-0000F91E0000}"/>
    <cellStyle name="20% - Accent5 3 2 2 2 3" xfId="10836" xr:uid="{00000000-0005-0000-0000-0000FA1E0000}"/>
    <cellStyle name="20% - Accent5 3 2 2 2 3 2" xfId="24778" xr:uid="{00000000-0005-0000-0000-0000FB1E0000}"/>
    <cellStyle name="20% - Accent5 3 2 2 2 4" xfId="19356" xr:uid="{00000000-0005-0000-0000-0000FC1E0000}"/>
    <cellStyle name="20% - Accent5 3 2 2 3" xfId="2034" xr:uid="{00000000-0005-0000-0000-0000FD1E0000}"/>
    <cellStyle name="20% - Accent5 3 2 2 3 2" xfId="12334" xr:uid="{00000000-0005-0000-0000-0000FE1E0000}"/>
    <cellStyle name="20% - Accent5 3 2 2 3 2 2" xfId="26046" xr:uid="{00000000-0005-0000-0000-0000FF1E0000}"/>
    <cellStyle name="20% - Accent5 3 2 2 3 3" xfId="19358" xr:uid="{00000000-0005-0000-0000-0000001F0000}"/>
    <cellStyle name="20% - Accent5 3 2 2 4" xfId="2035" xr:uid="{00000000-0005-0000-0000-0000011F0000}"/>
    <cellStyle name="20% - Accent5 3 2 2 4 2" xfId="13898" xr:uid="{00000000-0005-0000-0000-0000021F0000}"/>
    <cellStyle name="20% - Accent5 3 2 2 4 2 2" xfId="27447" xr:uid="{00000000-0005-0000-0000-0000031F0000}"/>
    <cellStyle name="20% - Accent5 3 2 2 4 3" xfId="19359" xr:uid="{00000000-0005-0000-0000-0000041F0000}"/>
    <cellStyle name="20% - Accent5 3 2 2 5" xfId="2036" xr:uid="{00000000-0005-0000-0000-0000051F0000}"/>
    <cellStyle name="20% - Accent5 3 2 2 5 2" xfId="14479" xr:uid="{00000000-0005-0000-0000-0000061F0000}"/>
    <cellStyle name="20% - Accent5 3 2 2 5 2 2" xfId="28028" xr:uid="{00000000-0005-0000-0000-0000071F0000}"/>
    <cellStyle name="20% - Accent5 3 2 2 5 3" xfId="19360" xr:uid="{00000000-0005-0000-0000-0000081F0000}"/>
    <cellStyle name="20% - Accent5 3 2 2 6" xfId="2037" xr:uid="{00000000-0005-0000-0000-0000091F0000}"/>
    <cellStyle name="20% - Accent5 3 2 2 6 2" xfId="16365" xr:uid="{00000000-0005-0000-0000-00000A1F0000}"/>
    <cellStyle name="20% - Accent5 3 2 2 6 2 2" xfId="29772" xr:uid="{00000000-0005-0000-0000-00000B1F0000}"/>
    <cellStyle name="20% - Accent5 3 2 2 6 3" xfId="19361" xr:uid="{00000000-0005-0000-0000-00000C1F0000}"/>
    <cellStyle name="20% - Accent5 3 2 2 7" xfId="9110" xr:uid="{00000000-0005-0000-0000-00000D1F0000}"/>
    <cellStyle name="20% - Accent5 3 2 2 7 2" xfId="23585" xr:uid="{00000000-0005-0000-0000-00000E1F0000}"/>
    <cellStyle name="20% - Accent5 3 2 2 8" xfId="19355" xr:uid="{00000000-0005-0000-0000-00000F1F0000}"/>
    <cellStyle name="20% - Accent5 3 2 3" xfId="2038" xr:uid="{00000000-0005-0000-0000-0000101F0000}"/>
    <cellStyle name="20% - Accent5 3 2 3 2" xfId="2039" xr:uid="{00000000-0005-0000-0000-0000111F0000}"/>
    <cellStyle name="20% - Accent5 3 2 3 2 2" xfId="16657" xr:uid="{00000000-0005-0000-0000-0000121F0000}"/>
    <cellStyle name="20% - Accent5 3 2 3 2 2 2" xfId="30064" xr:uid="{00000000-0005-0000-0000-0000131F0000}"/>
    <cellStyle name="20% - Accent5 3 2 3 2 3" xfId="19363" xr:uid="{00000000-0005-0000-0000-0000141F0000}"/>
    <cellStyle name="20% - Accent5 3 2 3 3" xfId="10835" xr:uid="{00000000-0005-0000-0000-0000151F0000}"/>
    <cellStyle name="20% - Accent5 3 2 3 3 2" xfId="24777" xr:uid="{00000000-0005-0000-0000-0000161F0000}"/>
    <cellStyle name="20% - Accent5 3 2 3 4" xfId="19362" xr:uid="{00000000-0005-0000-0000-0000171F0000}"/>
    <cellStyle name="20% - Accent5 3 2 4" xfId="2040" xr:uid="{00000000-0005-0000-0000-0000181F0000}"/>
    <cellStyle name="20% - Accent5 3 2 4 2" xfId="12034" xr:uid="{00000000-0005-0000-0000-0000191F0000}"/>
    <cellStyle name="20% - Accent5 3 2 4 2 2" xfId="25749" xr:uid="{00000000-0005-0000-0000-00001A1F0000}"/>
    <cellStyle name="20% - Accent5 3 2 4 3" xfId="19364" xr:uid="{00000000-0005-0000-0000-00001B1F0000}"/>
    <cellStyle name="20% - Accent5 3 2 5" xfId="2041" xr:uid="{00000000-0005-0000-0000-00001C1F0000}"/>
    <cellStyle name="20% - Accent5 3 2 5 2" xfId="13609" xr:uid="{00000000-0005-0000-0000-00001D1F0000}"/>
    <cellStyle name="20% - Accent5 3 2 5 2 2" xfId="27158" xr:uid="{00000000-0005-0000-0000-00001E1F0000}"/>
    <cellStyle name="20% - Accent5 3 2 5 3" xfId="19365" xr:uid="{00000000-0005-0000-0000-00001F1F0000}"/>
    <cellStyle name="20% - Accent5 3 2 6" xfId="2042" xr:uid="{00000000-0005-0000-0000-0000201F0000}"/>
    <cellStyle name="20% - Accent5 3 2 6 2" xfId="14190" xr:uid="{00000000-0005-0000-0000-0000211F0000}"/>
    <cellStyle name="20% - Accent5 3 2 6 2 2" xfId="27739" xr:uid="{00000000-0005-0000-0000-0000221F0000}"/>
    <cellStyle name="20% - Accent5 3 2 6 3" xfId="19366" xr:uid="{00000000-0005-0000-0000-0000231F0000}"/>
    <cellStyle name="20% - Accent5 3 2 7" xfId="2043" xr:uid="{00000000-0005-0000-0000-0000241F0000}"/>
    <cellStyle name="20% - Accent5 3 2 7 2" xfId="16076" xr:uid="{00000000-0005-0000-0000-0000251F0000}"/>
    <cellStyle name="20% - Accent5 3 2 7 2 2" xfId="29483" xr:uid="{00000000-0005-0000-0000-0000261F0000}"/>
    <cellStyle name="20% - Accent5 3 2 7 3" xfId="19367" xr:uid="{00000000-0005-0000-0000-0000271F0000}"/>
    <cellStyle name="20% - Accent5 3 2 8" xfId="9109" xr:uid="{00000000-0005-0000-0000-0000281F0000}"/>
    <cellStyle name="20% - Accent5 3 2 8 2" xfId="23584" xr:uid="{00000000-0005-0000-0000-0000291F0000}"/>
    <cellStyle name="20% - Accent5 3 2 9" xfId="19354" xr:uid="{00000000-0005-0000-0000-00002A1F0000}"/>
    <cellStyle name="20% - Accent5 3 3" xfId="2044" xr:uid="{00000000-0005-0000-0000-00002B1F0000}"/>
    <cellStyle name="20% - Accent5 3 3 2" xfId="2045" xr:uid="{00000000-0005-0000-0000-00002C1F0000}"/>
    <cellStyle name="20% - Accent5 3 3 2 2" xfId="2046" xr:uid="{00000000-0005-0000-0000-00002D1F0000}"/>
    <cellStyle name="20% - Accent5 3 3 2 2 2" xfId="16803" xr:uid="{00000000-0005-0000-0000-00002E1F0000}"/>
    <cellStyle name="20% - Accent5 3 3 2 2 2 2" xfId="30210" xr:uid="{00000000-0005-0000-0000-00002F1F0000}"/>
    <cellStyle name="20% - Accent5 3 3 2 2 3" xfId="19370" xr:uid="{00000000-0005-0000-0000-0000301F0000}"/>
    <cellStyle name="20% - Accent5 3 3 2 3" xfId="10837" xr:uid="{00000000-0005-0000-0000-0000311F0000}"/>
    <cellStyle name="20% - Accent5 3 3 2 3 2" xfId="24779" xr:uid="{00000000-0005-0000-0000-0000321F0000}"/>
    <cellStyle name="20% - Accent5 3 3 2 4" xfId="19369" xr:uid="{00000000-0005-0000-0000-0000331F0000}"/>
    <cellStyle name="20% - Accent5 3 3 3" xfId="2047" xr:uid="{00000000-0005-0000-0000-0000341F0000}"/>
    <cellStyle name="20% - Accent5 3 3 3 2" xfId="12191" xr:uid="{00000000-0005-0000-0000-0000351F0000}"/>
    <cellStyle name="20% - Accent5 3 3 3 2 2" xfId="25903" xr:uid="{00000000-0005-0000-0000-0000361F0000}"/>
    <cellStyle name="20% - Accent5 3 3 3 3" xfId="19371" xr:uid="{00000000-0005-0000-0000-0000371F0000}"/>
    <cellStyle name="20% - Accent5 3 3 4" xfId="2048" xr:uid="{00000000-0005-0000-0000-0000381F0000}"/>
    <cellStyle name="20% - Accent5 3 3 4 2" xfId="13755" xr:uid="{00000000-0005-0000-0000-0000391F0000}"/>
    <cellStyle name="20% - Accent5 3 3 4 2 2" xfId="27304" xr:uid="{00000000-0005-0000-0000-00003A1F0000}"/>
    <cellStyle name="20% - Accent5 3 3 4 3" xfId="19372" xr:uid="{00000000-0005-0000-0000-00003B1F0000}"/>
    <cellStyle name="20% - Accent5 3 3 5" xfId="2049" xr:uid="{00000000-0005-0000-0000-00003C1F0000}"/>
    <cellStyle name="20% - Accent5 3 3 5 2" xfId="14336" xr:uid="{00000000-0005-0000-0000-00003D1F0000}"/>
    <cellStyle name="20% - Accent5 3 3 5 2 2" xfId="27885" xr:uid="{00000000-0005-0000-0000-00003E1F0000}"/>
    <cellStyle name="20% - Accent5 3 3 5 3" xfId="19373" xr:uid="{00000000-0005-0000-0000-00003F1F0000}"/>
    <cellStyle name="20% - Accent5 3 3 6" xfId="2050" xr:uid="{00000000-0005-0000-0000-0000401F0000}"/>
    <cellStyle name="20% - Accent5 3 3 6 2" xfId="16222" xr:uid="{00000000-0005-0000-0000-0000411F0000}"/>
    <cellStyle name="20% - Accent5 3 3 6 2 2" xfId="29629" xr:uid="{00000000-0005-0000-0000-0000421F0000}"/>
    <cellStyle name="20% - Accent5 3 3 6 3" xfId="19374" xr:uid="{00000000-0005-0000-0000-0000431F0000}"/>
    <cellStyle name="20% - Accent5 3 3 7" xfId="9111" xr:uid="{00000000-0005-0000-0000-0000441F0000}"/>
    <cellStyle name="20% - Accent5 3 3 7 2" xfId="23586" xr:uid="{00000000-0005-0000-0000-0000451F0000}"/>
    <cellStyle name="20% - Accent5 3 3 8" xfId="19368" xr:uid="{00000000-0005-0000-0000-0000461F0000}"/>
    <cellStyle name="20% - Accent5 3 4" xfId="2051" xr:uid="{00000000-0005-0000-0000-0000471F0000}"/>
    <cellStyle name="20% - Accent5 3 4 2" xfId="2052" xr:uid="{00000000-0005-0000-0000-0000481F0000}"/>
    <cellStyle name="20% - Accent5 3 4 2 2" xfId="17150" xr:uid="{00000000-0005-0000-0000-0000491F0000}"/>
    <cellStyle name="20% - Accent5 3 4 2 2 2" xfId="30509" xr:uid="{00000000-0005-0000-0000-00004A1F0000}"/>
    <cellStyle name="20% - Accent5 3 4 2 3" xfId="19376" xr:uid="{00000000-0005-0000-0000-00004B1F0000}"/>
    <cellStyle name="20% - Accent5 3 4 3" xfId="10834" xr:uid="{00000000-0005-0000-0000-00004C1F0000}"/>
    <cellStyle name="20% - Accent5 3 4 3 2" xfId="24776" xr:uid="{00000000-0005-0000-0000-00004D1F0000}"/>
    <cellStyle name="20% - Accent5 3 4 4" xfId="19375" xr:uid="{00000000-0005-0000-0000-00004E1F0000}"/>
    <cellStyle name="20% - Accent5 3 5" xfId="2053" xr:uid="{00000000-0005-0000-0000-00004F1F0000}"/>
    <cellStyle name="20% - Accent5 3 5 2" xfId="2054" xr:uid="{00000000-0005-0000-0000-0000501F0000}"/>
    <cellStyle name="20% - Accent5 3 5 2 2" xfId="17239" xr:uid="{00000000-0005-0000-0000-0000511F0000}"/>
    <cellStyle name="20% - Accent5 3 5 2 2 2" xfId="30598" xr:uid="{00000000-0005-0000-0000-0000521F0000}"/>
    <cellStyle name="20% - Accent5 3 5 2 3" xfId="19378" xr:uid="{00000000-0005-0000-0000-0000531F0000}"/>
    <cellStyle name="20% - Accent5 3 5 3" xfId="11886" xr:uid="{00000000-0005-0000-0000-0000541F0000}"/>
    <cellStyle name="20% - Accent5 3 5 3 2" xfId="25601" xr:uid="{00000000-0005-0000-0000-0000551F0000}"/>
    <cellStyle name="20% - Accent5 3 5 4" xfId="19377" xr:uid="{00000000-0005-0000-0000-0000561F0000}"/>
    <cellStyle name="20% - Accent5 3 6" xfId="2055" xr:uid="{00000000-0005-0000-0000-0000571F0000}"/>
    <cellStyle name="20% - Accent5 3 6 2" xfId="2056" xr:uid="{00000000-0005-0000-0000-0000581F0000}"/>
    <cellStyle name="20% - Accent5 3 6 2 2" xfId="16514" xr:uid="{00000000-0005-0000-0000-0000591F0000}"/>
    <cellStyle name="20% - Accent5 3 6 2 2 2" xfId="29921" xr:uid="{00000000-0005-0000-0000-00005A1F0000}"/>
    <cellStyle name="20% - Accent5 3 6 2 3" xfId="19380" xr:uid="{00000000-0005-0000-0000-00005B1F0000}"/>
    <cellStyle name="20% - Accent5 3 6 3" xfId="13466" xr:uid="{00000000-0005-0000-0000-00005C1F0000}"/>
    <cellStyle name="20% - Accent5 3 6 3 2" xfId="27015" xr:uid="{00000000-0005-0000-0000-00005D1F0000}"/>
    <cellStyle name="20% - Accent5 3 6 4" xfId="19379" xr:uid="{00000000-0005-0000-0000-00005E1F0000}"/>
    <cellStyle name="20% - Accent5 3 7" xfId="2057" xr:uid="{00000000-0005-0000-0000-00005F1F0000}"/>
    <cellStyle name="20% - Accent5 3 7 2" xfId="14047" xr:uid="{00000000-0005-0000-0000-0000601F0000}"/>
    <cellStyle name="20% - Accent5 3 7 2 2" xfId="27596" xr:uid="{00000000-0005-0000-0000-0000611F0000}"/>
    <cellStyle name="20% - Accent5 3 7 3" xfId="19381" xr:uid="{00000000-0005-0000-0000-0000621F0000}"/>
    <cellStyle name="20% - Accent5 3 8" xfId="2058" xr:uid="{00000000-0005-0000-0000-0000631F0000}"/>
    <cellStyle name="20% - Accent5 3 8 2" xfId="15933" xr:uid="{00000000-0005-0000-0000-0000641F0000}"/>
    <cellStyle name="20% - Accent5 3 8 2 2" xfId="29340" xr:uid="{00000000-0005-0000-0000-0000651F0000}"/>
    <cellStyle name="20% - Accent5 3 8 3" xfId="19382" xr:uid="{00000000-0005-0000-0000-0000661F0000}"/>
    <cellStyle name="20% - Accent5 3 9" xfId="9108" xr:uid="{00000000-0005-0000-0000-0000671F0000}"/>
    <cellStyle name="20% - Accent5 3 9 2" xfId="23583" xr:uid="{00000000-0005-0000-0000-0000681F0000}"/>
    <cellStyle name="20% - Accent5 4" xfId="2059" xr:uid="{00000000-0005-0000-0000-0000691F0000}"/>
    <cellStyle name="20% - Accent5 4 10" xfId="19383" xr:uid="{00000000-0005-0000-0000-00006A1F0000}"/>
    <cellStyle name="20% - Accent5 4 2" xfId="2060" xr:uid="{00000000-0005-0000-0000-00006B1F0000}"/>
    <cellStyle name="20% - Accent5 4 2 2" xfId="2061" xr:uid="{00000000-0005-0000-0000-00006C1F0000}"/>
    <cellStyle name="20% - Accent5 4 2 2 2" xfId="2062" xr:uid="{00000000-0005-0000-0000-00006D1F0000}"/>
    <cellStyle name="20% - Accent5 4 2 2 2 2" xfId="2063" xr:uid="{00000000-0005-0000-0000-00006E1F0000}"/>
    <cellStyle name="20% - Accent5 4 2 2 2 2 2" xfId="16896" xr:uid="{00000000-0005-0000-0000-00006F1F0000}"/>
    <cellStyle name="20% - Accent5 4 2 2 2 2 2 2" xfId="30303" xr:uid="{00000000-0005-0000-0000-0000701F0000}"/>
    <cellStyle name="20% - Accent5 4 2 2 2 2 3" xfId="19387" xr:uid="{00000000-0005-0000-0000-0000711F0000}"/>
    <cellStyle name="20% - Accent5 4 2 2 2 3" xfId="10840" xr:uid="{00000000-0005-0000-0000-0000721F0000}"/>
    <cellStyle name="20% - Accent5 4 2 2 2 3 2" xfId="24782" xr:uid="{00000000-0005-0000-0000-0000731F0000}"/>
    <cellStyle name="20% - Accent5 4 2 2 2 4" xfId="19386" xr:uid="{00000000-0005-0000-0000-0000741F0000}"/>
    <cellStyle name="20% - Accent5 4 2 2 3" xfId="2064" xr:uid="{00000000-0005-0000-0000-0000751F0000}"/>
    <cellStyle name="20% - Accent5 4 2 2 3 2" xfId="12284" xr:uid="{00000000-0005-0000-0000-0000761F0000}"/>
    <cellStyle name="20% - Accent5 4 2 2 3 2 2" xfId="25996" xr:uid="{00000000-0005-0000-0000-0000771F0000}"/>
    <cellStyle name="20% - Accent5 4 2 2 3 3" xfId="19388" xr:uid="{00000000-0005-0000-0000-0000781F0000}"/>
    <cellStyle name="20% - Accent5 4 2 2 4" xfId="2065" xr:uid="{00000000-0005-0000-0000-0000791F0000}"/>
    <cellStyle name="20% - Accent5 4 2 2 4 2" xfId="13848" xr:uid="{00000000-0005-0000-0000-00007A1F0000}"/>
    <cellStyle name="20% - Accent5 4 2 2 4 2 2" xfId="27397" xr:uid="{00000000-0005-0000-0000-00007B1F0000}"/>
    <cellStyle name="20% - Accent5 4 2 2 4 3" xfId="19389" xr:uid="{00000000-0005-0000-0000-00007C1F0000}"/>
    <cellStyle name="20% - Accent5 4 2 2 5" xfId="2066" xr:uid="{00000000-0005-0000-0000-00007D1F0000}"/>
    <cellStyle name="20% - Accent5 4 2 2 5 2" xfId="14429" xr:uid="{00000000-0005-0000-0000-00007E1F0000}"/>
    <cellStyle name="20% - Accent5 4 2 2 5 2 2" xfId="27978" xr:uid="{00000000-0005-0000-0000-00007F1F0000}"/>
    <cellStyle name="20% - Accent5 4 2 2 5 3" xfId="19390" xr:uid="{00000000-0005-0000-0000-0000801F0000}"/>
    <cellStyle name="20% - Accent5 4 2 2 6" xfId="2067" xr:uid="{00000000-0005-0000-0000-0000811F0000}"/>
    <cellStyle name="20% - Accent5 4 2 2 6 2" xfId="16315" xr:uid="{00000000-0005-0000-0000-0000821F0000}"/>
    <cellStyle name="20% - Accent5 4 2 2 6 2 2" xfId="29722" xr:uid="{00000000-0005-0000-0000-0000831F0000}"/>
    <cellStyle name="20% - Accent5 4 2 2 6 3" xfId="19391" xr:uid="{00000000-0005-0000-0000-0000841F0000}"/>
    <cellStyle name="20% - Accent5 4 2 2 7" xfId="9114" xr:uid="{00000000-0005-0000-0000-0000851F0000}"/>
    <cellStyle name="20% - Accent5 4 2 2 7 2" xfId="23589" xr:uid="{00000000-0005-0000-0000-0000861F0000}"/>
    <cellStyle name="20% - Accent5 4 2 2 8" xfId="19385" xr:uid="{00000000-0005-0000-0000-0000871F0000}"/>
    <cellStyle name="20% - Accent5 4 2 3" xfId="2068" xr:uid="{00000000-0005-0000-0000-0000881F0000}"/>
    <cellStyle name="20% - Accent5 4 2 3 2" xfId="2069" xr:uid="{00000000-0005-0000-0000-0000891F0000}"/>
    <cellStyle name="20% - Accent5 4 2 3 2 2" xfId="16607" xr:uid="{00000000-0005-0000-0000-00008A1F0000}"/>
    <cellStyle name="20% - Accent5 4 2 3 2 2 2" xfId="30014" xr:uid="{00000000-0005-0000-0000-00008B1F0000}"/>
    <cellStyle name="20% - Accent5 4 2 3 2 3" xfId="19393" xr:uid="{00000000-0005-0000-0000-00008C1F0000}"/>
    <cellStyle name="20% - Accent5 4 2 3 3" xfId="10839" xr:uid="{00000000-0005-0000-0000-00008D1F0000}"/>
    <cellStyle name="20% - Accent5 4 2 3 3 2" xfId="24781" xr:uid="{00000000-0005-0000-0000-00008E1F0000}"/>
    <cellStyle name="20% - Accent5 4 2 3 4" xfId="19392" xr:uid="{00000000-0005-0000-0000-00008F1F0000}"/>
    <cellStyle name="20% - Accent5 4 2 4" xfId="2070" xr:uid="{00000000-0005-0000-0000-0000901F0000}"/>
    <cellStyle name="20% - Accent5 4 2 4 2" xfId="11984" xr:uid="{00000000-0005-0000-0000-0000911F0000}"/>
    <cellStyle name="20% - Accent5 4 2 4 2 2" xfId="25699" xr:uid="{00000000-0005-0000-0000-0000921F0000}"/>
    <cellStyle name="20% - Accent5 4 2 4 3" xfId="19394" xr:uid="{00000000-0005-0000-0000-0000931F0000}"/>
    <cellStyle name="20% - Accent5 4 2 5" xfId="2071" xr:uid="{00000000-0005-0000-0000-0000941F0000}"/>
    <cellStyle name="20% - Accent5 4 2 5 2" xfId="13559" xr:uid="{00000000-0005-0000-0000-0000951F0000}"/>
    <cellStyle name="20% - Accent5 4 2 5 2 2" xfId="27108" xr:uid="{00000000-0005-0000-0000-0000961F0000}"/>
    <cellStyle name="20% - Accent5 4 2 5 3" xfId="19395" xr:uid="{00000000-0005-0000-0000-0000971F0000}"/>
    <cellStyle name="20% - Accent5 4 2 6" xfId="2072" xr:uid="{00000000-0005-0000-0000-0000981F0000}"/>
    <cellStyle name="20% - Accent5 4 2 6 2" xfId="14140" xr:uid="{00000000-0005-0000-0000-0000991F0000}"/>
    <cellStyle name="20% - Accent5 4 2 6 2 2" xfId="27689" xr:uid="{00000000-0005-0000-0000-00009A1F0000}"/>
    <cellStyle name="20% - Accent5 4 2 6 3" xfId="19396" xr:uid="{00000000-0005-0000-0000-00009B1F0000}"/>
    <cellStyle name="20% - Accent5 4 2 7" xfId="2073" xr:uid="{00000000-0005-0000-0000-00009C1F0000}"/>
    <cellStyle name="20% - Accent5 4 2 7 2" xfId="16026" xr:uid="{00000000-0005-0000-0000-00009D1F0000}"/>
    <cellStyle name="20% - Accent5 4 2 7 2 2" xfId="29433" xr:uid="{00000000-0005-0000-0000-00009E1F0000}"/>
    <cellStyle name="20% - Accent5 4 2 7 3" xfId="19397" xr:uid="{00000000-0005-0000-0000-00009F1F0000}"/>
    <cellStyle name="20% - Accent5 4 2 8" xfId="9113" xr:uid="{00000000-0005-0000-0000-0000A01F0000}"/>
    <cellStyle name="20% - Accent5 4 2 8 2" xfId="23588" xr:uid="{00000000-0005-0000-0000-0000A11F0000}"/>
    <cellStyle name="20% - Accent5 4 2 9" xfId="19384" xr:uid="{00000000-0005-0000-0000-0000A21F0000}"/>
    <cellStyle name="20% - Accent5 4 3" xfId="2074" xr:uid="{00000000-0005-0000-0000-0000A31F0000}"/>
    <cellStyle name="20% - Accent5 4 3 2" xfId="2075" xr:uid="{00000000-0005-0000-0000-0000A41F0000}"/>
    <cellStyle name="20% - Accent5 4 3 2 2" xfId="2076" xr:uid="{00000000-0005-0000-0000-0000A51F0000}"/>
    <cellStyle name="20% - Accent5 4 3 2 2 2" xfId="16756" xr:uid="{00000000-0005-0000-0000-0000A61F0000}"/>
    <cellStyle name="20% - Accent5 4 3 2 2 2 2" xfId="30163" xr:uid="{00000000-0005-0000-0000-0000A71F0000}"/>
    <cellStyle name="20% - Accent5 4 3 2 2 3" xfId="19400" xr:uid="{00000000-0005-0000-0000-0000A81F0000}"/>
    <cellStyle name="20% - Accent5 4 3 2 3" xfId="10841" xr:uid="{00000000-0005-0000-0000-0000A91F0000}"/>
    <cellStyle name="20% - Accent5 4 3 2 3 2" xfId="24783" xr:uid="{00000000-0005-0000-0000-0000AA1F0000}"/>
    <cellStyle name="20% - Accent5 4 3 2 4" xfId="19399" xr:uid="{00000000-0005-0000-0000-0000AB1F0000}"/>
    <cellStyle name="20% - Accent5 4 3 3" xfId="2077" xr:uid="{00000000-0005-0000-0000-0000AC1F0000}"/>
    <cellStyle name="20% - Accent5 4 3 3 2" xfId="12144" xr:uid="{00000000-0005-0000-0000-0000AD1F0000}"/>
    <cellStyle name="20% - Accent5 4 3 3 2 2" xfId="25856" xr:uid="{00000000-0005-0000-0000-0000AE1F0000}"/>
    <cellStyle name="20% - Accent5 4 3 3 3" xfId="19401" xr:uid="{00000000-0005-0000-0000-0000AF1F0000}"/>
    <cellStyle name="20% - Accent5 4 3 4" xfId="2078" xr:uid="{00000000-0005-0000-0000-0000B01F0000}"/>
    <cellStyle name="20% - Accent5 4 3 4 2" xfId="13708" xr:uid="{00000000-0005-0000-0000-0000B11F0000}"/>
    <cellStyle name="20% - Accent5 4 3 4 2 2" xfId="27257" xr:uid="{00000000-0005-0000-0000-0000B21F0000}"/>
    <cellStyle name="20% - Accent5 4 3 4 3" xfId="19402" xr:uid="{00000000-0005-0000-0000-0000B31F0000}"/>
    <cellStyle name="20% - Accent5 4 3 5" xfId="2079" xr:uid="{00000000-0005-0000-0000-0000B41F0000}"/>
    <cellStyle name="20% - Accent5 4 3 5 2" xfId="14289" xr:uid="{00000000-0005-0000-0000-0000B51F0000}"/>
    <cellStyle name="20% - Accent5 4 3 5 2 2" xfId="27838" xr:uid="{00000000-0005-0000-0000-0000B61F0000}"/>
    <cellStyle name="20% - Accent5 4 3 5 3" xfId="19403" xr:uid="{00000000-0005-0000-0000-0000B71F0000}"/>
    <cellStyle name="20% - Accent5 4 3 6" xfId="2080" xr:uid="{00000000-0005-0000-0000-0000B81F0000}"/>
    <cellStyle name="20% - Accent5 4 3 6 2" xfId="16175" xr:uid="{00000000-0005-0000-0000-0000B91F0000}"/>
    <cellStyle name="20% - Accent5 4 3 6 2 2" xfId="29582" xr:uid="{00000000-0005-0000-0000-0000BA1F0000}"/>
    <cellStyle name="20% - Accent5 4 3 6 3" xfId="19404" xr:uid="{00000000-0005-0000-0000-0000BB1F0000}"/>
    <cellStyle name="20% - Accent5 4 3 7" xfId="9115" xr:uid="{00000000-0005-0000-0000-0000BC1F0000}"/>
    <cellStyle name="20% - Accent5 4 3 7 2" xfId="23590" xr:uid="{00000000-0005-0000-0000-0000BD1F0000}"/>
    <cellStyle name="20% - Accent5 4 3 8" xfId="19398" xr:uid="{00000000-0005-0000-0000-0000BE1F0000}"/>
    <cellStyle name="20% - Accent5 4 4" xfId="2081" xr:uid="{00000000-0005-0000-0000-0000BF1F0000}"/>
    <cellStyle name="20% - Accent5 4 4 2" xfId="2082" xr:uid="{00000000-0005-0000-0000-0000C01F0000}"/>
    <cellStyle name="20% - Accent5 4 4 2 2" xfId="16464" xr:uid="{00000000-0005-0000-0000-0000C11F0000}"/>
    <cellStyle name="20% - Accent5 4 4 2 2 2" xfId="29871" xr:uid="{00000000-0005-0000-0000-0000C21F0000}"/>
    <cellStyle name="20% - Accent5 4 4 2 3" xfId="19406" xr:uid="{00000000-0005-0000-0000-0000C31F0000}"/>
    <cellStyle name="20% - Accent5 4 4 3" xfId="10838" xr:uid="{00000000-0005-0000-0000-0000C41F0000}"/>
    <cellStyle name="20% - Accent5 4 4 3 2" xfId="24780" xr:uid="{00000000-0005-0000-0000-0000C51F0000}"/>
    <cellStyle name="20% - Accent5 4 4 4" xfId="19405" xr:uid="{00000000-0005-0000-0000-0000C61F0000}"/>
    <cellStyle name="20% - Accent5 4 5" xfId="2083" xr:uid="{00000000-0005-0000-0000-0000C71F0000}"/>
    <cellStyle name="20% - Accent5 4 5 2" xfId="11815" xr:uid="{00000000-0005-0000-0000-0000C81F0000}"/>
    <cellStyle name="20% - Accent5 4 5 2 2" xfId="25530" xr:uid="{00000000-0005-0000-0000-0000C91F0000}"/>
    <cellStyle name="20% - Accent5 4 5 3" xfId="19407" xr:uid="{00000000-0005-0000-0000-0000CA1F0000}"/>
    <cellStyle name="20% - Accent5 4 6" xfId="2084" xr:uid="{00000000-0005-0000-0000-0000CB1F0000}"/>
    <cellStyle name="20% - Accent5 4 6 2" xfId="13416" xr:uid="{00000000-0005-0000-0000-0000CC1F0000}"/>
    <cellStyle name="20% - Accent5 4 6 2 2" xfId="26965" xr:uid="{00000000-0005-0000-0000-0000CD1F0000}"/>
    <cellStyle name="20% - Accent5 4 6 3" xfId="19408" xr:uid="{00000000-0005-0000-0000-0000CE1F0000}"/>
    <cellStyle name="20% - Accent5 4 7" xfId="2085" xr:uid="{00000000-0005-0000-0000-0000CF1F0000}"/>
    <cellStyle name="20% - Accent5 4 7 2" xfId="13997" xr:uid="{00000000-0005-0000-0000-0000D01F0000}"/>
    <cellStyle name="20% - Accent5 4 7 2 2" xfId="27546" xr:uid="{00000000-0005-0000-0000-0000D11F0000}"/>
    <cellStyle name="20% - Accent5 4 7 3" xfId="19409" xr:uid="{00000000-0005-0000-0000-0000D21F0000}"/>
    <cellStyle name="20% - Accent5 4 8" xfId="2086" xr:uid="{00000000-0005-0000-0000-0000D31F0000}"/>
    <cellStyle name="20% - Accent5 4 8 2" xfId="15883" xr:uid="{00000000-0005-0000-0000-0000D41F0000}"/>
    <cellStyle name="20% - Accent5 4 8 2 2" xfId="29290" xr:uid="{00000000-0005-0000-0000-0000D51F0000}"/>
    <cellStyle name="20% - Accent5 4 8 3" xfId="19410" xr:uid="{00000000-0005-0000-0000-0000D61F0000}"/>
    <cellStyle name="20% - Accent5 4 9" xfId="9112" xr:uid="{00000000-0005-0000-0000-0000D71F0000}"/>
    <cellStyle name="20% - Accent5 4 9 2" xfId="23587" xr:uid="{00000000-0005-0000-0000-0000D81F0000}"/>
    <cellStyle name="20% - Accent5 5" xfId="2087" xr:uid="{00000000-0005-0000-0000-0000D91F0000}"/>
    <cellStyle name="20% - Accent5 5 10" xfId="19411" xr:uid="{00000000-0005-0000-0000-0000DA1F0000}"/>
    <cellStyle name="20% - Accent5 5 2" xfId="2088" xr:uid="{00000000-0005-0000-0000-0000DB1F0000}"/>
    <cellStyle name="20% - Accent5 5 2 2" xfId="2089" xr:uid="{00000000-0005-0000-0000-0000DC1F0000}"/>
    <cellStyle name="20% - Accent5 5 2 2 2" xfId="2090" xr:uid="{00000000-0005-0000-0000-0000DD1F0000}"/>
    <cellStyle name="20% - Accent5 5 2 2 2 2" xfId="2091" xr:uid="{00000000-0005-0000-0000-0000DE1F0000}"/>
    <cellStyle name="20% - Accent5 5 2 2 2 2 2" xfId="16879" xr:uid="{00000000-0005-0000-0000-0000DF1F0000}"/>
    <cellStyle name="20% - Accent5 5 2 2 2 2 2 2" xfId="30286" xr:uid="{00000000-0005-0000-0000-0000E01F0000}"/>
    <cellStyle name="20% - Accent5 5 2 2 2 2 3" xfId="19415" xr:uid="{00000000-0005-0000-0000-0000E11F0000}"/>
    <cellStyle name="20% - Accent5 5 2 2 2 3" xfId="10844" xr:uid="{00000000-0005-0000-0000-0000E21F0000}"/>
    <cellStyle name="20% - Accent5 5 2 2 2 3 2" xfId="24786" xr:uid="{00000000-0005-0000-0000-0000E31F0000}"/>
    <cellStyle name="20% - Accent5 5 2 2 2 4" xfId="19414" xr:uid="{00000000-0005-0000-0000-0000E41F0000}"/>
    <cellStyle name="20% - Accent5 5 2 2 3" xfId="2092" xr:uid="{00000000-0005-0000-0000-0000E51F0000}"/>
    <cellStyle name="20% - Accent5 5 2 2 3 2" xfId="12267" xr:uid="{00000000-0005-0000-0000-0000E61F0000}"/>
    <cellStyle name="20% - Accent5 5 2 2 3 2 2" xfId="25979" xr:uid="{00000000-0005-0000-0000-0000E71F0000}"/>
    <cellStyle name="20% - Accent5 5 2 2 3 3" xfId="19416" xr:uid="{00000000-0005-0000-0000-0000E81F0000}"/>
    <cellStyle name="20% - Accent5 5 2 2 4" xfId="2093" xr:uid="{00000000-0005-0000-0000-0000E91F0000}"/>
    <cellStyle name="20% - Accent5 5 2 2 4 2" xfId="13831" xr:uid="{00000000-0005-0000-0000-0000EA1F0000}"/>
    <cellStyle name="20% - Accent5 5 2 2 4 2 2" xfId="27380" xr:uid="{00000000-0005-0000-0000-0000EB1F0000}"/>
    <cellStyle name="20% - Accent5 5 2 2 4 3" xfId="19417" xr:uid="{00000000-0005-0000-0000-0000EC1F0000}"/>
    <cellStyle name="20% - Accent5 5 2 2 5" xfId="2094" xr:uid="{00000000-0005-0000-0000-0000ED1F0000}"/>
    <cellStyle name="20% - Accent5 5 2 2 5 2" xfId="14412" xr:uid="{00000000-0005-0000-0000-0000EE1F0000}"/>
    <cellStyle name="20% - Accent5 5 2 2 5 2 2" xfId="27961" xr:uid="{00000000-0005-0000-0000-0000EF1F0000}"/>
    <cellStyle name="20% - Accent5 5 2 2 5 3" xfId="19418" xr:uid="{00000000-0005-0000-0000-0000F01F0000}"/>
    <cellStyle name="20% - Accent5 5 2 2 6" xfId="2095" xr:uid="{00000000-0005-0000-0000-0000F11F0000}"/>
    <cellStyle name="20% - Accent5 5 2 2 6 2" xfId="16298" xr:uid="{00000000-0005-0000-0000-0000F21F0000}"/>
    <cellStyle name="20% - Accent5 5 2 2 6 2 2" xfId="29705" xr:uid="{00000000-0005-0000-0000-0000F31F0000}"/>
    <cellStyle name="20% - Accent5 5 2 2 6 3" xfId="19419" xr:uid="{00000000-0005-0000-0000-0000F41F0000}"/>
    <cellStyle name="20% - Accent5 5 2 2 7" xfId="9118" xr:uid="{00000000-0005-0000-0000-0000F51F0000}"/>
    <cellStyle name="20% - Accent5 5 2 2 7 2" xfId="23593" xr:uid="{00000000-0005-0000-0000-0000F61F0000}"/>
    <cellStyle name="20% - Accent5 5 2 2 8" xfId="19413" xr:uid="{00000000-0005-0000-0000-0000F71F0000}"/>
    <cellStyle name="20% - Accent5 5 2 3" xfId="2096" xr:uid="{00000000-0005-0000-0000-0000F81F0000}"/>
    <cellStyle name="20% - Accent5 5 2 3 2" xfId="2097" xr:uid="{00000000-0005-0000-0000-0000F91F0000}"/>
    <cellStyle name="20% - Accent5 5 2 3 2 2" xfId="16590" xr:uid="{00000000-0005-0000-0000-0000FA1F0000}"/>
    <cellStyle name="20% - Accent5 5 2 3 2 2 2" xfId="29997" xr:uid="{00000000-0005-0000-0000-0000FB1F0000}"/>
    <cellStyle name="20% - Accent5 5 2 3 2 3" xfId="19421" xr:uid="{00000000-0005-0000-0000-0000FC1F0000}"/>
    <cellStyle name="20% - Accent5 5 2 3 3" xfId="10843" xr:uid="{00000000-0005-0000-0000-0000FD1F0000}"/>
    <cellStyle name="20% - Accent5 5 2 3 3 2" xfId="24785" xr:uid="{00000000-0005-0000-0000-0000FE1F0000}"/>
    <cellStyle name="20% - Accent5 5 2 3 4" xfId="19420" xr:uid="{00000000-0005-0000-0000-0000FF1F0000}"/>
    <cellStyle name="20% - Accent5 5 2 4" xfId="2098" xr:uid="{00000000-0005-0000-0000-000000200000}"/>
    <cellStyle name="20% - Accent5 5 2 4 2" xfId="11967" xr:uid="{00000000-0005-0000-0000-000001200000}"/>
    <cellStyle name="20% - Accent5 5 2 4 2 2" xfId="25682" xr:uid="{00000000-0005-0000-0000-000002200000}"/>
    <cellStyle name="20% - Accent5 5 2 4 3" xfId="19422" xr:uid="{00000000-0005-0000-0000-000003200000}"/>
    <cellStyle name="20% - Accent5 5 2 5" xfId="2099" xr:uid="{00000000-0005-0000-0000-000004200000}"/>
    <cellStyle name="20% - Accent5 5 2 5 2" xfId="13542" xr:uid="{00000000-0005-0000-0000-000005200000}"/>
    <cellStyle name="20% - Accent5 5 2 5 2 2" xfId="27091" xr:uid="{00000000-0005-0000-0000-000006200000}"/>
    <cellStyle name="20% - Accent5 5 2 5 3" xfId="19423" xr:uid="{00000000-0005-0000-0000-000007200000}"/>
    <cellStyle name="20% - Accent5 5 2 6" xfId="2100" xr:uid="{00000000-0005-0000-0000-000008200000}"/>
    <cellStyle name="20% - Accent5 5 2 6 2" xfId="14123" xr:uid="{00000000-0005-0000-0000-000009200000}"/>
    <cellStyle name="20% - Accent5 5 2 6 2 2" xfId="27672" xr:uid="{00000000-0005-0000-0000-00000A200000}"/>
    <cellStyle name="20% - Accent5 5 2 6 3" xfId="19424" xr:uid="{00000000-0005-0000-0000-00000B200000}"/>
    <cellStyle name="20% - Accent5 5 2 7" xfId="2101" xr:uid="{00000000-0005-0000-0000-00000C200000}"/>
    <cellStyle name="20% - Accent5 5 2 7 2" xfId="16009" xr:uid="{00000000-0005-0000-0000-00000D200000}"/>
    <cellStyle name="20% - Accent5 5 2 7 2 2" xfId="29416" xr:uid="{00000000-0005-0000-0000-00000E200000}"/>
    <cellStyle name="20% - Accent5 5 2 7 3" xfId="19425" xr:uid="{00000000-0005-0000-0000-00000F200000}"/>
    <cellStyle name="20% - Accent5 5 2 8" xfId="9117" xr:uid="{00000000-0005-0000-0000-000010200000}"/>
    <cellStyle name="20% - Accent5 5 2 8 2" xfId="23592" xr:uid="{00000000-0005-0000-0000-000011200000}"/>
    <cellStyle name="20% - Accent5 5 2 9" xfId="19412" xr:uid="{00000000-0005-0000-0000-000012200000}"/>
    <cellStyle name="20% - Accent5 5 3" xfId="2102" xr:uid="{00000000-0005-0000-0000-000013200000}"/>
    <cellStyle name="20% - Accent5 5 3 2" xfId="2103" xr:uid="{00000000-0005-0000-0000-000014200000}"/>
    <cellStyle name="20% - Accent5 5 3 2 2" xfId="2104" xr:uid="{00000000-0005-0000-0000-000015200000}"/>
    <cellStyle name="20% - Accent5 5 3 2 2 2" xfId="16739" xr:uid="{00000000-0005-0000-0000-000016200000}"/>
    <cellStyle name="20% - Accent5 5 3 2 2 2 2" xfId="30146" xr:uid="{00000000-0005-0000-0000-000017200000}"/>
    <cellStyle name="20% - Accent5 5 3 2 2 3" xfId="19428" xr:uid="{00000000-0005-0000-0000-000018200000}"/>
    <cellStyle name="20% - Accent5 5 3 2 3" xfId="10845" xr:uid="{00000000-0005-0000-0000-000019200000}"/>
    <cellStyle name="20% - Accent5 5 3 2 3 2" xfId="24787" xr:uid="{00000000-0005-0000-0000-00001A200000}"/>
    <cellStyle name="20% - Accent5 5 3 2 4" xfId="19427" xr:uid="{00000000-0005-0000-0000-00001B200000}"/>
    <cellStyle name="20% - Accent5 5 3 3" xfId="2105" xr:uid="{00000000-0005-0000-0000-00001C200000}"/>
    <cellStyle name="20% - Accent5 5 3 3 2" xfId="12127" xr:uid="{00000000-0005-0000-0000-00001D200000}"/>
    <cellStyle name="20% - Accent5 5 3 3 2 2" xfId="25839" xr:uid="{00000000-0005-0000-0000-00001E200000}"/>
    <cellStyle name="20% - Accent5 5 3 3 3" xfId="19429" xr:uid="{00000000-0005-0000-0000-00001F200000}"/>
    <cellStyle name="20% - Accent5 5 3 4" xfId="2106" xr:uid="{00000000-0005-0000-0000-000020200000}"/>
    <cellStyle name="20% - Accent5 5 3 4 2" xfId="13691" xr:uid="{00000000-0005-0000-0000-000021200000}"/>
    <cellStyle name="20% - Accent5 5 3 4 2 2" xfId="27240" xr:uid="{00000000-0005-0000-0000-000022200000}"/>
    <cellStyle name="20% - Accent5 5 3 4 3" xfId="19430" xr:uid="{00000000-0005-0000-0000-000023200000}"/>
    <cellStyle name="20% - Accent5 5 3 5" xfId="2107" xr:uid="{00000000-0005-0000-0000-000024200000}"/>
    <cellStyle name="20% - Accent5 5 3 5 2" xfId="14272" xr:uid="{00000000-0005-0000-0000-000025200000}"/>
    <cellStyle name="20% - Accent5 5 3 5 2 2" xfId="27821" xr:uid="{00000000-0005-0000-0000-000026200000}"/>
    <cellStyle name="20% - Accent5 5 3 5 3" xfId="19431" xr:uid="{00000000-0005-0000-0000-000027200000}"/>
    <cellStyle name="20% - Accent5 5 3 6" xfId="2108" xr:uid="{00000000-0005-0000-0000-000028200000}"/>
    <cellStyle name="20% - Accent5 5 3 6 2" xfId="16158" xr:uid="{00000000-0005-0000-0000-000029200000}"/>
    <cellStyle name="20% - Accent5 5 3 6 2 2" xfId="29565" xr:uid="{00000000-0005-0000-0000-00002A200000}"/>
    <cellStyle name="20% - Accent5 5 3 6 3" xfId="19432" xr:uid="{00000000-0005-0000-0000-00002B200000}"/>
    <cellStyle name="20% - Accent5 5 3 7" xfId="9119" xr:uid="{00000000-0005-0000-0000-00002C200000}"/>
    <cellStyle name="20% - Accent5 5 3 7 2" xfId="23594" xr:uid="{00000000-0005-0000-0000-00002D200000}"/>
    <cellStyle name="20% - Accent5 5 3 8" xfId="19426" xr:uid="{00000000-0005-0000-0000-00002E200000}"/>
    <cellStyle name="20% - Accent5 5 4" xfId="2109" xr:uid="{00000000-0005-0000-0000-00002F200000}"/>
    <cellStyle name="20% - Accent5 5 4 2" xfId="2110" xr:uid="{00000000-0005-0000-0000-000030200000}"/>
    <cellStyle name="20% - Accent5 5 4 2 2" xfId="16447" xr:uid="{00000000-0005-0000-0000-000031200000}"/>
    <cellStyle name="20% - Accent5 5 4 2 2 2" xfId="29854" xr:uid="{00000000-0005-0000-0000-000032200000}"/>
    <cellStyle name="20% - Accent5 5 4 2 3" xfId="19434" xr:uid="{00000000-0005-0000-0000-000033200000}"/>
    <cellStyle name="20% - Accent5 5 4 3" xfId="10842" xr:uid="{00000000-0005-0000-0000-000034200000}"/>
    <cellStyle name="20% - Accent5 5 4 3 2" xfId="24784" xr:uid="{00000000-0005-0000-0000-000035200000}"/>
    <cellStyle name="20% - Accent5 5 4 4" xfId="19433" xr:uid="{00000000-0005-0000-0000-000036200000}"/>
    <cellStyle name="20% - Accent5 5 5" xfId="2111" xr:uid="{00000000-0005-0000-0000-000037200000}"/>
    <cellStyle name="20% - Accent5 5 5 2" xfId="11798" xr:uid="{00000000-0005-0000-0000-000038200000}"/>
    <cellStyle name="20% - Accent5 5 5 2 2" xfId="25513" xr:uid="{00000000-0005-0000-0000-000039200000}"/>
    <cellStyle name="20% - Accent5 5 5 3" xfId="19435" xr:uid="{00000000-0005-0000-0000-00003A200000}"/>
    <cellStyle name="20% - Accent5 5 6" xfId="2112" xr:uid="{00000000-0005-0000-0000-00003B200000}"/>
    <cellStyle name="20% - Accent5 5 6 2" xfId="13399" xr:uid="{00000000-0005-0000-0000-00003C200000}"/>
    <cellStyle name="20% - Accent5 5 6 2 2" xfId="26948" xr:uid="{00000000-0005-0000-0000-00003D200000}"/>
    <cellStyle name="20% - Accent5 5 6 3" xfId="19436" xr:uid="{00000000-0005-0000-0000-00003E200000}"/>
    <cellStyle name="20% - Accent5 5 7" xfId="2113" xr:uid="{00000000-0005-0000-0000-00003F200000}"/>
    <cellStyle name="20% - Accent5 5 7 2" xfId="13980" xr:uid="{00000000-0005-0000-0000-000040200000}"/>
    <cellStyle name="20% - Accent5 5 7 2 2" xfId="27529" xr:uid="{00000000-0005-0000-0000-000041200000}"/>
    <cellStyle name="20% - Accent5 5 7 3" xfId="19437" xr:uid="{00000000-0005-0000-0000-000042200000}"/>
    <cellStyle name="20% - Accent5 5 8" xfId="2114" xr:uid="{00000000-0005-0000-0000-000043200000}"/>
    <cellStyle name="20% - Accent5 5 8 2" xfId="15866" xr:uid="{00000000-0005-0000-0000-000044200000}"/>
    <cellStyle name="20% - Accent5 5 8 2 2" xfId="29273" xr:uid="{00000000-0005-0000-0000-000045200000}"/>
    <cellStyle name="20% - Accent5 5 8 3" xfId="19438" xr:uid="{00000000-0005-0000-0000-000046200000}"/>
    <cellStyle name="20% - Accent5 5 9" xfId="9116" xr:uid="{00000000-0005-0000-0000-000047200000}"/>
    <cellStyle name="20% - Accent5 5 9 2" xfId="23591" xr:uid="{00000000-0005-0000-0000-000048200000}"/>
    <cellStyle name="20% - Accent5 6" xfId="2115" xr:uid="{00000000-0005-0000-0000-000049200000}"/>
    <cellStyle name="20% - Accent5 6 10" xfId="19439" xr:uid="{00000000-0005-0000-0000-00004A200000}"/>
    <cellStyle name="20% - Accent5 6 2" xfId="2116" xr:uid="{00000000-0005-0000-0000-00004B200000}"/>
    <cellStyle name="20% - Accent5 6 2 2" xfId="2117" xr:uid="{00000000-0005-0000-0000-00004C200000}"/>
    <cellStyle name="20% - Accent5 6 2 2 2" xfId="2118" xr:uid="{00000000-0005-0000-0000-00004D200000}"/>
    <cellStyle name="20% - Accent5 6 2 2 2 2" xfId="2119" xr:uid="{00000000-0005-0000-0000-00004E200000}"/>
    <cellStyle name="20% - Accent5 6 2 2 2 2 2" xfId="16985" xr:uid="{00000000-0005-0000-0000-00004F200000}"/>
    <cellStyle name="20% - Accent5 6 2 2 2 2 2 2" xfId="30392" xr:uid="{00000000-0005-0000-0000-000050200000}"/>
    <cellStyle name="20% - Accent5 6 2 2 2 2 3" xfId="19443" xr:uid="{00000000-0005-0000-0000-000051200000}"/>
    <cellStyle name="20% - Accent5 6 2 2 2 3" xfId="10848" xr:uid="{00000000-0005-0000-0000-000052200000}"/>
    <cellStyle name="20% - Accent5 6 2 2 2 3 2" xfId="24790" xr:uid="{00000000-0005-0000-0000-000053200000}"/>
    <cellStyle name="20% - Accent5 6 2 2 2 4" xfId="19442" xr:uid="{00000000-0005-0000-0000-000054200000}"/>
    <cellStyle name="20% - Accent5 6 2 2 3" xfId="2120" xr:uid="{00000000-0005-0000-0000-000055200000}"/>
    <cellStyle name="20% - Accent5 6 2 2 3 2" xfId="12373" xr:uid="{00000000-0005-0000-0000-000056200000}"/>
    <cellStyle name="20% - Accent5 6 2 2 3 2 2" xfId="26085" xr:uid="{00000000-0005-0000-0000-000057200000}"/>
    <cellStyle name="20% - Accent5 6 2 2 3 3" xfId="19444" xr:uid="{00000000-0005-0000-0000-000058200000}"/>
    <cellStyle name="20% - Accent5 6 2 2 4" xfId="2121" xr:uid="{00000000-0005-0000-0000-000059200000}"/>
    <cellStyle name="20% - Accent5 6 2 2 4 2" xfId="13937" xr:uid="{00000000-0005-0000-0000-00005A200000}"/>
    <cellStyle name="20% - Accent5 6 2 2 4 2 2" xfId="27486" xr:uid="{00000000-0005-0000-0000-00005B200000}"/>
    <cellStyle name="20% - Accent5 6 2 2 4 3" xfId="19445" xr:uid="{00000000-0005-0000-0000-00005C200000}"/>
    <cellStyle name="20% - Accent5 6 2 2 5" xfId="2122" xr:uid="{00000000-0005-0000-0000-00005D200000}"/>
    <cellStyle name="20% - Accent5 6 2 2 5 2" xfId="14518" xr:uid="{00000000-0005-0000-0000-00005E200000}"/>
    <cellStyle name="20% - Accent5 6 2 2 5 2 2" xfId="28067" xr:uid="{00000000-0005-0000-0000-00005F200000}"/>
    <cellStyle name="20% - Accent5 6 2 2 5 3" xfId="19446" xr:uid="{00000000-0005-0000-0000-000060200000}"/>
    <cellStyle name="20% - Accent5 6 2 2 6" xfId="2123" xr:uid="{00000000-0005-0000-0000-000061200000}"/>
    <cellStyle name="20% - Accent5 6 2 2 6 2" xfId="16404" xr:uid="{00000000-0005-0000-0000-000062200000}"/>
    <cellStyle name="20% - Accent5 6 2 2 6 2 2" xfId="29811" xr:uid="{00000000-0005-0000-0000-000063200000}"/>
    <cellStyle name="20% - Accent5 6 2 2 6 3" xfId="19447" xr:uid="{00000000-0005-0000-0000-000064200000}"/>
    <cellStyle name="20% - Accent5 6 2 2 7" xfId="9122" xr:uid="{00000000-0005-0000-0000-000065200000}"/>
    <cellStyle name="20% - Accent5 6 2 2 7 2" xfId="23597" xr:uid="{00000000-0005-0000-0000-000066200000}"/>
    <cellStyle name="20% - Accent5 6 2 2 8" xfId="19441" xr:uid="{00000000-0005-0000-0000-000067200000}"/>
    <cellStyle name="20% - Accent5 6 2 3" xfId="2124" xr:uid="{00000000-0005-0000-0000-000068200000}"/>
    <cellStyle name="20% - Accent5 6 2 3 2" xfId="2125" xr:uid="{00000000-0005-0000-0000-000069200000}"/>
    <cellStyle name="20% - Accent5 6 2 3 2 2" xfId="16696" xr:uid="{00000000-0005-0000-0000-00006A200000}"/>
    <cellStyle name="20% - Accent5 6 2 3 2 2 2" xfId="30103" xr:uid="{00000000-0005-0000-0000-00006B200000}"/>
    <cellStyle name="20% - Accent5 6 2 3 2 3" xfId="19449" xr:uid="{00000000-0005-0000-0000-00006C200000}"/>
    <cellStyle name="20% - Accent5 6 2 3 3" xfId="10847" xr:uid="{00000000-0005-0000-0000-00006D200000}"/>
    <cellStyle name="20% - Accent5 6 2 3 3 2" xfId="24789" xr:uid="{00000000-0005-0000-0000-00006E200000}"/>
    <cellStyle name="20% - Accent5 6 2 3 4" xfId="19448" xr:uid="{00000000-0005-0000-0000-00006F200000}"/>
    <cellStyle name="20% - Accent5 6 2 4" xfId="2126" xr:uid="{00000000-0005-0000-0000-000070200000}"/>
    <cellStyle name="20% - Accent5 6 2 4 2" xfId="12073" xr:uid="{00000000-0005-0000-0000-000071200000}"/>
    <cellStyle name="20% - Accent5 6 2 4 2 2" xfId="25788" xr:uid="{00000000-0005-0000-0000-000072200000}"/>
    <cellStyle name="20% - Accent5 6 2 4 3" xfId="19450" xr:uid="{00000000-0005-0000-0000-000073200000}"/>
    <cellStyle name="20% - Accent5 6 2 5" xfId="2127" xr:uid="{00000000-0005-0000-0000-000074200000}"/>
    <cellStyle name="20% - Accent5 6 2 5 2" xfId="13648" xr:uid="{00000000-0005-0000-0000-000075200000}"/>
    <cellStyle name="20% - Accent5 6 2 5 2 2" xfId="27197" xr:uid="{00000000-0005-0000-0000-000076200000}"/>
    <cellStyle name="20% - Accent5 6 2 5 3" xfId="19451" xr:uid="{00000000-0005-0000-0000-000077200000}"/>
    <cellStyle name="20% - Accent5 6 2 6" xfId="2128" xr:uid="{00000000-0005-0000-0000-000078200000}"/>
    <cellStyle name="20% - Accent5 6 2 6 2" xfId="14229" xr:uid="{00000000-0005-0000-0000-000079200000}"/>
    <cellStyle name="20% - Accent5 6 2 6 2 2" xfId="27778" xr:uid="{00000000-0005-0000-0000-00007A200000}"/>
    <cellStyle name="20% - Accent5 6 2 6 3" xfId="19452" xr:uid="{00000000-0005-0000-0000-00007B200000}"/>
    <cellStyle name="20% - Accent5 6 2 7" xfId="2129" xr:uid="{00000000-0005-0000-0000-00007C200000}"/>
    <cellStyle name="20% - Accent5 6 2 7 2" xfId="16115" xr:uid="{00000000-0005-0000-0000-00007D200000}"/>
    <cellStyle name="20% - Accent5 6 2 7 2 2" xfId="29522" xr:uid="{00000000-0005-0000-0000-00007E200000}"/>
    <cellStyle name="20% - Accent5 6 2 7 3" xfId="19453" xr:uid="{00000000-0005-0000-0000-00007F200000}"/>
    <cellStyle name="20% - Accent5 6 2 8" xfId="9121" xr:uid="{00000000-0005-0000-0000-000080200000}"/>
    <cellStyle name="20% - Accent5 6 2 8 2" xfId="23596" xr:uid="{00000000-0005-0000-0000-000081200000}"/>
    <cellStyle name="20% - Accent5 6 2 9" xfId="19440" xr:uid="{00000000-0005-0000-0000-000082200000}"/>
    <cellStyle name="20% - Accent5 6 3" xfId="2130" xr:uid="{00000000-0005-0000-0000-000083200000}"/>
    <cellStyle name="20% - Accent5 6 3 2" xfId="2131" xr:uid="{00000000-0005-0000-0000-000084200000}"/>
    <cellStyle name="20% - Accent5 6 3 2 2" xfId="2132" xr:uid="{00000000-0005-0000-0000-000085200000}"/>
    <cellStyle name="20% - Accent5 6 3 2 2 2" xfId="16842" xr:uid="{00000000-0005-0000-0000-000086200000}"/>
    <cellStyle name="20% - Accent5 6 3 2 2 2 2" xfId="30249" xr:uid="{00000000-0005-0000-0000-000087200000}"/>
    <cellStyle name="20% - Accent5 6 3 2 2 3" xfId="19456" xr:uid="{00000000-0005-0000-0000-000088200000}"/>
    <cellStyle name="20% - Accent5 6 3 2 3" xfId="10849" xr:uid="{00000000-0005-0000-0000-000089200000}"/>
    <cellStyle name="20% - Accent5 6 3 2 3 2" xfId="24791" xr:uid="{00000000-0005-0000-0000-00008A200000}"/>
    <cellStyle name="20% - Accent5 6 3 2 4" xfId="19455" xr:uid="{00000000-0005-0000-0000-00008B200000}"/>
    <cellStyle name="20% - Accent5 6 3 3" xfId="2133" xr:uid="{00000000-0005-0000-0000-00008C200000}"/>
    <cellStyle name="20% - Accent5 6 3 3 2" xfId="12230" xr:uid="{00000000-0005-0000-0000-00008D200000}"/>
    <cellStyle name="20% - Accent5 6 3 3 2 2" xfId="25942" xr:uid="{00000000-0005-0000-0000-00008E200000}"/>
    <cellStyle name="20% - Accent5 6 3 3 3" xfId="19457" xr:uid="{00000000-0005-0000-0000-00008F200000}"/>
    <cellStyle name="20% - Accent5 6 3 4" xfId="2134" xr:uid="{00000000-0005-0000-0000-000090200000}"/>
    <cellStyle name="20% - Accent5 6 3 4 2" xfId="13794" xr:uid="{00000000-0005-0000-0000-000091200000}"/>
    <cellStyle name="20% - Accent5 6 3 4 2 2" xfId="27343" xr:uid="{00000000-0005-0000-0000-000092200000}"/>
    <cellStyle name="20% - Accent5 6 3 4 3" xfId="19458" xr:uid="{00000000-0005-0000-0000-000093200000}"/>
    <cellStyle name="20% - Accent5 6 3 5" xfId="2135" xr:uid="{00000000-0005-0000-0000-000094200000}"/>
    <cellStyle name="20% - Accent5 6 3 5 2" xfId="14375" xr:uid="{00000000-0005-0000-0000-000095200000}"/>
    <cellStyle name="20% - Accent5 6 3 5 2 2" xfId="27924" xr:uid="{00000000-0005-0000-0000-000096200000}"/>
    <cellStyle name="20% - Accent5 6 3 5 3" xfId="19459" xr:uid="{00000000-0005-0000-0000-000097200000}"/>
    <cellStyle name="20% - Accent5 6 3 6" xfId="2136" xr:uid="{00000000-0005-0000-0000-000098200000}"/>
    <cellStyle name="20% - Accent5 6 3 6 2" xfId="16261" xr:uid="{00000000-0005-0000-0000-000099200000}"/>
    <cellStyle name="20% - Accent5 6 3 6 2 2" xfId="29668" xr:uid="{00000000-0005-0000-0000-00009A200000}"/>
    <cellStyle name="20% - Accent5 6 3 6 3" xfId="19460" xr:uid="{00000000-0005-0000-0000-00009B200000}"/>
    <cellStyle name="20% - Accent5 6 3 7" xfId="9123" xr:uid="{00000000-0005-0000-0000-00009C200000}"/>
    <cellStyle name="20% - Accent5 6 3 7 2" xfId="23598" xr:uid="{00000000-0005-0000-0000-00009D200000}"/>
    <cellStyle name="20% - Accent5 6 3 8" xfId="19454" xr:uid="{00000000-0005-0000-0000-00009E200000}"/>
    <cellStyle name="20% - Accent5 6 4" xfId="2137" xr:uid="{00000000-0005-0000-0000-00009F200000}"/>
    <cellStyle name="20% - Accent5 6 4 2" xfId="2138" xr:uid="{00000000-0005-0000-0000-0000A0200000}"/>
    <cellStyle name="20% - Accent5 6 4 2 2" xfId="16553" xr:uid="{00000000-0005-0000-0000-0000A1200000}"/>
    <cellStyle name="20% - Accent5 6 4 2 2 2" xfId="29960" xr:uid="{00000000-0005-0000-0000-0000A2200000}"/>
    <cellStyle name="20% - Accent5 6 4 2 3" xfId="19462" xr:uid="{00000000-0005-0000-0000-0000A3200000}"/>
    <cellStyle name="20% - Accent5 6 4 3" xfId="10846" xr:uid="{00000000-0005-0000-0000-0000A4200000}"/>
    <cellStyle name="20% - Accent5 6 4 3 2" xfId="24788" xr:uid="{00000000-0005-0000-0000-0000A5200000}"/>
    <cellStyle name="20% - Accent5 6 4 4" xfId="19461" xr:uid="{00000000-0005-0000-0000-0000A6200000}"/>
    <cellStyle name="20% - Accent5 6 5" xfId="2139" xr:uid="{00000000-0005-0000-0000-0000A7200000}"/>
    <cellStyle name="20% - Accent5 6 5 2" xfId="11928" xr:uid="{00000000-0005-0000-0000-0000A8200000}"/>
    <cellStyle name="20% - Accent5 6 5 2 2" xfId="25643" xr:uid="{00000000-0005-0000-0000-0000A9200000}"/>
    <cellStyle name="20% - Accent5 6 5 3" xfId="19463" xr:uid="{00000000-0005-0000-0000-0000AA200000}"/>
    <cellStyle name="20% - Accent5 6 6" xfId="2140" xr:uid="{00000000-0005-0000-0000-0000AB200000}"/>
    <cellStyle name="20% - Accent5 6 6 2" xfId="13505" xr:uid="{00000000-0005-0000-0000-0000AC200000}"/>
    <cellStyle name="20% - Accent5 6 6 2 2" xfId="27054" xr:uid="{00000000-0005-0000-0000-0000AD200000}"/>
    <cellStyle name="20% - Accent5 6 6 3" xfId="19464" xr:uid="{00000000-0005-0000-0000-0000AE200000}"/>
    <cellStyle name="20% - Accent5 6 7" xfId="2141" xr:uid="{00000000-0005-0000-0000-0000AF200000}"/>
    <cellStyle name="20% - Accent5 6 7 2" xfId="14086" xr:uid="{00000000-0005-0000-0000-0000B0200000}"/>
    <cellStyle name="20% - Accent5 6 7 2 2" xfId="27635" xr:uid="{00000000-0005-0000-0000-0000B1200000}"/>
    <cellStyle name="20% - Accent5 6 7 3" xfId="19465" xr:uid="{00000000-0005-0000-0000-0000B2200000}"/>
    <cellStyle name="20% - Accent5 6 8" xfId="2142" xr:uid="{00000000-0005-0000-0000-0000B3200000}"/>
    <cellStyle name="20% - Accent5 6 8 2" xfId="15972" xr:uid="{00000000-0005-0000-0000-0000B4200000}"/>
    <cellStyle name="20% - Accent5 6 8 2 2" xfId="29379" xr:uid="{00000000-0005-0000-0000-0000B5200000}"/>
    <cellStyle name="20% - Accent5 6 8 3" xfId="19466" xr:uid="{00000000-0005-0000-0000-0000B6200000}"/>
    <cellStyle name="20% - Accent5 6 9" xfId="9120" xr:uid="{00000000-0005-0000-0000-0000B7200000}"/>
    <cellStyle name="20% - Accent5 6 9 2" xfId="23595" xr:uid="{00000000-0005-0000-0000-0000B8200000}"/>
    <cellStyle name="20% - Accent5 7" xfId="2143" xr:uid="{00000000-0005-0000-0000-0000B9200000}"/>
    <cellStyle name="20% - Accent5 7 2" xfId="2144" xr:uid="{00000000-0005-0000-0000-0000BA200000}"/>
    <cellStyle name="20% - Accent5 7 2 2" xfId="2145" xr:uid="{00000000-0005-0000-0000-0000BB200000}"/>
    <cellStyle name="20% - Accent5 7 2 2 2" xfId="2146" xr:uid="{00000000-0005-0000-0000-0000BC200000}"/>
    <cellStyle name="20% - Accent5 7 2 2 2 2" xfId="16866" xr:uid="{00000000-0005-0000-0000-0000BD200000}"/>
    <cellStyle name="20% - Accent5 7 2 2 2 2 2" xfId="30273" xr:uid="{00000000-0005-0000-0000-0000BE200000}"/>
    <cellStyle name="20% - Accent5 7 2 2 2 3" xfId="19470" xr:uid="{00000000-0005-0000-0000-0000BF200000}"/>
    <cellStyle name="20% - Accent5 7 2 2 3" xfId="10851" xr:uid="{00000000-0005-0000-0000-0000C0200000}"/>
    <cellStyle name="20% - Accent5 7 2 2 3 2" xfId="24793" xr:uid="{00000000-0005-0000-0000-0000C1200000}"/>
    <cellStyle name="20% - Accent5 7 2 2 4" xfId="19469" xr:uid="{00000000-0005-0000-0000-0000C2200000}"/>
    <cellStyle name="20% - Accent5 7 2 3" xfId="2147" xr:uid="{00000000-0005-0000-0000-0000C3200000}"/>
    <cellStyle name="20% - Accent5 7 2 3 2" xfId="12254" xr:uid="{00000000-0005-0000-0000-0000C4200000}"/>
    <cellStyle name="20% - Accent5 7 2 3 2 2" xfId="25966" xr:uid="{00000000-0005-0000-0000-0000C5200000}"/>
    <cellStyle name="20% - Accent5 7 2 3 3" xfId="19471" xr:uid="{00000000-0005-0000-0000-0000C6200000}"/>
    <cellStyle name="20% - Accent5 7 2 4" xfId="2148" xr:uid="{00000000-0005-0000-0000-0000C7200000}"/>
    <cellStyle name="20% - Accent5 7 2 4 2" xfId="13818" xr:uid="{00000000-0005-0000-0000-0000C8200000}"/>
    <cellStyle name="20% - Accent5 7 2 4 2 2" xfId="27367" xr:uid="{00000000-0005-0000-0000-0000C9200000}"/>
    <cellStyle name="20% - Accent5 7 2 4 3" xfId="19472" xr:uid="{00000000-0005-0000-0000-0000CA200000}"/>
    <cellStyle name="20% - Accent5 7 2 5" xfId="2149" xr:uid="{00000000-0005-0000-0000-0000CB200000}"/>
    <cellStyle name="20% - Accent5 7 2 5 2" xfId="14399" xr:uid="{00000000-0005-0000-0000-0000CC200000}"/>
    <cellStyle name="20% - Accent5 7 2 5 2 2" xfId="27948" xr:uid="{00000000-0005-0000-0000-0000CD200000}"/>
    <cellStyle name="20% - Accent5 7 2 5 3" xfId="19473" xr:uid="{00000000-0005-0000-0000-0000CE200000}"/>
    <cellStyle name="20% - Accent5 7 2 6" xfId="2150" xr:uid="{00000000-0005-0000-0000-0000CF200000}"/>
    <cellStyle name="20% - Accent5 7 2 6 2" xfId="16285" xr:uid="{00000000-0005-0000-0000-0000D0200000}"/>
    <cellStyle name="20% - Accent5 7 2 6 2 2" xfId="29692" xr:uid="{00000000-0005-0000-0000-0000D1200000}"/>
    <cellStyle name="20% - Accent5 7 2 6 3" xfId="19474" xr:uid="{00000000-0005-0000-0000-0000D2200000}"/>
    <cellStyle name="20% - Accent5 7 2 7" xfId="9125" xr:uid="{00000000-0005-0000-0000-0000D3200000}"/>
    <cellStyle name="20% - Accent5 7 2 7 2" xfId="23600" xr:uid="{00000000-0005-0000-0000-0000D4200000}"/>
    <cellStyle name="20% - Accent5 7 2 8" xfId="19468" xr:uid="{00000000-0005-0000-0000-0000D5200000}"/>
    <cellStyle name="20% - Accent5 7 3" xfId="2151" xr:uid="{00000000-0005-0000-0000-0000D6200000}"/>
    <cellStyle name="20% - Accent5 7 3 2" xfId="2152" xr:uid="{00000000-0005-0000-0000-0000D7200000}"/>
    <cellStyle name="20% - Accent5 7 3 2 2" xfId="16577" xr:uid="{00000000-0005-0000-0000-0000D8200000}"/>
    <cellStyle name="20% - Accent5 7 3 2 2 2" xfId="29984" xr:uid="{00000000-0005-0000-0000-0000D9200000}"/>
    <cellStyle name="20% - Accent5 7 3 2 3" xfId="19476" xr:uid="{00000000-0005-0000-0000-0000DA200000}"/>
    <cellStyle name="20% - Accent5 7 3 3" xfId="10850" xr:uid="{00000000-0005-0000-0000-0000DB200000}"/>
    <cellStyle name="20% - Accent5 7 3 3 2" xfId="24792" xr:uid="{00000000-0005-0000-0000-0000DC200000}"/>
    <cellStyle name="20% - Accent5 7 3 4" xfId="19475" xr:uid="{00000000-0005-0000-0000-0000DD200000}"/>
    <cellStyle name="20% - Accent5 7 4" xfId="2153" xr:uid="{00000000-0005-0000-0000-0000DE200000}"/>
    <cellStyle name="20% - Accent5 7 4 2" xfId="11952" xr:uid="{00000000-0005-0000-0000-0000DF200000}"/>
    <cellStyle name="20% - Accent5 7 4 2 2" xfId="25667" xr:uid="{00000000-0005-0000-0000-0000E0200000}"/>
    <cellStyle name="20% - Accent5 7 4 3" xfId="19477" xr:uid="{00000000-0005-0000-0000-0000E1200000}"/>
    <cellStyle name="20% - Accent5 7 5" xfId="2154" xr:uid="{00000000-0005-0000-0000-0000E2200000}"/>
    <cellStyle name="20% - Accent5 7 5 2" xfId="13529" xr:uid="{00000000-0005-0000-0000-0000E3200000}"/>
    <cellStyle name="20% - Accent5 7 5 2 2" xfId="27078" xr:uid="{00000000-0005-0000-0000-0000E4200000}"/>
    <cellStyle name="20% - Accent5 7 5 3" xfId="19478" xr:uid="{00000000-0005-0000-0000-0000E5200000}"/>
    <cellStyle name="20% - Accent5 7 6" xfId="2155" xr:uid="{00000000-0005-0000-0000-0000E6200000}"/>
    <cellStyle name="20% - Accent5 7 6 2" xfId="14110" xr:uid="{00000000-0005-0000-0000-0000E7200000}"/>
    <cellStyle name="20% - Accent5 7 6 2 2" xfId="27659" xr:uid="{00000000-0005-0000-0000-0000E8200000}"/>
    <cellStyle name="20% - Accent5 7 6 3" xfId="19479" xr:uid="{00000000-0005-0000-0000-0000E9200000}"/>
    <cellStyle name="20% - Accent5 7 7" xfId="2156" xr:uid="{00000000-0005-0000-0000-0000EA200000}"/>
    <cellStyle name="20% - Accent5 7 7 2" xfId="15996" xr:uid="{00000000-0005-0000-0000-0000EB200000}"/>
    <cellStyle name="20% - Accent5 7 7 2 2" xfId="29403" xr:uid="{00000000-0005-0000-0000-0000EC200000}"/>
    <cellStyle name="20% - Accent5 7 7 3" xfId="19480" xr:uid="{00000000-0005-0000-0000-0000ED200000}"/>
    <cellStyle name="20% - Accent5 7 8" xfId="9124" xr:uid="{00000000-0005-0000-0000-0000EE200000}"/>
    <cellStyle name="20% - Accent5 7 8 2" xfId="23599" xr:uid="{00000000-0005-0000-0000-0000EF200000}"/>
    <cellStyle name="20% - Accent5 7 9" xfId="19467" xr:uid="{00000000-0005-0000-0000-0000F0200000}"/>
    <cellStyle name="20% - Accent5 8" xfId="2157" xr:uid="{00000000-0005-0000-0000-0000F1200000}"/>
    <cellStyle name="20% - Accent5 8 2" xfId="2158" xr:uid="{00000000-0005-0000-0000-0000F2200000}"/>
    <cellStyle name="20% - Accent5 8 2 2" xfId="2159" xr:uid="{00000000-0005-0000-0000-0000F3200000}"/>
    <cellStyle name="20% - Accent5 8 2 2 2" xfId="16716" xr:uid="{00000000-0005-0000-0000-0000F4200000}"/>
    <cellStyle name="20% - Accent5 8 2 2 2 2" xfId="30123" xr:uid="{00000000-0005-0000-0000-0000F5200000}"/>
    <cellStyle name="20% - Accent5 8 2 2 3" xfId="19483" xr:uid="{00000000-0005-0000-0000-0000F6200000}"/>
    <cellStyle name="20% - Accent5 8 2 3" xfId="10852" xr:uid="{00000000-0005-0000-0000-0000F7200000}"/>
    <cellStyle name="20% - Accent5 8 2 3 2" xfId="24794" xr:uid="{00000000-0005-0000-0000-0000F8200000}"/>
    <cellStyle name="20% - Accent5 8 2 4" xfId="19482" xr:uid="{00000000-0005-0000-0000-0000F9200000}"/>
    <cellStyle name="20% - Accent5 8 3" xfId="2160" xr:uid="{00000000-0005-0000-0000-0000FA200000}"/>
    <cellStyle name="20% - Accent5 8 3 2" xfId="12094" xr:uid="{00000000-0005-0000-0000-0000FB200000}"/>
    <cellStyle name="20% - Accent5 8 3 2 2" xfId="25808" xr:uid="{00000000-0005-0000-0000-0000FC200000}"/>
    <cellStyle name="20% - Accent5 8 3 3" xfId="19484" xr:uid="{00000000-0005-0000-0000-0000FD200000}"/>
    <cellStyle name="20% - Accent5 8 4" xfId="2161" xr:uid="{00000000-0005-0000-0000-0000FE200000}"/>
    <cellStyle name="20% - Accent5 8 4 2" xfId="13668" xr:uid="{00000000-0005-0000-0000-0000FF200000}"/>
    <cellStyle name="20% - Accent5 8 4 2 2" xfId="27217" xr:uid="{00000000-0005-0000-0000-000000210000}"/>
    <cellStyle name="20% - Accent5 8 4 3" xfId="19485" xr:uid="{00000000-0005-0000-0000-000001210000}"/>
    <cellStyle name="20% - Accent5 8 5" xfId="2162" xr:uid="{00000000-0005-0000-0000-000002210000}"/>
    <cellStyle name="20% - Accent5 8 5 2" xfId="14249" xr:uid="{00000000-0005-0000-0000-000003210000}"/>
    <cellStyle name="20% - Accent5 8 5 2 2" xfId="27798" xr:uid="{00000000-0005-0000-0000-000004210000}"/>
    <cellStyle name="20% - Accent5 8 5 3" xfId="19486" xr:uid="{00000000-0005-0000-0000-000005210000}"/>
    <cellStyle name="20% - Accent5 8 6" xfId="2163" xr:uid="{00000000-0005-0000-0000-000006210000}"/>
    <cellStyle name="20% - Accent5 8 6 2" xfId="16135" xr:uid="{00000000-0005-0000-0000-000007210000}"/>
    <cellStyle name="20% - Accent5 8 6 2 2" xfId="29542" xr:uid="{00000000-0005-0000-0000-000008210000}"/>
    <cellStyle name="20% - Accent5 8 6 3" xfId="19487" xr:uid="{00000000-0005-0000-0000-000009210000}"/>
    <cellStyle name="20% - Accent5 8 7" xfId="9126" xr:uid="{00000000-0005-0000-0000-00000A210000}"/>
    <cellStyle name="20% - Accent5 8 7 2" xfId="23601" xr:uid="{00000000-0005-0000-0000-00000B210000}"/>
    <cellStyle name="20% - Accent5 8 8" xfId="19481" xr:uid="{00000000-0005-0000-0000-00000C210000}"/>
    <cellStyle name="20% - Accent5 9" xfId="2164" xr:uid="{00000000-0005-0000-0000-00000D210000}"/>
    <cellStyle name="20% - Accent5 9 2" xfId="2165" xr:uid="{00000000-0005-0000-0000-00000E210000}"/>
    <cellStyle name="20% - Accent5 9 2 2" xfId="11714" xr:uid="{00000000-0005-0000-0000-00000F210000}"/>
    <cellStyle name="20% - Accent5 9 2 2 2" xfId="25434" xr:uid="{00000000-0005-0000-0000-000010210000}"/>
    <cellStyle name="20% - Accent5 9 2 3" xfId="19489" xr:uid="{00000000-0005-0000-0000-000011210000}"/>
    <cellStyle name="20% - Accent5 9 3" xfId="2166" xr:uid="{00000000-0005-0000-0000-000012210000}"/>
    <cellStyle name="20% - Accent5 9 3 2" xfId="12809" xr:uid="{00000000-0005-0000-0000-000013210000}"/>
    <cellStyle name="20% - Accent5 9 3 2 2" xfId="26521" xr:uid="{00000000-0005-0000-0000-000014210000}"/>
    <cellStyle name="20% - Accent5 9 3 3" xfId="19490" xr:uid="{00000000-0005-0000-0000-000015210000}"/>
    <cellStyle name="20% - Accent5 9 4" xfId="2167" xr:uid="{00000000-0005-0000-0000-000016210000}"/>
    <cellStyle name="20% - Accent5 9 4 2" xfId="14956" xr:uid="{00000000-0005-0000-0000-000017210000}"/>
    <cellStyle name="20% - Accent5 9 4 2 2" xfId="28505" xr:uid="{00000000-0005-0000-0000-000018210000}"/>
    <cellStyle name="20% - Accent5 9 4 3" xfId="19491" xr:uid="{00000000-0005-0000-0000-000019210000}"/>
    <cellStyle name="20% - Accent5 9 5" xfId="2168" xr:uid="{00000000-0005-0000-0000-00001A210000}"/>
    <cellStyle name="20% - Accent5 9 5 2" xfId="17100" xr:uid="{00000000-0005-0000-0000-00001B210000}"/>
    <cellStyle name="20% - Accent5 9 5 2 2" xfId="30459" xr:uid="{00000000-0005-0000-0000-00001C210000}"/>
    <cellStyle name="20% - Accent5 9 5 3" xfId="19492" xr:uid="{00000000-0005-0000-0000-00001D210000}"/>
    <cellStyle name="20% - Accent5 9 6" xfId="10466" xr:uid="{00000000-0005-0000-0000-00001E210000}"/>
    <cellStyle name="20% - Accent5 9 6 2" xfId="24425" xr:uid="{00000000-0005-0000-0000-00001F210000}"/>
    <cellStyle name="20% - Accent5 9 7" xfId="19488" xr:uid="{00000000-0005-0000-0000-000020210000}"/>
    <cellStyle name="20% - Accent6" xfId="47" builtinId="50" customBuiltin="1"/>
    <cellStyle name="20% - Accent6 10" xfId="2169" xr:uid="{00000000-0005-0000-0000-000022210000}"/>
    <cellStyle name="20% - Accent6 10 2" xfId="2170" xr:uid="{00000000-0005-0000-0000-000023210000}"/>
    <cellStyle name="20% - Accent6 10 2 2" xfId="2171" xr:uid="{00000000-0005-0000-0000-000024210000}"/>
    <cellStyle name="20% - Accent6 10 2 2 2" xfId="12400" xr:uid="{00000000-0005-0000-0000-000025210000}"/>
    <cellStyle name="20% - Accent6 10 2 2 2 2" xfId="26112" xr:uid="{00000000-0005-0000-0000-000026210000}"/>
    <cellStyle name="20% - Accent6 10 2 2 3" xfId="19495" xr:uid="{00000000-0005-0000-0000-000027210000}"/>
    <cellStyle name="20% - Accent6 10 2 3" xfId="2172" xr:uid="{00000000-0005-0000-0000-000028210000}"/>
    <cellStyle name="20% - Accent6 10 2 3 2" xfId="14959" xr:uid="{00000000-0005-0000-0000-000029210000}"/>
    <cellStyle name="20% - Accent6 10 2 3 2 2" xfId="28508" xr:uid="{00000000-0005-0000-0000-00002A210000}"/>
    <cellStyle name="20% - Accent6 10 2 3 3" xfId="19496" xr:uid="{00000000-0005-0000-0000-00002B210000}"/>
    <cellStyle name="20% - Accent6 10 2 4" xfId="10854" xr:uid="{00000000-0005-0000-0000-00002C210000}"/>
    <cellStyle name="20% - Accent6 10 2 4 2" xfId="24796" xr:uid="{00000000-0005-0000-0000-00002D210000}"/>
    <cellStyle name="20% - Accent6 10 2 5" xfId="19494" xr:uid="{00000000-0005-0000-0000-00002E210000}"/>
    <cellStyle name="20% - Accent6 10 3" xfId="2173" xr:uid="{00000000-0005-0000-0000-00002F210000}"/>
    <cellStyle name="20% - Accent6 10 3 2" xfId="12472" xr:uid="{00000000-0005-0000-0000-000030210000}"/>
    <cellStyle name="20% - Accent6 10 3 2 2" xfId="26184" xr:uid="{00000000-0005-0000-0000-000031210000}"/>
    <cellStyle name="20% - Accent6 10 3 3" xfId="19497" xr:uid="{00000000-0005-0000-0000-000032210000}"/>
    <cellStyle name="20% - Accent6 10 4" xfId="2174" xr:uid="{00000000-0005-0000-0000-000033210000}"/>
    <cellStyle name="20% - Accent6 10 4 2" xfId="14958" xr:uid="{00000000-0005-0000-0000-000034210000}"/>
    <cellStyle name="20% - Accent6 10 4 2 2" xfId="28507" xr:uid="{00000000-0005-0000-0000-000035210000}"/>
    <cellStyle name="20% - Accent6 10 4 3" xfId="19498" xr:uid="{00000000-0005-0000-0000-000036210000}"/>
    <cellStyle name="20% - Accent6 10 5" xfId="2175" xr:uid="{00000000-0005-0000-0000-000037210000}"/>
    <cellStyle name="20% - Accent6 10 5 2" xfId="17190" xr:uid="{00000000-0005-0000-0000-000038210000}"/>
    <cellStyle name="20% - Accent6 10 5 2 2" xfId="30549" xr:uid="{00000000-0005-0000-0000-000039210000}"/>
    <cellStyle name="20% - Accent6 10 5 3" xfId="19499" xr:uid="{00000000-0005-0000-0000-00003A210000}"/>
    <cellStyle name="20% - Accent6 10 6" xfId="9128" xr:uid="{00000000-0005-0000-0000-00003B210000}"/>
    <cellStyle name="20% - Accent6 10 6 2" xfId="23603" xr:uid="{00000000-0005-0000-0000-00003C210000}"/>
    <cellStyle name="20% - Accent6 10 7" xfId="19493" xr:uid="{00000000-0005-0000-0000-00003D210000}"/>
    <cellStyle name="20% - Accent6 11" xfId="2176" xr:uid="{00000000-0005-0000-0000-00003E210000}"/>
    <cellStyle name="20% - Accent6 11 2" xfId="2177" xr:uid="{00000000-0005-0000-0000-00003F210000}"/>
    <cellStyle name="20% - Accent6 11 2 2" xfId="10855" xr:uid="{00000000-0005-0000-0000-000040210000}"/>
    <cellStyle name="20% - Accent6 11 2 2 2" xfId="24797" xr:uid="{00000000-0005-0000-0000-000041210000}"/>
    <cellStyle name="20% - Accent6 11 2 3" xfId="19501" xr:uid="{00000000-0005-0000-0000-000042210000}"/>
    <cellStyle name="20% - Accent6 11 3" xfId="2178" xr:uid="{00000000-0005-0000-0000-000043210000}"/>
    <cellStyle name="20% - Accent6 11 3 2" xfId="12812" xr:uid="{00000000-0005-0000-0000-000044210000}"/>
    <cellStyle name="20% - Accent6 11 3 2 2" xfId="26524" xr:uid="{00000000-0005-0000-0000-000045210000}"/>
    <cellStyle name="20% - Accent6 11 3 3" xfId="19502" xr:uid="{00000000-0005-0000-0000-000046210000}"/>
    <cellStyle name="20% - Accent6 11 4" xfId="2179" xr:uid="{00000000-0005-0000-0000-000047210000}"/>
    <cellStyle name="20% - Accent6 11 4 2" xfId="14960" xr:uid="{00000000-0005-0000-0000-000048210000}"/>
    <cellStyle name="20% - Accent6 11 4 2 2" xfId="28509" xr:uid="{00000000-0005-0000-0000-000049210000}"/>
    <cellStyle name="20% - Accent6 11 4 3" xfId="19503" xr:uid="{00000000-0005-0000-0000-00004A210000}"/>
    <cellStyle name="20% - Accent6 11 5" xfId="2180" xr:uid="{00000000-0005-0000-0000-00004B210000}"/>
    <cellStyle name="20% - Accent6 11 5 2" xfId="17279" xr:uid="{00000000-0005-0000-0000-00004C210000}"/>
    <cellStyle name="20% - Accent6 11 5 2 2" xfId="30638" xr:uid="{00000000-0005-0000-0000-00004D210000}"/>
    <cellStyle name="20% - Accent6 11 5 3" xfId="19504" xr:uid="{00000000-0005-0000-0000-00004E210000}"/>
    <cellStyle name="20% - Accent6 11 6" xfId="9129" xr:uid="{00000000-0005-0000-0000-00004F210000}"/>
    <cellStyle name="20% - Accent6 11 6 2" xfId="23604" xr:uid="{00000000-0005-0000-0000-000050210000}"/>
    <cellStyle name="20% - Accent6 11 7" xfId="19500" xr:uid="{00000000-0005-0000-0000-000051210000}"/>
    <cellStyle name="20% - Accent6 12" xfId="2181" xr:uid="{00000000-0005-0000-0000-000052210000}"/>
    <cellStyle name="20% - Accent6 12 2" xfId="2182" xr:uid="{00000000-0005-0000-0000-000053210000}"/>
    <cellStyle name="20% - Accent6 12 2 2" xfId="2183" xr:uid="{00000000-0005-0000-0000-000054210000}"/>
    <cellStyle name="20% - Accent6 12 2 2 2" xfId="10857" xr:uid="{00000000-0005-0000-0000-000055210000}"/>
    <cellStyle name="20% - Accent6 12 2 2 2 2" xfId="24799" xr:uid="{00000000-0005-0000-0000-000056210000}"/>
    <cellStyle name="20% - Accent6 12 2 2 3" xfId="19507" xr:uid="{00000000-0005-0000-0000-000057210000}"/>
    <cellStyle name="20% - Accent6 12 2 3" xfId="2184" xr:uid="{00000000-0005-0000-0000-000058210000}"/>
    <cellStyle name="20% - Accent6 12 2 3 2" xfId="12744" xr:uid="{00000000-0005-0000-0000-000059210000}"/>
    <cellStyle name="20% - Accent6 12 2 3 2 2" xfId="26456" xr:uid="{00000000-0005-0000-0000-00005A210000}"/>
    <cellStyle name="20% - Accent6 12 2 3 3" xfId="19508" xr:uid="{00000000-0005-0000-0000-00005B210000}"/>
    <cellStyle name="20% - Accent6 12 2 4" xfId="2185" xr:uid="{00000000-0005-0000-0000-00005C210000}"/>
    <cellStyle name="20% - Accent6 12 2 4 2" xfId="14962" xr:uid="{00000000-0005-0000-0000-00005D210000}"/>
    <cellStyle name="20% - Accent6 12 2 4 2 2" xfId="28511" xr:uid="{00000000-0005-0000-0000-00005E210000}"/>
    <cellStyle name="20% - Accent6 12 2 4 3" xfId="19509" xr:uid="{00000000-0005-0000-0000-00005F210000}"/>
    <cellStyle name="20% - Accent6 12 2 5" xfId="9131" xr:uid="{00000000-0005-0000-0000-000060210000}"/>
    <cellStyle name="20% - Accent6 12 2 5 2" xfId="23606" xr:uid="{00000000-0005-0000-0000-000061210000}"/>
    <cellStyle name="20% - Accent6 12 2 6" xfId="19506" xr:uid="{00000000-0005-0000-0000-000062210000}"/>
    <cellStyle name="20% - Accent6 12 3" xfId="2186" xr:uid="{00000000-0005-0000-0000-000063210000}"/>
    <cellStyle name="20% - Accent6 12 3 2" xfId="10856" xr:uid="{00000000-0005-0000-0000-000064210000}"/>
    <cellStyle name="20% - Accent6 12 3 2 2" xfId="24798" xr:uid="{00000000-0005-0000-0000-000065210000}"/>
    <cellStyle name="20% - Accent6 12 3 3" xfId="19510" xr:uid="{00000000-0005-0000-0000-000066210000}"/>
    <cellStyle name="20% - Accent6 12 4" xfId="2187" xr:uid="{00000000-0005-0000-0000-000067210000}"/>
    <cellStyle name="20% - Accent6 12 4 2" xfId="12548" xr:uid="{00000000-0005-0000-0000-000068210000}"/>
    <cellStyle name="20% - Accent6 12 4 2 2" xfId="26260" xr:uid="{00000000-0005-0000-0000-000069210000}"/>
    <cellStyle name="20% - Accent6 12 4 3" xfId="19511" xr:uid="{00000000-0005-0000-0000-00006A210000}"/>
    <cellStyle name="20% - Accent6 12 5" xfId="2188" xr:uid="{00000000-0005-0000-0000-00006B210000}"/>
    <cellStyle name="20% - Accent6 12 5 2" xfId="14961" xr:uid="{00000000-0005-0000-0000-00006C210000}"/>
    <cellStyle name="20% - Accent6 12 5 2 2" xfId="28510" xr:uid="{00000000-0005-0000-0000-00006D210000}"/>
    <cellStyle name="20% - Accent6 12 5 3" xfId="19512" xr:uid="{00000000-0005-0000-0000-00006E210000}"/>
    <cellStyle name="20% - Accent6 12 6" xfId="2189" xr:uid="{00000000-0005-0000-0000-00006F210000}"/>
    <cellStyle name="20% - Accent6 12 6 2" xfId="16431" xr:uid="{00000000-0005-0000-0000-000070210000}"/>
    <cellStyle name="20% - Accent6 12 6 2 2" xfId="29838" xr:uid="{00000000-0005-0000-0000-000071210000}"/>
    <cellStyle name="20% - Accent6 12 6 3" xfId="19513" xr:uid="{00000000-0005-0000-0000-000072210000}"/>
    <cellStyle name="20% - Accent6 12 7" xfId="9130" xr:uid="{00000000-0005-0000-0000-000073210000}"/>
    <cellStyle name="20% - Accent6 12 7 2" xfId="23605" xr:uid="{00000000-0005-0000-0000-000074210000}"/>
    <cellStyle name="20% - Accent6 12 8" xfId="19505" xr:uid="{00000000-0005-0000-0000-000075210000}"/>
    <cellStyle name="20% - Accent6 13" xfId="2190" xr:uid="{00000000-0005-0000-0000-000076210000}"/>
    <cellStyle name="20% - Accent6 13 2" xfId="2191" xr:uid="{00000000-0005-0000-0000-000077210000}"/>
    <cellStyle name="20% - Accent6 13 2 2" xfId="10858" xr:uid="{00000000-0005-0000-0000-000078210000}"/>
    <cellStyle name="20% - Accent6 13 2 2 2" xfId="24800" xr:uid="{00000000-0005-0000-0000-000079210000}"/>
    <cellStyle name="20% - Accent6 13 2 3" xfId="19515" xr:uid="{00000000-0005-0000-0000-00007A210000}"/>
    <cellStyle name="20% - Accent6 13 3" xfId="2192" xr:uid="{00000000-0005-0000-0000-00007B210000}"/>
    <cellStyle name="20% - Accent6 13 3 2" xfId="12552" xr:uid="{00000000-0005-0000-0000-00007C210000}"/>
    <cellStyle name="20% - Accent6 13 3 2 2" xfId="26264" xr:uid="{00000000-0005-0000-0000-00007D210000}"/>
    <cellStyle name="20% - Accent6 13 3 3" xfId="19516" xr:uid="{00000000-0005-0000-0000-00007E210000}"/>
    <cellStyle name="20% - Accent6 13 4" xfId="2193" xr:uid="{00000000-0005-0000-0000-00007F210000}"/>
    <cellStyle name="20% - Accent6 13 4 2" xfId="14963" xr:uid="{00000000-0005-0000-0000-000080210000}"/>
    <cellStyle name="20% - Accent6 13 4 2 2" xfId="28512" xr:uid="{00000000-0005-0000-0000-000081210000}"/>
    <cellStyle name="20% - Accent6 13 4 3" xfId="19517" xr:uid="{00000000-0005-0000-0000-000082210000}"/>
    <cellStyle name="20% - Accent6 13 5" xfId="9132" xr:uid="{00000000-0005-0000-0000-000083210000}"/>
    <cellStyle name="20% - Accent6 13 5 2" xfId="23607" xr:uid="{00000000-0005-0000-0000-000084210000}"/>
    <cellStyle name="20% - Accent6 13 6" xfId="19514" xr:uid="{00000000-0005-0000-0000-000085210000}"/>
    <cellStyle name="20% - Accent6 14" xfId="2194" xr:uid="{00000000-0005-0000-0000-000086210000}"/>
    <cellStyle name="20% - Accent6 14 2" xfId="2195" xr:uid="{00000000-0005-0000-0000-000087210000}"/>
    <cellStyle name="20% - Accent6 14 2 2" xfId="10859" xr:uid="{00000000-0005-0000-0000-000088210000}"/>
    <cellStyle name="20% - Accent6 14 2 2 2" xfId="24801" xr:uid="{00000000-0005-0000-0000-000089210000}"/>
    <cellStyle name="20% - Accent6 14 2 3" xfId="19519" xr:uid="{00000000-0005-0000-0000-00008A210000}"/>
    <cellStyle name="20% - Accent6 14 3" xfId="2196" xr:uid="{00000000-0005-0000-0000-00008B210000}"/>
    <cellStyle name="20% - Accent6 14 3 2" xfId="12608" xr:uid="{00000000-0005-0000-0000-00008C210000}"/>
    <cellStyle name="20% - Accent6 14 3 2 2" xfId="26320" xr:uid="{00000000-0005-0000-0000-00008D210000}"/>
    <cellStyle name="20% - Accent6 14 3 3" xfId="19520" xr:uid="{00000000-0005-0000-0000-00008E210000}"/>
    <cellStyle name="20% - Accent6 14 4" xfId="2197" xr:uid="{00000000-0005-0000-0000-00008F210000}"/>
    <cellStyle name="20% - Accent6 14 4 2" xfId="14964" xr:uid="{00000000-0005-0000-0000-000090210000}"/>
    <cellStyle name="20% - Accent6 14 4 2 2" xfId="28513" xr:uid="{00000000-0005-0000-0000-000091210000}"/>
    <cellStyle name="20% - Accent6 14 4 3" xfId="19521" xr:uid="{00000000-0005-0000-0000-000092210000}"/>
    <cellStyle name="20% - Accent6 14 5" xfId="9133" xr:uid="{00000000-0005-0000-0000-000093210000}"/>
    <cellStyle name="20% - Accent6 14 5 2" xfId="23608" xr:uid="{00000000-0005-0000-0000-000094210000}"/>
    <cellStyle name="20% - Accent6 14 6" xfId="19518" xr:uid="{00000000-0005-0000-0000-000095210000}"/>
    <cellStyle name="20% - Accent6 15" xfId="2198" xr:uid="{00000000-0005-0000-0000-000096210000}"/>
    <cellStyle name="20% - Accent6 15 2" xfId="2199" xr:uid="{00000000-0005-0000-0000-000097210000}"/>
    <cellStyle name="20% - Accent6 15 2 2" xfId="10860" xr:uid="{00000000-0005-0000-0000-000098210000}"/>
    <cellStyle name="20% - Accent6 15 2 2 2" xfId="24802" xr:uid="{00000000-0005-0000-0000-000099210000}"/>
    <cellStyle name="20% - Accent6 15 2 3" xfId="19523" xr:uid="{00000000-0005-0000-0000-00009A210000}"/>
    <cellStyle name="20% - Accent6 15 3" xfId="2200" xr:uid="{00000000-0005-0000-0000-00009B210000}"/>
    <cellStyle name="20% - Accent6 15 3 2" xfId="12669" xr:uid="{00000000-0005-0000-0000-00009C210000}"/>
    <cellStyle name="20% - Accent6 15 3 2 2" xfId="26381" xr:uid="{00000000-0005-0000-0000-00009D210000}"/>
    <cellStyle name="20% - Accent6 15 3 3" xfId="19524" xr:uid="{00000000-0005-0000-0000-00009E210000}"/>
    <cellStyle name="20% - Accent6 15 4" xfId="2201" xr:uid="{00000000-0005-0000-0000-00009F210000}"/>
    <cellStyle name="20% - Accent6 15 4 2" xfId="14965" xr:uid="{00000000-0005-0000-0000-0000A0210000}"/>
    <cellStyle name="20% - Accent6 15 4 2 2" xfId="28514" xr:uid="{00000000-0005-0000-0000-0000A1210000}"/>
    <cellStyle name="20% - Accent6 15 4 3" xfId="19525" xr:uid="{00000000-0005-0000-0000-0000A2210000}"/>
    <cellStyle name="20% - Accent6 15 5" xfId="9134" xr:uid="{00000000-0005-0000-0000-0000A3210000}"/>
    <cellStyle name="20% - Accent6 15 5 2" xfId="23609" xr:uid="{00000000-0005-0000-0000-0000A4210000}"/>
    <cellStyle name="20% - Accent6 15 6" xfId="19522" xr:uid="{00000000-0005-0000-0000-0000A5210000}"/>
    <cellStyle name="20% - Accent6 16" xfId="2202" xr:uid="{00000000-0005-0000-0000-0000A6210000}"/>
    <cellStyle name="20% - Accent6 16 2" xfId="2203" xr:uid="{00000000-0005-0000-0000-0000A7210000}"/>
    <cellStyle name="20% - Accent6 16 2 2" xfId="10861" xr:uid="{00000000-0005-0000-0000-0000A8210000}"/>
    <cellStyle name="20% - Accent6 16 2 2 2" xfId="24803" xr:uid="{00000000-0005-0000-0000-0000A9210000}"/>
    <cellStyle name="20% - Accent6 16 2 3" xfId="19527" xr:uid="{00000000-0005-0000-0000-0000AA210000}"/>
    <cellStyle name="20% - Accent6 16 3" xfId="2204" xr:uid="{00000000-0005-0000-0000-0000AB210000}"/>
    <cellStyle name="20% - Accent6 16 3 2" xfId="12461" xr:uid="{00000000-0005-0000-0000-0000AC210000}"/>
    <cellStyle name="20% - Accent6 16 3 2 2" xfId="26173" xr:uid="{00000000-0005-0000-0000-0000AD210000}"/>
    <cellStyle name="20% - Accent6 16 3 3" xfId="19528" xr:uid="{00000000-0005-0000-0000-0000AE210000}"/>
    <cellStyle name="20% - Accent6 16 4" xfId="2205" xr:uid="{00000000-0005-0000-0000-0000AF210000}"/>
    <cellStyle name="20% - Accent6 16 4 2" xfId="14966" xr:uid="{00000000-0005-0000-0000-0000B0210000}"/>
    <cellStyle name="20% - Accent6 16 4 2 2" xfId="28515" xr:uid="{00000000-0005-0000-0000-0000B1210000}"/>
    <cellStyle name="20% - Accent6 16 4 3" xfId="19529" xr:uid="{00000000-0005-0000-0000-0000B2210000}"/>
    <cellStyle name="20% - Accent6 16 5" xfId="9135" xr:uid="{00000000-0005-0000-0000-0000B3210000}"/>
    <cellStyle name="20% - Accent6 16 5 2" xfId="23610" xr:uid="{00000000-0005-0000-0000-0000B4210000}"/>
    <cellStyle name="20% - Accent6 16 6" xfId="19526" xr:uid="{00000000-0005-0000-0000-0000B5210000}"/>
    <cellStyle name="20% - Accent6 17" xfId="2206" xr:uid="{00000000-0005-0000-0000-0000B6210000}"/>
    <cellStyle name="20% - Accent6 17 2" xfId="2207" xr:uid="{00000000-0005-0000-0000-0000B7210000}"/>
    <cellStyle name="20% - Accent6 17 2 2" xfId="10862" xr:uid="{00000000-0005-0000-0000-0000B8210000}"/>
    <cellStyle name="20% - Accent6 17 2 2 2" xfId="24804" xr:uid="{00000000-0005-0000-0000-0000B9210000}"/>
    <cellStyle name="20% - Accent6 17 2 3" xfId="19531" xr:uid="{00000000-0005-0000-0000-0000BA210000}"/>
    <cellStyle name="20% - Accent6 17 3" xfId="2208" xr:uid="{00000000-0005-0000-0000-0000BB210000}"/>
    <cellStyle name="20% - Accent6 17 3 2" xfId="11781" xr:uid="{00000000-0005-0000-0000-0000BC210000}"/>
    <cellStyle name="20% - Accent6 17 3 2 2" xfId="25496" xr:uid="{00000000-0005-0000-0000-0000BD210000}"/>
    <cellStyle name="20% - Accent6 17 3 3" xfId="19532" xr:uid="{00000000-0005-0000-0000-0000BE210000}"/>
    <cellStyle name="20% - Accent6 17 4" xfId="2209" xr:uid="{00000000-0005-0000-0000-0000BF210000}"/>
    <cellStyle name="20% - Accent6 17 4 2" xfId="14967" xr:uid="{00000000-0005-0000-0000-0000C0210000}"/>
    <cellStyle name="20% - Accent6 17 4 2 2" xfId="28516" xr:uid="{00000000-0005-0000-0000-0000C1210000}"/>
    <cellStyle name="20% - Accent6 17 4 3" xfId="19533" xr:uid="{00000000-0005-0000-0000-0000C2210000}"/>
    <cellStyle name="20% - Accent6 17 5" xfId="9136" xr:uid="{00000000-0005-0000-0000-0000C3210000}"/>
    <cellStyle name="20% - Accent6 17 5 2" xfId="23611" xr:uid="{00000000-0005-0000-0000-0000C4210000}"/>
    <cellStyle name="20% - Accent6 17 6" xfId="19530" xr:uid="{00000000-0005-0000-0000-0000C5210000}"/>
    <cellStyle name="20% - Accent6 18" xfId="2210" xr:uid="{00000000-0005-0000-0000-0000C6210000}"/>
    <cellStyle name="20% - Accent6 18 2" xfId="2211" xr:uid="{00000000-0005-0000-0000-0000C7210000}"/>
    <cellStyle name="20% - Accent6 18 2 2" xfId="10863" xr:uid="{00000000-0005-0000-0000-0000C8210000}"/>
    <cellStyle name="20% - Accent6 18 2 2 2" xfId="24805" xr:uid="{00000000-0005-0000-0000-0000C9210000}"/>
    <cellStyle name="20% - Accent6 18 2 3" xfId="19535" xr:uid="{00000000-0005-0000-0000-0000CA210000}"/>
    <cellStyle name="20% - Accent6 18 3" xfId="2212" xr:uid="{00000000-0005-0000-0000-0000CB210000}"/>
    <cellStyle name="20% - Accent6 18 3 2" xfId="12729" xr:uid="{00000000-0005-0000-0000-0000CC210000}"/>
    <cellStyle name="20% - Accent6 18 3 2 2" xfId="26441" xr:uid="{00000000-0005-0000-0000-0000CD210000}"/>
    <cellStyle name="20% - Accent6 18 3 3" xfId="19536" xr:uid="{00000000-0005-0000-0000-0000CE210000}"/>
    <cellStyle name="20% - Accent6 18 4" xfId="2213" xr:uid="{00000000-0005-0000-0000-0000CF210000}"/>
    <cellStyle name="20% - Accent6 18 4 2" xfId="14968" xr:uid="{00000000-0005-0000-0000-0000D0210000}"/>
    <cellStyle name="20% - Accent6 18 4 2 2" xfId="28517" xr:uid="{00000000-0005-0000-0000-0000D1210000}"/>
    <cellStyle name="20% - Accent6 18 4 3" xfId="19537" xr:uid="{00000000-0005-0000-0000-0000D2210000}"/>
    <cellStyle name="20% - Accent6 18 5" xfId="9137" xr:uid="{00000000-0005-0000-0000-0000D3210000}"/>
    <cellStyle name="20% - Accent6 18 5 2" xfId="23612" xr:uid="{00000000-0005-0000-0000-0000D4210000}"/>
    <cellStyle name="20% - Accent6 18 6" xfId="19534" xr:uid="{00000000-0005-0000-0000-0000D5210000}"/>
    <cellStyle name="20% - Accent6 19" xfId="2214" xr:uid="{00000000-0005-0000-0000-0000D6210000}"/>
    <cellStyle name="20% - Accent6 19 2" xfId="2215" xr:uid="{00000000-0005-0000-0000-0000D7210000}"/>
    <cellStyle name="20% - Accent6 19 2 2" xfId="11715" xr:uid="{00000000-0005-0000-0000-0000D8210000}"/>
    <cellStyle name="20% - Accent6 19 2 2 2" xfId="25435" xr:uid="{00000000-0005-0000-0000-0000D9210000}"/>
    <cellStyle name="20% - Accent6 19 2 3" xfId="19539" xr:uid="{00000000-0005-0000-0000-0000DA210000}"/>
    <cellStyle name="20% - Accent6 19 3" xfId="2216" xr:uid="{00000000-0005-0000-0000-0000DB210000}"/>
    <cellStyle name="20% - Accent6 19 3 2" xfId="12650" xr:uid="{00000000-0005-0000-0000-0000DC210000}"/>
    <cellStyle name="20% - Accent6 19 3 2 2" xfId="26362" xr:uid="{00000000-0005-0000-0000-0000DD210000}"/>
    <cellStyle name="20% - Accent6 19 3 3" xfId="19540" xr:uid="{00000000-0005-0000-0000-0000DE210000}"/>
    <cellStyle name="20% - Accent6 19 4" xfId="2217" xr:uid="{00000000-0005-0000-0000-0000DF210000}"/>
    <cellStyle name="20% - Accent6 19 4 2" xfId="14969" xr:uid="{00000000-0005-0000-0000-0000E0210000}"/>
    <cellStyle name="20% - Accent6 19 4 2 2" xfId="28518" xr:uid="{00000000-0005-0000-0000-0000E1210000}"/>
    <cellStyle name="20% - Accent6 19 4 3" xfId="19541" xr:uid="{00000000-0005-0000-0000-0000E2210000}"/>
    <cellStyle name="20% - Accent6 19 5" xfId="10467" xr:uid="{00000000-0005-0000-0000-0000E3210000}"/>
    <cellStyle name="20% - Accent6 19 5 2" xfId="24426" xr:uid="{00000000-0005-0000-0000-0000E4210000}"/>
    <cellStyle name="20% - Accent6 19 6" xfId="19538" xr:uid="{00000000-0005-0000-0000-0000E5210000}"/>
    <cellStyle name="20% - Accent6 2" xfId="2218" xr:uid="{00000000-0005-0000-0000-0000E6210000}"/>
    <cellStyle name="20% - Accent6 2 10" xfId="2219" xr:uid="{00000000-0005-0000-0000-0000E7210000}"/>
    <cellStyle name="20% - Accent6 2 10 2" xfId="2220" xr:uid="{00000000-0005-0000-0000-0000E8210000}"/>
    <cellStyle name="20% - Accent6 2 10 2 2" xfId="14971" xr:uid="{00000000-0005-0000-0000-0000E9210000}"/>
    <cellStyle name="20% - Accent6 2 10 2 2 2" xfId="28520" xr:uid="{00000000-0005-0000-0000-0000EA210000}"/>
    <cellStyle name="20% - Accent6 2 10 2 3" xfId="19544" xr:uid="{00000000-0005-0000-0000-0000EB210000}"/>
    <cellStyle name="20% - Accent6 2 10 3" xfId="11848" xr:uid="{00000000-0005-0000-0000-0000EC210000}"/>
    <cellStyle name="20% - Accent6 2 10 3 2" xfId="25563" xr:uid="{00000000-0005-0000-0000-0000ED210000}"/>
    <cellStyle name="20% - Accent6 2 10 4" xfId="19543" xr:uid="{00000000-0005-0000-0000-0000EE210000}"/>
    <cellStyle name="20% - Accent6 2 11" xfId="2221" xr:uid="{00000000-0005-0000-0000-0000EF210000}"/>
    <cellStyle name="20% - Accent6 2 11 2" xfId="11866" xr:uid="{00000000-0005-0000-0000-0000F0210000}"/>
    <cellStyle name="20% - Accent6 2 11 2 2" xfId="25581" xr:uid="{00000000-0005-0000-0000-0000F1210000}"/>
    <cellStyle name="20% - Accent6 2 11 3" xfId="19545" xr:uid="{00000000-0005-0000-0000-0000F2210000}"/>
    <cellStyle name="20% - Accent6 2 12" xfId="2222" xr:uid="{00000000-0005-0000-0000-0000F3210000}"/>
    <cellStyle name="20% - Accent6 2 12 2" xfId="13445" xr:uid="{00000000-0005-0000-0000-0000F4210000}"/>
    <cellStyle name="20% - Accent6 2 12 2 2" xfId="26994" xr:uid="{00000000-0005-0000-0000-0000F5210000}"/>
    <cellStyle name="20% - Accent6 2 12 3" xfId="19546" xr:uid="{00000000-0005-0000-0000-0000F6210000}"/>
    <cellStyle name="20% - Accent6 2 13" xfId="2223" xr:uid="{00000000-0005-0000-0000-0000F7210000}"/>
    <cellStyle name="20% - Accent6 2 13 2" xfId="14026" xr:uid="{00000000-0005-0000-0000-0000F8210000}"/>
    <cellStyle name="20% - Accent6 2 13 2 2" xfId="27575" xr:uid="{00000000-0005-0000-0000-0000F9210000}"/>
    <cellStyle name="20% - Accent6 2 13 3" xfId="19547" xr:uid="{00000000-0005-0000-0000-0000FA210000}"/>
    <cellStyle name="20% - Accent6 2 14" xfId="2224" xr:uid="{00000000-0005-0000-0000-0000FB210000}"/>
    <cellStyle name="20% - Accent6 2 14 2" xfId="14970" xr:uid="{00000000-0005-0000-0000-0000FC210000}"/>
    <cellStyle name="20% - Accent6 2 14 2 2" xfId="28519" xr:uid="{00000000-0005-0000-0000-0000FD210000}"/>
    <cellStyle name="20% - Accent6 2 14 3" xfId="19548" xr:uid="{00000000-0005-0000-0000-0000FE210000}"/>
    <cellStyle name="20% - Accent6 2 15" xfId="2225" xr:uid="{00000000-0005-0000-0000-0000FF210000}"/>
    <cellStyle name="20% - Accent6 2 15 2" xfId="15912" xr:uid="{00000000-0005-0000-0000-000000220000}"/>
    <cellStyle name="20% - Accent6 2 15 2 2" xfId="29319" xr:uid="{00000000-0005-0000-0000-000001220000}"/>
    <cellStyle name="20% - Accent6 2 15 3" xfId="19549" xr:uid="{00000000-0005-0000-0000-000002220000}"/>
    <cellStyle name="20% - Accent6 2 16" xfId="9138" xr:uid="{00000000-0005-0000-0000-000003220000}"/>
    <cellStyle name="20% - Accent6 2 16 2" xfId="23613" xr:uid="{00000000-0005-0000-0000-000004220000}"/>
    <cellStyle name="20% - Accent6 2 17" xfId="19542" xr:uid="{00000000-0005-0000-0000-000005220000}"/>
    <cellStyle name="20% - Accent6 2 18" xfId="33082" xr:uid="{00000000-0005-0000-0000-000006220000}"/>
    <cellStyle name="20% - Accent6 2 2" xfId="2226" xr:uid="{00000000-0005-0000-0000-000007220000}"/>
    <cellStyle name="20% - Accent6 2 2 10" xfId="2227" xr:uid="{00000000-0005-0000-0000-000008220000}"/>
    <cellStyle name="20% - Accent6 2 2 10 2" xfId="14972" xr:uid="{00000000-0005-0000-0000-000009220000}"/>
    <cellStyle name="20% - Accent6 2 2 10 2 2" xfId="28521" xr:uid="{00000000-0005-0000-0000-00000A220000}"/>
    <cellStyle name="20% - Accent6 2 2 10 3" xfId="19551" xr:uid="{00000000-0005-0000-0000-00000B220000}"/>
    <cellStyle name="20% - Accent6 2 2 11" xfId="2228" xr:uid="{00000000-0005-0000-0000-00000C220000}"/>
    <cellStyle name="20% - Accent6 2 2 11 2" xfId="15958" xr:uid="{00000000-0005-0000-0000-00000D220000}"/>
    <cellStyle name="20% - Accent6 2 2 11 2 2" xfId="29365" xr:uid="{00000000-0005-0000-0000-00000E220000}"/>
    <cellStyle name="20% - Accent6 2 2 11 3" xfId="19552" xr:uid="{00000000-0005-0000-0000-00000F220000}"/>
    <cellStyle name="20% - Accent6 2 2 12" xfId="9139" xr:uid="{00000000-0005-0000-0000-000010220000}"/>
    <cellStyle name="20% - Accent6 2 2 12 2" xfId="23614" xr:uid="{00000000-0005-0000-0000-000011220000}"/>
    <cellStyle name="20% - Accent6 2 2 13" xfId="19550" xr:uid="{00000000-0005-0000-0000-000012220000}"/>
    <cellStyle name="20% - Accent6 2 2 2" xfId="2229" xr:uid="{00000000-0005-0000-0000-000013220000}"/>
    <cellStyle name="20% - Accent6 2 2 2 10" xfId="2230" xr:uid="{00000000-0005-0000-0000-000014220000}"/>
    <cellStyle name="20% - Accent6 2 2 2 10 2" xfId="16101" xr:uid="{00000000-0005-0000-0000-000015220000}"/>
    <cellStyle name="20% - Accent6 2 2 2 10 2 2" xfId="29508" xr:uid="{00000000-0005-0000-0000-000016220000}"/>
    <cellStyle name="20% - Accent6 2 2 2 10 3" xfId="19554" xr:uid="{00000000-0005-0000-0000-000017220000}"/>
    <cellStyle name="20% - Accent6 2 2 2 11" xfId="9140" xr:uid="{00000000-0005-0000-0000-000018220000}"/>
    <cellStyle name="20% - Accent6 2 2 2 11 2" xfId="23615" xr:uid="{00000000-0005-0000-0000-000019220000}"/>
    <cellStyle name="20% - Accent6 2 2 2 12" xfId="19553" xr:uid="{00000000-0005-0000-0000-00001A220000}"/>
    <cellStyle name="20% - Accent6 2 2 2 2" xfId="2231" xr:uid="{00000000-0005-0000-0000-00001B220000}"/>
    <cellStyle name="20% - Accent6 2 2 2 2 10" xfId="9141" xr:uid="{00000000-0005-0000-0000-00001C220000}"/>
    <cellStyle name="20% - Accent6 2 2 2 2 10 2" xfId="23616" xr:uid="{00000000-0005-0000-0000-00001D220000}"/>
    <cellStyle name="20% - Accent6 2 2 2 2 11" xfId="19555" xr:uid="{00000000-0005-0000-0000-00001E220000}"/>
    <cellStyle name="20% - Accent6 2 2 2 2 2" xfId="2232" xr:uid="{00000000-0005-0000-0000-00001F220000}"/>
    <cellStyle name="20% - Accent6 2 2 2 2 2 2" xfId="2233" xr:uid="{00000000-0005-0000-0000-000020220000}"/>
    <cellStyle name="20% - Accent6 2 2 2 2 2 2 2" xfId="10868" xr:uid="{00000000-0005-0000-0000-000021220000}"/>
    <cellStyle name="20% - Accent6 2 2 2 2 2 2 2 2" xfId="24810" xr:uid="{00000000-0005-0000-0000-000022220000}"/>
    <cellStyle name="20% - Accent6 2 2 2 2 2 2 3" xfId="19557" xr:uid="{00000000-0005-0000-0000-000023220000}"/>
    <cellStyle name="20% - Accent6 2 2 2 2 2 3" xfId="2234" xr:uid="{00000000-0005-0000-0000-000024220000}"/>
    <cellStyle name="20% - Accent6 2 2 2 2 2 3 2" xfId="12674" xr:uid="{00000000-0005-0000-0000-000025220000}"/>
    <cellStyle name="20% - Accent6 2 2 2 2 2 3 2 2" xfId="26386" xr:uid="{00000000-0005-0000-0000-000026220000}"/>
    <cellStyle name="20% - Accent6 2 2 2 2 2 3 3" xfId="19558" xr:uid="{00000000-0005-0000-0000-000027220000}"/>
    <cellStyle name="20% - Accent6 2 2 2 2 2 4" xfId="2235" xr:uid="{00000000-0005-0000-0000-000028220000}"/>
    <cellStyle name="20% - Accent6 2 2 2 2 2 4 2" xfId="14975" xr:uid="{00000000-0005-0000-0000-000029220000}"/>
    <cellStyle name="20% - Accent6 2 2 2 2 2 4 2 2" xfId="28524" xr:uid="{00000000-0005-0000-0000-00002A220000}"/>
    <cellStyle name="20% - Accent6 2 2 2 2 2 4 3" xfId="19559" xr:uid="{00000000-0005-0000-0000-00002B220000}"/>
    <cellStyle name="20% - Accent6 2 2 2 2 2 5" xfId="2236" xr:uid="{00000000-0005-0000-0000-00002C220000}"/>
    <cellStyle name="20% - Accent6 2 2 2 2 2 5 2" xfId="16971" xr:uid="{00000000-0005-0000-0000-00002D220000}"/>
    <cellStyle name="20% - Accent6 2 2 2 2 2 5 2 2" xfId="30378" xr:uid="{00000000-0005-0000-0000-00002E220000}"/>
    <cellStyle name="20% - Accent6 2 2 2 2 2 5 3" xfId="19560" xr:uid="{00000000-0005-0000-0000-00002F220000}"/>
    <cellStyle name="20% - Accent6 2 2 2 2 2 6" xfId="9142" xr:uid="{00000000-0005-0000-0000-000030220000}"/>
    <cellStyle name="20% - Accent6 2 2 2 2 2 6 2" xfId="23617" xr:uid="{00000000-0005-0000-0000-000031220000}"/>
    <cellStyle name="20% - Accent6 2 2 2 2 2 7" xfId="19556" xr:uid="{00000000-0005-0000-0000-000032220000}"/>
    <cellStyle name="20% - Accent6 2 2 2 2 3" xfId="2237" xr:uid="{00000000-0005-0000-0000-000033220000}"/>
    <cellStyle name="20% - Accent6 2 2 2 2 3 2" xfId="2238" xr:uid="{00000000-0005-0000-0000-000034220000}"/>
    <cellStyle name="20% - Accent6 2 2 2 2 3 2 2" xfId="14976" xr:uid="{00000000-0005-0000-0000-000035220000}"/>
    <cellStyle name="20% - Accent6 2 2 2 2 3 2 2 2" xfId="28525" xr:uid="{00000000-0005-0000-0000-000036220000}"/>
    <cellStyle name="20% - Accent6 2 2 2 2 3 2 3" xfId="19562" xr:uid="{00000000-0005-0000-0000-000037220000}"/>
    <cellStyle name="20% - Accent6 2 2 2 2 3 3" xfId="10867" xr:uid="{00000000-0005-0000-0000-000038220000}"/>
    <cellStyle name="20% - Accent6 2 2 2 2 3 3 2" xfId="24809" xr:uid="{00000000-0005-0000-0000-000039220000}"/>
    <cellStyle name="20% - Accent6 2 2 2 2 3 4" xfId="19561" xr:uid="{00000000-0005-0000-0000-00003A220000}"/>
    <cellStyle name="20% - Accent6 2 2 2 2 4" xfId="2239" xr:uid="{00000000-0005-0000-0000-00003B220000}"/>
    <cellStyle name="20% - Accent6 2 2 2 2 4 2" xfId="12359" xr:uid="{00000000-0005-0000-0000-00003C220000}"/>
    <cellStyle name="20% - Accent6 2 2 2 2 4 2 2" xfId="26071" xr:uid="{00000000-0005-0000-0000-00003D220000}"/>
    <cellStyle name="20% - Accent6 2 2 2 2 4 3" xfId="19563" xr:uid="{00000000-0005-0000-0000-00003E220000}"/>
    <cellStyle name="20% - Accent6 2 2 2 2 5" xfId="2240" xr:uid="{00000000-0005-0000-0000-00003F220000}"/>
    <cellStyle name="20% - Accent6 2 2 2 2 5 2" xfId="11759" xr:uid="{00000000-0005-0000-0000-000040220000}"/>
    <cellStyle name="20% - Accent6 2 2 2 2 5 2 2" xfId="25474" xr:uid="{00000000-0005-0000-0000-000041220000}"/>
    <cellStyle name="20% - Accent6 2 2 2 2 5 3" xfId="19564" xr:uid="{00000000-0005-0000-0000-000042220000}"/>
    <cellStyle name="20% - Accent6 2 2 2 2 6" xfId="2241" xr:uid="{00000000-0005-0000-0000-000043220000}"/>
    <cellStyle name="20% - Accent6 2 2 2 2 6 2" xfId="13923" xr:uid="{00000000-0005-0000-0000-000044220000}"/>
    <cellStyle name="20% - Accent6 2 2 2 2 6 2 2" xfId="27472" xr:uid="{00000000-0005-0000-0000-000045220000}"/>
    <cellStyle name="20% - Accent6 2 2 2 2 6 3" xfId="19565" xr:uid="{00000000-0005-0000-0000-000046220000}"/>
    <cellStyle name="20% - Accent6 2 2 2 2 7" xfId="2242" xr:uid="{00000000-0005-0000-0000-000047220000}"/>
    <cellStyle name="20% - Accent6 2 2 2 2 7 2" xfId="14504" xr:uid="{00000000-0005-0000-0000-000048220000}"/>
    <cellStyle name="20% - Accent6 2 2 2 2 7 2 2" xfId="28053" xr:uid="{00000000-0005-0000-0000-000049220000}"/>
    <cellStyle name="20% - Accent6 2 2 2 2 7 3" xfId="19566" xr:uid="{00000000-0005-0000-0000-00004A220000}"/>
    <cellStyle name="20% - Accent6 2 2 2 2 8" xfId="2243" xr:uid="{00000000-0005-0000-0000-00004B220000}"/>
    <cellStyle name="20% - Accent6 2 2 2 2 8 2" xfId="14974" xr:uid="{00000000-0005-0000-0000-00004C220000}"/>
    <cellStyle name="20% - Accent6 2 2 2 2 8 2 2" xfId="28523" xr:uid="{00000000-0005-0000-0000-00004D220000}"/>
    <cellStyle name="20% - Accent6 2 2 2 2 8 3" xfId="19567" xr:uid="{00000000-0005-0000-0000-00004E220000}"/>
    <cellStyle name="20% - Accent6 2 2 2 2 9" xfId="2244" xr:uid="{00000000-0005-0000-0000-00004F220000}"/>
    <cellStyle name="20% - Accent6 2 2 2 2 9 2" xfId="16390" xr:uid="{00000000-0005-0000-0000-000050220000}"/>
    <cellStyle name="20% - Accent6 2 2 2 2 9 2 2" xfId="29797" xr:uid="{00000000-0005-0000-0000-000051220000}"/>
    <cellStyle name="20% - Accent6 2 2 2 2 9 3" xfId="19568" xr:uid="{00000000-0005-0000-0000-000052220000}"/>
    <cellStyle name="20% - Accent6 2 2 2 3" xfId="2245" xr:uid="{00000000-0005-0000-0000-000053220000}"/>
    <cellStyle name="20% - Accent6 2 2 2 3 2" xfId="2246" xr:uid="{00000000-0005-0000-0000-000054220000}"/>
    <cellStyle name="20% - Accent6 2 2 2 3 2 2" xfId="10869" xr:uid="{00000000-0005-0000-0000-000055220000}"/>
    <cellStyle name="20% - Accent6 2 2 2 3 2 2 2" xfId="24811" xr:uid="{00000000-0005-0000-0000-000056220000}"/>
    <cellStyle name="20% - Accent6 2 2 2 3 2 3" xfId="19570" xr:uid="{00000000-0005-0000-0000-000057220000}"/>
    <cellStyle name="20% - Accent6 2 2 2 3 3" xfId="2247" xr:uid="{00000000-0005-0000-0000-000058220000}"/>
    <cellStyle name="20% - Accent6 2 2 2 3 3 2" xfId="12448" xr:uid="{00000000-0005-0000-0000-000059220000}"/>
    <cellStyle name="20% - Accent6 2 2 2 3 3 2 2" xfId="26160" xr:uid="{00000000-0005-0000-0000-00005A220000}"/>
    <cellStyle name="20% - Accent6 2 2 2 3 3 3" xfId="19571" xr:uid="{00000000-0005-0000-0000-00005B220000}"/>
    <cellStyle name="20% - Accent6 2 2 2 3 4" xfId="2248" xr:uid="{00000000-0005-0000-0000-00005C220000}"/>
    <cellStyle name="20% - Accent6 2 2 2 3 4 2" xfId="14977" xr:uid="{00000000-0005-0000-0000-00005D220000}"/>
    <cellStyle name="20% - Accent6 2 2 2 3 4 2 2" xfId="28526" xr:uid="{00000000-0005-0000-0000-00005E220000}"/>
    <cellStyle name="20% - Accent6 2 2 2 3 4 3" xfId="19572" xr:uid="{00000000-0005-0000-0000-00005F220000}"/>
    <cellStyle name="20% - Accent6 2 2 2 3 5" xfId="2249" xr:uid="{00000000-0005-0000-0000-000060220000}"/>
    <cellStyle name="20% - Accent6 2 2 2 3 5 2" xfId="16682" xr:uid="{00000000-0005-0000-0000-000061220000}"/>
    <cellStyle name="20% - Accent6 2 2 2 3 5 2 2" xfId="30089" xr:uid="{00000000-0005-0000-0000-000062220000}"/>
    <cellStyle name="20% - Accent6 2 2 2 3 5 3" xfId="19573" xr:uid="{00000000-0005-0000-0000-000063220000}"/>
    <cellStyle name="20% - Accent6 2 2 2 3 6" xfId="9143" xr:uid="{00000000-0005-0000-0000-000064220000}"/>
    <cellStyle name="20% - Accent6 2 2 2 3 6 2" xfId="23618" xr:uid="{00000000-0005-0000-0000-000065220000}"/>
    <cellStyle name="20% - Accent6 2 2 2 3 7" xfId="19569" xr:uid="{00000000-0005-0000-0000-000066220000}"/>
    <cellStyle name="20% - Accent6 2 2 2 4" xfId="2250" xr:uid="{00000000-0005-0000-0000-000067220000}"/>
    <cellStyle name="20% - Accent6 2 2 2 4 2" xfId="2251" xr:uid="{00000000-0005-0000-0000-000068220000}"/>
    <cellStyle name="20% - Accent6 2 2 2 4 2 2" xfId="14978" xr:uid="{00000000-0005-0000-0000-000069220000}"/>
    <cellStyle name="20% - Accent6 2 2 2 4 2 2 2" xfId="28527" xr:uid="{00000000-0005-0000-0000-00006A220000}"/>
    <cellStyle name="20% - Accent6 2 2 2 4 2 3" xfId="19575" xr:uid="{00000000-0005-0000-0000-00006B220000}"/>
    <cellStyle name="20% - Accent6 2 2 2 4 3" xfId="10866" xr:uid="{00000000-0005-0000-0000-00006C220000}"/>
    <cellStyle name="20% - Accent6 2 2 2 4 3 2" xfId="24808" xr:uid="{00000000-0005-0000-0000-00006D220000}"/>
    <cellStyle name="20% - Accent6 2 2 2 4 4" xfId="19574" xr:uid="{00000000-0005-0000-0000-00006E220000}"/>
    <cellStyle name="20% - Accent6 2 2 2 5" xfId="2252" xr:uid="{00000000-0005-0000-0000-00006F220000}"/>
    <cellStyle name="20% - Accent6 2 2 2 5 2" xfId="12059" xr:uid="{00000000-0005-0000-0000-000070220000}"/>
    <cellStyle name="20% - Accent6 2 2 2 5 2 2" xfId="25774" xr:uid="{00000000-0005-0000-0000-000071220000}"/>
    <cellStyle name="20% - Accent6 2 2 2 5 3" xfId="19576" xr:uid="{00000000-0005-0000-0000-000072220000}"/>
    <cellStyle name="20% - Accent6 2 2 2 6" xfId="2253" xr:uid="{00000000-0005-0000-0000-000073220000}"/>
    <cellStyle name="20% - Accent6 2 2 2 6 2" xfId="12451" xr:uid="{00000000-0005-0000-0000-000074220000}"/>
    <cellStyle name="20% - Accent6 2 2 2 6 2 2" xfId="26163" xr:uid="{00000000-0005-0000-0000-000075220000}"/>
    <cellStyle name="20% - Accent6 2 2 2 6 3" xfId="19577" xr:uid="{00000000-0005-0000-0000-000076220000}"/>
    <cellStyle name="20% - Accent6 2 2 2 7" xfId="2254" xr:uid="{00000000-0005-0000-0000-000077220000}"/>
    <cellStyle name="20% - Accent6 2 2 2 7 2" xfId="13634" xr:uid="{00000000-0005-0000-0000-000078220000}"/>
    <cellStyle name="20% - Accent6 2 2 2 7 2 2" xfId="27183" xr:uid="{00000000-0005-0000-0000-000079220000}"/>
    <cellStyle name="20% - Accent6 2 2 2 7 3" xfId="19578" xr:uid="{00000000-0005-0000-0000-00007A220000}"/>
    <cellStyle name="20% - Accent6 2 2 2 8" xfId="2255" xr:uid="{00000000-0005-0000-0000-00007B220000}"/>
    <cellStyle name="20% - Accent6 2 2 2 8 2" xfId="14215" xr:uid="{00000000-0005-0000-0000-00007C220000}"/>
    <cellStyle name="20% - Accent6 2 2 2 8 2 2" xfId="27764" xr:uid="{00000000-0005-0000-0000-00007D220000}"/>
    <cellStyle name="20% - Accent6 2 2 2 8 3" xfId="19579" xr:uid="{00000000-0005-0000-0000-00007E220000}"/>
    <cellStyle name="20% - Accent6 2 2 2 9" xfId="2256" xr:uid="{00000000-0005-0000-0000-00007F220000}"/>
    <cellStyle name="20% - Accent6 2 2 2 9 2" xfId="14973" xr:uid="{00000000-0005-0000-0000-000080220000}"/>
    <cellStyle name="20% - Accent6 2 2 2 9 2 2" xfId="28522" xr:uid="{00000000-0005-0000-0000-000081220000}"/>
    <cellStyle name="20% - Accent6 2 2 2 9 3" xfId="19580" xr:uid="{00000000-0005-0000-0000-000082220000}"/>
    <cellStyle name="20% - Accent6 2 2 3" xfId="2257" xr:uid="{00000000-0005-0000-0000-000083220000}"/>
    <cellStyle name="20% - Accent6 2 2 3 10" xfId="9144" xr:uid="{00000000-0005-0000-0000-000084220000}"/>
    <cellStyle name="20% - Accent6 2 2 3 10 2" xfId="23619" xr:uid="{00000000-0005-0000-0000-000085220000}"/>
    <cellStyle name="20% - Accent6 2 2 3 11" xfId="19581" xr:uid="{00000000-0005-0000-0000-000086220000}"/>
    <cellStyle name="20% - Accent6 2 2 3 2" xfId="2258" xr:uid="{00000000-0005-0000-0000-000087220000}"/>
    <cellStyle name="20% - Accent6 2 2 3 2 2" xfId="2259" xr:uid="{00000000-0005-0000-0000-000088220000}"/>
    <cellStyle name="20% - Accent6 2 2 3 2 2 2" xfId="10871" xr:uid="{00000000-0005-0000-0000-000089220000}"/>
    <cellStyle name="20% - Accent6 2 2 3 2 2 2 2" xfId="24813" xr:uid="{00000000-0005-0000-0000-00008A220000}"/>
    <cellStyle name="20% - Accent6 2 2 3 2 2 3" xfId="19583" xr:uid="{00000000-0005-0000-0000-00008B220000}"/>
    <cellStyle name="20% - Accent6 2 2 3 2 3" xfId="2260" xr:uid="{00000000-0005-0000-0000-00008C220000}"/>
    <cellStyle name="20% - Accent6 2 2 3 2 3 2" xfId="11957" xr:uid="{00000000-0005-0000-0000-00008D220000}"/>
    <cellStyle name="20% - Accent6 2 2 3 2 3 2 2" xfId="25672" xr:uid="{00000000-0005-0000-0000-00008E220000}"/>
    <cellStyle name="20% - Accent6 2 2 3 2 3 3" xfId="19584" xr:uid="{00000000-0005-0000-0000-00008F220000}"/>
    <cellStyle name="20% - Accent6 2 2 3 2 4" xfId="2261" xr:uid="{00000000-0005-0000-0000-000090220000}"/>
    <cellStyle name="20% - Accent6 2 2 3 2 4 2" xfId="14980" xr:uid="{00000000-0005-0000-0000-000091220000}"/>
    <cellStyle name="20% - Accent6 2 2 3 2 4 2 2" xfId="28529" xr:uid="{00000000-0005-0000-0000-000092220000}"/>
    <cellStyle name="20% - Accent6 2 2 3 2 4 3" xfId="19585" xr:uid="{00000000-0005-0000-0000-000093220000}"/>
    <cellStyle name="20% - Accent6 2 2 3 2 5" xfId="2262" xr:uid="{00000000-0005-0000-0000-000094220000}"/>
    <cellStyle name="20% - Accent6 2 2 3 2 5 2" xfId="16828" xr:uid="{00000000-0005-0000-0000-000095220000}"/>
    <cellStyle name="20% - Accent6 2 2 3 2 5 2 2" xfId="30235" xr:uid="{00000000-0005-0000-0000-000096220000}"/>
    <cellStyle name="20% - Accent6 2 2 3 2 5 3" xfId="19586" xr:uid="{00000000-0005-0000-0000-000097220000}"/>
    <cellStyle name="20% - Accent6 2 2 3 2 6" xfId="9145" xr:uid="{00000000-0005-0000-0000-000098220000}"/>
    <cellStyle name="20% - Accent6 2 2 3 2 6 2" xfId="23620" xr:uid="{00000000-0005-0000-0000-000099220000}"/>
    <cellStyle name="20% - Accent6 2 2 3 2 7" xfId="19582" xr:uid="{00000000-0005-0000-0000-00009A220000}"/>
    <cellStyle name="20% - Accent6 2 2 3 3" xfId="2263" xr:uid="{00000000-0005-0000-0000-00009B220000}"/>
    <cellStyle name="20% - Accent6 2 2 3 3 2" xfId="2264" xr:uid="{00000000-0005-0000-0000-00009C220000}"/>
    <cellStyle name="20% - Accent6 2 2 3 3 2 2" xfId="14981" xr:uid="{00000000-0005-0000-0000-00009D220000}"/>
    <cellStyle name="20% - Accent6 2 2 3 3 2 2 2" xfId="28530" xr:uid="{00000000-0005-0000-0000-00009E220000}"/>
    <cellStyle name="20% - Accent6 2 2 3 3 2 3" xfId="19588" xr:uid="{00000000-0005-0000-0000-00009F220000}"/>
    <cellStyle name="20% - Accent6 2 2 3 3 3" xfId="10870" xr:uid="{00000000-0005-0000-0000-0000A0220000}"/>
    <cellStyle name="20% - Accent6 2 2 3 3 3 2" xfId="24812" xr:uid="{00000000-0005-0000-0000-0000A1220000}"/>
    <cellStyle name="20% - Accent6 2 2 3 3 4" xfId="19587" xr:uid="{00000000-0005-0000-0000-0000A2220000}"/>
    <cellStyle name="20% - Accent6 2 2 3 4" xfId="2265" xr:uid="{00000000-0005-0000-0000-0000A3220000}"/>
    <cellStyle name="20% - Accent6 2 2 3 4 2" xfId="12216" xr:uid="{00000000-0005-0000-0000-0000A4220000}"/>
    <cellStyle name="20% - Accent6 2 2 3 4 2 2" xfId="25928" xr:uid="{00000000-0005-0000-0000-0000A5220000}"/>
    <cellStyle name="20% - Accent6 2 2 3 4 3" xfId="19589" xr:uid="{00000000-0005-0000-0000-0000A6220000}"/>
    <cellStyle name="20% - Accent6 2 2 3 5" xfId="2266" xr:uid="{00000000-0005-0000-0000-0000A7220000}"/>
    <cellStyle name="20% - Accent6 2 2 3 5 2" xfId="12614" xr:uid="{00000000-0005-0000-0000-0000A8220000}"/>
    <cellStyle name="20% - Accent6 2 2 3 5 2 2" xfId="26326" xr:uid="{00000000-0005-0000-0000-0000A9220000}"/>
    <cellStyle name="20% - Accent6 2 2 3 5 3" xfId="19590" xr:uid="{00000000-0005-0000-0000-0000AA220000}"/>
    <cellStyle name="20% - Accent6 2 2 3 6" xfId="2267" xr:uid="{00000000-0005-0000-0000-0000AB220000}"/>
    <cellStyle name="20% - Accent6 2 2 3 6 2" xfId="13780" xr:uid="{00000000-0005-0000-0000-0000AC220000}"/>
    <cellStyle name="20% - Accent6 2 2 3 6 2 2" xfId="27329" xr:uid="{00000000-0005-0000-0000-0000AD220000}"/>
    <cellStyle name="20% - Accent6 2 2 3 6 3" xfId="19591" xr:uid="{00000000-0005-0000-0000-0000AE220000}"/>
    <cellStyle name="20% - Accent6 2 2 3 7" xfId="2268" xr:uid="{00000000-0005-0000-0000-0000AF220000}"/>
    <cellStyle name="20% - Accent6 2 2 3 7 2" xfId="14361" xr:uid="{00000000-0005-0000-0000-0000B0220000}"/>
    <cellStyle name="20% - Accent6 2 2 3 7 2 2" xfId="27910" xr:uid="{00000000-0005-0000-0000-0000B1220000}"/>
    <cellStyle name="20% - Accent6 2 2 3 7 3" xfId="19592" xr:uid="{00000000-0005-0000-0000-0000B2220000}"/>
    <cellStyle name="20% - Accent6 2 2 3 8" xfId="2269" xr:uid="{00000000-0005-0000-0000-0000B3220000}"/>
    <cellStyle name="20% - Accent6 2 2 3 8 2" xfId="14979" xr:uid="{00000000-0005-0000-0000-0000B4220000}"/>
    <cellStyle name="20% - Accent6 2 2 3 8 2 2" xfId="28528" xr:uid="{00000000-0005-0000-0000-0000B5220000}"/>
    <cellStyle name="20% - Accent6 2 2 3 8 3" xfId="19593" xr:uid="{00000000-0005-0000-0000-0000B6220000}"/>
    <cellStyle name="20% - Accent6 2 2 3 9" xfId="2270" xr:uid="{00000000-0005-0000-0000-0000B7220000}"/>
    <cellStyle name="20% - Accent6 2 2 3 9 2" xfId="16247" xr:uid="{00000000-0005-0000-0000-0000B8220000}"/>
    <cellStyle name="20% - Accent6 2 2 3 9 2 2" xfId="29654" xr:uid="{00000000-0005-0000-0000-0000B9220000}"/>
    <cellStyle name="20% - Accent6 2 2 3 9 3" xfId="19594" xr:uid="{00000000-0005-0000-0000-0000BA220000}"/>
    <cellStyle name="20% - Accent6 2 2 4" xfId="2271" xr:uid="{00000000-0005-0000-0000-0000BB220000}"/>
    <cellStyle name="20% - Accent6 2 2 4 2" xfId="2272" xr:uid="{00000000-0005-0000-0000-0000BC220000}"/>
    <cellStyle name="20% - Accent6 2 2 4 2 2" xfId="10872" xr:uid="{00000000-0005-0000-0000-0000BD220000}"/>
    <cellStyle name="20% - Accent6 2 2 4 2 2 2" xfId="24814" xr:uid="{00000000-0005-0000-0000-0000BE220000}"/>
    <cellStyle name="20% - Accent6 2 2 4 2 3" xfId="19596" xr:uid="{00000000-0005-0000-0000-0000BF220000}"/>
    <cellStyle name="20% - Accent6 2 2 4 3" xfId="2273" xr:uid="{00000000-0005-0000-0000-0000C0220000}"/>
    <cellStyle name="20% - Accent6 2 2 4 3 2" xfId="12551" xr:uid="{00000000-0005-0000-0000-0000C1220000}"/>
    <cellStyle name="20% - Accent6 2 2 4 3 2 2" xfId="26263" xr:uid="{00000000-0005-0000-0000-0000C2220000}"/>
    <cellStyle name="20% - Accent6 2 2 4 3 3" xfId="19597" xr:uid="{00000000-0005-0000-0000-0000C3220000}"/>
    <cellStyle name="20% - Accent6 2 2 4 4" xfId="2274" xr:uid="{00000000-0005-0000-0000-0000C4220000}"/>
    <cellStyle name="20% - Accent6 2 2 4 4 2" xfId="14982" xr:uid="{00000000-0005-0000-0000-0000C5220000}"/>
    <cellStyle name="20% - Accent6 2 2 4 4 2 2" xfId="28531" xr:uid="{00000000-0005-0000-0000-0000C6220000}"/>
    <cellStyle name="20% - Accent6 2 2 4 4 3" xfId="19598" xr:uid="{00000000-0005-0000-0000-0000C7220000}"/>
    <cellStyle name="20% - Accent6 2 2 4 5" xfId="2275" xr:uid="{00000000-0005-0000-0000-0000C8220000}"/>
    <cellStyle name="20% - Accent6 2 2 4 5 2" xfId="17175" xr:uid="{00000000-0005-0000-0000-0000C9220000}"/>
    <cellStyle name="20% - Accent6 2 2 4 5 2 2" xfId="30534" xr:uid="{00000000-0005-0000-0000-0000CA220000}"/>
    <cellStyle name="20% - Accent6 2 2 4 5 3" xfId="19599" xr:uid="{00000000-0005-0000-0000-0000CB220000}"/>
    <cellStyle name="20% - Accent6 2 2 4 6" xfId="9146" xr:uid="{00000000-0005-0000-0000-0000CC220000}"/>
    <cellStyle name="20% - Accent6 2 2 4 6 2" xfId="23621" xr:uid="{00000000-0005-0000-0000-0000CD220000}"/>
    <cellStyle name="20% - Accent6 2 2 4 7" xfId="19595" xr:uid="{00000000-0005-0000-0000-0000CE220000}"/>
    <cellStyle name="20% - Accent6 2 2 5" xfId="2276" xr:uid="{00000000-0005-0000-0000-0000CF220000}"/>
    <cellStyle name="20% - Accent6 2 2 5 2" xfId="2277" xr:uid="{00000000-0005-0000-0000-0000D0220000}"/>
    <cellStyle name="20% - Accent6 2 2 5 2 2" xfId="14983" xr:uid="{00000000-0005-0000-0000-0000D1220000}"/>
    <cellStyle name="20% - Accent6 2 2 5 2 2 2" xfId="28532" xr:uid="{00000000-0005-0000-0000-0000D2220000}"/>
    <cellStyle name="20% - Accent6 2 2 5 2 3" xfId="19601" xr:uid="{00000000-0005-0000-0000-0000D3220000}"/>
    <cellStyle name="20% - Accent6 2 2 5 3" xfId="2278" xr:uid="{00000000-0005-0000-0000-0000D4220000}"/>
    <cellStyle name="20% - Accent6 2 2 5 3 2" xfId="17264" xr:uid="{00000000-0005-0000-0000-0000D5220000}"/>
    <cellStyle name="20% - Accent6 2 2 5 3 2 2" xfId="30623" xr:uid="{00000000-0005-0000-0000-0000D6220000}"/>
    <cellStyle name="20% - Accent6 2 2 5 3 3" xfId="19602" xr:uid="{00000000-0005-0000-0000-0000D7220000}"/>
    <cellStyle name="20% - Accent6 2 2 5 4" xfId="10865" xr:uid="{00000000-0005-0000-0000-0000D8220000}"/>
    <cellStyle name="20% - Accent6 2 2 5 4 2" xfId="24807" xr:uid="{00000000-0005-0000-0000-0000D9220000}"/>
    <cellStyle name="20% - Accent6 2 2 5 5" xfId="19600" xr:uid="{00000000-0005-0000-0000-0000DA220000}"/>
    <cellStyle name="20% - Accent6 2 2 6" xfId="2279" xr:uid="{00000000-0005-0000-0000-0000DB220000}"/>
    <cellStyle name="20% - Accent6 2 2 6 2" xfId="2280" xr:uid="{00000000-0005-0000-0000-0000DC220000}"/>
    <cellStyle name="20% - Accent6 2 2 6 2 2" xfId="16539" xr:uid="{00000000-0005-0000-0000-0000DD220000}"/>
    <cellStyle name="20% - Accent6 2 2 6 2 2 2" xfId="29946" xr:uid="{00000000-0005-0000-0000-0000DE220000}"/>
    <cellStyle name="20% - Accent6 2 2 6 2 3" xfId="19604" xr:uid="{00000000-0005-0000-0000-0000DF220000}"/>
    <cellStyle name="20% - Accent6 2 2 6 3" xfId="11914" xr:uid="{00000000-0005-0000-0000-0000E0220000}"/>
    <cellStyle name="20% - Accent6 2 2 6 3 2" xfId="25629" xr:uid="{00000000-0005-0000-0000-0000E1220000}"/>
    <cellStyle name="20% - Accent6 2 2 6 4" xfId="19603" xr:uid="{00000000-0005-0000-0000-0000E2220000}"/>
    <cellStyle name="20% - Accent6 2 2 7" xfId="2281" xr:uid="{00000000-0005-0000-0000-0000E3220000}"/>
    <cellStyle name="20% - Accent6 2 2 7 2" xfId="12810" xr:uid="{00000000-0005-0000-0000-0000E4220000}"/>
    <cellStyle name="20% - Accent6 2 2 7 2 2" xfId="26522" xr:uid="{00000000-0005-0000-0000-0000E5220000}"/>
    <cellStyle name="20% - Accent6 2 2 7 3" xfId="19605" xr:uid="{00000000-0005-0000-0000-0000E6220000}"/>
    <cellStyle name="20% - Accent6 2 2 8" xfId="2282" xr:uid="{00000000-0005-0000-0000-0000E7220000}"/>
    <cellStyle name="20% - Accent6 2 2 8 2" xfId="13491" xr:uid="{00000000-0005-0000-0000-0000E8220000}"/>
    <cellStyle name="20% - Accent6 2 2 8 2 2" xfId="27040" xr:uid="{00000000-0005-0000-0000-0000E9220000}"/>
    <cellStyle name="20% - Accent6 2 2 8 3" xfId="19606" xr:uid="{00000000-0005-0000-0000-0000EA220000}"/>
    <cellStyle name="20% - Accent6 2 2 9" xfId="2283" xr:uid="{00000000-0005-0000-0000-0000EB220000}"/>
    <cellStyle name="20% - Accent6 2 2 9 2" xfId="14072" xr:uid="{00000000-0005-0000-0000-0000EC220000}"/>
    <cellStyle name="20% - Accent6 2 2 9 2 2" xfId="27621" xr:uid="{00000000-0005-0000-0000-0000ED220000}"/>
    <cellStyle name="20% - Accent6 2 2 9 3" xfId="19607" xr:uid="{00000000-0005-0000-0000-0000EE220000}"/>
    <cellStyle name="20% - Accent6 2 3" xfId="2284" xr:uid="{00000000-0005-0000-0000-0000EF220000}"/>
    <cellStyle name="20% - Accent6 2 3 10" xfId="2285" xr:uid="{00000000-0005-0000-0000-0000F0220000}"/>
    <cellStyle name="20% - Accent6 2 3 10 2" xfId="16055" xr:uid="{00000000-0005-0000-0000-0000F1220000}"/>
    <cellStyle name="20% - Accent6 2 3 10 2 2" xfId="29462" xr:uid="{00000000-0005-0000-0000-0000F2220000}"/>
    <cellStyle name="20% - Accent6 2 3 10 3" xfId="19609" xr:uid="{00000000-0005-0000-0000-0000F3220000}"/>
    <cellStyle name="20% - Accent6 2 3 11" xfId="9147" xr:uid="{00000000-0005-0000-0000-0000F4220000}"/>
    <cellStyle name="20% - Accent6 2 3 11 2" xfId="23622" xr:uid="{00000000-0005-0000-0000-0000F5220000}"/>
    <cellStyle name="20% - Accent6 2 3 12" xfId="19608" xr:uid="{00000000-0005-0000-0000-0000F6220000}"/>
    <cellStyle name="20% - Accent6 2 3 2" xfId="2286" xr:uid="{00000000-0005-0000-0000-0000F7220000}"/>
    <cellStyle name="20% - Accent6 2 3 2 10" xfId="9148" xr:uid="{00000000-0005-0000-0000-0000F8220000}"/>
    <cellStyle name="20% - Accent6 2 3 2 10 2" xfId="23623" xr:uid="{00000000-0005-0000-0000-0000F9220000}"/>
    <cellStyle name="20% - Accent6 2 3 2 11" xfId="19610" xr:uid="{00000000-0005-0000-0000-0000FA220000}"/>
    <cellStyle name="20% - Accent6 2 3 2 2" xfId="2287" xr:uid="{00000000-0005-0000-0000-0000FB220000}"/>
    <cellStyle name="20% - Accent6 2 3 2 2 2" xfId="2288" xr:uid="{00000000-0005-0000-0000-0000FC220000}"/>
    <cellStyle name="20% - Accent6 2 3 2 2 2 2" xfId="10875" xr:uid="{00000000-0005-0000-0000-0000FD220000}"/>
    <cellStyle name="20% - Accent6 2 3 2 2 2 2 2" xfId="24817" xr:uid="{00000000-0005-0000-0000-0000FE220000}"/>
    <cellStyle name="20% - Accent6 2 3 2 2 2 3" xfId="19612" xr:uid="{00000000-0005-0000-0000-0000FF220000}"/>
    <cellStyle name="20% - Accent6 2 3 2 2 3" xfId="2289" xr:uid="{00000000-0005-0000-0000-000000230000}"/>
    <cellStyle name="20% - Accent6 2 3 2 2 3 2" xfId="12768" xr:uid="{00000000-0005-0000-0000-000001230000}"/>
    <cellStyle name="20% - Accent6 2 3 2 2 3 2 2" xfId="26480" xr:uid="{00000000-0005-0000-0000-000002230000}"/>
    <cellStyle name="20% - Accent6 2 3 2 2 3 3" xfId="19613" xr:uid="{00000000-0005-0000-0000-000003230000}"/>
    <cellStyle name="20% - Accent6 2 3 2 2 4" xfId="2290" xr:uid="{00000000-0005-0000-0000-000004230000}"/>
    <cellStyle name="20% - Accent6 2 3 2 2 4 2" xfId="14986" xr:uid="{00000000-0005-0000-0000-000005230000}"/>
    <cellStyle name="20% - Accent6 2 3 2 2 4 2 2" xfId="28535" xr:uid="{00000000-0005-0000-0000-000006230000}"/>
    <cellStyle name="20% - Accent6 2 3 2 2 4 3" xfId="19614" xr:uid="{00000000-0005-0000-0000-000007230000}"/>
    <cellStyle name="20% - Accent6 2 3 2 2 5" xfId="2291" xr:uid="{00000000-0005-0000-0000-000008230000}"/>
    <cellStyle name="20% - Accent6 2 3 2 2 5 2" xfId="16925" xr:uid="{00000000-0005-0000-0000-000009230000}"/>
    <cellStyle name="20% - Accent6 2 3 2 2 5 2 2" xfId="30332" xr:uid="{00000000-0005-0000-0000-00000A230000}"/>
    <cellStyle name="20% - Accent6 2 3 2 2 5 3" xfId="19615" xr:uid="{00000000-0005-0000-0000-00000B230000}"/>
    <cellStyle name="20% - Accent6 2 3 2 2 6" xfId="9149" xr:uid="{00000000-0005-0000-0000-00000C230000}"/>
    <cellStyle name="20% - Accent6 2 3 2 2 6 2" xfId="23624" xr:uid="{00000000-0005-0000-0000-00000D230000}"/>
    <cellStyle name="20% - Accent6 2 3 2 2 7" xfId="19611" xr:uid="{00000000-0005-0000-0000-00000E230000}"/>
    <cellStyle name="20% - Accent6 2 3 2 3" xfId="2292" xr:uid="{00000000-0005-0000-0000-00000F230000}"/>
    <cellStyle name="20% - Accent6 2 3 2 3 2" xfId="2293" xr:uid="{00000000-0005-0000-0000-000010230000}"/>
    <cellStyle name="20% - Accent6 2 3 2 3 2 2" xfId="14987" xr:uid="{00000000-0005-0000-0000-000011230000}"/>
    <cellStyle name="20% - Accent6 2 3 2 3 2 2 2" xfId="28536" xr:uid="{00000000-0005-0000-0000-000012230000}"/>
    <cellStyle name="20% - Accent6 2 3 2 3 2 3" xfId="19617" xr:uid="{00000000-0005-0000-0000-000013230000}"/>
    <cellStyle name="20% - Accent6 2 3 2 3 3" xfId="10874" xr:uid="{00000000-0005-0000-0000-000014230000}"/>
    <cellStyle name="20% - Accent6 2 3 2 3 3 2" xfId="24816" xr:uid="{00000000-0005-0000-0000-000015230000}"/>
    <cellStyle name="20% - Accent6 2 3 2 3 4" xfId="19616" xr:uid="{00000000-0005-0000-0000-000016230000}"/>
    <cellStyle name="20% - Accent6 2 3 2 4" xfId="2294" xr:uid="{00000000-0005-0000-0000-000017230000}"/>
    <cellStyle name="20% - Accent6 2 3 2 4 2" xfId="12313" xr:uid="{00000000-0005-0000-0000-000018230000}"/>
    <cellStyle name="20% - Accent6 2 3 2 4 2 2" xfId="26025" xr:uid="{00000000-0005-0000-0000-000019230000}"/>
    <cellStyle name="20% - Accent6 2 3 2 4 3" xfId="19618" xr:uid="{00000000-0005-0000-0000-00001A230000}"/>
    <cellStyle name="20% - Accent6 2 3 2 5" xfId="2295" xr:uid="{00000000-0005-0000-0000-00001B230000}"/>
    <cellStyle name="20% - Accent6 2 3 2 5 2" xfId="12767" xr:uid="{00000000-0005-0000-0000-00001C230000}"/>
    <cellStyle name="20% - Accent6 2 3 2 5 2 2" xfId="26479" xr:uid="{00000000-0005-0000-0000-00001D230000}"/>
    <cellStyle name="20% - Accent6 2 3 2 5 3" xfId="19619" xr:uid="{00000000-0005-0000-0000-00001E230000}"/>
    <cellStyle name="20% - Accent6 2 3 2 6" xfId="2296" xr:uid="{00000000-0005-0000-0000-00001F230000}"/>
    <cellStyle name="20% - Accent6 2 3 2 6 2" xfId="13877" xr:uid="{00000000-0005-0000-0000-000020230000}"/>
    <cellStyle name="20% - Accent6 2 3 2 6 2 2" xfId="27426" xr:uid="{00000000-0005-0000-0000-000021230000}"/>
    <cellStyle name="20% - Accent6 2 3 2 6 3" xfId="19620" xr:uid="{00000000-0005-0000-0000-000022230000}"/>
    <cellStyle name="20% - Accent6 2 3 2 7" xfId="2297" xr:uid="{00000000-0005-0000-0000-000023230000}"/>
    <cellStyle name="20% - Accent6 2 3 2 7 2" xfId="14458" xr:uid="{00000000-0005-0000-0000-000024230000}"/>
    <cellStyle name="20% - Accent6 2 3 2 7 2 2" xfId="28007" xr:uid="{00000000-0005-0000-0000-000025230000}"/>
    <cellStyle name="20% - Accent6 2 3 2 7 3" xfId="19621" xr:uid="{00000000-0005-0000-0000-000026230000}"/>
    <cellStyle name="20% - Accent6 2 3 2 8" xfId="2298" xr:uid="{00000000-0005-0000-0000-000027230000}"/>
    <cellStyle name="20% - Accent6 2 3 2 8 2" xfId="14985" xr:uid="{00000000-0005-0000-0000-000028230000}"/>
    <cellStyle name="20% - Accent6 2 3 2 8 2 2" xfId="28534" xr:uid="{00000000-0005-0000-0000-000029230000}"/>
    <cellStyle name="20% - Accent6 2 3 2 8 3" xfId="19622" xr:uid="{00000000-0005-0000-0000-00002A230000}"/>
    <cellStyle name="20% - Accent6 2 3 2 9" xfId="2299" xr:uid="{00000000-0005-0000-0000-00002B230000}"/>
    <cellStyle name="20% - Accent6 2 3 2 9 2" xfId="16344" xr:uid="{00000000-0005-0000-0000-00002C230000}"/>
    <cellStyle name="20% - Accent6 2 3 2 9 2 2" xfId="29751" xr:uid="{00000000-0005-0000-0000-00002D230000}"/>
    <cellStyle name="20% - Accent6 2 3 2 9 3" xfId="19623" xr:uid="{00000000-0005-0000-0000-00002E230000}"/>
    <cellStyle name="20% - Accent6 2 3 3" xfId="2300" xr:uid="{00000000-0005-0000-0000-00002F230000}"/>
    <cellStyle name="20% - Accent6 2 3 3 2" xfId="2301" xr:uid="{00000000-0005-0000-0000-000030230000}"/>
    <cellStyle name="20% - Accent6 2 3 3 2 2" xfId="10876" xr:uid="{00000000-0005-0000-0000-000031230000}"/>
    <cellStyle name="20% - Accent6 2 3 3 2 2 2" xfId="24818" xr:uid="{00000000-0005-0000-0000-000032230000}"/>
    <cellStyle name="20% - Accent6 2 3 3 2 3" xfId="19625" xr:uid="{00000000-0005-0000-0000-000033230000}"/>
    <cellStyle name="20% - Accent6 2 3 3 3" xfId="2302" xr:uid="{00000000-0005-0000-0000-000034230000}"/>
    <cellStyle name="20% - Accent6 2 3 3 3 2" xfId="12455" xr:uid="{00000000-0005-0000-0000-000035230000}"/>
    <cellStyle name="20% - Accent6 2 3 3 3 2 2" xfId="26167" xr:uid="{00000000-0005-0000-0000-000036230000}"/>
    <cellStyle name="20% - Accent6 2 3 3 3 3" xfId="19626" xr:uid="{00000000-0005-0000-0000-000037230000}"/>
    <cellStyle name="20% - Accent6 2 3 3 4" xfId="2303" xr:uid="{00000000-0005-0000-0000-000038230000}"/>
    <cellStyle name="20% - Accent6 2 3 3 4 2" xfId="14988" xr:uid="{00000000-0005-0000-0000-000039230000}"/>
    <cellStyle name="20% - Accent6 2 3 3 4 2 2" xfId="28537" xr:uid="{00000000-0005-0000-0000-00003A230000}"/>
    <cellStyle name="20% - Accent6 2 3 3 4 3" xfId="19627" xr:uid="{00000000-0005-0000-0000-00003B230000}"/>
    <cellStyle name="20% - Accent6 2 3 3 5" xfId="2304" xr:uid="{00000000-0005-0000-0000-00003C230000}"/>
    <cellStyle name="20% - Accent6 2 3 3 5 2" xfId="16636" xr:uid="{00000000-0005-0000-0000-00003D230000}"/>
    <cellStyle name="20% - Accent6 2 3 3 5 2 2" xfId="30043" xr:uid="{00000000-0005-0000-0000-00003E230000}"/>
    <cellStyle name="20% - Accent6 2 3 3 5 3" xfId="19628" xr:uid="{00000000-0005-0000-0000-00003F230000}"/>
    <cellStyle name="20% - Accent6 2 3 3 6" xfId="9150" xr:uid="{00000000-0005-0000-0000-000040230000}"/>
    <cellStyle name="20% - Accent6 2 3 3 6 2" xfId="23625" xr:uid="{00000000-0005-0000-0000-000041230000}"/>
    <cellStyle name="20% - Accent6 2 3 3 7" xfId="19624" xr:uid="{00000000-0005-0000-0000-000042230000}"/>
    <cellStyle name="20% - Accent6 2 3 4" xfId="2305" xr:uid="{00000000-0005-0000-0000-000043230000}"/>
    <cellStyle name="20% - Accent6 2 3 4 2" xfId="2306" xr:uid="{00000000-0005-0000-0000-000044230000}"/>
    <cellStyle name="20% - Accent6 2 3 4 2 2" xfId="14989" xr:uid="{00000000-0005-0000-0000-000045230000}"/>
    <cellStyle name="20% - Accent6 2 3 4 2 2 2" xfId="28538" xr:uid="{00000000-0005-0000-0000-000046230000}"/>
    <cellStyle name="20% - Accent6 2 3 4 2 3" xfId="19630" xr:uid="{00000000-0005-0000-0000-000047230000}"/>
    <cellStyle name="20% - Accent6 2 3 4 3" xfId="10873" xr:uid="{00000000-0005-0000-0000-000048230000}"/>
    <cellStyle name="20% - Accent6 2 3 4 3 2" xfId="24815" xr:uid="{00000000-0005-0000-0000-000049230000}"/>
    <cellStyle name="20% - Accent6 2 3 4 4" xfId="19629" xr:uid="{00000000-0005-0000-0000-00004A230000}"/>
    <cellStyle name="20% - Accent6 2 3 5" xfId="2307" xr:uid="{00000000-0005-0000-0000-00004B230000}"/>
    <cellStyle name="20% - Accent6 2 3 5 2" xfId="12013" xr:uid="{00000000-0005-0000-0000-00004C230000}"/>
    <cellStyle name="20% - Accent6 2 3 5 2 2" xfId="25728" xr:uid="{00000000-0005-0000-0000-00004D230000}"/>
    <cellStyle name="20% - Accent6 2 3 5 3" xfId="19631" xr:uid="{00000000-0005-0000-0000-00004E230000}"/>
    <cellStyle name="20% - Accent6 2 3 6" xfId="2308" xr:uid="{00000000-0005-0000-0000-00004F230000}"/>
    <cellStyle name="20% - Accent6 2 3 6 2" xfId="11774" xr:uid="{00000000-0005-0000-0000-000050230000}"/>
    <cellStyle name="20% - Accent6 2 3 6 2 2" xfId="25489" xr:uid="{00000000-0005-0000-0000-000051230000}"/>
    <cellStyle name="20% - Accent6 2 3 6 3" xfId="19632" xr:uid="{00000000-0005-0000-0000-000052230000}"/>
    <cellStyle name="20% - Accent6 2 3 7" xfId="2309" xr:uid="{00000000-0005-0000-0000-000053230000}"/>
    <cellStyle name="20% - Accent6 2 3 7 2" xfId="13588" xr:uid="{00000000-0005-0000-0000-000054230000}"/>
    <cellStyle name="20% - Accent6 2 3 7 2 2" xfId="27137" xr:uid="{00000000-0005-0000-0000-000055230000}"/>
    <cellStyle name="20% - Accent6 2 3 7 3" xfId="19633" xr:uid="{00000000-0005-0000-0000-000056230000}"/>
    <cellStyle name="20% - Accent6 2 3 8" xfId="2310" xr:uid="{00000000-0005-0000-0000-000057230000}"/>
    <cellStyle name="20% - Accent6 2 3 8 2" xfId="14169" xr:uid="{00000000-0005-0000-0000-000058230000}"/>
    <cellStyle name="20% - Accent6 2 3 8 2 2" xfId="27718" xr:uid="{00000000-0005-0000-0000-000059230000}"/>
    <cellStyle name="20% - Accent6 2 3 8 3" xfId="19634" xr:uid="{00000000-0005-0000-0000-00005A230000}"/>
    <cellStyle name="20% - Accent6 2 3 9" xfId="2311" xr:uid="{00000000-0005-0000-0000-00005B230000}"/>
    <cellStyle name="20% - Accent6 2 3 9 2" xfId="14984" xr:uid="{00000000-0005-0000-0000-00005C230000}"/>
    <cellStyle name="20% - Accent6 2 3 9 2 2" xfId="28533" xr:uid="{00000000-0005-0000-0000-00005D230000}"/>
    <cellStyle name="20% - Accent6 2 3 9 3" xfId="19635" xr:uid="{00000000-0005-0000-0000-00005E230000}"/>
    <cellStyle name="20% - Accent6 2 4" xfId="2312" xr:uid="{00000000-0005-0000-0000-00005F230000}"/>
    <cellStyle name="20% - Accent6 2 4 10" xfId="9151" xr:uid="{00000000-0005-0000-0000-000060230000}"/>
    <cellStyle name="20% - Accent6 2 4 10 2" xfId="23626" xr:uid="{00000000-0005-0000-0000-000061230000}"/>
    <cellStyle name="20% - Accent6 2 4 11" xfId="19636" xr:uid="{00000000-0005-0000-0000-000062230000}"/>
    <cellStyle name="20% - Accent6 2 4 2" xfId="2313" xr:uid="{00000000-0005-0000-0000-000063230000}"/>
    <cellStyle name="20% - Accent6 2 4 2 2" xfId="2314" xr:uid="{00000000-0005-0000-0000-000064230000}"/>
    <cellStyle name="20% - Accent6 2 4 2 2 2" xfId="10878" xr:uid="{00000000-0005-0000-0000-000065230000}"/>
    <cellStyle name="20% - Accent6 2 4 2 2 2 2" xfId="24820" xr:uid="{00000000-0005-0000-0000-000066230000}"/>
    <cellStyle name="20% - Accent6 2 4 2 2 3" xfId="19638" xr:uid="{00000000-0005-0000-0000-000067230000}"/>
    <cellStyle name="20% - Accent6 2 4 2 3" xfId="2315" xr:uid="{00000000-0005-0000-0000-000068230000}"/>
    <cellStyle name="20% - Accent6 2 4 2 3 2" xfId="12581" xr:uid="{00000000-0005-0000-0000-000069230000}"/>
    <cellStyle name="20% - Accent6 2 4 2 3 2 2" xfId="26293" xr:uid="{00000000-0005-0000-0000-00006A230000}"/>
    <cellStyle name="20% - Accent6 2 4 2 3 3" xfId="19639" xr:uid="{00000000-0005-0000-0000-00006B230000}"/>
    <cellStyle name="20% - Accent6 2 4 2 4" xfId="2316" xr:uid="{00000000-0005-0000-0000-00006C230000}"/>
    <cellStyle name="20% - Accent6 2 4 2 4 2" xfId="14991" xr:uid="{00000000-0005-0000-0000-00006D230000}"/>
    <cellStyle name="20% - Accent6 2 4 2 4 2 2" xfId="28540" xr:uid="{00000000-0005-0000-0000-00006E230000}"/>
    <cellStyle name="20% - Accent6 2 4 2 4 3" xfId="19640" xr:uid="{00000000-0005-0000-0000-00006F230000}"/>
    <cellStyle name="20% - Accent6 2 4 2 5" xfId="2317" xr:uid="{00000000-0005-0000-0000-000070230000}"/>
    <cellStyle name="20% - Accent6 2 4 2 5 2" xfId="16782" xr:uid="{00000000-0005-0000-0000-000071230000}"/>
    <cellStyle name="20% - Accent6 2 4 2 5 2 2" xfId="30189" xr:uid="{00000000-0005-0000-0000-000072230000}"/>
    <cellStyle name="20% - Accent6 2 4 2 5 3" xfId="19641" xr:uid="{00000000-0005-0000-0000-000073230000}"/>
    <cellStyle name="20% - Accent6 2 4 2 6" xfId="9152" xr:uid="{00000000-0005-0000-0000-000074230000}"/>
    <cellStyle name="20% - Accent6 2 4 2 6 2" xfId="23627" xr:uid="{00000000-0005-0000-0000-000075230000}"/>
    <cellStyle name="20% - Accent6 2 4 2 7" xfId="19637" xr:uid="{00000000-0005-0000-0000-000076230000}"/>
    <cellStyle name="20% - Accent6 2 4 3" xfId="2318" xr:uid="{00000000-0005-0000-0000-000077230000}"/>
    <cellStyle name="20% - Accent6 2 4 3 2" xfId="2319" xr:uid="{00000000-0005-0000-0000-000078230000}"/>
    <cellStyle name="20% - Accent6 2 4 3 2 2" xfId="14992" xr:uid="{00000000-0005-0000-0000-000079230000}"/>
    <cellStyle name="20% - Accent6 2 4 3 2 2 2" xfId="28541" xr:uid="{00000000-0005-0000-0000-00007A230000}"/>
    <cellStyle name="20% - Accent6 2 4 3 2 3" xfId="19643" xr:uid="{00000000-0005-0000-0000-00007B230000}"/>
    <cellStyle name="20% - Accent6 2 4 3 3" xfId="10877" xr:uid="{00000000-0005-0000-0000-00007C230000}"/>
    <cellStyle name="20% - Accent6 2 4 3 3 2" xfId="24819" xr:uid="{00000000-0005-0000-0000-00007D230000}"/>
    <cellStyle name="20% - Accent6 2 4 3 4" xfId="19642" xr:uid="{00000000-0005-0000-0000-00007E230000}"/>
    <cellStyle name="20% - Accent6 2 4 4" xfId="2320" xr:uid="{00000000-0005-0000-0000-00007F230000}"/>
    <cellStyle name="20% - Accent6 2 4 4 2" xfId="12170" xr:uid="{00000000-0005-0000-0000-000080230000}"/>
    <cellStyle name="20% - Accent6 2 4 4 2 2" xfId="25882" xr:uid="{00000000-0005-0000-0000-000081230000}"/>
    <cellStyle name="20% - Accent6 2 4 4 3" xfId="19644" xr:uid="{00000000-0005-0000-0000-000082230000}"/>
    <cellStyle name="20% - Accent6 2 4 5" xfId="2321" xr:uid="{00000000-0005-0000-0000-000083230000}"/>
    <cellStyle name="20% - Accent6 2 4 5 2" xfId="11768" xr:uid="{00000000-0005-0000-0000-000084230000}"/>
    <cellStyle name="20% - Accent6 2 4 5 2 2" xfId="25483" xr:uid="{00000000-0005-0000-0000-000085230000}"/>
    <cellStyle name="20% - Accent6 2 4 5 3" xfId="19645" xr:uid="{00000000-0005-0000-0000-000086230000}"/>
    <cellStyle name="20% - Accent6 2 4 6" xfId="2322" xr:uid="{00000000-0005-0000-0000-000087230000}"/>
    <cellStyle name="20% - Accent6 2 4 6 2" xfId="13734" xr:uid="{00000000-0005-0000-0000-000088230000}"/>
    <cellStyle name="20% - Accent6 2 4 6 2 2" xfId="27283" xr:uid="{00000000-0005-0000-0000-000089230000}"/>
    <cellStyle name="20% - Accent6 2 4 6 3" xfId="19646" xr:uid="{00000000-0005-0000-0000-00008A230000}"/>
    <cellStyle name="20% - Accent6 2 4 7" xfId="2323" xr:uid="{00000000-0005-0000-0000-00008B230000}"/>
    <cellStyle name="20% - Accent6 2 4 7 2" xfId="14315" xr:uid="{00000000-0005-0000-0000-00008C230000}"/>
    <cellStyle name="20% - Accent6 2 4 7 2 2" xfId="27864" xr:uid="{00000000-0005-0000-0000-00008D230000}"/>
    <cellStyle name="20% - Accent6 2 4 7 3" xfId="19647" xr:uid="{00000000-0005-0000-0000-00008E230000}"/>
    <cellStyle name="20% - Accent6 2 4 8" xfId="2324" xr:uid="{00000000-0005-0000-0000-00008F230000}"/>
    <cellStyle name="20% - Accent6 2 4 8 2" xfId="14990" xr:uid="{00000000-0005-0000-0000-000090230000}"/>
    <cellStyle name="20% - Accent6 2 4 8 2 2" xfId="28539" xr:uid="{00000000-0005-0000-0000-000091230000}"/>
    <cellStyle name="20% - Accent6 2 4 8 3" xfId="19648" xr:uid="{00000000-0005-0000-0000-000092230000}"/>
    <cellStyle name="20% - Accent6 2 4 9" xfId="2325" xr:uid="{00000000-0005-0000-0000-000093230000}"/>
    <cellStyle name="20% - Accent6 2 4 9 2" xfId="16201" xr:uid="{00000000-0005-0000-0000-000094230000}"/>
    <cellStyle name="20% - Accent6 2 4 9 2 2" xfId="29608" xr:uid="{00000000-0005-0000-0000-000095230000}"/>
    <cellStyle name="20% - Accent6 2 4 9 3" xfId="19649" xr:uid="{00000000-0005-0000-0000-000096230000}"/>
    <cellStyle name="20% - Accent6 2 5" xfId="2326" xr:uid="{00000000-0005-0000-0000-000097230000}"/>
    <cellStyle name="20% - Accent6 2 5 2" xfId="2327" xr:uid="{00000000-0005-0000-0000-000098230000}"/>
    <cellStyle name="20% - Accent6 2 5 2 2" xfId="2328" xr:uid="{00000000-0005-0000-0000-000099230000}"/>
    <cellStyle name="20% - Accent6 2 5 2 2 2" xfId="10880" xr:uid="{00000000-0005-0000-0000-00009A230000}"/>
    <cellStyle name="20% - Accent6 2 5 2 2 2 2" xfId="24822" xr:uid="{00000000-0005-0000-0000-00009B230000}"/>
    <cellStyle name="20% - Accent6 2 5 2 2 3" xfId="19652" xr:uid="{00000000-0005-0000-0000-00009C230000}"/>
    <cellStyle name="20% - Accent6 2 5 2 3" xfId="2329" xr:uid="{00000000-0005-0000-0000-00009D230000}"/>
    <cellStyle name="20% - Accent6 2 5 2 3 2" xfId="12518" xr:uid="{00000000-0005-0000-0000-00009E230000}"/>
    <cellStyle name="20% - Accent6 2 5 2 3 2 2" xfId="26230" xr:uid="{00000000-0005-0000-0000-00009F230000}"/>
    <cellStyle name="20% - Accent6 2 5 2 3 3" xfId="19653" xr:uid="{00000000-0005-0000-0000-0000A0230000}"/>
    <cellStyle name="20% - Accent6 2 5 2 4" xfId="2330" xr:uid="{00000000-0005-0000-0000-0000A1230000}"/>
    <cellStyle name="20% - Accent6 2 5 2 4 2" xfId="14994" xr:uid="{00000000-0005-0000-0000-0000A2230000}"/>
    <cellStyle name="20% - Accent6 2 5 2 4 2 2" xfId="28543" xr:uid="{00000000-0005-0000-0000-0000A3230000}"/>
    <cellStyle name="20% - Accent6 2 5 2 4 3" xfId="19654" xr:uid="{00000000-0005-0000-0000-0000A4230000}"/>
    <cellStyle name="20% - Accent6 2 5 2 5" xfId="9154" xr:uid="{00000000-0005-0000-0000-0000A5230000}"/>
    <cellStyle name="20% - Accent6 2 5 2 5 2" xfId="23629" xr:uid="{00000000-0005-0000-0000-0000A6230000}"/>
    <cellStyle name="20% - Accent6 2 5 2 6" xfId="19651" xr:uid="{00000000-0005-0000-0000-0000A7230000}"/>
    <cellStyle name="20% - Accent6 2 5 3" xfId="2331" xr:uid="{00000000-0005-0000-0000-0000A8230000}"/>
    <cellStyle name="20% - Accent6 2 5 3 2" xfId="10879" xr:uid="{00000000-0005-0000-0000-0000A9230000}"/>
    <cellStyle name="20% - Accent6 2 5 3 2 2" xfId="24821" xr:uid="{00000000-0005-0000-0000-0000AA230000}"/>
    <cellStyle name="20% - Accent6 2 5 3 3" xfId="19655" xr:uid="{00000000-0005-0000-0000-0000AB230000}"/>
    <cellStyle name="20% - Accent6 2 5 4" xfId="2332" xr:uid="{00000000-0005-0000-0000-0000AC230000}"/>
    <cellStyle name="20% - Accent6 2 5 4 2" xfId="12576" xr:uid="{00000000-0005-0000-0000-0000AD230000}"/>
    <cellStyle name="20% - Accent6 2 5 4 2 2" xfId="26288" xr:uid="{00000000-0005-0000-0000-0000AE230000}"/>
    <cellStyle name="20% - Accent6 2 5 4 3" xfId="19656" xr:uid="{00000000-0005-0000-0000-0000AF230000}"/>
    <cellStyle name="20% - Accent6 2 5 5" xfId="2333" xr:uid="{00000000-0005-0000-0000-0000B0230000}"/>
    <cellStyle name="20% - Accent6 2 5 5 2" xfId="14993" xr:uid="{00000000-0005-0000-0000-0000B1230000}"/>
    <cellStyle name="20% - Accent6 2 5 5 2 2" xfId="28542" xr:uid="{00000000-0005-0000-0000-0000B2230000}"/>
    <cellStyle name="20% - Accent6 2 5 5 3" xfId="19657" xr:uid="{00000000-0005-0000-0000-0000B3230000}"/>
    <cellStyle name="20% - Accent6 2 5 6" xfId="2334" xr:uid="{00000000-0005-0000-0000-0000B4230000}"/>
    <cellStyle name="20% - Accent6 2 5 6 2" xfId="17012" xr:uid="{00000000-0005-0000-0000-0000B5230000}"/>
    <cellStyle name="20% - Accent6 2 5 6 2 2" xfId="30419" xr:uid="{00000000-0005-0000-0000-0000B6230000}"/>
    <cellStyle name="20% - Accent6 2 5 6 3" xfId="19658" xr:uid="{00000000-0005-0000-0000-0000B7230000}"/>
    <cellStyle name="20% - Accent6 2 5 7" xfId="9153" xr:uid="{00000000-0005-0000-0000-0000B8230000}"/>
    <cellStyle name="20% - Accent6 2 5 7 2" xfId="23628" xr:uid="{00000000-0005-0000-0000-0000B9230000}"/>
    <cellStyle name="20% - Accent6 2 5 8" xfId="19650" xr:uid="{00000000-0005-0000-0000-0000BA230000}"/>
    <cellStyle name="20% - Accent6 2 6" xfId="2335" xr:uid="{00000000-0005-0000-0000-0000BB230000}"/>
    <cellStyle name="20% - Accent6 2 6 2" xfId="2336" xr:uid="{00000000-0005-0000-0000-0000BC230000}"/>
    <cellStyle name="20% - Accent6 2 6 2 2" xfId="10881" xr:uid="{00000000-0005-0000-0000-0000BD230000}"/>
    <cellStyle name="20% - Accent6 2 6 2 2 2" xfId="24823" xr:uid="{00000000-0005-0000-0000-0000BE230000}"/>
    <cellStyle name="20% - Accent6 2 6 2 3" xfId="19660" xr:uid="{00000000-0005-0000-0000-0000BF230000}"/>
    <cellStyle name="20% - Accent6 2 6 3" xfId="2337" xr:uid="{00000000-0005-0000-0000-0000C0230000}"/>
    <cellStyle name="20% - Accent6 2 6 3 2" xfId="12610" xr:uid="{00000000-0005-0000-0000-0000C1230000}"/>
    <cellStyle name="20% - Accent6 2 6 3 2 2" xfId="26322" xr:uid="{00000000-0005-0000-0000-0000C2230000}"/>
    <cellStyle name="20% - Accent6 2 6 3 3" xfId="19661" xr:uid="{00000000-0005-0000-0000-0000C3230000}"/>
    <cellStyle name="20% - Accent6 2 6 4" xfId="2338" xr:uid="{00000000-0005-0000-0000-0000C4230000}"/>
    <cellStyle name="20% - Accent6 2 6 4 2" xfId="14995" xr:uid="{00000000-0005-0000-0000-0000C5230000}"/>
    <cellStyle name="20% - Accent6 2 6 4 2 2" xfId="28544" xr:uid="{00000000-0005-0000-0000-0000C6230000}"/>
    <cellStyle name="20% - Accent6 2 6 4 3" xfId="19662" xr:uid="{00000000-0005-0000-0000-0000C7230000}"/>
    <cellStyle name="20% - Accent6 2 6 5" xfId="2339" xr:uid="{00000000-0005-0000-0000-0000C8230000}"/>
    <cellStyle name="20% - Accent6 2 6 5 2" xfId="17129" xr:uid="{00000000-0005-0000-0000-0000C9230000}"/>
    <cellStyle name="20% - Accent6 2 6 5 2 2" xfId="30488" xr:uid="{00000000-0005-0000-0000-0000CA230000}"/>
    <cellStyle name="20% - Accent6 2 6 5 3" xfId="19663" xr:uid="{00000000-0005-0000-0000-0000CB230000}"/>
    <cellStyle name="20% - Accent6 2 6 6" xfId="9155" xr:uid="{00000000-0005-0000-0000-0000CC230000}"/>
    <cellStyle name="20% - Accent6 2 6 6 2" xfId="23630" xr:uid="{00000000-0005-0000-0000-0000CD230000}"/>
    <cellStyle name="20% - Accent6 2 6 7" xfId="19659" xr:uid="{00000000-0005-0000-0000-0000CE230000}"/>
    <cellStyle name="20% - Accent6 2 7" xfId="2340" xr:uid="{00000000-0005-0000-0000-0000CF230000}"/>
    <cellStyle name="20% - Accent6 2 7 2" xfId="2341" xr:uid="{00000000-0005-0000-0000-0000D0230000}"/>
    <cellStyle name="20% - Accent6 2 7 2 2" xfId="10882" xr:uid="{00000000-0005-0000-0000-0000D1230000}"/>
    <cellStyle name="20% - Accent6 2 7 2 2 2" xfId="24824" xr:uid="{00000000-0005-0000-0000-0000D2230000}"/>
    <cellStyle name="20% - Accent6 2 7 2 3" xfId="19665" xr:uid="{00000000-0005-0000-0000-0000D3230000}"/>
    <cellStyle name="20% - Accent6 2 7 3" xfId="2342" xr:uid="{00000000-0005-0000-0000-0000D4230000}"/>
    <cellStyle name="20% - Accent6 2 7 3 2" xfId="12651" xr:uid="{00000000-0005-0000-0000-0000D5230000}"/>
    <cellStyle name="20% - Accent6 2 7 3 2 2" xfId="26363" xr:uid="{00000000-0005-0000-0000-0000D6230000}"/>
    <cellStyle name="20% - Accent6 2 7 3 3" xfId="19666" xr:uid="{00000000-0005-0000-0000-0000D7230000}"/>
    <cellStyle name="20% - Accent6 2 7 4" xfId="2343" xr:uid="{00000000-0005-0000-0000-0000D8230000}"/>
    <cellStyle name="20% - Accent6 2 7 4 2" xfId="14996" xr:uid="{00000000-0005-0000-0000-0000D9230000}"/>
    <cellStyle name="20% - Accent6 2 7 4 2 2" xfId="28545" xr:uid="{00000000-0005-0000-0000-0000DA230000}"/>
    <cellStyle name="20% - Accent6 2 7 4 3" xfId="19667" xr:uid="{00000000-0005-0000-0000-0000DB230000}"/>
    <cellStyle name="20% - Accent6 2 7 5" xfId="2344" xr:uid="{00000000-0005-0000-0000-0000DC230000}"/>
    <cellStyle name="20% - Accent6 2 7 5 2" xfId="17218" xr:uid="{00000000-0005-0000-0000-0000DD230000}"/>
    <cellStyle name="20% - Accent6 2 7 5 2 2" xfId="30577" xr:uid="{00000000-0005-0000-0000-0000DE230000}"/>
    <cellStyle name="20% - Accent6 2 7 5 3" xfId="19668" xr:uid="{00000000-0005-0000-0000-0000DF230000}"/>
    <cellStyle name="20% - Accent6 2 7 6" xfId="9156" xr:uid="{00000000-0005-0000-0000-0000E0230000}"/>
    <cellStyle name="20% - Accent6 2 7 6 2" xfId="23631" xr:uid="{00000000-0005-0000-0000-0000E1230000}"/>
    <cellStyle name="20% - Accent6 2 7 7" xfId="19664" xr:uid="{00000000-0005-0000-0000-0000E2230000}"/>
    <cellStyle name="20% - Accent6 2 8" xfId="2345" xr:uid="{00000000-0005-0000-0000-0000E3230000}"/>
    <cellStyle name="20% - Accent6 2 8 2" xfId="2346" xr:uid="{00000000-0005-0000-0000-0000E4230000}"/>
    <cellStyle name="20% - Accent6 2 8 2 2" xfId="12438" xr:uid="{00000000-0005-0000-0000-0000E5230000}"/>
    <cellStyle name="20% - Accent6 2 8 2 2 2" xfId="26150" xr:uid="{00000000-0005-0000-0000-0000E6230000}"/>
    <cellStyle name="20% - Accent6 2 8 2 3" xfId="19670" xr:uid="{00000000-0005-0000-0000-0000E7230000}"/>
    <cellStyle name="20% - Accent6 2 8 3" xfId="2347" xr:uid="{00000000-0005-0000-0000-0000E8230000}"/>
    <cellStyle name="20% - Accent6 2 8 3 2" xfId="14997" xr:uid="{00000000-0005-0000-0000-0000E9230000}"/>
    <cellStyle name="20% - Accent6 2 8 3 2 2" xfId="28546" xr:uid="{00000000-0005-0000-0000-0000EA230000}"/>
    <cellStyle name="20% - Accent6 2 8 3 3" xfId="19671" xr:uid="{00000000-0005-0000-0000-0000EB230000}"/>
    <cellStyle name="20% - Accent6 2 8 4" xfId="2348" xr:uid="{00000000-0005-0000-0000-0000EC230000}"/>
    <cellStyle name="20% - Accent6 2 8 4 2" xfId="16493" xr:uid="{00000000-0005-0000-0000-0000ED230000}"/>
    <cellStyle name="20% - Accent6 2 8 4 2 2" xfId="29900" xr:uid="{00000000-0005-0000-0000-0000EE230000}"/>
    <cellStyle name="20% - Accent6 2 8 4 3" xfId="19672" xr:uid="{00000000-0005-0000-0000-0000EF230000}"/>
    <cellStyle name="20% - Accent6 2 8 5" xfId="10533" xr:uid="{00000000-0005-0000-0000-0000F0230000}"/>
    <cellStyle name="20% - Accent6 2 8 5 2" xfId="24475" xr:uid="{00000000-0005-0000-0000-0000F1230000}"/>
    <cellStyle name="20% - Accent6 2 8 6" xfId="19669" xr:uid="{00000000-0005-0000-0000-0000F2230000}"/>
    <cellStyle name="20% - Accent6 2 9" xfId="2349" xr:uid="{00000000-0005-0000-0000-0000F3230000}"/>
    <cellStyle name="20% - Accent6 2 9 2" xfId="2350" xr:uid="{00000000-0005-0000-0000-0000F4230000}"/>
    <cellStyle name="20% - Accent6 2 9 2 2" xfId="12658" xr:uid="{00000000-0005-0000-0000-0000F5230000}"/>
    <cellStyle name="20% - Accent6 2 9 2 2 2" xfId="26370" xr:uid="{00000000-0005-0000-0000-0000F6230000}"/>
    <cellStyle name="20% - Accent6 2 9 2 3" xfId="19674" xr:uid="{00000000-0005-0000-0000-0000F7230000}"/>
    <cellStyle name="20% - Accent6 2 9 3" xfId="2351" xr:uid="{00000000-0005-0000-0000-0000F8230000}"/>
    <cellStyle name="20% - Accent6 2 9 3 2" xfId="14998" xr:uid="{00000000-0005-0000-0000-0000F9230000}"/>
    <cellStyle name="20% - Accent6 2 9 3 2 2" xfId="28547" xr:uid="{00000000-0005-0000-0000-0000FA230000}"/>
    <cellStyle name="20% - Accent6 2 9 3 3" xfId="19675" xr:uid="{00000000-0005-0000-0000-0000FB230000}"/>
    <cellStyle name="20% - Accent6 2 9 4" xfId="10864" xr:uid="{00000000-0005-0000-0000-0000FC230000}"/>
    <cellStyle name="20% - Accent6 2 9 4 2" xfId="24806" xr:uid="{00000000-0005-0000-0000-0000FD230000}"/>
    <cellStyle name="20% - Accent6 2 9 5" xfId="19673" xr:uid="{00000000-0005-0000-0000-0000FE230000}"/>
    <cellStyle name="20% - Accent6 20" xfId="2352" xr:uid="{00000000-0005-0000-0000-0000FF230000}"/>
    <cellStyle name="20% - Accent6 20 2" xfId="2353" xr:uid="{00000000-0005-0000-0000-000000240000}"/>
    <cellStyle name="20% - Accent6 20 2 2" xfId="12426" xr:uid="{00000000-0005-0000-0000-000001240000}"/>
    <cellStyle name="20% - Accent6 20 2 2 2" xfId="26138" xr:uid="{00000000-0005-0000-0000-000002240000}"/>
    <cellStyle name="20% - Accent6 20 2 3" xfId="19677" xr:uid="{00000000-0005-0000-0000-000003240000}"/>
    <cellStyle name="20% - Accent6 20 3" xfId="2354" xr:uid="{00000000-0005-0000-0000-000004240000}"/>
    <cellStyle name="20% - Accent6 20 3 2" xfId="14999" xr:uid="{00000000-0005-0000-0000-000005240000}"/>
    <cellStyle name="20% - Accent6 20 3 2 2" xfId="28548" xr:uid="{00000000-0005-0000-0000-000006240000}"/>
    <cellStyle name="20% - Accent6 20 3 3" xfId="19678" xr:uid="{00000000-0005-0000-0000-000007240000}"/>
    <cellStyle name="20% - Accent6 20 4" xfId="10508" xr:uid="{00000000-0005-0000-0000-000008240000}"/>
    <cellStyle name="20% - Accent6 20 4 2" xfId="24456" xr:uid="{00000000-0005-0000-0000-000009240000}"/>
    <cellStyle name="20% - Accent6 20 5" xfId="19676" xr:uid="{00000000-0005-0000-0000-00000A240000}"/>
    <cellStyle name="20% - Accent6 21" xfId="2355" xr:uid="{00000000-0005-0000-0000-00000B240000}"/>
    <cellStyle name="20% - Accent6 21 2" xfId="2356" xr:uid="{00000000-0005-0000-0000-00000C240000}"/>
    <cellStyle name="20% - Accent6 21 2 2" xfId="12745" xr:uid="{00000000-0005-0000-0000-00000D240000}"/>
    <cellStyle name="20% - Accent6 21 2 2 2" xfId="26457" xr:uid="{00000000-0005-0000-0000-00000E240000}"/>
    <cellStyle name="20% - Accent6 21 2 3" xfId="19680" xr:uid="{00000000-0005-0000-0000-00000F240000}"/>
    <cellStyle name="20% - Accent6 21 3" xfId="2357" xr:uid="{00000000-0005-0000-0000-000010240000}"/>
    <cellStyle name="20% - Accent6 21 3 2" xfId="15000" xr:uid="{00000000-0005-0000-0000-000011240000}"/>
    <cellStyle name="20% - Accent6 21 3 2 2" xfId="28549" xr:uid="{00000000-0005-0000-0000-000012240000}"/>
    <cellStyle name="20% - Accent6 21 3 3" xfId="19681" xr:uid="{00000000-0005-0000-0000-000013240000}"/>
    <cellStyle name="20% - Accent6 21 4" xfId="10853" xr:uid="{00000000-0005-0000-0000-000014240000}"/>
    <cellStyle name="20% - Accent6 21 4 2" xfId="24795" xr:uid="{00000000-0005-0000-0000-000015240000}"/>
    <cellStyle name="20% - Accent6 21 5" xfId="19679" xr:uid="{00000000-0005-0000-0000-000016240000}"/>
    <cellStyle name="20% - Accent6 22" xfId="2358" xr:uid="{00000000-0005-0000-0000-000017240000}"/>
    <cellStyle name="20% - Accent6 22 2" xfId="11744" xr:uid="{00000000-0005-0000-0000-000018240000}"/>
    <cellStyle name="20% - Accent6 22 2 2" xfId="25459" xr:uid="{00000000-0005-0000-0000-000019240000}"/>
    <cellStyle name="20% - Accent6 22 3" xfId="19682" xr:uid="{00000000-0005-0000-0000-00001A240000}"/>
    <cellStyle name="20% - Accent6 23" xfId="2359" xr:uid="{00000000-0005-0000-0000-00001B240000}"/>
    <cellStyle name="20% - Accent6 23 2" xfId="12476" xr:uid="{00000000-0005-0000-0000-00001C240000}"/>
    <cellStyle name="20% - Accent6 23 2 2" xfId="26188" xr:uid="{00000000-0005-0000-0000-00001D240000}"/>
    <cellStyle name="20% - Accent6 23 3" xfId="19683" xr:uid="{00000000-0005-0000-0000-00001E240000}"/>
    <cellStyle name="20% - Accent6 24" xfId="2360" xr:uid="{00000000-0005-0000-0000-00001F240000}"/>
    <cellStyle name="20% - Accent6 24 2" xfId="13383" xr:uid="{00000000-0005-0000-0000-000020240000}"/>
    <cellStyle name="20% - Accent6 24 2 2" xfId="26932" xr:uid="{00000000-0005-0000-0000-000021240000}"/>
    <cellStyle name="20% - Accent6 24 3" xfId="19684" xr:uid="{00000000-0005-0000-0000-000022240000}"/>
    <cellStyle name="20% - Accent6 25" xfId="2361" xr:uid="{00000000-0005-0000-0000-000023240000}"/>
    <cellStyle name="20% - Accent6 25 2" xfId="13964" xr:uid="{00000000-0005-0000-0000-000024240000}"/>
    <cellStyle name="20% - Accent6 25 2 2" xfId="27513" xr:uid="{00000000-0005-0000-0000-000025240000}"/>
    <cellStyle name="20% - Accent6 25 3" xfId="19685" xr:uid="{00000000-0005-0000-0000-000026240000}"/>
    <cellStyle name="20% - Accent6 26" xfId="2362" xr:uid="{00000000-0005-0000-0000-000027240000}"/>
    <cellStyle name="20% - Accent6 26 2" xfId="14957" xr:uid="{00000000-0005-0000-0000-000028240000}"/>
    <cellStyle name="20% - Accent6 26 2 2" xfId="28506" xr:uid="{00000000-0005-0000-0000-000029240000}"/>
    <cellStyle name="20% - Accent6 26 3" xfId="19686" xr:uid="{00000000-0005-0000-0000-00002A240000}"/>
    <cellStyle name="20% - Accent6 27" xfId="2363" xr:uid="{00000000-0005-0000-0000-00002B240000}"/>
    <cellStyle name="20% - Accent6 27 2" xfId="15841" xr:uid="{00000000-0005-0000-0000-00002C240000}"/>
    <cellStyle name="20% - Accent6 27 2 2" xfId="29248" xr:uid="{00000000-0005-0000-0000-00002D240000}"/>
    <cellStyle name="20% - Accent6 27 3" xfId="19687" xr:uid="{00000000-0005-0000-0000-00002E240000}"/>
    <cellStyle name="20% - Accent6 28" xfId="2364" xr:uid="{00000000-0005-0000-0000-00002F240000}"/>
    <cellStyle name="20% - Accent6 28 2" xfId="15850" xr:uid="{00000000-0005-0000-0000-000030240000}"/>
    <cellStyle name="20% - Accent6 28 2 2" xfId="29257" xr:uid="{00000000-0005-0000-0000-000031240000}"/>
    <cellStyle name="20% - Accent6 28 3" xfId="19688" xr:uid="{00000000-0005-0000-0000-000032240000}"/>
    <cellStyle name="20% - Accent6 29" xfId="2365" xr:uid="{00000000-0005-0000-0000-000033240000}"/>
    <cellStyle name="20% - Accent6 29 2" xfId="9127" xr:uid="{00000000-0005-0000-0000-000034240000}"/>
    <cellStyle name="20% - Accent6 29 2 2" xfId="23602" xr:uid="{00000000-0005-0000-0000-000035240000}"/>
    <cellStyle name="20% - Accent6 29 3" xfId="19689" xr:uid="{00000000-0005-0000-0000-000036240000}"/>
    <cellStyle name="20% - Accent6 3" xfId="2366" xr:uid="{00000000-0005-0000-0000-000037240000}"/>
    <cellStyle name="20% - Accent6 3 10" xfId="2367" xr:uid="{00000000-0005-0000-0000-000038240000}"/>
    <cellStyle name="20% - Accent6 3 10 2" xfId="14049" xr:uid="{00000000-0005-0000-0000-000039240000}"/>
    <cellStyle name="20% - Accent6 3 10 2 2" xfId="27598" xr:uid="{00000000-0005-0000-0000-00003A240000}"/>
    <cellStyle name="20% - Accent6 3 10 3" xfId="19691" xr:uid="{00000000-0005-0000-0000-00003B240000}"/>
    <cellStyle name="20% - Accent6 3 11" xfId="2368" xr:uid="{00000000-0005-0000-0000-00003C240000}"/>
    <cellStyle name="20% - Accent6 3 11 2" xfId="15001" xr:uid="{00000000-0005-0000-0000-00003D240000}"/>
    <cellStyle name="20% - Accent6 3 11 2 2" xfId="28550" xr:uid="{00000000-0005-0000-0000-00003E240000}"/>
    <cellStyle name="20% - Accent6 3 11 3" xfId="19692" xr:uid="{00000000-0005-0000-0000-00003F240000}"/>
    <cellStyle name="20% - Accent6 3 12" xfId="2369" xr:uid="{00000000-0005-0000-0000-000040240000}"/>
    <cellStyle name="20% - Accent6 3 12 2" xfId="15935" xr:uid="{00000000-0005-0000-0000-000041240000}"/>
    <cellStyle name="20% - Accent6 3 12 2 2" xfId="29342" xr:uid="{00000000-0005-0000-0000-000042240000}"/>
    <cellStyle name="20% - Accent6 3 12 3" xfId="19693" xr:uid="{00000000-0005-0000-0000-000043240000}"/>
    <cellStyle name="20% - Accent6 3 13" xfId="9157" xr:uid="{00000000-0005-0000-0000-000044240000}"/>
    <cellStyle name="20% - Accent6 3 13 2" xfId="23632" xr:uid="{00000000-0005-0000-0000-000045240000}"/>
    <cellStyle name="20% - Accent6 3 14" xfId="19690" xr:uid="{00000000-0005-0000-0000-000046240000}"/>
    <cellStyle name="20% - Accent6 3 2" xfId="2370" xr:uid="{00000000-0005-0000-0000-000047240000}"/>
    <cellStyle name="20% - Accent6 3 2 10" xfId="2371" xr:uid="{00000000-0005-0000-0000-000048240000}"/>
    <cellStyle name="20% - Accent6 3 2 10 2" xfId="16078" xr:uid="{00000000-0005-0000-0000-000049240000}"/>
    <cellStyle name="20% - Accent6 3 2 10 2 2" xfId="29485" xr:uid="{00000000-0005-0000-0000-00004A240000}"/>
    <cellStyle name="20% - Accent6 3 2 10 3" xfId="19695" xr:uid="{00000000-0005-0000-0000-00004B240000}"/>
    <cellStyle name="20% - Accent6 3 2 11" xfId="9158" xr:uid="{00000000-0005-0000-0000-00004C240000}"/>
    <cellStyle name="20% - Accent6 3 2 11 2" xfId="23633" xr:uid="{00000000-0005-0000-0000-00004D240000}"/>
    <cellStyle name="20% - Accent6 3 2 12" xfId="19694" xr:uid="{00000000-0005-0000-0000-00004E240000}"/>
    <cellStyle name="20% - Accent6 3 2 2" xfId="2372" xr:uid="{00000000-0005-0000-0000-00004F240000}"/>
    <cellStyle name="20% - Accent6 3 2 2 10" xfId="9159" xr:uid="{00000000-0005-0000-0000-000050240000}"/>
    <cellStyle name="20% - Accent6 3 2 2 10 2" xfId="23634" xr:uid="{00000000-0005-0000-0000-000051240000}"/>
    <cellStyle name="20% - Accent6 3 2 2 11" xfId="19696" xr:uid="{00000000-0005-0000-0000-000052240000}"/>
    <cellStyle name="20% - Accent6 3 2 2 2" xfId="2373" xr:uid="{00000000-0005-0000-0000-000053240000}"/>
    <cellStyle name="20% - Accent6 3 2 2 2 2" xfId="2374" xr:uid="{00000000-0005-0000-0000-000054240000}"/>
    <cellStyle name="20% - Accent6 3 2 2 2 2 2" xfId="10886" xr:uid="{00000000-0005-0000-0000-000055240000}"/>
    <cellStyle name="20% - Accent6 3 2 2 2 2 2 2" xfId="24828" xr:uid="{00000000-0005-0000-0000-000056240000}"/>
    <cellStyle name="20% - Accent6 3 2 2 2 2 3" xfId="19698" xr:uid="{00000000-0005-0000-0000-000057240000}"/>
    <cellStyle name="20% - Accent6 3 2 2 2 3" xfId="2375" xr:uid="{00000000-0005-0000-0000-000058240000}"/>
    <cellStyle name="20% - Accent6 3 2 2 2 3 2" xfId="12508" xr:uid="{00000000-0005-0000-0000-000059240000}"/>
    <cellStyle name="20% - Accent6 3 2 2 2 3 2 2" xfId="26220" xr:uid="{00000000-0005-0000-0000-00005A240000}"/>
    <cellStyle name="20% - Accent6 3 2 2 2 3 3" xfId="19699" xr:uid="{00000000-0005-0000-0000-00005B240000}"/>
    <cellStyle name="20% - Accent6 3 2 2 2 4" xfId="2376" xr:uid="{00000000-0005-0000-0000-00005C240000}"/>
    <cellStyle name="20% - Accent6 3 2 2 2 4 2" xfId="15004" xr:uid="{00000000-0005-0000-0000-00005D240000}"/>
    <cellStyle name="20% - Accent6 3 2 2 2 4 2 2" xfId="28553" xr:uid="{00000000-0005-0000-0000-00005E240000}"/>
    <cellStyle name="20% - Accent6 3 2 2 2 4 3" xfId="19700" xr:uid="{00000000-0005-0000-0000-00005F240000}"/>
    <cellStyle name="20% - Accent6 3 2 2 2 5" xfId="2377" xr:uid="{00000000-0005-0000-0000-000060240000}"/>
    <cellStyle name="20% - Accent6 3 2 2 2 5 2" xfId="16948" xr:uid="{00000000-0005-0000-0000-000061240000}"/>
    <cellStyle name="20% - Accent6 3 2 2 2 5 2 2" xfId="30355" xr:uid="{00000000-0005-0000-0000-000062240000}"/>
    <cellStyle name="20% - Accent6 3 2 2 2 5 3" xfId="19701" xr:uid="{00000000-0005-0000-0000-000063240000}"/>
    <cellStyle name="20% - Accent6 3 2 2 2 6" xfId="9160" xr:uid="{00000000-0005-0000-0000-000064240000}"/>
    <cellStyle name="20% - Accent6 3 2 2 2 6 2" xfId="23635" xr:uid="{00000000-0005-0000-0000-000065240000}"/>
    <cellStyle name="20% - Accent6 3 2 2 2 7" xfId="19697" xr:uid="{00000000-0005-0000-0000-000066240000}"/>
    <cellStyle name="20% - Accent6 3 2 2 3" xfId="2378" xr:uid="{00000000-0005-0000-0000-000067240000}"/>
    <cellStyle name="20% - Accent6 3 2 2 3 2" xfId="2379" xr:uid="{00000000-0005-0000-0000-000068240000}"/>
    <cellStyle name="20% - Accent6 3 2 2 3 2 2" xfId="15005" xr:uid="{00000000-0005-0000-0000-000069240000}"/>
    <cellStyle name="20% - Accent6 3 2 2 3 2 2 2" xfId="28554" xr:uid="{00000000-0005-0000-0000-00006A240000}"/>
    <cellStyle name="20% - Accent6 3 2 2 3 2 3" xfId="19703" xr:uid="{00000000-0005-0000-0000-00006B240000}"/>
    <cellStyle name="20% - Accent6 3 2 2 3 3" xfId="10885" xr:uid="{00000000-0005-0000-0000-00006C240000}"/>
    <cellStyle name="20% - Accent6 3 2 2 3 3 2" xfId="24827" xr:uid="{00000000-0005-0000-0000-00006D240000}"/>
    <cellStyle name="20% - Accent6 3 2 2 3 4" xfId="19702" xr:uid="{00000000-0005-0000-0000-00006E240000}"/>
    <cellStyle name="20% - Accent6 3 2 2 4" xfId="2380" xr:uid="{00000000-0005-0000-0000-00006F240000}"/>
    <cellStyle name="20% - Accent6 3 2 2 4 2" xfId="12336" xr:uid="{00000000-0005-0000-0000-000070240000}"/>
    <cellStyle name="20% - Accent6 3 2 2 4 2 2" xfId="26048" xr:uid="{00000000-0005-0000-0000-000071240000}"/>
    <cellStyle name="20% - Accent6 3 2 2 4 3" xfId="19704" xr:uid="{00000000-0005-0000-0000-000072240000}"/>
    <cellStyle name="20% - Accent6 3 2 2 5" xfId="2381" xr:uid="{00000000-0005-0000-0000-000073240000}"/>
    <cellStyle name="20% - Accent6 3 2 2 5 2" xfId="11847" xr:uid="{00000000-0005-0000-0000-000074240000}"/>
    <cellStyle name="20% - Accent6 3 2 2 5 2 2" xfId="25562" xr:uid="{00000000-0005-0000-0000-000075240000}"/>
    <cellStyle name="20% - Accent6 3 2 2 5 3" xfId="19705" xr:uid="{00000000-0005-0000-0000-000076240000}"/>
    <cellStyle name="20% - Accent6 3 2 2 6" xfId="2382" xr:uid="{00000000-0005-0000-0000-000077240000}"/>
    <cellStyle name="20% - Accent6 3 2 2 6 2" xfId="13900" xr:uid="{00000000-0005-0000-0000-000078240000}"/>
    <cellStyle name="20% - Accent6 3 2 2 6 2 2" xfId="27449" xr:uid="{00000000-0005-0000-0000-000079240000}"/>
    <cellStyle name="20% - Accent6 3 2 2 6 3" xfId="19706" xr:uid="{00000000-0005-0000-0000-00007A240000}"/>
    <cellStyle name="20% - Accent6 3 2 2 7" xfId="2383" xr:uid="{00000000-0005-0000-0000-00007B240000}"/>
    <cellStyle name="20% - Accent6 3 2 2 7 2" xfId="14481" xr:uid="{00000000-0005-0000-0000-00007C240000}"/>
    <cellStyle name="20% - Accent6 3 2 2 7 2 2" xfId="28030" xr:uid="{00000000-0005-0000-0000-00007D240000}"/>
    <cellStyle name="20% - Accent6 3 2 2 7 3" xfId="19707" xr:uid="{00000000-0005-0000-0000-00007E240000}"/>
    <cellStyle name="20% - Accent6 3 2 2 8" xfId="2384" xr:uid="{00000000-0005-0000-0000-00007F240000}"/>
    <cellStyle name="20% - Accent6 3 2 2 8 2" xfId="15003" xr:uid="{00000000-0005-0000-0000-000080240000}"/>
    <cellStyle name="20% - Accent6 3 2 2 8 2 2" xfId="28552" xr:uid="{00000000-0005-0000-0000-000081240000}"/>
    <cellStyle name="20% - Accent6 3 2 2 8 3" xfId="19708" xr:uid="{00000000-0005-0000-0000-000082240000}"/>
    <cellStyle name="20% - Accent6 3 2 2 9" xfId="2385" xr:uid="{00000000-0005-0000-0000-000083240000}"/>
    <cellStyle name="20% - Accent6 3 2 2 9 2" xfId="16367" xr:uid="{00000000-0005-0000-0000-000084240000}"/>
    <cellStyle name="20% - Accent6 3 2 2 9 2 2" xfId="29774" xr:uid="{00000000-0005-0000-0000-000085240000}"/>
    <cellStyle name="20% - Accent6 3 2 2 9 3" xfId="19709" xr:uid="{00000000-0005-0000-0000-000086240000}"/>
    <cellStyle name="20% - Accent6 3 2 3" xfId="2386" xr:uid="{00000000-0005-0000-0000-000087240000}"/>
    <cellStyle name="20% - Accent6 3 2 3 2" xfId="2387" xr:uid="{00000000-0005-0000-0000-000088240000}"/>
    <cellStyle name="20% - Accent6 3 2 3 2 2" xfId="10887" xr:uid="{00000000-0005-0000-0000-000089240000}"/>
    <cellStyle name="20% - Accent6 3 2 3 2 2 2" xfId="24829" xr:uid="{00000000-0005-0000-0000-00008A240000}"/>
    <cellStyle name="20% - Accent6 3 2 3 2 3" xfId="19711" xr:uid="{00000000-0005-0000-0000-00008B240000}"/>
    <cellStyle name="20% - Accent6 3 2 3 3" xfId="2388" xr:uid="{00000000-0005-0000-0000-00008C240000}"/>
    <cellStyle name="20% - Accent6 3 2 3 3 2" xfId="11785" xr:uid="{00000000-0005-0000-0000-00008D240000}"/>
    <cellStyle name="20% - Accent6 3 2 3 3 2 2" xfId="25500" xr:uid="{00000000-0005-0000-0000-00008E240000}"/>
    <cellStyle name="20% - Accent6 3 2 3 3 3" xfId="19712" xr:uid="{00000000-0005-0000-0000-00008F240000}"/>
    <cellStyle name="20% - Accent6 3 2 3 4" xfId="2389" xr:uid="{00000000-0005-0000-0000-000090240000}"/>
    <cellStyle name="20% - Accent6 3 2 3 4 2" xfId="15006" xr:uid="{00000000-0005-0000-0000-000091240000}"/>
    <cellStyle name="20% - Accent6 3 2 3 4 2 2" xfId="28555" xr:uid="{00000000-0005-0000-0000-000092240000}"/>
    <cellStyle name="20% - Accent6 3 2 3 4 3" xfId="19713" xr:uid="{00000000-0005-0000-0000-000093240000}"/>
    <cellStyle name="20% - Accent6 3 2 3 5" xfId="2390" xr:uid="{00000000-0005-0000-0000-000094240000}"/>
    <cellStyle name="20% - Accent6 3 2 3 5 2" xfId="16659" xr:uid="{00000000-0005-0000-0000-000095240000}"/>
    <cellStyle name="20% - Accent6 3 2 3 5 2 2" xfId="30066" xr:uid="{00000000-0005-0000-0000-000096240000}"/>
    <cellStyle name="20% - Accent6 3 2 3 5 3" xfId="19714" xr:uid="{00000000-0005-0000-0000-000097240000}"/>
    <cellStyle name="20% - Accent6 3 2 3 6" xfId="9161" xr:uid="{00000000-0005-0000-0000-000098240000}"/>
    <cellStyle name="20% - Accent6 3 2 3 6 2" xfId="23636" xr:uid="{00000000-0005-0000-0000-000099240000}"/>
    <cellStyle name="20% - Accent6 3 2 3 7" xfId="19710" xr:uid="{00000000-0005-0000-0000-00009A240000}"/>
    <cellStyle name="20% - Accent6 3 2 4" xfId="2391" xr:uid="{00000000-0005-0000-0000-00009B240000}"/>
    <cellStyle name="20% - Accent6 3 2 4 2" xfId="2392" xr:uid="{00000000-0005-0000-0000-00009C240000}"/>
    <cellStyle name="20% - Accent6 3 2 4 2 2" xfId="15007" xr:uid="{00000000-0005-0000-0000-00009D240000}"/>
    <cellStyle name="20% - Accent6 3 2 4 2 2 2" xfId="28556" xr:uid="{00000000-0005-0000-0000-00009E240000}"/>
    <cellStyle name="20% - Accent6 3 2 4 2 3" xfId="19716" xr:uid="{00000000-0005-0000-0000-00009F240000}"/>
    <cellStyle name="20% - Accent6 3 2 4 3" xfId="10884" xr:uid="{00000000-0005-0000-0000-0000A0240000}"/>
    <cellStyle name="20% - Accent6 3 2 4 3 2" xfId="24826" xr:uid="{00000000-0005-0000-0000-0000A1240000}"/>
    <cellStyle name="20% - Accent6 3 2 4 4" xfId="19715" xr:uid="{00000000-0005-0000-0000-0000A2240000}"/>
    <cellStyle name="20% - Accent6 3 2 5" xfId="2393" xr:uid="{00000000-0005-0000-0000-0000A3240000}"/>
    <cellStyle name="20% - Accent6 3 2 5 2" xfId="12036" xr:uid="{00000000-0005-0000-0000-0000A4240000}"/>
    <cellStyle name="20% - Accent6 3 2 5 2 2" xfId="25751" xr:uid="{00000000-0005-0000-0000-0000A5240000}"/>
    <cellStyle name="20% - Accent6 3 2 5 3" xfId="19717" xr:uid="{00000000-0005-0000-0000-0000A6240000}"/>
    <cellStyle name="20% - Accent6 3 2 6" xfId="2394" xr:uid="{00000000-0005-0000-0000-0000A7240000}"/>
    <cellStyle name="20% - Accent6 3 2 6 2" xfId="11780" xr:uid="{00000000-0005-0000-0000-0000A8240000}"/>
    <cellStyle name="20% - Accent6 3 2 6 2 2" xfId="25495" xr:uid="{00000000-0005-0000-0000-0000A9240000}"/>
    <cellStyle name="20% - Accent6 3 2 6 3" xfId="19718" xr:uid="{00000000-0005-0000-0000-0000AA240000}"/>
    <cellStyle name="20% - Accent6 3 2 7" xfId="2395" xr:uid="{00000000-0005-0000-0000-0000AB240000}"/>
    <cellStyle name="20% - Accent6 3 2 7 2" xfId="13611" xr:uid="{00000000-0005-0000-0000-0000AC240000}"/>
    <cellStyle name="20% - Accent6 3 2 7 2 2" xfId="27160" xr:uid="{00000000-0005-0000-0000-0000AD240000}"/>
    <cellStyle name="20% - Accent6 3 2 7 3" xfId="19719" xr:uid="{00000000-0005-0000-0000-0000AE240000}"/>
    <cellStyle name="20% - Accent6 3 2 8" xfId="2396" xr:uid="{00000000-0005-0000-0000-0000AF240000}"/>
    <cellStyle name="20% - Accent6 3 2 8 2" xfId="14192" xr:uid="{00000000-0005-0000-0000-0000B0240000}"/>
    <cellStyle name="20% - Accent6 3 2 8 2 2" xfId="27741" xr:uid="{00000000-0005-0000-0000-0000B1240000}"/>
    <cellStyle name="20% - Accent6 3 2 8 3" xfId="19720" xr:uid="{00000000-0005-0000-0000-0000B2240000}"/>
    <cellStyle name="20% - Accent6 3 2 9" xfId="2397" xr:uid="{00000000-0005-0000-0000-0000B3240000}"/>
    <cellStyle name="20% - Accent6 3 2 9 2" xfId="15002" xr:uid="{00000000-0005-0000-0000-0000B4240000}"/>
    <cellStyle name="20% - Accent6 3 2 9 2 2" xfId="28551" xr:uid="{00000000-0005-0000-0000-0000B5240000}"/>
    <cellStyle name="20% - Accent6 3 2 9 3" xfId="19721" xr:uid="{00000000-0005-0000-0000-0000B6240000}"/>
    <cellStyle name="20% - Accent6 3 3" xfId="2398" xr:uid="{00000000-0005-0000-0000-0000B7240000}"/>
    <cellStyle name="20% - Accent6 3 3 10" xfId="9162" xr:uid="{00000000-0005-0000-0000-0000B8240000}"/>
    <cellStyle name="20% - Accent6 3 3 10 2" xfId="23637" xr:uid="{00000000-0005-0000-0000-0000B9240000}"/>
    <cellStyle name="20% - Accent6 3 3 11" xfId="19722" xr:uid="{00000000-0005-0000-0000-0000BA240000}"/>
    <cellStyle name="20% - Accent6 3 3 2" xfId="2399" xr:uid="{00000000-0005-0000-0000-0000BB240000}"/>
    <cellStyle name="20% - Accent6 3 3 2 2" xfId="2400" xr:uid="{00000000-0005-0000-0000-0000BC240000}"/>
    <cellStyle name="20% - Accent6 3 3 2 2 2" xfId="10889" xr:uid="{00000000-0005-0000-0000-0000BD240000}"/>
    <cellStyle name="20% - Accent6 3 3 2 2 2 2" xfId="24831" xr:uid="{00000000-0005-0000-0000-0000BE240000}"/>
    <cellStyle name="20% - Accent6 3 3 2 2 3" xfId="19724" xr:uid="{00000000-0005-0000-0000-0000BF240000}"/>
    <cellStyle name="20% - Accent6 3 3 2 3" xfId="2401" xr:uid="{00000000-0005-0000-0000-0000C0240000}"/>
    <cellStyle name="20% - Accent6 3 3 2 3 2" xfId="12467" xr:uid="{00000000-0005-0000-0000-0000C1240000}"/>
    <cellStyle name="20% - Accent6 3 3 2 3 2 2" xfId="26179" xr:uid="{00000000-0005-0000-0000-0000C2240000}"/>
    <cellStyle name="20% - Accent6 3 3 2 3 3" xfId="19725" xr:uid="{00000000-0005-0000-0000-0000C3240000}"/>
    <cellStyle name="20% - Accent6 3 3 2 4" xfId="2402" xr:uid="{00000000-0005-0000-0000-0000C4240000}"/>
    <cellStyle name="20% - Accent6 3 3 2 4 2" xfId="15009" xr:uid="{00000000-0005-0000-0000-0000C5240000}"/>
    <cellStyle name="20% - Accent6 3 3 2 4 2 2" xfId="28558" xr:uid="{00000000-0005-0000-0000-0000C6240000}"/>
    <cellStyle name="20% - Accent6 3 3 2 4 3" xfId="19726" xr:uid="{00000000-0005-0000-0000-0000C7240000}"/>
    <cellStyle name="20% - Accent6 3 3 2 5" xfId="2403" xr:uid="{00000000-0005-0000-0000-0000C8240000}"/>
    <cellStyle name="20% - Accent6 3 3 2 5 2" xfId="16805" xr:uid="{00000000-0005-0000-0000-0000C9240000}"/>
    <cellStyle name="20% - Accent6 3 3 2 5 2 2" xfId="30212" xr:uid="{00000000-0005-0000-0000-0000CA240000}"/>
    <cellStyle name="20% - Accent6 3 3 2 5 3" xfId="19727" xr:uid="{00000000-0005-0000-0000-0000CB240000}"/>
    <cellStyle name="20% - Accent6 3 3 2 6" xfId="9163" xr:uid="{00000000-0005-0000-0000-0000CC240000}"/>
    <cellStyle name="20% - Accent6 3 3 2 6 2" xfId="23638" xr:uid="{00000000-0005-0000-0000-0000CD240000}"/>
    <cellStyle name="20% - Accent6 3 3 2 7" xfId="19723" xr:uid="{00000000-0005-0000-0000-0000CE240000}"/>
    <cellStyle name="20% - Accent6 3 3 3" xfId="2404" xr:uid="{00000000-0005-0000-0000-0000CF240000}"/>
    <cellStyle name="20% - Accent6 3 3 3 2" xfId="2405" xr:uid="{00000000-0005-0000-0000-0000D0240000}"/>
    <cellStyle name="20% - Accent6 3 3 3 2 2" xfId="15010" xr:uid="{00000000-0005-0000-0000-0000D1240000}"/>
    <cellStyle name="20% - Accent6 3 3 3 2 2 2" xfId="28559" xr:uid="{00000000-0005-0000-0000-0000D2240000}"/>
    <cellStyle name="20% - Accent6 3 3 3 2 3" xfId="19729" xr:uid="{00000000-0005-0000-0000-0000D3240000}"/>
    <cellStyle name="20% - Accent6 3 3 3 3" xfId="10888" xr:uid="{00000000-0005-0000-0000-0000D4240000}"/>
    <cellStyle name="20% - Accent6 3 3 3 3 2" xfId="24830" xr:uid="{00000000-0005-0000-0000-0000D5240000}"/>
    <cellStyle name="20% - Accent6 3 3 3 4" xfId="19728" xr:uid="{00000000-0005-0000-0000-0000D6240000}"/>
    <cellStyle name="20% - Accent6 3 3 4" xfId="2406" xr:uid="{00000000-0005-0000-0000-0000D7240000}"/>
    <cellStyle name="20% - Accent6 3 3 4 2" xfId="12193" xr:uid="{00000000-0005-0000-0000-0000D8240000}"/>
    <cellStyle name="20% - Accent6 3 3 4 2 2" xfId="25905" xr:uid="{00000000-0005-0000-0000-0000D9240000}"/>
    <cellStyle name="20% - Accent6 3 3 4 3" xfId="19730" xr:uid="{00000000-0005-0000-0000-0000DA240000}"/>
    <cellStyle name="20% - Accent6 3 3 5" xfId="2407" xr:uid="{00000000-0005-0000-0000-0000DB240000}"/>
    <cellStyle name="20% - Accent6 3 3 5 2" xfId="12722" xr:uid="{00000000-0005-0000-0000-0000DC240000}"/>
    <cellStyle name="20% - Accent6 3 3 5 2 2" xfId="26434" xr:uid="{00000000-0005-0000-0000-0000DD240000}"/>
    <cellStyle name="20% - Accent6 3 3 5 3" xfId="19731" xr:uid="{00000000-0005-0000-0000-0000DE240000}"/>
    <cellStyle name="20% - Accent6 3 3 6" xfId="2408" xr:uid="{00000000-0005-0000-0000-0000DF240000}"/>
    <cellStyle name="20% - Accent6 3 3 6 2" xfId="13757" xr:uid="{00000000-0005-0000-0000-0000E0240000}"/>
    <cellStyle name="20% - Accent6 3 3 6 2 2" xfId="27306" xr:uid="{00000000-0005-0000-0000-0000E1240000}"/>
    <cellStyle name="20% - Accent6 3 3 6 3" xfId="19732" xr:uid="{00000000-0005-0000-0000-0000E2240000}"/>
    <cellStyle name="20% - Accent6 3 3 7" xfId="2409" xr:uid="{00000000-0005-0000-0000-0000E3240000}"/>
    <cellStyle name="20% - Accent6 3 3 7 2" xfId="14338" xr:uid="{00000000-0005-0000-0000-0000E4240000}"/>
    <cellStyle name="20% - Accent6 3 3 7 2 2" xfId="27887" xr:uid="{00000000-0005-0000-0000-0000E5240000}"/>
    <cellStyle name="20% - Accent6 3 3 7 3" xfId="19733" xr:uid="{00000000-0005-0000-0000-0000E6240000}"/>
    <cellStyle name="20% - Accent6 3 3 8" xfId="2410" xr:uid="{00000000-0005-0000-0000-0000E7240000}"/>
    <cellStyle name="20% - Accent6 3 3 8 2" xfId="15008" xr:uid="{00000000-0005-0000-0000-0000E8240000}"/>
    <cellStyle name="20% - Accent6 3 3 8 2 2" xfId="28557" xr:uid="{00000000-0005-0000-0000-0000E9240000}"/>
    <cellStyle name="20% - Accent6 3 3 8 3" xfId="19734" xr:uid="{00000000-0005-0000-0000-0000EA240000}"/>
    <cellStyle name="20% - Accent6 3 3 9" xfId="2411" xr:uid="{00000000-0005-0000-0000-0000EB240000}"/>
    <cellStyle name="20% - Accent6 3 3 9 2" xfId="16224" xr:uid="{00000000-0005-0000-0000-0000EC240000}"/>
    <cellStyle name="20% - Accent6 3 3 9 2 2" xfId="29631" xr:uid="{00000000-0005-0000-0000-0000ED240000}"/>
    <cellStyle name="20% - Accent6 3 3 9 3" xfId="19735" xr:uid="{00000000-0005-0000-0000-0000EE240000}"/>
    <cellStyle name="20% - Accent6 3 4" xfId="2412" xr:uid="{00000000-0005-0000-0000-0000EF240000}"/>
    <cellStyle name="20% - Accent6 3 4 2" xfId="2413" xr:uid="{00000000-0005-0000-0000-0000F0240000}"/>
    <cellStyle name="20% - Accent6 3 4 2 2" xfId="10890" xr:uid="{00000000-0005-0000-0000-0000F1240000}"/>
    <cellStyle name="20% - Accent6 3 4 2 2 2" xfId="24832" xr:uid="{00000000-0005-0000-0000-0000F2240000}"/>
    <cellStyle name="20% - Accent6 3 4 2 3" xfId="19737" xr:uid="{00000000-0005-0000-0000-0000F3240000}"/>
    <cellStyle name="20% - Accent6 3 4 3" xfId="2414" xr:uid="{00000000-0005-0000-0000-0000F4240000}"/>
    <cellStyle name="20% - Accent6 3 4 3 2" xfId="11837" xr:uid="{00000000-0005-0000-0000-0000F5240000}"/>
    <cellStyle name="20% - Accent6 3 4 3 2 2" xfId="25552" xr:uid="{00000000-0005-0000-0000-0000F6240000}"/>
    <cellStyle name="20% - Accent6 3 4 3 3" xfId="19738" xr:uid="{00000000-0005-0000-0000-0000F7240000}"/>
    <cellStyle name="20% - Accent6 3 4 4" xfId="2415" xr:uid="{00000000-0005-0000-0000-0000F8240000}"/>
    <cellStyle name="20% - Accent6 3 4 4 2" xfId="15011" xr:uid="{00000000-0005-0000-0000-0000F9240000}"/>
    <cellStyle name="20% - Accent6 3 4 4 2 2" xfId="28560" xr:uid="{00000000-0005-0000-0000-0000FA240000}"/>
    <cellStyle name="20% - Accent6 3 4 4 3" xfId="19739" xr:uid="{00000000-0005-0000-0000-0000FB240000}"/>
    <cellStyle name="20% - Accent6 3 4 5" xfId="2416" xr:uid="{00000000-0005-0000-0000-0000FC240000}"/>
    <cellStyle name="20% - Accent6 3 4 5 2" xfId="17152" xr:uid="{00000000-0005-0000-0000-0000FD240000}"/>
    <cellStyle name="20% - Accent6 3 4 5 2 2" xfId="30511" xr:uid="{00000000-0005-0000-0000-0000FE240000}"/>
    <cellStyle name="20% - Accent6 3 4 5 3" xfId="19740" xr:uid="{00000000-0005-0000-0000-0000FF240000}"/>
    <cellStyle name="20% - Accent6 3 4 6" xfId="9164" xr:uid="{00000000-0005-0000-0000-000000250000}"/>
    <cellStyle name="20% - Accent6 3 4 6 2" xfId="23639" xr:uid="{00000000-0005-0000-0000-000001250000}"/>
    <cellStyle name="20% - Accent6 3 4 7" xfId="19736" xr:uid="{00000000-0005-0000-0000-000002250000}"/>
    <cellStyle name="20% - Accent6 3 5" xfId="2417" xr:uid="{00000000-0005-0000-0000-000003250000}"/>
    <cellStyle name="20% - Accent6 3 5 2" xfId="2418" xr:uid="{00000000-0005-0000-0000-000004250000}"/>
    <cellStyle name="20% - Accent6 3 5 2 2" xfId="10891" xr:uid="{00000000-0005-0000-0000-000005250000}"/>
    <cellStyle name="20% - Accent6 3 5 2 2 2" xfId="24833" xr:uid="{00000000-0005-0000-0000-000006250000}"/>
    <cellStyle name="20% - Accent6 3 5 2 3" xfId="19742" xr:uid="{00000000-0005-0000-0000-000007250000}"/>
    <cellStyle name="20% - Accent6 3 5 3" xfId="2419" xr:uid="{00000000-0005-0000-0000-000008250000}"/>
    <cellStyle name="20% - Accent6 3 5 3 2" xfId="12504" xr:uid="{00000000-0005-0000-0000-000009250000}"/>
    <cellStyle name="20% - Accent6 3 5 3 2 2" xfId="26216" xr:uid="{00000000-0005-0000-0000-00000A250000}"/>
    <cellStyle name="20% - Accent6 3 5 3 3" xfId="19743" xr:uid="{00000000-0005-0000-0000-00000B250000}"/>
    <cellStyle name="20% - Accent6 3 5 4" xfId="2420" xr:uid="{00000000-0005-0000-0000-00000C250000}"/>
    <cellStyle name="20% - Accent6 3 5 4 2" xfId="15012" xr:uid="{00000000-0005-0000-0000-00000D250000}"/>
    <cellStyle name="20% - Accent6 3 5 4 2 2" xfId="28561" xr:uid="{00000000-0005-0000-0000-00000E250000}"/>
    <cellStyle name="20% - Accent6 3 5 4 3" xfId="19744" xr:uid="{00000000-0005-0000-0000-00000F250000}"/>
    <cellStyle name="20% - Accent6 3 5 5" xfId="2421" xr:uid="{00000000-0005-0000-0000-000010250000}"/>
    <cellStyle name="20% - Accent6 3 5 5 2" xfId="17241" xr:uid="{00000000-0005-0000-0000-000011250000}"/>
    <cellStyle name="20% - Accent6 3 5 5 2 2" xfId="30600" xr:uid="{00000000-0005-0000-0000-000012250000}"/>
    <cellStyle name="20% - Accent6 3 5 5 3" xfId="19745" xr:uid="{00000000-0005-0000-0000-000013250000}"/>
    <cellStyle name="20% - Accent6 3 5 6" xfId="9165" xr:uid="{00000000-0005-0000-0000-000014250000}"/>
    <cellStyle name="20% - Accent6 3 5 6 2" xfId="23640" xr:uid="{00000000-0005-0000-0000-000015250000}"/>
    <cellStyle name="20% - Accent6 3 5 7" xfId="19741" xr:uid="{00000000-0005-0000-0000-000016250000}"/>
    <cellStyle name="20% - Accent6 3 6" xfId="2422" xr:uid="{00000000-0005-0000-0000-000017250000}"/>
    <cellStyle name="20% - Accent6 3 6 2" xfId="2423" xr:uid="{00000000-0005-0000-0000-000018250000}"/>
    <cellStyle name="20% - Accent6 3 6 2 2" xfId="15013" xr:uid="{00000000-0005-0000-0000-000019250000}"/>
    <cellStyle name="20% - Accent6 3 6 2 2 2" xfId="28562" xr:uid="{00000000-0005-0000-0000-00001A250000}"/>
    <cellStyle name="20% - Accent6 3 6 2 3" xfId="19747" xr:uid="{00000000-0005-0000-0000-00001B250000}"/>
    <cellStyle name="20% - Accent6 3 6 3" xfId="2424" xr:uid="{00000000-0005-0000-0000-00001C250000}"/>
    <cellStyle name="20% - Accent6 3 6 3 2" xfId="16516" xr:uid="{00000000-0005-0000-0000-00001D250000}"/>
    <cellStyle name="20% - Accent6 3 6 3 2 2" xfId="29923" xr:uid="{00000000-0005-0000-0000-00001E250000}"/>
    <cellStyle name="20% - Accent6 3 6 3 3" xfId="19748" xr:uid="{00000000-0005-0000-0000-00001F250000}"/>
    <cellStyle name="20% - Accent6 3 6 4" xfId="10883" xr:uid="{00000000-0005-0000-0000-000020250000}"/>
    <cellStyle name="20% - Accent6 3 6 4 2" xfId="24825" xr:uid="{00000000-0005-0000-0000-000021250000}"/>
    <cellStyle name="20% - Accent6 3 6 5" xfId="19746" xr:uid="{00000000-0005-0000-0000-000022250000}"/>
    <cellStyle name="20% - Accent6 3 7" xfId="2425" xr:uid="{00000000-0005-0000-0000-000023250000}"/>
    <cellStyle name="20% - Accent6 3 7 2" xfId="11888" xr:uid="{00000000-0005-0000-0000-000024250000}"/>
    <cellStyle name="20% - Accent6 3 7 2 2" xfId="25603" xr:uid="{00000000-0005-0000-0000-000025250000}"/>
    <cellStyle name="20% - Accent6 3 7 3" xfId="19749" xr:uid="{00000000-0005-0000-0000-000026250000}"/>
    <cellStyle name="20% - Accent6 3 8" xfId="2426" xr:uid="{00000000-0005-0000-0000-000027250000}"/>
    <cellStyle name="20% - Accent6 3 8 2" xfId="12783" xr:uid="{00000000-0005-0000-0000-000028250000}"/>
    <cellStyle name="20% - Accent6 3 8 2 2" xfId="26495" xr:uid="{00000000-0005-0000-0000-000029250000}"/>
    <cellStyle name="20% - Accent6 3 8 3" xfId="19750" xr:uid="{00000000-0005-0000-0000-00002A250000}"/>
    <cellStyle name="20% - Accent6 3 9" xfId="2427" xr:uid="{00000000-0005-0000-0000-00002B250000}"/>
    <cellStyle name="20% - Accent6 3 9 2" xfId="13468" xr:uid="{00000000-0005-0000-0000-00002C250000}"/>
    <cellStyle name="20% - Accent6 3 9 2 2" xfId="27017" xr:uid="{00000000-0005-0000-0000-00002D250000}"/>
    <cellStyle name="20% - Accent6 3 9 3" xfId="19751" xr:uid="{00000000-0005-0000-0000-00002E250000}"/>
    <cellStyle name="20% - Accent6 30" xfId="23263" xr:uid="{00000000-0005-0000-0000-00002F250000}"/>
    <cellStyle name="20% - Accent6 4" xfId="2428" xr:uid="{00000000-0005-0000-0000-000030250000}"/>
    <cellStyle name="20% - Accent6 4 10" xfId="2429" xr:uid="{00000000-0005-0000-0000-000031250000}"/>
    <cellStyle name="20% - Accent6 4 10 2" xfId="15014" xr:uid="{00000000-0005-0000-0000-000032250000}"/>
    <cellStyle name="20% - Accent6 4 10 2 2" xfId="28563" xr:uid="{00000000-0005-0000-0000-000033250000}"/>
    <cellStyle name="20% - Accent6 4 10 3" xfId="19753" xr:uid="{00000000-0005-0000-0000-000034250000}"/>
    <cellStyle name="20% - Accent6 4 11" xfId="2430" xr:uid="{00000000-0005-0000-0000-000035250000}"/>
    <cellStyle name="20% - Accent6 4 11 2" xfId="15884" xr:uid="{00000000-0005-0000-0000-000036250000}"/>
    <cellStyle name="20% - Accent6 4 11 2 2" xfId="29291" xr:uid="{00000000-0005-0000-0000-000037250000}"/>
    <cellStyle name="20% - Accent6 4 11 3" xfId="19754" xr:uid="{00000000-0005-0000-0000-000038250000}"/>
    <cellStyle name="20% - Accent6 4 12" xfId="9166" xr:uid="{00000000-0005-0000-0000-000039250000}"/>
    <cellStyle name="20% - Accent6 4 12 2" xfId="23641" xr:uid="{00000000-0005-0000-0000-00003A250000}"/>
    <cellStyle name="20% - Accent6 4 13" xfId="19752" xr:uid="{00000000-0005-0000-0000-00003B250000}"/>
    <cellStyle name="20% - Accent6 4 2" xfId="2431" xr:uid="{00000000-0005-0000-0000-00003C250000}"/>
    <cellStyle name="20% - Accent6 4 2 10" xfId="2432" xr:uid="{00000000-0005-0000-0000-00003D250000}"/>
    <cellStyle name="20% - Accent6 4 2 10 2" xfId="16027" xr:uid="{00000000-0005-0000-0000-00003E250000}"/>
    <cellStyle name="20% - Accent6 4 2 10 2 2" xfId="29434" xr:uid="{00000000-0005-0000-0000-00003F250000}"/>
    <cellStyle name="20% - Accent6 4 2 10 3" xfId="19756" xr:uid="{00000000-0005-0000-0000-000040250000}"/>
    <cellStyle name="20% - Accent6 4 2 11" xfId="9167" xr:uid="{00000000-0005-0000-0000-000041250000}"/>
    <cellStyle name="20% - Accent6 4 2 11 2" xfId="23642" xr:uid="{00000000-0005-0000-0000-000042250000}"/>
    <cellStyle name="20% - Accent6 4 2 12" xfId="19755" xr:uid="{00000000-0005-0000-0000-000043250000}"/>
    <cellStyle name="20% - Accent6 4 2 2" xfId="2433" xr:uid="{00000000-0005-0000-0000-000044250000}"/>
    <cellStyle name="20% - Accent6 4 2 2 10" xfId="9168" xr:uid="{00000000-0005-0000-0000-000045250000}"/>
    <cellStyle name="20% - Accent6 4 2 2 10 2" xfId="23643" xr:uid="{00000000-0005-0000-0000-000046250000}"/>
    <cellStyle name="20% - Accent6 4 2 2 11" xfId="19757" xr:uid="{00000000-0005-0000-0000-000047250000}"/>
    <cellStyle name="20% - Accent6 4 2 2 2" xfId="2434" xr:uid="{00000000-0005-0000-0000-000048250000}"/>
    <cellStyle name="20% - Accent6 4 2 2 2 2" xfId="2435" xr:uid="{00000000-0005-0000-0000-000049250000}"/>
    <cellStyle name="20% - Accent6 4 2 2 2 2 2" xfId="10895" xr:uid="{00000000-0005-0000-0000-00004A250000}"/>
    <cellStyle name="20% - Accent6 4 2 2 2 2 2 2" xfId="24837" xr:uid="{00000000-0005-0000-0000-00004B250000}"/>
    <cellStyle name="20% - Accent6 4 2 2 2 2 3" xfId="19759" xr:uid="{00000000-0005-0000-0000-00004C250000}"/>
    <cellStyle name="20% - Accent6 4 2 2 2 3" xfId="2436" xr:uid="{00000000-0005-0000-0000-00004D250000}"/>
    <cellStyle name="20% - Accent6 4 2 2 2 3 2" xfId="12497" xr:uid="{00000000-0005-0000-0000-00004E250000}"/>
    <cellStyle name="20% - Accent6 4 2 2 2 3 2 2" xfId="26209" xr:uid="{00000000-0005-0000-0000-00004F250000}"/>
    <cellStyle name="20% - Accent6 4 2 2 2 3 3" xfId="19760" xr:uid="{00000000-0005-0000-0000-000050250000}"/>
    <cellStyle name="20% - Accent6 4 2 2 2 4" xfId="2437" xr:uid="{00000000-0005-0000-0000-000051250000}"/>
    <cellStyle name="20% - Accent6 4 2 2 2 4 2" xfId="15017" xr:uid="{00000000-0005-0000-0000-000052250000}"/>
    <cellStyle name="20% - Accent6 4 2 2 2 4 2 2" xfId="28566" xr:uid="{00000000-0005-0000-0000-000053250000}"/>
    <cellStyle name="20% - Accent6 4 2 2 2 4 3" xfId="19761" xr:uid="{00000000-0005-0000-0000-000054250000}"/>
    <cellStyle name="20% - Accent6 4 2 2 2 5" xfId="2438" xr:uid="{00000000-0005-0000-0000-000055250000}"/>
    <cellStyle name="20% - Accent6 4 2 2 2 5 2" xfId="16897" xr:uid="{00000000-0005-0000-0000-000056250000}"/>
    <cellStyle name="20% - Accent6 4 2 2 2 5 2 2" xfId="30304" xr:uid="{00000000-0005-0000-0000-000057250000}"/>
    <cellStyle name="20% - Accent6 4 2 2 2 5 3" xfId="19762" xr:uid="{00000000-0005-0000-0000-000058250000}"/>
    <cellStyle name="20% - Accent6 4 2 2 2 6" xfId="9169" xr:uid="{00000000-0005-0000-0000-000059250000}"/>
    <cellStyle name="20% - Accent6 4 2 2 2 6 2" xfId="23644" xr:uid="{00000000-0005-0000-0000-00005A250000}"/>
    <cellStyle name="20% - Accent6 4 2 2 2 7" xfId="19758" xr:uid="{00000000-0005-0000-0000-00005B250000}"/>
    <cellStyle name="20% - Accent6 4 2 2 3" xfId="2439" xr:uid="{00000000-0005-0000-0000-00005C250000}"/>
    <cellStyle name="20% - Accent6 4 2 2 3 2" xfId="2440" xr:uid="{00000000-0005-0000-0000-00005D250000}"/>
    <cellStyle name="20% - Accent6 4 2 2 3 2 2" xfId="15018" xr:uid="{00000000-0005-0000-0000-00005E250000}"/>
    <cellStyle name="20% - Accent6 4 2 2 3 2 2 2" xfId="28567" xr:uid="{00000000-0005-0000-0000-00005F250000}"/>
    <cellStyle name="20% - Accent6 4 2 2 3 2 3" xfId="19764" xr:uid="{00000000-0005-0000-0000-000060250000}"/>
    <cellStyle name="20% - Accent6 4 2 2 3 3" xfId="10894" xr:uid="{00000000-0005-0000-0000-000061250000}"/>
    <cellStyle name="20% - Accent6 4 2 2 3 3 2" xfId="24836" xr:uid="{00000000-0005-0000-0000-000062250000}"/>
    <cellStyle name="20% - Accent6 4 2 2 3 4" xfId="19763" xr:uid="{00000000-0005-0000-0000-000063250000}"/>
    <cellStyle name="20% - Accent6 4 2 2 4" xfId="2441" xr:uid="{00000000-0005-0000-0000-000064250000}"/>
    <cellStyle name="20% - Accent6 4 2 2 4 2" xfId="12285" xr:uid="{00000000-0005-0000-0000-000065250000}"/>
    <cellStyle name="20% - Accent6 4 2 2 4 2 2" xfId="25997" xr:uid="{00000000-0005-0000-0000-000066250000}"/>
    <cellStyle name="20% - Accent6 4 2 2 4 3" xfId="19765" xr:uid="{00000000-0005-0000-0000-000067250000}"/>
    <cellStyle name="20% - Accent6 4 2 2 5" xfId="2442" xr:uid="{00000000-0005-0000-0000-000068250000}"/>
    <cellStyle name="20% - Accent6 4 2 2 5 2" xfId="12474" xr:uid="{00000000-0005-0000-0000-000069250000}"/>
    <cellStyle name="20% - Accent6 4 2 2 5 2 2" xfId="26186" xr:uid="{00000000-0005-0000-0000-00006A250000}"/>
    <cellStyle name="20% - Accent6 4 2 2 5 3" xfId="19766" xr:uid="{00000000-0005-0000-0000-00006B250000}"/>
    <cellStyle name="20% - Accent6 4 2 2 6" xfId="2443" xr:uid="{00000000-0005-0000-0000-00006C250000}"/>
    <cellStyle name="20% - Accent6 4 2 2 6 2" xfId="13849" xr:uid="{00000000-0005-0000-0000-00006D250000}"/>
    <cellStyle name="20% - Accent6 4 2 2 6 2 2" xfId="27398" xr:uid="{00000000-0005-0000-0000-00006E250000}"/>
    <cellStyle name="20% - Accent6 4 2 2 6 3" xfId="19767" xr:uid="{00000000-0005-0000-0000-00006F250000}"/>
    <cellStyle name="20% - Accent6 4 2 2 7" xfId="2444" xr:uid="{00000000-0005-0000-0000-000070250000}"/>
    <cellStyle name="20% - Accent6 4 2 2 7 2" xfId="14430" xr:uid="{00000000-0005-0000-0000-000071250000}"/>
    <cellStyle name="20% - Accent6 4 2 2 7 2 2" xfId="27979" xr:uid="{00000000-0005-0000-0000-000072250000}"/>
    <cellStyle name="20% - Accent6 4 2 2 7 3" xfId="19768" xr:uid="{00000000-0005-0000-0000-000073250000}"/>
    <cellStyle name="20% - Accent6 4 2 2 8" xfId="2445" xr:uid="{00000000-0005-0000-0000-000074250000}"/>
    <cellStyle name="20% - Accent6 4 2 2 8 2" xfId="15016" xr:uid="{00000000-0005-0000-0000-000075250000}"/>
    <cellStyle name="20% - Accent6 4 2 2 8 2 2" xfId="28565" xr:uid="{00000000-0005-0000-0000-000076250000}"/>
    <cellStyle name="20% - Accent6 4 2 2 8 3" xfId="19769" xr:uid="{00000000-0005-0000-0000-000077250000}"/>
    <cellStyle name="20% - Accent6 4 2 2 9" xfId="2446" xr:uid="{00000000-0005-0000-0000-000078250000}"/>
    <cellStyle name="20% - Accent6 4 2 2 9 2" xfId="16316" xr:uid="{00000000-0005-0000-0000-000079250000}"/>
    <cellStyle name="20% - Accent6 4 2 2 9 2 2" xfId="29723" xr:uid="{00000000-0005-0000-0000-00007A250000}"/>
    <cellStyle name="20% - Accent6 4 2 2 9 3" xfId="19770" xr:uid="{00000000-0005-0000-0000-00007B250000}"/>
    <cellStyle name="20% - Accent6 4 2 3" xfId="2447" xr:uid="{00000000-0005-0000-0000-00007C250000}"/>
    <cellStyle name="20% - Accent6 4 2 3 2" xfId="2448" xr:uid="{00000000-0005-0000-0000-00007D250000}"/>
    <cellStyle name="20% - Accent6 4 2 3 2 2" xfId="10896" xr:uid="{00000000-0005-0000-0000-00007E250000}"/>
    <cellStyle name="20% - Accent6 4 2 3 2 2 2" xfId="24838" xr:uid="{00000000-0005-0000-0000-00007F250000}"/>
    <cellStyle name="20% - Accent6 4 2 3 2 3" xfId="19772" xr:uid="{00000000-0005-0000-0000-000080250000}"/>
    <cellStyle name="20% - Accent6 4 2 3 3" xfId="2449" xr:uid="{00000000-0005-0000-0000-000081250000}"/>
    <cellStyle name="20% - Accent6 4 2 3 3 2" xfId="12769" xr:uid="{00000000-0005-0000-0000-000082250000}"/>
    <cellStyle name="20% - Accent6 4 2 3 3 2 2" xfId="26481" xr:uid="{00000000-0005-0000-0000-000083250000}"/>
    <cellStyle name="20% - Accent6 4 2 3 3 3" xfId="19773" xr:uid="{00000000-0005-0000-0000-000084250000}"/>
    <cellStyle name="20% - Accent6 4 2 3 4" xfId="2450" xr:uid="{00000000-0005-0000-0000-000085250000}"/>
    <cellStyle name="20% - Accent6 4 2 3 4 2" xfId="15019" xr:uid="{00000000-0005-0000-0000-000086250000}"/>
    <cellStyle name="20% - Accent6 4 2 3 4 2 2" xfId="28568" xr:uid="{00000000-0005-0000-0000-000087250000}"/>
    <cellStyle name="20% - Accent6 4 2 3 4 3" xfId="19774" xr:uid="{00000000-0005-0000-0000-000088250000}"/>
    <cellStyle name="20% - Accent6 4 2 3 5" xfId="2451" xr:uid="{00000000-0005-0000-0000-000089250000}"/>
    <cellStyle name="20% - Accent6 4 2 3 5 2" xfId="16608" xr:uid="{00000000-0005-0000-0000-00008A250000}"/>
    <cellStyle name="20% - Accent6 4 2 3 5 2 2" xfId="30015" xr:uid="{00000000-0005-0000-0000-00008B250000}"/>
    <cellStyle name="20% - Accent6 4 2 3 5 3" xfId="19775" xr:uid="{00000000-0005-0000-0000-00008C250000}"/>
    <cellStyle name="20% - Accent6 4 2 3 6" xfId="9170" xr:uid="{00000000-0005-0000-0000-00008D250000}"/>
    <cellStyle name="20% - Accent6 4 2 3 6 2" xfId="23645" xr:uid="{00000000-0005-0000-0000-00008E250000}"/>
    <cellStyle name="20% - Accent6 4 2 3 7" xfId="19771" xr:uid="{00000000-0005-0000-0000-00008F250000}"/>
    <cellStyle name="20% - Accent6 4 2 4" xfId="2452" xr:uid="{00000000-0005-0000-0000-000090250000}"/>
    <cellStyle name="20% - Accent6 4 2 4 2" xfId="2453" xr:uid="{00000000-0005-0000-0000-000091250000}"/>
    <cellStyle name="20% - Accent6 4 2 4 2 2" xfId="15020" xr:uid="{00000000-0005-0000-0000-000092250000}"/>
    <cellStyle name="20% - Accent6 4 2 4 2 2 2" xfId="28569" xr:uid="{00000000-0005-0000-0000-000093250000}"/>
    <cellStyle name="20% - Accent6 4 2 4 2 3" xfId="19777" xr:uid="{00000000-0005-0000-0000-000094250000}"/>
    <cellStyle name="20% - Accent6 4 2 4 3" xfId="10893" xr:uid="{00000000-0005-0000-0000-000095250000}"/>
    <cellStyle name="20% - Accent6 4 2 4 3 2" xfId="24835" xr:uid="{00000000-0005-0000-0000-000096250000}"/>
    <cellStyle name="20% - Accent6 4 2 4 4" xfId="19776" xr:uid="{00000000-0005-0000-0000-000097250000}"/>
    <cellStyle name="20% - Accent6 4 2 5" xfId="2454" xr:uid="{00000000-0005-0000-0000-000098250000}"/>
    <cellStyle name="20% - Accent6 4 2 5 2" xfId="11985" xr:uid="{00000000-0005-0000-0000-000099250000}"/>
    <cellStyle name="20% - Accent6 4 2 5 2 2" xfId="25700" xr:uid="{00000000-0005-0000-0000-00009A250000}"/>
    <cellStyle name="20% - Accent6 4 2 5 3" xfId="19778" xr:uid="{00000000-0005-0000-0000-00009B250000}"/>
    <cellStyle name="20% - Accent6 4 2 6" xfId="2455" xr:uid="{00000000-0005-0000-0000-00009C250000}"/>
    <cellStyle name="20% - Accent6 4 2 6 2" xfId="11872" xr:uid="{00000000-0005-0000-0000-00009D250000}"/>
    <cellStyle name="20% - Accent6 4 2 6 2 2" xfId="25587" xr:uid="{00000000-0005-0000-0000-00009E250000}"/>
    <cellStyle name="20% - Accent6 4 2 6 3" xfId="19779" xr:uid="{00000000-0005-0000-0000-00009F250000}"/>
    <cellStyle name="20% - Accent6 4 2 7" xfId="2456" xr:uid="{00000000-0005-0000-0000-0000A0250000}"/>
    <cellStyle name="20% - Accent6 4 2 7 2" xfId="13560" xr:uid="{00000000-0005-0000-0000-0000A1250000}"/>
    <cellStyle name="20% - Accent6 4 2 7 2 2" xfId="27109" xr:uid="{00000000-0005-0000-0000-0000A2250000}"/>
    <cellStyle name="20% - Accent6 4 2 7 3" xfId="19780" xr:uid="{00000000-0005-0000-0000-0000A3250000}"/>
    <cellStyle name="20% - Accent6 4 2 8" xfId="2457" xr:uid="{00000000-0005-0000-0000-0000A4250000}"/>
    <cellStyle name="20% - Accent6 4 2 8 2" xfId="14141" xr:uid="{00000000-0005-0000-0000-0000A5250000}"/>
    <cellStyle name="20% - Accent6 4 2 8 2 2" xfId="27690" xr:uid="{00000000-0005-0000-0000-0000A6250000}"/>
    <cellStyle name="20% - Accent6 4 2 8 3" xfId="19781" xr:uid="{00000000-0005-0000-0000-0000A7250000}"/>
    <cellStyle name="20% - Accent6 4 2 9" xfId="2458" xr:uid="{00000000-0005-0000-0000-0000A8250000}"/>
    <cellStyle name="20% - Accent6 4 2 9 2" xfId="15015" xr:uid="{00000000-0005-0000-0000-0000A9250000}"/>
    <cellStyle name="20% - Accent6 4 2 9 2 2" xfId="28564" xr:uid="{00000000-0005-0000-0000-0000AA250000}"/>
    <cellStyle name="20% - Accent6 4 2 9 3" xfId="19782" xr:uid="{00000000-0005-0000-0000-0000AB250000}"/>
    <cellStyle name="20% - Accent6 4 3" xfId="2459" xr:uid="{00000000-0005-0000-0000-0000AC250000}"/>
    <cellStyle name="20% - Accent6 4 3 10" xfId="9171" xr:uid="{00000000-0005-0000-0000-0000AD250000}"/>
    <cellStyle name="20% - Accent6 4 3 10 2" xfId="23646" xr:uid="{00000000-0005-0000-0000-0000AE250000}"/>
    <cellStyle name="20% - Accent6 4 3 11" xfId="19783" xr:uid="{00000000-0005-0000-0000-0000AF250000}"/>
    <cellStyle name="20% - Accent6 4 3 2" xfId="2460" xr:uid="{00000000-0005-0000-0000-0000B0250000}"/>
    <cellStyle name="20% - Accent6 4 3 2 2" xfId="2461" xr:uid="{00000000-0005-0000-0000-0000B1250000}"/>
    <cellStyle name="20% - Accent6 4 3 2 2 2" xfId="10898" xr:uid="{00000000-0005-0000-0000-0000B2250000}"/>
    <cellStyle name="20% - Accent6 4 3 2 2 2 2" xfId="24840" xr:uid="{00000000-0005-0000-0000-0000B3250000}"/>
    <cellStyle name="20% - Accent6 4 3 2 2 3" xfId="19785" xr:uid="{00000000-0005-0000-0000-0000B4250000}"/>
    <cellStyle name="20% - Accent6 4 3 2 3" xfId="2462" xr:uid="{00000000-0005-0000-0000-0000B5250000}"/>
    <cellStyle name="20% - Accent6 4 3 2 3 2" xfId="12653" xr:uid="{00000000-0005-0000-0000-0000B6250000}"/>
    <cellStyle name="20% - Accent6 4 3 2 3 2 2" xfId="26365" xr:uid="{00000000-0005-0000-0000-0000B7250000}"/>
    <cellStyle name="20% - Accent6 4 3 2 3 3" xfId="19786" xr:uid="{00000000-0005-0000-0000-0000B8250000}"/>
    <cellStyle name="20% - Accent6 4 3 2 4" xfId="2463" xr:uid="{00000000-0005-0000-0000-0000B9250000}"/>
    <cellStyle name="20% - Accent6 4 3 2 4 2" xfId="15022" xr:uid="{00000000-0005-0000-0000-0000BA250000}"/>
    <cellStyle name="20% - Accent6 4 3 2 4 2 2" xfId="28571" xr:uid="{00000000-0005-0000-0000-0000BB250000}"/>
    <cellStyle name="20% - Accent6 4 3 2 4 3" xfId="19787" xr:uid="{00000000-0005-0000-0000-0000BC250000}"/>
    <cellStyle name="20% - Accent6 4 3 2 5" xfId="2464" xr:uid="{00000000-0005-0000-0000-0000BD250000}"/>
    <cellStyle name="20% - Accent6 4 3 2 5 2" xfId="16757" xr:uid="{00000000-0005-0000-0000-0000BE250000}"/>
    <cellStyle name="20% - Accent6 4 3 2 5 2 2" xfId="30164" xr:uid="{00000000-0005-0000-0000-0000BF250000}"/>
    <cellStyle name="20% - Accent6 4 3 2 5 3" xfId="19788" xr:uid="{00000000-0005-0000-0000-0000C0250000}"/>
    <cellStyle name="20% - Accent6 4 3 2 6" xfId="9172" xr:uid="{00000000-0005-0000-0000-0000C1250000}"/>
    <cellStyle name="20% - Accent6 4 3 2 6 2" xfId="23647" xr:uid="{00000000-0005-0000-0000-0000C2250000}"/>
    <cellStyle name="20% - Accent6 4 3 2 7" xfId="19784" xr:uid="{00000000-0005-0000-0000-0000C3250000}"/>
    <cellStyle name="20% - Accent6 4 3 3" xfId="2465" xr:uid="{00000000-0005-0000-0000-0000C4250000}"/>
    <cellStyle name="20% - Accent6 4 3 3 2" xfId="2466" xr:uid="{00000000-0005-0000-0000-0000C5250000}"/>
    <cellStyle name="20% - Accent6 4 3 3 2 2" xfId="15023" xr:uid="{00000000-0005-0000-0000-0000C6250000}"/>
    <cellStyle name="20% - Accent6 4 3 3 2 2 2" xfId="28572" xr:uid="{00000000-0005-0000-0000-0000C7250000}"/>
    <cellStyle name="20% - Accent6 4 3 3 2 3" xfId="19790" xr:uid="{00000000-0005-0000-0000-0000C8250000}"/>
    <cellStyle name="20% - Accent6 4 3 3 3" xfId="10897" xr:uid="{00000000-0005-0000-0000-0000C9250000}"/>
    <cellStyle name="20% - Accent6 4 3 3 3 2" xfId="24839" xr:uid="{00000000-0005-0000-0000-0000CA250000}"/>
    <cellStyle name="20% - Accent6 4 3 3 4" xfId="19789" xr:uid="{00000000-0005-0000-0000-0000CB250000}"/>
    <cellStyle name="20% - Accent6 4 3 4" xfId="2467" xr:uid="{00000000-0005-0000-0000-0000CC250000}"/>
    <cellStyle name="20% - Accent6 4 3 4 2" xfId="12145" xr:uid="{00000000-0005-0000-0000-0000CD250000}"/>
    <cellStyle name="20% - Accent6 4 3 4 2 2" xfId="25857" xr:uid="{00000000-0005-0000-0000-0000CE250000}"/>
    <cellStyle name="20% - Accent6 4 3 4 3" xfId="19791" xr:uid="{00000000-0005-0000-0000-0000CF250000}"/>
    <cellStyle name="20% - Accent6 4 3 5" xfId="2468" xr:uid="{00000000-0005-0000-0000-0000D0250000}"/>
    <cellStyle name="20% - Accent6 4 3 5 2" xfId="11773" xr:uid="{00000000-0005-0000-0000-0000D1250000}"/>
    <cellStyle name="20% - Accent6 4 3 5 2 2" xfId="25488" xr:uid="{00000000-0005-0000-0000-0000D2250000}"/>
    <cellStyle name="20% - Accent6 4 3 5 3" xfId="19792" xr:uid="{00000000-0005-0000-0000-0000D3250000}"/>
    <cellStyle name="20% - Accent6 4 3 6" xfId="2469" xr:uid="{00000000-0005-0000-0000-0000D4250000}"/>
    <cellStyle name="20% - Accent6 4 3 6 2" xfId="13709" xr:uid="{00000000-0005-0000-0000-0000D5250000}"/>
    <cellStyle name="20% - Accent6 4 3 6 2 2" xfId="27258" xr:uid="{00000000-0005-0000-0000-0000D6250000}"/>
    <cellStyle name="20% - Accent6 4 3 6 3" xfId="19793" xr:uid="{00000000-0005-0000-0000-0000D7250000}"/>
    <cellStyle name="20% - Accent6 4 3 7" xfId="2470" xr:uid="{00000000-0005-0000-0000-0000D8250000}"/>
    <cellStyle name="20% - Accent6 4 3 7 2" xfId="14290" xr:uid="{00000000-0005-0000-0000-0000D9250000}"/>
    <cellStyle name="20% - Accent6 4 3 7 2 2" xfId="27839" xr:uid="{00000000-0005-0000-0000-0000DA250000}"/>
    <cellStyle name="20% - Accent6 4 3 7 3" xfId="19794" xr:uid="{00000000-0005-0000-0000-0000DB250000}"/>
    <cellStyle name="20% - Accent6 4 3 8" xfId="2471" xr:uid="{00000000-0005-0000-0000-0000DC250000}"/>
    <cellStyle name="20% - Accent6 4 3 8 2" xfId="15021" xr:uid="{00000000-0005-0000-0000-0000DD250000}"/>
    <cellStyle name="20% - Accent6 4 3 8 2 2" xfId="28570" xr:uid="{00000000-0005-0000-0000-0000DE250000}"/>
    <cellStyle name="20% - Accent6 4 3 8 3" xfId="19795" xr:uid="{00000000-0005-0000-0000-0000DF250000}"/>
    <cellStyle name="20% - Accent6 4 3 9" xfId="2472" xr:uid="{00000000-0005-0000-0000-0000E0250000}"/>
    <cellStyle name="20% - Accent6 4 3 9 2" xfId="16176" xr:uid="{00000000-0005-0000-0000-0000E1250000}"/>
    <cellStyle name="20% - Accent6 4 3 9 2 2" xfId="29583" xr:uid="{00000000-0005-0000-0000-0000E2250000}"/>
    <cellStyle name="20% - Accent6 4 3 9 3" xfId="19796" xr:uid="{00000000-0005-0000-0000-0000E3250000}"/>
    <cellStyle name="20% - Accent6 4 4" xfId="2473" xr:uid="{00000000-0005-0000-0000-0000E4250000}"/>
    <cellStyle name="20% - Accent6 4 4 2" xfId="2474" xr:uid="{00000000-0005-0000-0000-0000E5250000}"/>
    <cellStyle name="20% - Accent6 4 4 2 2" xfId="10899" xr:uid="{00000000-0005-0000-0000-0000E6250000}"/>
    <cellStyle name="20% - Accent6 4 4 2 2 2" xfId="24841" xr:uid="{00000000-0005-0000-0000-0000E7250000}"/>
    <cellStyle name="20% - Accent6 4 4 2 3" xfId="19798" xr:uid="{00000000-0005-0000-0000-0000E8250000}"/>
    <cellStyle name="20% - Accent6 4 4 3" xfId="2475" xr:uid="{00000000-0005-0000-0000-0000E9250000}"/>
    <cellStyle name="20% - Accent6 4 4 3 2" xfId="12654" xr:uid="{00000000-0005-0000-0000-0000EA250000}"/>
    <cellStyle name="20% - Accent6 4 4 3 2 2" xfId="26366" xr:uid="{00000000-0005-0000-0000-0000EB250000}"/>
    <cellStyle name="20% - Accent6 4 4 3 3" xfId="19799" xr:uid="{00000000-0005-0000-0000-0000EC250000}"/>
    <cellStyle name="20% - Accent6 4 4 4" xfId="2476" xr:uid="{00000000-0005-0000-0000-0000ED250000}"/>
    <cellStyle name="20% - Accent6 4 4 4 2" xfId="15024" xr:uid="{00000000-0005-0000-0000-0000EE250000}"/>
    <cellStyle name="20% - Accent6 4 4 4 2 2" xfId="28573" xr:uid="{00000000-0005-0000-0000-0000EF250000}"/>
    <cellStyle name="20% - Accent6 4 4 4 3" xfId="19800" xr:uid="{00000000-0005-0000-0000-0000F0250000}"/>
    <cellStyle name="20% - Accent6 4 4 5" xfId="2477" xr:uid="{00000000-0005-0000-0000-0000F1250000}"/>
    <cellStyle name="20% - Accent6 4 4 5 2" xfId="16465" xr:uid="{00000000-0005-0000-0000-0000F2250000}"/>
    <cellStyle name="20% - Accent6 4 4 5 2 2" xfId="29872" xr:uid="{00000000-0005-0000-0000-0000F3250000}"/>
    <cellStyle name="20% - Accent6 4 4 5 3" xfId="19801" xr:uid="{00000000-0005-0000-0000-0000F4250000}"/>
    <cellStyle name="20% - Accent6 4 4 6" xfId="9173" xr:uid="{00000000-0005-0000-0000-0000F5250000}"/>
    <cellStyle name="20% - Accent6 4 4 6 2" xfId="23648" xr:uid="{00000000-0005-0000-0000-0000F6250000}"/>
    <cellStyle name="20% - Accent6 4 4 7" xfId="19797" xr:uid="{00000000-0005-0000-0000-0000F7250000}"/>
    <cellStyle name="20% - Accent6 4 5" xfId="2478" xr:uid="{00000000-0005-0000-0000-0000F8250000}"/>
    <cellStyle name="20% - Accent6 4 5 2" xfId="2479" xr:uid="{00000000-0005-0000-0000-0000F9250000}"/>
    <cellStyle name="20% - Accent6 4 5 2 2" xfId="15025" xr:uid="{00000000-0005-0000-0000-0000FA250000}"/>
    <cellStyle name="20% - Accent6 4 5 2 2 2" xfId="28574" xr:uid="{00000000-0005-0000-0000-0000FB250000}"/>
    <cellStyle name="20% - Accent6 4 5 2 3" xfId="19803" xr:uid="{00000000-0005-0000-0000-0000FC250000}"/>
    <cellStyle name="20% - Accent6 4 5 3" xfId="10892" xr:uid="{00000000-0005-0000-0000-0000FD250000}"/>
    <cellStyle name="20% - Accent6 4 5 3 2" xfId="24834" xr:uid="{00000000-0005-0000-0000-0000FE250000}"/>
    <cellStyle name="20% - Accent6 4 5 4" xfId="19802" xr:uid="{00000000-0005-0000-0000-0000FF250000}"/>
    <cellStyle name="20% - Accent6 4 6" xfId="2480" xr:uid="{00000000-0005-0000-0000-000000260000}"/>
    <cellStyle name="20% - Accent6 4 6 2" xfId="11816" xr:uid="{00000000-0005-0000-0000-000001260000}"/>
    <cellStyle name="20% - Accent6 4 6 2 2" xfId="25531" xr:uid="{00000000-0005-0000-0000-000002260000}"/>
    <cellStyle name="20% - Accent6 4 6 3" xfId="19804" xr:uid="{00000000-0005-0000-0000-000003260000}"/>
    <cellStyle name="20% - Accent6 4 7" xfId="2481" xr:uid="{00000000-0005-0000-0000-000004260000}"/>
    <cellStyle name="20% - Accent6 4 7 2" xfId="12685" xr:uid="{00000000-0005-0000-0000-000005260000}"/>
    <cellStyle name="20% - Accent6 4 7 2 2" xfId="26397" xr:uid="{00000000-0005-0000-0000-000006260000}"/>
    <cellStyle name="20% - Accent6 4 7 3" xfId="19805" xr:uid="{00000000-0005-0000-0000-000007260000}"/>
    <cellStyle name="20% - Accent6 4 8" xfId="2482" xr:uid="{00000000-0005-0000-0000-000008260000}"/>
    <cellStyle name="20% - Accent6 4 8 2" xfId="13417" xr:uid="{00000000-0005-0000-0000-000009260000}"/>
    <cellStyle name="20% - Accent6 4 8 2 2" xfId="26966" xr:uid="{00000000-0005-0000-0000-00000A260000}"/>
    <cellStyle name="20% - Accent6 4 8 3" xfId="19806" xr:uid="{00000000-0005-0000-0000-00000B260000}"/>
    <cellStyle name="20% - Accent6 4 9" xfId="2483" xr:uid="{00000000-0005-0000-0000-00000C260000}"/>
    <cellStyle name="20% - Accent6 4 9 2" xfId="13998" xr:uid="{00000000-0005-0000-0000-00000D260000}"/>
    <cellStyle name="20% - Accent6 4 9 2 2" xfId="27547" xr:uid="{00000000-0005-0000-0000-00000E260000}"/>
    <cellStyle name="20% - Accent6 4 9 3" xfId="19807" xr:uid="{00000000-0005-0000-0000-00000F260000}"/>
    <cellStyle name="20% - Accent6 5" xfId="2484" xr:uid="{00000000-0005-0000-0000-000010260000}"/>
    <cellStyle name="20% - Accent6 5 10" xfId="2485" xr:uid="{00000000-0005-0000-0000-000011260000}"/>
    <cellStyle name="20% - Accent6 5 10 2" xfId="15026" xr:uid="{00000000-0005-0000-0000-000012260000}"/>
    <cellStyle name="20% - Accent6 5 10 2 2" xfId="28575" xr:uid="{00000000-0005-0000-0000-000013260000}"/>
    <cellStyle name="20% - Accent6 5 10 3" xfId="19809" xr:uid="{00000000-0005-0000-0000-000014260000}"/>
    <cellStyle name="20% - Accent6 5 11" xfId="2486" xr:uid="{00000000-0005-0000-0000-000015260000}"/>
    <cellStyle name="20% - Accent6 5 11 2" xfId="15867" xr:uid="{00000000-0005-0000-0000-000016260000}"/>
    <cellStyle name="20% - Accent6 5 11 2 2" xfId="29274" xr:uid="{00000000-0005-0000-0000-000017260000}"/>
    <cellStyle name="20% - Accent6 5 11 3" xfId="19810" xr:uid="{00000000-0005-0000-0000-000018260000}"/>
    <cellStyle name="20% - Accent6 5 12" xfId="9174" xr:uid="{00000000-0005-0000-0000-000019260000}"/>
    <cellStyle name="20% - Accent6 5 12 2" xfId="23649" xr:uid="{00000000-0005-0000-0000-00001A260000}"/>
    <cellStyle name="20% - Accent6 5 13" xfId="19808" xr:uid="{00000000-0005-0000-0000-00001B260000}"/>
    <cellStyle name="20% - Accent6 5 2" xfId="2487" xr:uid="{00000000-0005-0000-0000-00001C260000}"/>
    <cellStyle name="20% - Accent6 5 2 10" xfId="2488" xr:uid="{00000000-0005-0000-0000-00001D260000}"/>
    <cellStyle name="20% - Accent6 5 2 10 2" xfId="16010" xr:uid="{00000000-0005-0000-0000-00001E260000}"/>
    <cellStyle name="20% - Accent6 5 2 10 2 2" xfId="29417" xr:uid="{00000000-0005-0000-0000-00001F260000}"/>
    <cellStyle name="20% - Accent6 5 2 10 3" xfId="19812" xr:uid="{00000000-0005-0000-0000-000020260000}"/>
    <cellStyle name="20% - Accent6 5 2 11" xfId="9175" xr:uid="{00000000-0005-0000-0000-000021260000}"/>
    <cellStyle name="20% - Accent6 5 2 11 2" xfId="23650" xr:uid="{00000000-0005-0000-0000-000022260000}"/>
    <cellStyle name="20% - Accent6 5 2 12" xfId="19811" xr:uid="{00000000-0005-0000-0000-000023260000}"/>
    <cellStyle name="20% - Accent6 5 2 2" xfId="2489" xr:uid="{00000000-0005-0000-0000-000024260000}"/>
    <cellStyle name="20% - Accent6 5 2 2 10" xfId="9176" xr:uid="{00000000-0005-0000-0000-000025260000}"/>
    <cellStyle name="20% - Accent6 5 2 2 10 2" xfId="23651" xr:uid="{00000000-0005-0000-0000-000026260000}"/>
    <cellStyle name="20% - Accent6 5 2 2 11" xfId="19813" xr:uid="{00000000-0005-0000-0000-000027260000}"/>
    <cellStyle name="20% - Accent6 5 2 2 2" xfId="2490" xr:uid="{00000000-0005-0000-0000-000028260000}"/>
    <cellStyle name="20% - Accent6 5 2 2 2 2" xfId="2491" xr:uid="{00000000-0005-0000-0000-000029260000}"/>
    <cellStyle name="20% - Accent6 5 2 2 2 2 2" xfId="10903" xr:uid="{00000000-0005-0000-0000-00002A260000}"/>
    <cellStyle name="20% - Accent6 5 2 2 2 2 2 2" xfId="24845" xr:uid="{00000000-0005-0000-0000-00002B260000}"/>
    <cellStyle name="20% - Accent6 5 2 2 2 2 3" xfId="19815" xr:uid="{00000000-0005-0000-0000-00002C260000}"/>
    <cellStyle name="20% - Accent6 5 2 2 2 3" xfId="2492" xr:uid="{00000000-0005-0000-0000-00002D260000}"/>
    <cellStyle name="20% - Accent6 5 2 2 2 3 2" xfId="12794" xr:uid="{00000000-0005-0000-0000-00002E260000}"/>
    <cellStyle name="20% - Accent6 5 2 2 2 3 2 2" xfId="26506" xr:uid="{00000000-0005-0000-0000-00002F260000}"/>
    <cellStyle name="20% - Accent6 5 2 2 2 3 3" xfId="19816" xr:uid="{00000000-0005-0000-0000-000030260000}"/>
    <cellStyle name="20% - Accent6 5 2 2 2 4" xfId="2493" xr:uid="{00000000-0005-0000-0000-000031260000}"/>
    <cellStyle name="20% - Accent6 5 2 2 2 4 2" xfId="15029" xr:uid="{00000000-0005-0000-0000-000032260000}"/>
    <cellStyle name="20% - Accent6 5 2 2 2 4 2 2" xfId="28578" xr:uid="{00000000-0005-0000-0000-000033260000}"/>
    <cellStyle name="20% - Accent6 5 2 2 2 4 3" xfId="19817" xr:uid="{00000000-0005-0000-0000-000034260000}"/>
    <cellStyle name="20% - Accent6 5 2 2 2 5" xfId="2494" xr:uid="{00000000-0005-0000-0000-000035260000}"/>
    <cellStyle name="20% - Accent6 5 2 2 2 5 2" xfId="16880" xr:uid="{00000000-0005-0000-0000-000036260000}"/>
    <cellStyle name="20% - Accent6 5 2 2 2 5 2 2" xfId="30287" xr:uid="{00000000-0005-0000-0000-000037260000}"/>
    <cellStyle name="20% - Accent6 5 2 2 2 5 3" xfId="19818" xr:uid="{00000000-0005-0000-0000-000038260000}"/>
    <cellStyle name="20% - Accent6 5 2 2 2 6" xfId="9177" xr:uid="{00000000-0005-0000-0000-000039260000}"/>
    <cellStyle name="20% - Accent6 5 2 2 2 6 2" xfId="23652" xr:uid="{00000000-0005-0000-0000-00003A260000}"/>
    <cellStyle name="20% - Accent6 5 2 2 2 7" xfId="19814" xr:uid="{00000000-0005-0000-0000-00003B260000}"/>
    <cellStyle name="20% - Accent6 5 2 2 3" xfId="2495" xr:uid="{00000000-0005-0000-0000-00003C260000}"/>
    <cellStyle name="20% - Accent6 5 2 2 3 2" xfId="2496" xr:uid="{00000000-0005-0000-0000-00003D260000}"/>
    <cellStyle name="20% - Accent6 5 2 2 3 2 2" xfId="15030" xr:uid="{00000000-0005-0000-0000-00003E260000}"/>
    <cellStyle name="20% - Accent6 5 2 2 3 2 2 2" xfId="28579" xr:uid="{00000000-0005-0000-0000-00003F260000}"/>
    <cellStyle name="20% - Accent6 5 2 2 3 2 3" xfId="19820" xr:uid="{00000000-0005-0000-0000-000040260000}"/>
    <cellStyle name="20% - Accent6 5 2 2 3 3" xfId="10902" xr:uid="{00000000-0005-0000-0000-000041260000}"/>
    <cellStyle name="20% - Accent6 5 2 2 3 3 2" xfId="24844" xr:uid="{00000000-0005-0000-0000-000042260000}"/>
    <cellStyle name="20% - Accent6 5 2 2 3 4" xfId="19819" xr:uid="{00000000-0005-0000-0000-000043260000}"/>
    <cellStyle name="20% - Accent6 5 2 2 4" xfId="2497" xr:uid="{00000000-0005-0000-0000-000044260000}"/>
    <cellStyle name="20% - Accent6 5 2 2 4 2" xfId="12268" xr:uid="{00000000-0005-0000-0000-000045260000}"/>
    <cellStyle name="20% - Accent6 5 2 2 4 2 2" xfId="25980" xr:uid="{00000000-0005-0000-0000-000046260000}"/>
    <cellStyle name="20% - Accent6 5 2 2 4 3" xfId="19821" xr:uid="{00000000-0005-0000-0000-000047260000}"/>
    <cellStyle name="20% - Accent6 5 2 2 5" xfId="2498" xr:uid="{00000000-0005-0000-0000-000048260000}"/>
    <cellStyle name="20% - Accent6 5 2 2 5 2" xfId="12798" xr:uid="{00000000-0005-0000-0000-000049260000}"/>
    <cellStyle name="20% - Accent6 5 2 2 5 2 2" xfId="26510" xr:uid="{00000000-0005-0000-0000-00004A260000}"/>
    <cellStyle name="20% - Accent6 5 2 2 5 3" xfId="19822" xr:uid="{00000000-0005-0000-0000-00004B260000}"/>
    <cellStyle name="20% - Accent6 5 2 2 6" xfId="2499" xr:uid="{00000000-0005-0000-0000-00004C260000}"/>
    <cellStyle name="20% - Accent6 5 2 2 6 2" xfId="13832" xr:uid="{00000000-0005-0000-0000-00004D260000}"/>
    <cellStyle name="20% - Accent6 5 2 2 6 2 2" xfId="27381" xr:uid="{00000000-0005-0000-0000-00004E260000}"/>
    <cellStyle name="20% - Accent6 5 2 2 6 3" xfId="19823" xr:uid="{00000000-0005-0000-0000-00004F260000}"/>
    <cellStyle name="20% - Accent6 5 2 2 7" xfId="2500" xr:uid="{00000000-0005-0000-0000-000050260000}"/>
    <cellStyle name="20% - Accent6 5 2 2 7 2" xfId="14413" xr:uid="{00000000-0005-0000-0000-000051260000}"/>
    <cellStyle name="20% - Accent6 5 2 2 7 2 2" xfId="27962" xr:uid="{00000000-0005-0000-0000-000052260000}"/>
    <cellStyle name="20% - Accent6 5 2 2 7 3" xfId="19824" xr:uid="{00000000-0005-0000-0000-000053260000}"/>
    <cellStyle name="20% - Accent6 5 2 2 8" xfId="2501" xr:uid="{00000000-0005-0000-0000-000054260000}"/>
    <cellStyle name="20% - Accent6 5 2 2 8 2" xfId="15028" xr:uid="{00000000-0005-0000-0000-000055260000}"/>
    <cellStyle name="20% - Accent6 5 2 2 8 2 2" xfId="28577" xr:uid="{00000000-0005-0000-0000-000056260000}"/>
    <cellStyle name="20% - Accent6 5 2 2 8 3" xfId="19825" xr:uid="{00000000-0005-0000-0000-000057260000}"/>
    <cellStyle name="20% - Accent6 5 2 2 9" xfId="2502" xr:uid="{00000000-0005-0000-0000-000058260000}"/>
    <cellStyle name="20% - Accent6 5 2 2 9 2" xfId="16299" xr:uid="{00000000-0005-0000-0000-000059260000}"/>
    <cellStyle name="20% - Accent6 5 2 2 9 2 2" xfId="29706" xr:uid="{00000000-0005-0000-0000-00005A260000}"/>
    <cellStyle name="20% - Accent6 5 2 2 9 3" xfId="19826" xr:uid="{00000000-0005-0000-0000-00005B260000}"/>
    <cellStyle name="20% - Accent6 5 2 3" xfId="2503" xr:uid="{00000000-0005-0000-0000-00005C260000}"/>
    <cellStyle name="20% - Accent6 5 2 3 2" xfId="2504" xr:uid="{00000000-0005-0000-0000-00005D260000}"/>
    <cellStyle name="20% - Accent6 5 2 3 2 2" xfId="10904" xr:uid="{00000000-0005-0000-0000-00005E260000}"/>
    <cellStyle name="20% - Accent6 5 2 3 2 2 2" xfId="24846" xr:uid="{00000000-0005-0000-0000-00005F260000}"/>
    <cellStyle name="20% - Accent6 5 2 3 2 3" xfId="19828" xr:uid="{00000000-0005-0000-0000-000060260000}"/>
    <cellStyle name="20% - Accent6 5 2 3 3" xfId="2505" xr:uid="{00000000-0005-0000-0000-000061260000}"/>
    <cellStyle name="20% - Accent6 5 2 3 3 2" xfId="12735" xr:uid="{00000000-0005-0000-0000-000062260000}"/>
    <cellStyle name="20% - Accent6 5 2 3 3 2 2" xfId="26447" xr:uid="{00000000-0005-0000-0000-000063260000}"/>
    <cellStyle name="20% - Accent6 5 2 3 3 3" xfId="19829" xr:uid="{00000000-0005-0000-0000-000064260000}"/>
    <cellStyle name="20% - Accent6 5 2 3 4" xfId="2506" xr:uid="{00000000-0005-0000-0000-000065260000}"/>
    <cellStyle name="20% - Accent6 5 2 3 4 2" xfId="15031" xr:uid="{00000000-0005-0000-0000-000066260000}"/>
    <cellStyle name="20% - Accent6 5 2 3 4 2 2" xfId="28580" xr:uid="{00000000-0005-0000-0000-000067260000}"/>
    <cellStyle name="20% - Accent6 5 2 3 4 3" xfId="19830" xr:uid="{00000000-0005-0000-0000-000068260000}"/>
    <cellStyle name="20% - Accent6 5 2 3 5" xfId="2507" xr:uid="{00000000-0005-0000-0000-000069260000}"/>
    <cellStyle name="20% - Accent6 5 2 3 5 2" xfId="16591" xr:uid="{00000000-0005-0000-0000-00006A260000}"/>
    <cellStyle name="20% - Accent6 5 2 3 5 2 2" xfId="29998" xr:uid="{00000000-0005-0000-0000-00006B260000}"/>
    <cellStyle name="20% - Accent6 5 2 3 5 3" xfId="19831" xr:uid="{00000000-0005-0000-0000-00006C260000}"/>
    <cellStyle name="20% - Accent6 5 2 3 6" xfId="9178" xr:uid="{00000000-0005-0000-0000-00006D260000}"/>
    <cellStyle name="20% - Accent6 5 2 3 6 2" xfId="23653" xr:uid="{00000000-0005-0000-0000-00006E260000}"/>
    <cellStyle name="20% - Accent6 5 2 3 7" xfId="19827" xr:uid="{00000000-0005-0000-0000-00006F260000}"/>
    <cellStyle name="20% - Accent6 5 2 4" xfId="2508" xr:uid="{00000000-0005-0000-0000-000070260000}"/>
    <cellStyle name="20% - Accent6 5 2 4 2" xfId="2509" xr:uid="{00000000-0005-0000-0000-000071260000}"/>
    <cellStyle name="20% - Accent6 5 2 4 2 2" xfId="15032" xr:uid="{00000000-0005-0000-0000-000072260000}"/>
    <cellStyle name="20% - Accent6 5 2 4 2 2 2" xfId="28581" xr:uid="{00000000-0005-0000-0000-000073260000}"/>
    <cellStyle name="20% - Accent6 5 2 4 2 3" xfId="19833" xr:uid="{00000000-0005-0000-0000-000074260000}"/>
    <cellStyle name="20% - Accent6 5 2 4 3" xfId="10901" xr:uid="{00000000-0005-0000-0000-000075260000}"/>
    <cellStyle name="20% - Accent6 5 2 4 3 2" xfId="24843" xr:uid="{00000000-0005-0000-0000-000076260000}"/>
    <cellStyle name="20% - Accent6 5 2 4 4" xfId="19832" xr:uid="{00000000-0005-0000-0000-000077260000}"/>
    <cellStyle name="20% - Accent6 5 2 5" xfId="2510" xr:uid="{00000000-0005-0000-0000-000078260000}"/>
    <cellStyle name="20% - Accent6 5 2 5 2" xfId="11968" xr:uid="{00000000-0005-0000-0000-000079260000}"/>
    <cellStyle name="20% - Accent6 5 2 5 2 2" xfId="25683" xr:uid="{00000000-0005-0000-0000-00007A260000}"/>
    <cellStyle name="20% - Accent6 5 2 5 3" xfId="19834" xr:uid="{00000000-0005-0000-0000-00007B260000}"/>
    <cellStyle name="20% - Accent6 5 2 6" xfId="2511" xr:uid="{00000000-0005-0000-0000-00007C260000}"/>
    <cellStyle name="20% - Accent6 5 2 6 2" xfId="11767" xr:uid="{00000000-0005-0000-0000-00007D260000}"/>
    <cellStyle name="20% - Accent6 5 2 6 2 2" xfId="25482" xr:uid="{00000000-0005-0000-0000-00007E260000}"/>
    <cellStyle name="20% - Accent6 5 2 6 3" xfId="19835" xr:uid="{00000000-0005-0000-0000-00007F260000}"/>
    <cellStyle name="20% - Accent6 5 2 7" xfId="2512" xr:uid="{00000000-0005-0000-0000-000080260000}"/>
    <cellStyle name="20% - Accent6 5 2 7 2" xfId="13543" xr:uid="{00000000-0005-0000-0000-000081260000}"/>
    <cellStyle name="20% - Accent6 5 2 7 2 2" xfId="27092" xr:uid="{00000000-0005-0000-0000-000082260000}"/>
    <cellStyle name="20% - Accent6 5 2 7 3" xfId="19836" xr:uid="{00000000-0005-0000-0000-000083260000}"/>
    <cellStyle name="20% - Accent6 5 2 8" xfId="2513" xr:uid="{00000000-0005-0000-0000-000084260000}"/>
    <cellStyle name="20% - Accent6 5 2 8 2" xfId="14124" xr:uid="{00000000-0005-0000-0000-000085260000}"/>
    <cellStyle name="20% - Accent6 5 2 8 2 2" xfId="27673" xr:uid="{00000000-0005-0000-0000-000086260000}"/>
    <cellStyle name="20% - Accent6 5 2 8 3" xfId="19837" xr:uid="{00000000-0005-0000-0000-000087260000}"/>
    <cellStyle name="20% - Accent6 5 2 9" xfId="2514" xr:uid="{00000000-0005-0000-0000-000088260000}"/>
    <cellStyle name="20% - Accent6 5 2 9 2" xfId="15027" xr:uid="{00000000-0005-0000-0000-000089260000}"/>
    <cellStyle name="20% - Accent6 5 2 9 2 2" xfId="28576" xr:uid="{00000000-0005-0000-0000-00008A260000}"/>
    <cellStyle name="20% - Accent6 5 2 9 3" xfId="19838" xr:uid="{00000000-0005-0000-0000-00008B260000}"/>
    <cellStyle name="20% - Accent6 5 3" xfId="2515" xr:uid="{00000000-0005-0000-0000-00008C260000}"/>
    <cellStyle name="20% - Accent6 5 3 10" xfId="9179" xr:uid="{00000000-0005-0000-0000-00008D260000}"/>
    <cellStyle name="20% - Accent6 5 3 10 2" xfId="23654" xr:uid="{00000000-0005-0000-0000-00008E260000}"/>
    <cellStyle name="20% - Accent6 5 3 11" xfId="19839" xr:uid="{00000000-0005-0000-0000-00008F260000}"/>
    <cellStyle name="20% - Accent6 5 3 2" xfId="2516" xr:uid="{00000000-0005-0000-0000-000090260000}"/>
    <cellStyle name="20% - Accent6 5 3 2 2" xfId="2517" xr:uid="{00000000-0005-0000-0000-000091260000}"/>
    <cellStyle name="20% - Accent6 5 3 2 2 2" xfId="10906" xr:uid="{00000000-0005-0000-0000-000092260000}"/>
    <cellStyle name="20% - Accent6 5 3 2 2 2 2" xfId="24848" xr:uid="{00000000-0005-0000-0000-000093260000}"/>
    <cellStyle name="20% - Accent6 5 3 2 2 3" xfId="19841" xr:uid="{00000000-0005-0000-0000-000094260000}"/>
    <cellStyle name="20% - Accent6 5 3 2 3" xfId="2518" xr:uid="{00000000-0005-0000-0000-000095260000}"/>
    <cellStyle name="20% - Accent6 5 3 2 3 2" xfId="12562" xr:uid="{00000000-0005-0000-0000-000096260000}"/>
    <cellStyle name="20% - Accent6 5 3 2 3 2 2" xfId="26274" xr:uid="{00000000-0005-0000-0000-000097260000}"/>
    <cellStyle name="20% - Accent6 5 3 2 3 3" xfId="19842" xr:uid="{00000000-0005-0000-0000-000098260000}"/>
    <cellStyle name="20% - Accent6 5 3 2 4" xfId="2519" xr:uid="{00000000-0005-0000-0000-000099260000}"/>
    <cellStyle name="20% - Accent6 5 3 2 4 2" xfId="15034" xr:uid="{00000000-0005-0000-0000-00009A260000}"/>
    <cellStyle name="20% - Accent6 5 3 2 4 2 2" xfId="28583" xr:uid="{00000000-0005-0000-0000-00009B260000}"/>
    <cellStyle name="20% - Accent6 5 3 2 4 3" xfId="19843" xr:uid="{00000000-0005-0000-0000-00009C260000}"/>
    <cellStyle name="20% - Accent6 5 3 2 5" xfId="2520" xr:uid="{00000000-0005-0000-0000-00009D260000}"/>
    <cellStyle name="20% - Accent6 5 3 2 5 2" xfId="16740" xr:uid="{00000000-0005-0000-0000-00009E260000}"/>
    <cellStyle name="20% - Accent6 5 3 2 5 2 2" xfId="30147" xr:uid="{00000000-0005-0000-0000-00009F260000}"/>
    <cellStyle name="20% - Accent6 5 3 2 5 3" xfId="19844" xr:uid="{00000000-0005-0000-0000-0000A0260000}"/>
    <cellStyle name="20% - Accent6 5 3 2 6" xfId="9180" xr:uid="{00000000-0005-0000-0000-0000A1260000}"/>
    <cellStyle name="20% - Accent6 5 3 2 6 2" xfId="23655" xr:uid="{00000000-0005-0000-0000-0000A2260000}"/>
    <cellStyle name="20% - Accent6 5 3 2 7" xfId="19840" xr:uid="{00000000-0005-0000-0000-0000A3260000}"/>
    <cellStyle name="20% - Accent6 5 3 3" xfId="2521" xr:uid="{00000000-0005-0000-0000-0000A4260000}"/>
    <cellStyle name="20% - Accent6 5 3 3 2" xfId="2522" xr:uid="{00000000-0005-0000-0000-0000A5260000}"/>
    <cellStyle name="20% - Accent6 5 3 3 2 2" xfId="15035" xr:uid="{00000000-0005-0000-0000-0000A6260000}"/>
    <cellStyle name="20% - Accent6 5 3 3 2 2 2" xfId="28584" xr:uid="{00000000-0005-0000-0000-0000A7260000}"/>
    <cellStyle name="20% - Accent6 5 3 3 2 3" xfId="19846" xr:uid="{00000000-0005-0000-0000-0000A8260000}"/>
    <cellStyle name="20% - Accent6 5 3 3 3" xfId="10905" xr:uid="{00000000-0005-0000-0000-0000A9260000}"/>
    <cellStyle name="20% - Accent6 5 3 3 3 2" xfId="24847" xr:uid="{00000000-0005-0000-0000-0000AA260000}"/>
    <cellStyle name="20% - Accent6 5 3 3 4" xfId="19845" xr:uid="{00000000-0005-0000-0000-0000AB260000}"/>
    <cellStyle name="20% - Accent6 5 3 4" xfId="2523" xr:uid="{00000000-0005-0000-0000-0000AC260000}"/>
    <cellStyle name="20% - Accent6 5 3 4 2" xfId="12128" xr:uid="{00000000-0005-0000-0000-0000AD260000}"/>
    <cellStyle name="20% - Accent6 5 3 4 2 2" xfId="25840" xr:uid="{00000000-0005-0000-0000-0000AE260000}"/>
    <cellStyle name="20% - Accent6 5 3 4 3" xfId="19847" xr:uid="{00000000-0005-0000-0000-0000AF260000}"/>
    <cellStyle name="20% - Accent6 5 3 5" xfId="2524" xr:uid="{00000000-0005-0000-0000-0000B0260000}"/>
    <cellStyle name="20% - Accent6 5 3 5 2" xfId="12806" xr:uid="{00000000-0005-0000-0000-0000B1260000}"/>
    <cellStyle name="20% - Accent6 5 3 5 2 2" xfId="26518" xr:uid="{00000000-0005-0000-0000-0000B2260000}"/>
    <cellStyle name="20% - Accent6 5 3 5 3" xfId="19848" xr:uid="{00000000-0005-0000-0000-0000B3260000}"/>
    <cellStyle name="20% - Accent6 5 3 6" xfId="2525" xr:uid="{00000000-0005-0000-0000-0000B4260000}"/>
    <cellStyle name="20% - Accent6 5 3 6 2" xfId="13692" xr:uid="{00000000-0005-0000-0000-0000B5260000}"/>
    <cellStyle name="20% - Accent6 5 3 6 2 2" xfId="27241" xr:uid="{00000000-0005-0000-0000-0000B6260000}"/>
    <cellStyle name="20% - Accent6 5 3 6 3" xfId="19849" xr:uid="{00000000-0005-0000-0000-0000B7260000}"/>
    <cellStyle name="20% - Accent6 5 3 7" xfId="2526" xr:uid="{00000000-0005-0000-0000-0000B8260000}"/>
    <cellStyle name="20% - Accent6 5 3 7 2" xfId="14273" xr:uid="{00000000-0005-0000-0000-0000B9260000}"/>
    <cellStyle name="20% - Accent6 5 3 7 2 2" xfId="27822" xr:uid="{00000000-0005-0000-0000-0000BA260000}"/>
    <cellStyle name="20% - Accent6 5 3 7 3" xfId="19850" xr:uid="{00000000-0005-0000-0000-0000BB260000}"/>
    <cellStyle name="20% - Accent6 5 3 8" xfId="2527" xr:uid="{00000000-0005-0000-0000-0000BC260000}"/>
    <cellStyle name="20% - Accent6 5 3 8 2" xfId="15033" xr:uid="{00000000-0005-0000-0000-0000BD260000}"/>
    <cellStyle name="20% - Accent6 5 3 8 2 2" xfId="28582" xr:uid="{00000000-0005-0000-0000-0000BE260000}"/>
    <cellStyle name="20% - Accent6 5 3 8 3" xfId="19851" xr:uid="{00000000-0005-0000-0000-0000BF260000}"/>
    <cellStyle name="20% - Accent6 5 3 9" xfId="2528" xr:uid="{00000000-0005-0000-0000-0000C0260000}"/>
    <cellStyle name="20% - Accent6 5 3 9 2" xfId="16159" xr:uid="{00000000-0005-0000-0000-0000C1260000}"/>
    <cellStyle name="20% - Accent6 5 3 9 2 2" xfId="29566" xr:uid="{00000000-0005-0000-0000-0000C2260000}"/>
    <cellStyle name="20% - Accent6 5 3 9 3" xfId="19852" xr:uid="{00000000-0005-0000-0000-0000C3260000}"/>
    <cellStyle name="20% - Accent6 5 4" xfId="2529" xr:uid="{00000000-0005-0000-0000-0000C4260000}"/>
    <cellStyle name="20% - Accent6 5 4 2" xfId="2530" xr:uid="{00000000-0005-0000-0000-0000C5260000}"/>
    <cellStyle name="20% - Accent6 5 4 2 2" xfId="10907" xr:uid="{00000000-0005-0000-0000-0000C6260000}"/>
    <cellStyle name="20% - Accent6 5 4 2 2 2" xfId="24849" xr:uid="{00000000-0005-0000-0000-0000C7260000}"/>
    <cellStyle name="20% - Accent6 5 4 2 3" xfId="19854" xr:uid="{00000000-0005-0000-0000-0000C8260000}"/>
    <cellStyle name="20% - Accent6 5 4 3" xfId="2531" xr:uid="{00000000-0005-0000-0000-0000C9260000}"/>
    <cellStyle name="20% - Accent6 5 4 3 2" xfId="12116" xr:uid="{00000000-0005-0000-0000-0000CA260000}"/>
    <cellStyle name="20% - Accent6 5 4 3 2 2" xfId="25828" xr:uid="{00000000-0005-0000-0000-0000CB260000}"/>
    <cellStyle name="20% - Accent6 5 4 3 3" xfId="19855" xr:uid="{00000000-0005-0000-0000-0000CC260000}"/>
    <cellStyle name="20% - Accent6 5 4 4" xfId="2532" xr:uid="{00000000-0005-0000-0000-0000CD260000}"/>
    <cellStyle name="20% - Accent6 5 4 4 2" xfId="15036" xr:uid="{00000000-0005-0000-0000-0000CE260000}"/>
    <cellStyle name="20% - Accent6 5 4 4 2 2" xfId="28585" xr:uid="{00000000-0005-0000-0000-0000CF260000}"/>
    <cellStyle name="20% - Accent6 5 4 4 3" xfId="19856" xr:uid="{00000000-0005-0000-0000-0000D0260000}"/>
    <cellStyle name="20% - Accent6 5 4 5" xfId="2533" xr:uid="{00000000-0005-0000-0000-0000D1260000}"/>
    <cellStyle name="20% - Accent6 5 4 5 2" xfId="16448" xr:uid="{00000000-0005-0000-0000-0000D2260000}"/>
    <cellStyle name="20% - Accent6 5 4 5 2 2" xfId="29855" xr:uid="{00000000-0005-0000-0000-0000D3260000}"/>
    <cellStyle name="20% - Accent6 5 4 5 3" xfId="19857" xr:uid="{00000000-0005-0000-0000-0000D4260000}"/>
    <cellStyle name="20% - Accent6 5 4 6" xfId="9181" xr:uid="{00000000-0005-0000-0000-0000D5260000}"/>
    <cellStyle name="20% - Accent6 5 4 6 2" xfId="23656" xr:uid="{00000000-0005-0000-0000-0000D6260000}"/>
    <cellStyle name="20% - Accent6 5 4 7" xfId="19853" xr:uid="{00000000-0005-0000-0000-0000D7260000}"/>
    <cellStyle name="20% - Accent6 5 5" xfId="2534" xr:uid="{00000000-0005-0000-0000-0000D8260000}"/>
    <cellStyle name="20% - Accent6 5 5 2" xfId="2535" xr:uid="{00000000-0005-0000-0000-0000D9260000}"/>
    <cellStyle name="20% - Accent6 5 5 2 2" xfId="15037" xr:uid="{00000000-0005-0000-0000-0000DA260000}"/>
    <cellStyle name="20% - Accent6 5 5 2 2 2" xfId="28586" xr:uid="{00000000-0005-0000-0000-0000DB260000}"/>
    <cellStyle name="20% - Accent6 5 5 2 3" xfId="19859" xr:uid="{00000000-0005-0000-0000-0000DC260000}"/>
    <cellStyle name="20% - Accent6 5 5 3" xfId="10900" xr:uid="{00000000-0005-0000-0000-0000DD260000}"/>
    <cellStyle name="20% - Accent6 5 5 3 2" xfId="24842" xr:uid="{00000000-0005-0000-0000-0000DE260000}"/>
    <cellStyle name="20% - Accent6 5 5 4" xfId="19858" xr:uid="{00000000-0005-0000-0000-0000DF260000}"/>
    <cellStyle name="20% - Accent6 5 6" xfId="2536" xr:uid="{00000000-0005-0000-0000-0000E0260000}"/>
    <cellStyle name="20% - Accent6 5 6 2" xfId="11799" xr:uid="{00000000-0005-0000-0000-0000E1260000}"/>
    <cellStyle name="20% - Accent6 5 6 2 2" xfId="25514" xr:uid="{00000000-0005-0000-0000-0000E2260000}"/>
    <cellStyle name="20% - Accent6 5 6 3" xfId="19860" xr:uid="{00000000-0005-0000-0000-0000E3260000}"/>
    <cellStyle name="20% - Accent6 5 7" xfId="2537" xr:uid="{00000000-0005-0000-0000-0000E4260000}"/>
    <cellStyle name="20% - Accent6 5 7 2" xfId="12559" xr:uid="{00000000-0005-0000-0000-0000E5260000}"/>
    <cellStyle name="20% - Accent6 5 7 2 2" xfId="26271" xr:uid="{00000000-0005-0000-0000-0000E6260000}"/>
    <cellStyle name="20% - Accent6 5 7 3" xfId="19861" xr:uid="{00000000-0005-0000-0000-0000E7260000}"/>
    <cellStyle name="20% - Accent6 5 8" xfId="2538" xr:uid="{00000000-0005-0000-0000-0000E8260000}"/>
    <cellStyle name="20% - Accent6 5 8 2" xfId="13400" xr:uid="{00000000-0005-0000-0000-0000E9260000}"/>
    <cellStyle name="20% - Accent6 5 8 2 2" xfId="26949" xr:uid="{00000000-0005-0000-0000-0000EA260000}"/>
    <cellStyle name="20% - Accent6 5 8 3" xfId="19862" xr:uid="{00000000-0005-0000-0000-0000EB260000}"/>
    <cellStyle name="20% - Accent6 5 9" xfId="2539" xr:uid="{00000000-0005-0000-0000-0000EC260000}"/>
    <cellStyle name="20% - Accent6 5 9 2" xfId="13981" xr:uid="{00000000-0005-0000-0000-0000ED260000}"/>
    <cellStyle name="20% - Accent6 5 9 2 2" xfId="27530" xr:uid="{00000000-0005-0000-0000-0000EE260000}"/>
    <cellStyle name="20% - Accent6 5 9 3" xfId="19863" xr:uid="{00000000-0005-0000-0000-0000EF260000}"/>
    <cellStyle name="20% - Accent6 6" xfId="2540" xr:uid="{00000000-0005-0000-0000-0000F0260000}"/>
    <cellStyle name="20% - Accent6 6 10" xfId="2541" xr:uid="{00000000-0005-0000-0000-0000F1260000}"/>
    <cellStyle name="20% - Accent6 6 10 2" xfId="15038" xr:uid="{00000000-0005-0000-0000-0000F2260000}"/>
    <cellStyle name="20% - Accent6 6 10 2 2" xfId="28587" xr:uid="{00000000-0005-0000-0000-0000F3260000}"/>
    <cellStyle name="20% - Accent6 6 10 3" xfId="19865" xr:uid="{00000000-0005-0000-0000-0000F4260000}"/>
    <cellStyle name="20% - Accent6 6 11" xfId="2542" xr:uid="{00000000-0005-0000-0000-0000F5260000}"/>
    <cellStyle name="20% - Accent6 6 11 2" xfId="15973" xr:uid="{00000000-0005-0000-0000-0000F6260000}"/>
    <cellStyle name="20% - Accent6 6 11 2 2" xfId="29380" xr:uid="{00000000-0005-0000-0000-0000F7260000}"/>
    <cellStyle name="20% - Accent6 6 11 3" xfId="19866" xr:uid="{00000000-0005-0000-0000-0000F8260000}"/>
    <cellStyle name="20% - Accent6 6 12" xfId="9182" xr:uid="{00000000-0005-0000-0000-0000F9260000}"/>
    <cellStyle name="20% - Accent6 6 12 2" xfId="23657" xr:uid="{00000000-0005-0000-0000-0000FA260000}"/>
    <cellStyle name="20% - Accent6 6 13" xfId="19864" xr:uid="{00000000-0005-0000-0000-0000FB260000}"/>
    <cellStyle name="20% - Accent6 6 2" xfId="2543" xr:uid="{00000000-0005-0000-0000-0000FC260000}"/>
    <cellStyle name="20% - Accent6 6 2 10" xfId="2544" xr:uid="{00000000-0005-0000-0000-0000FD260000}"/>
    <cellStyle name="20% - Accent6 6 2 10 2" xfId="16116" xr:uid="{00000000-0005-0000-0000-0000FE260000}"/>
    <cellStyle name="20% - Accent6 6 2 10 2 2" xfId="29523" xr:uid="{00000000-0005-0000-0000-0000FF260000}"/>
    <cellStyle name="20% - Accent6 6 2 10 3" xfId="19868" xr:uid="{00000000-0005-0000-0000-000000270000}"/>
    <cellStyle name="20% - Accent6 6 2 11" xfId="9183" xr:uid="{00000000-0005-0000-0000-000001270000}"/>
    <cellStyle name="20% - Accent6 6 2 11 2" xfId="23658" xr:uid="{00000000-0005-0000-0000-000002270000}"/>
    <cellStyle name="20% - Accent6 6 2 12" xfId="19867" xr:uid="{00000000-0005-0000-0000-000003270000}"/>
    <cellStyle name="20% - Accent6 6 2 2" xfId="2545" xr:uid="{00000000-0005-0000-0000-000004270000}"/>
    <cellStyle name="20% - Accent6 6 2 2 10" xfId="9184" xr:uid="{00000000-0005-0000-0000-000005270000}"/>
    <cellStyle name="20% - Accent6 6 2 2 10 2" xfId="23659" xr:uid="{00000000-0005-0000-0000-000006270000}"/>
    <cellStyle name="20% - Accent6 6 2 2 11" xfId="19869" xr:uid="{00000000-0005-0000-0000-000007270000}"/>
    <cellStyle name="20% - Accent6 6 2 2 2" xfId="2546" xr:uid="{00000000-0005-0000-0000-000008270000}"/>
    <cellStyle name="20% - Accent6 6 2 2 2 2" xfId="2547" xr:uid="{00000000-0005-0000-0000-000009270000}"/>
    <cellStyle name="20% - Accent6 6 2 2 2 2 2" xfId="10911" xr:uid="{00000000-0005-0000-0000-00000A270000}"/>
    <cellStyle name="20% - Accent6 6 2 2 2 2 2 2" xfId="24853" xr:uid="{00000000-0005-0000-0000-00000B270000}"/>
    <cellStyle name="20% - Accent6 6 2 2 2 2 3" xfId="19871" xr:uid="{00000000-0005-0000-0000-00000C270000}"/>
    <cellStyle name="20% - Accent6 6 2 2 2 3" xfId="2548" xr:uid="{00000000-0005-0000-0000-00000D270000}"/>
    <cellStyle name="20% - Accent6 6 2 2 2 3 2" xfId="12793" xr:uid="{00000000-0005-0000-0000-00000E270000}"/>
    <cellStyle name="20% - Accent6 6 2 2 2 3 2 2" xfId="26505" xr:uid="{00000000-0005-0000-0000-00000F270000}"/>
    <cellStyle name="20% - Accent6 6 2 2 2 3 3" xfId="19872" xr:uid="{00000000-0005-0000-0000-000010270000}"/>
    <cellStyle name="20% - Accent6 6 2 2 2 4" xfId="2549" xr:uid="{00000000-0005-0000-0000-000011270000}"/>
    <cellStyle name="20% - Accent6 6 2 2 2 4 2" xfId="15041" xr:uid="{00000000-0005-0000-0000-000012270000}"/>
    <cellStyle name="20% - Accent6 6 2 2 2 4 2 2" xfId="28590" xr:uid="{00000000-0005-0000-0000-000013270000}"/>
    <cellStyle name="20% - Accent6 6 2 2 2 4 3" xfId="19873" xr:uid="{00000000-0005-0000-0000-000014270000}"/>
    <cellStyle name="20% - Accent6 6 2 2 2 5" xfId="2550" xr:uid="{00000000-0005-0000-0000-000015270000}"/>
    <cellStyle name="20% - Accent6 6 2 2 2 5 2" xfId="16986" xr:uid="{00000000-0005-0000-0000-000016270000}"/>
    <cellStyle name="20% - Accent6 6 2 2 2 5 2 2" xfId="30393" xr:uid="{00000000-0005-0000-0000-000017270000}"/>
    <cellStyle name="20% - Accent6 6 2 2 2 5 3" xfId="19874" xr:uid="{00000000-0005-0000-0000-000018270000}"/>
    <cellStyle name="20% - Accent6 6 2 2 2 6" xfId="9185" xr:uid="{00000000-0005-0000-0000-000019270000}"/>
    <cellStyle name="20% - Accent6 6 2 2 2 6 2" xfId="23660" xr:uid="{00000000-0005-0000-0000-00001A270000}"/>
    <cellStyle name="20% - Accent6 6 2 2 2 7" xfId="19870" xr:uid="{00000000-0005-0000-0000-00001B270000}"/>
    <cellStyle name="20% - Accent6 6 2 2 3" xfId="2551" xr:uid="{00000000-0005-0000-0000-00001C270000}"/>
    <cellStyle name="20% - Accent6 6 2 2 3 2" xfId="2552" xr:uid="{00000000-0005-0000-0000-00001D270000}"/>
    <cellStyle name="20% - Accent6 6 2 2 3 2 2" xfId="15042" xr:uid="{00000000-0005-0000-0000-00001E270000}"/>
    <cellStyle name="20% - Accent6 6 2 2 3 2 2 2" xfId="28591" xr:uid="{00000000-0005-0000-0000-00001F270000}"/>
    <cellStyle name="20% - Accent6 6 2 2 3 2 3" xfId="19876" xr:uid="{00000000-0005-0000-0000-000020270000}"/>
    <cellStyle name="20% - Accent6 6 2 2 3 3" xfId="10910" xr:uid="{00000000-0005-0000-0000-000021270000}"/>
    <cellStyle name="20% - Accent6 6 2 2 3 3 2" xfId="24852" xr:uid="{00000000-0005-0000-0000-000022270000}"/>
    <cellStyle name="20% - Accent6 6 2 2 3 4" xfId="19875" xr:uid="{00000000-0005-0000-0000-000023270000}"/>
    <cellStyle name="20% - Accent6 6 2 2 4" xfId="2553" xr:uid="{00000000-0005-0000-0000-000024270000}"/>
    <cellStyle name="20% - Accent6 6 2 2 4 2" xfId="12374" xr:uid="{00000000-0005-0000-0000-000025270000}"/>
    <cellStyle name="20% - Accent6 6 2 2 4 2 2" xfId="26086" xr:uid="{00000000-0005-0000-0000-000026270000}"/>
    <cellStyle name="20% - Accent6 6 2 2 4 3" xfId="19877" xr:uid="{00000000-0005-0000-0000-000027270000}"/>
    <cellStyle name="20% - Accent6 6 2 2 5" xfId="2554" xr:uid="{00000000-0005-0000-0000-000028270000}"/>
    <cellStyle name="20% - Accent6 6 2 2 5 2" xfId="12701" xr:uid="{00000000-0005-0000-0000-000029270000}"/>
    <cellStyle name="20% - Accent6 6 2 2 5 2 2" xfId="26413" xr:uid="{00000000-0005-0000-0000-00002A270000}"/>
    <cellStyle name="20% - Accent6 6 2 2 5 3" xfId="19878" xr:uid="{00000000-0005-0000-0000-00002B270000}"/>
    <cellStyle name="20% - Accent6 6 2 2 6" xfId="2555" xr:uid="{00000000-0005-0000-0000-00002C270000}"/>
    <cellStyle name="20% - Accent6 6 2 2 6 2" xfId="13938" xr:uid="{00000000-0005-0000-0000-00002D270000}"/>
    <cellStyle name="20% - Accent6 6 2 2 6 2 2" xfId="27487" xr:uid="{00000000-0005-0000-0000-00002E270000}"/>
    <cellStyle name="20% - Accent6 6 2 2 6 3" xfId="19879" xr:uid="{00000000-0005-0000-0000-00002F270000}"/>
    <cellStyle name="20% - Accent6 6 2 2 7" xfId="2556" xr:uid="{00000000-0005-0000-0000-000030270000}"/>
    <cellStyle name="20% - Accent6 6 2 2 7 2" xfId="14519" xr:uid="{00000000-0005-0000-0000-000031270000}"/>
    <cellStyle name="20% - Accent6 6 2 2 7 2 2" xfId="28068" xr:uid="{00000000-0005-0000-0000-000032270000}"/>
    <cellStyle name="20% - Accent6 6 2 2 7 3" xfId="19880" xr:uid="{00000000-0005-0000-0000-000033270000}"/>
    <cellStyle name="20% - Accent6 6 2 2 8" xfId="2557" xr:uid="{00000000-0005-0000-0000-000034270000}"/>
    <cellStyle name="20% - Accent6 6 2 2 8 2" xfId="15040" xr:uid="{00000000-0005-0000-0000-000035270000}"/>
    <cellStyle name="20% - Accent6 6 2 2 8 2 2" xfId="28589" xr:uid="{00000000-0005-0000-0000-000036270000}"/>
    <cellStyle name="20% - Accent6 6 2 2 8 3" xfId="19881" xr:uid="{00000000-0005-0000-0000-000037270000}"/>
    <cellStyle name="20% - Accent6 6 2 2 9" xfId="2558" xr:uid="{00000000-0005-0000-0000-000038270000}"/>
    <cellStyle name="20% - Accent6 6 2 2 9 2" xfId="16405" xr:uid="{00000000-0005-0000-0000-000039270000}"/>
    <cellStyle name="20% - Accent6 6 2 2 9 2 2" xfId="29812" xr:uid="{00000000-0005-0000-0000-00003A270000}"/>
    <cellStyle name="20% - Accent6 6 2 2 9 3" xfId="19882" xr:uid="{00000000-0005-0000-0000-00003B270000}"/>
    <cellStyle name="20% - Accent6 6 2 3" xfId="2559" xr:uid="{00000000-0005-0000-0000-00003C270000}"/>
    <cellStyle name="20% - Accent6 6 2 3 2" xfId="2560" xr:uid="{00000000-0005-0000-0000-00003D270000}"/>
    <cellStyle name="20% - Accent6 6 2 3 2 2" xfId="10912" xr:uid="{00000000-0005-0000-0000-00003E270000}"/>
    <cellStyle name="20% - Accent6 6 2 3 2 2 2" xfId="24854" xr:uid="{00000000-0005-0000-0000-00003F270000}"/>
    <cellStyle name="20% - Accent6 6 2 3 2 3" xfId="19884" xr:uid="{00000000-0005-0000-0000-000040270000}"/>
    <cellStyle name="20% - Accent6 6 2 3 3" xfId="2561" xr:uid="{00000000-0005-0000-0000-000041270000}"/>
    <cellStyle name="20% - Accent6 6 2 3 3 2" xfId="12708" xr:uid="{00000000-0005-0000-0000-000042270000}"/>
    <cellStyle name="20% - Accent6 6 2 3 3 2 2" xfId="26420" xr:uid="{00000000-0005-0000-0000-000043270000}"/>
    <cellStyle name="20% - Accent6 6 2 3 3 3" xfId="19885" xr:uid="{00000000-0005-0000-0000-000044270000}"/>
    <cellStyle name="20% - Accent6 6 2 3 4" xfId="2562" xr:uid="{00000000-0005-0000-0000-000045270000}"/>
    <cellStyle name="20% - Accent6 6 2 3 4 2" xfId="15043" xr:uid="{00000000-0005-0000-0000-000046270000}"/>
    <cellStyle name="20% - Accent6 6 2 3 4 2 2" xfId="28592" xr:uid="{00000000-0005-0000-0000-000047270000}"/>
    <cellStyle name="20% - Accent6 6 2 3 4 3" xfId="19886" xr:uid="{00000000-0005-0000-0000-000048270000}"/>
    <cellStyle name="20% - Accent6 6 2 3 5" xfId="2563" xr:uid="{00000000-0005-0000-0000-000049270000}"/>
    <cellStyle name="20% - Accent6 6 2 3 5 2" xfId="16697" xr:uid="{00000000-0005-0000-0000-00004A270000}"/>
    <cellStyle name="20% - Accent6 6 2 3 5 2 2" xfId="30104" xr:uid="{00000000-0005-0000-0000-00004B270000}"/>
    <cellStyle name="20% - Accent6 6 2 3 5 3" xfId="19887" xr:uid="{00000000-0005-0000-0000-00004C270000}"/>
    <cellStyle name="20% - Accent6 6 2 3 6" xfId="9186" xr:uid="{00000000-0005-0000-0000-00004D270000}"/>
    <cellStyle name="20% - Accent6 6 2 3 6 2" xfId="23661" xr:uid="{00000000-0005-0000-0000-00004E270000}"/>
    <cellStyle name="20% - Accent6 6 2 3 7" xfId="19883" xr:uid="{00000000-0005-0000-0000-00004F270000}"/>
    <cellStyle name="20% - Accent6 6 2 4" xfId="2564" xr:uid="{00000000-0005-0000-0000-000050270000}"/>
    <cellStyle name="20% - Accent6 6 2 4 2" xfId="2565" xr:uid="{00000000-0005-0000-0000-000051270000}"/>
    <cellStyle name="20% - Accent6 6 2 4 2 2" xfId="15044" xr:uid="{00000000-0005-0000-0000-000052270000}"/>
    <cellStyle name="20% - Accent6 6 2 4 2 2 2" xfId="28593" xr:uid="{00000000-0005-0000-0000-000053270000}"/>
    <cellStyle name="20% - Accent6 6 2 4 2 3" xfId="19889" xr:uid="{00000000-0005-0000-0000-000054270000}"/>
    <cellStyle name="20% - Accent6 6 2 4 3" xfId="10909" xr:uid="{00000000-0005-0000-0000-000055270000}"/>
    <cellStyle name="20% - Accent6 6 2 4 3 2" xfId="24851" xr:uid="{00000000-0005-0000-0000-000056270000}"/>
    <cellStyle name="20% - Accent6 6 2 4 4" xfId="19888" xr:uid="{00000000-0005-0000-0000-000057270000}"/>
    <cellStyle name="20% - Accent6 6 2 5" xfId="2566" xr:uid="{00000000-0005-0000-0000-000058270000}"/>
    <cellStyle name="20% - Accent6 6 2 5 2" xfId="12074" xr:uid="{00000000-0005-0000-0000-000059270000}"/>
    <cellStyle name="20% - Accent6 6 2 5 2 2" xfId="25789" xr:uid="{00000000-0005-0000-0000-00005A270000}"/>
    <cellStyle name="20% - Accent6 6 2 5 3" xfId="19890" xr:uid="{00000000-0005-0000-0000-00005B270000}"/>
    <cellStyle name="20% - Accent6 6 2 6" xfId="2567" xr:uid="{00000000-0005-0000-0000-00005C270000}"/>
    <cellStyle name="20% - Accent6 6 2 6 2" xfId="12661" xr:uid="{00000000-0005-0000-0000-00005D270000}"/>
    <cellStyle name="20% - Accent6 6 2 6 2 2" xfId="26373" xr:uid="{00000000-0005-0000-0000-00005E270000}"/>
    <cellStyle name="20% - Accent6 6 2 6 3" xfId="19891" xr:uid="{00000000-0005-0000-0000-00005F270000}"/>
    <cellStyle name="20% - Accent6 6 2 7" xfId="2568" xr:uid="{00000000-0005-0000-0000-000060270000}"/>
    <cellStyle name="20% - Accent6 6 2 7 2" xfId="13649" xr:uid="{00000000-0005-0000-0000-000061270000}"/>
    <cellStyle name="20% - Accent6 6 2 7 2 2" xfId="27198" xr:uid="{00000000-0005-0000-0000-000062270000}"/>
    <cellStyle name="20% - Accent6 6 2 7 3" xfId="19892" xr:uid="{00000000-0005-0000-0000-000063270000}"/>
    <cellStyle name="20% - Accent6 6 2 8" xfId="2569" xr:uid="{00000000-0005-0000-0000-000064270000}"/>
    <cellStyle name="20% - Accent6 6 2 8 2" xfId="14230" xr:uid="{00000000-0005-0000-0000-000065270000}"/>
    <cellStyle name="20% - Accent6 6 2 8 2 2" xfId="27779" xr:uid="{00000000-0005-0000-0000-000066270000}"/>
    <cellStyle name="20% - Accent6 6 2 8 3" xfId="19893" xr:uid="{00000000-0005-0000-0000-000067270000}"/>
    <cellStyle name="20% - Accent6 6 2 9" xfId="2570" xr:uid="{00000000-0005-0000-0000-000068270000}"/>
    <cellStyle name="20% - Accent6 6 2 9 2" xfId="15039" xr:uid="{00000000-0005-0000-0000-000069270000}"/>
    <cellStyle name="20% - Accent6 6 2 9 2 2" xfId="28588" xr:uid="{00000000-0005-0000-0000-00006A270000}"/>
    <cellStyle name="20% - Accent6 6 2 9 3" xfId="19894" xr:uid="{00000000-0005-0000-0000-00006B270000}"/>
    <cellStyle name="20% - Accent6 6 3" xfId="2571" xr:uid="{00000000-0005-0000-0000-00006C270000}"/>
    <cellStyle name="20% - Accent6 6 3 10" xfId="9187" xr:uid="{00000000-0005-0000-0000-00006D270000}"/>
    <cellStyle name="20% - Accent6 6 3 10 2" xfId="23662" xr:uid="{00000000-0005-0000-0000-00006E270000}"/>
    <cellStyle name="20% - Accent6 6 3 11" xfId="19895" xr:uid="{00000000-0005-0000-0000-00006F270000}"/>
    <cellStyle name="20% - Accent6 6 3 2" xfId="2572" xr:uid="{00000000-0005-0000-0000-000070270000}"/>
    <cellStyle name="20% - Accent6 6 3 2 2" xfId="2573" xr:uid="{00000000-0005-0000-0000-000071270000}"/>
    <cellStyle name="20% - Accent6 6 3 2 2 2" xfId="10914" xr:uid="{00000000-0005-0000-0000-000072270000}"/>
    <cellStyle name="20% - Accent6 6 3 2 2 2 2" xfId="24856" xr:uid="{00000000-0005-0000-0000-000073270000}"/>
    <cellStyle name="20% - Accent6 6 3 2 2 3" xfId="19897" xr:uid="{00000000-0005-0000-0000-000074270000}"/>
    <cellStyle name="20% - Accent6 6 3 2 3" xfId="2574" xr:uid="{00000000-0005-0000-0000-000075270000}"/>
    <cellStyle name="20% - Accent6 6 3 2 3 2" xfId="12667" xr:uid="{00000000-0005-0000-0000-000076270000}"/>
    <cellStyle name="20% - Accent6 6 3 2 3 2 2" xfId="26379" xr:uid="{00000000-0005-0000-0000-000077270000}"/>
    <cellStyle name="20% - Accent6 6 3 2 3 3" xfId="19898" xr:uid="{00000000-0005-0000-0000-000078270000}"/>
    <cellStyle name="20% - Accent6 6 3 2 4" xfId="2575" xr:uid="{00000000-0005-0000-0000-000079270000}"/>
    <cellStyle name="20% - Accent6 6 3 2 4 2" xfId="15046" xr:uid="{00000000-0005-0000-0000-00007A270000}"/>
    <cellStyle name="20% - Accent6 6 3 2 4 2 2" xfId="28595" xr:uid="{00000000-0005-0000-0000-00007B270000}"/>
    <cellStyle name="20% - Accent6 6 3 2 4 3" xfId="19899" xr:uid="{00000000-0005-0000-0000-00007C270000}"/>
    <cellStyle name="20% - Accent6 6 3 2 5" xfId="2576" xr:uid="{00000000-0005-0000-0000-00007D270000}"/>
    <cellStyle name="20% - Accent6 6 3 2 5 2" xfId="16843" xr:uid="{00000000-0005-0000-0000-00007E270000}"/>
    <cellStyle name="20% - Accent6 6 3 2 5 2 2" xfId="30250" xr:uid="{00000000-0005-0000-0000-00007F270000}"/>
    <cellStyle name="20% - Accent6 6 3 2 5 3" xfId="19900" xr:uid="{00000000-0005-0000-0000-000080270000}"/>
    <cellStyle name="20% - Accent6 6 3 2 6" xfId="9188" xr:uid="{00000000-0005-0000-0000-000081270000}"/>
    <cellStyle name="20% - Accent6 6 3 2 6 2" xfId="23663" xr:uid="{00000000-0005-0000-0000-000082270000}"/>
    <cellStyle name="20% - Accent6 6 3 2 7" xfId="19896" xr:uid="{00000000-0005-0000-0000-000083270000}"/>
    <cellStyle name="20% - Accent6 6 3 3" xfId="2577" xr:uid="{00000000-0005-0000-0000-000084270000}"/>
    <cellStyle name="20% - Accent6 6 3 3 2" xfId="2578" xr:uid="{00000000-0005-0000-0000-000085270000}"/>
    <cellStyle name="20% - Accent6 6 3 3 2 2" xfId="15047" xr:uid="{00000000-0005-0000-0000-000086270000}"/>
    <cellStyle name="20% - Accent6 6 3 3 2 2 2" xfId="28596" xr:uid="{00000000-0005-0000-0000-000087270000}"/>
    <cellStyle name="20% - Accent6 6 3 3 2 3" xfId="19902" xr:uid="{00000000-0005-0000-0000-000088270000}"/>
    <cellStyle name="20% - Accent6 6 3 3 3" xfId="10913" xr:uid="{00000000-0005-0000-0000-000089270000}"/>
    <cellStyle name="20% - Accent6 6 3 3 3 2" xfId="24855" xr:uid="{00000000-0005-0000-0000-00008A270000}"/>
    <cellStyle name="20% - Accent6 6 3 3 4" xfId="19901" xr:uid="{00000000-0005-0000-0000-00008B270000}"/>
    <cellStyle name="20% - Accent6 6 3 4" xfId="2579" xr:uid="{00000000-0005-0000-0000-00008C270000}"/>
    <cellStyle name="20% - Accent6 6 3 4 2" xfId="12231" xr:uid="{00000000-0005-0000-0000-00008D270000}"/>
    <cellStyle name="20% - Accent6 6 3 4 2 2" xfId="25943" xr:uid="{00000000-0005-0000-0000-00008E270000}"/>
    <cellStyle name="20% - Accent6 6 3 4 3" xfId="19903" xr:uid="{00000000-0005-0000-0000-00008F270000}"/>
    <cellStyle name="20% - Accent6 6 3 5" xfId="2580" xr:uid="{00000000-0005-0000-0000-000090270000}"/>
    <cellStyle name="20% - Accent6 6 3 5 2" xfId="12631" xr:uid="{00000000-0005-0000-0000-000091270000}"/>
    <cellStyle name="20% - Accent6 6 3 5 2 2" xfId="26343" xr:uid="{00000000-0005-0000-0000-000092270000}"/>
    <cellStyle name="20% - Accent6 6 3 5 3" xfId="19904" xr:uid="{00000000-0005-0000-0000-000093270000}"/>
    <cellStyle name="20% - Accent6 6 3 6" xfId="2581" xr:uid="{00000000-0005-0000-0000-000094270000}"/>
    <cellStyle name="20% - Accent6 6 3 6 2" xfId="13795" xr:uid="{00000000-0005-0000-0000-000095270000}"/>
    <cellStyle name="20% - Accent6 6 3 6 2 2" xfId="27344" xr:uid="{00000000-0005-0000-0000-000096270000}"/>
    <cellStyle name="20% - Accent6 6 3 6 3" xfId="19905" xr:uid="{00000000-0005-0000-0000-000097270000}"/>
    <cellStyle name="20% - Accent6 6 3 7" xfId="2582" xr:uid="{00000000-0005-0000-0000-000098270000}"/>
    <cellStyle name="20% - Accent6 6 3 7 2" xfId="14376" xr:uid="{00000000-0005-0000-0000-000099270000}"/>
    <cellStyle name="20% - Accent6 6 3 7 2 2" xfId="27925" xr:uid="{00000000-0005-0000-0000-00009A270000}"/>
    <cellStyle name="20% - Accent6 6 3 7 3" xfId="19906" xr:uid="{00000000-0005-0000-0000-00009B270000}"/>
    <cellStyle name="20% - Accent6 6 3 8" xfId="2583" xr:uid="{00000000-0005-0000-0000-00009C270000}"/>
    <cellStyle name="20% - Accent6 6 3 8 2" xfId="15045" xr:uid="{00000000-0005-0000-0000-00009D270000}"/>
    <cellStyle name="20% - Accent6 6 3 8 2 2" xfId="28594" xr:uid="{00000000-0005-0000-0000-00009E270000}"/>
    <cellStyle name="20% - Accent6 6 3 8 3" xfId="19907" xr:uid="{00000000-0005-0000-0000-00009F270000}"/>
    <cellStyle name="20% - Accent6 6 3 9" xfId="2584" xr:uid="{00000000-0005-0000-0000-0000A0270000}"/>
    <cellStyle name="20% - Accent6 6 3 9 2" xfId="16262" xr:uid="{00000000-0005-0000-0000-0000A1270000}"/>
    <cellStyle name="20% - Accent6 6 3 9 2 2" xfId="29669" xr:uid="{00000000-0005-0000-0000-0000A2270000}"/>
    <cellStyle name="20% - Accent6 6 3 9 3" xfId="19908" xr:uid="{00000000-0005-0000-0000-0000A3270000}"/>
    <cellStyle name="20% - Accent6 6 4" xfId="2585" xr:uid="{00000000-0005-0000-0000-0000A4270000}"/>
    <cellStyle name="20% - Accent6 6 4 2" xfId="2586" xr:uid="{00000000-0005-0000-0000-0000A5270000}"/>
    <cellStyle name="20% - Accent6 6 4 2 2" xfId="10915" xr:uid="{00000000-0005-0000-0000-0000A6270000}"/>
    <cellStyle name="20% - Accent6 6 4 2 2 2" xfId="24857" xr:uid="{00000000-0005-0000-0000-0000A7270000}"/>
    <cellStyle name="20% - Accent6 6 4 2 3" xfId="19910" xr:uid="{00000000-0005-0000-0000-0000A8270000}"/>
    <cellStyle name="20% - Accent6 6 4 3" xfId="2587" xr:uid="{00000000-0005-0000-0000-0000A9270000}"/>
    <cellStyle name="20% - Accent6 6 4 3 2" xfId="12707" xr:uid="{00000000-0005-0000-0000-0000AA270000}"/>
    <cellStyle name="20% - Accent6 6 4 3 2 2" xfId="26419" xr:uid="{00000000-0005-0000-0000-0000AB270000}"/>
    <cellStyle name="20% - Accent6 6 4 3 3" xfId="19911" xr:uid="{00000000-0005-0000-0000-0000AC270000}"/>
    <cellStyle name="20% - Accent6 6 4 4" xfId="2588" xr:uid="{00000000-0005-0000-0000-0000AD270000}"/>
    <cellStyle name="20% - Accent6 6 4 4 2" xfId="15048" xr:uid="{00000000-0005-0000-0000-0000AE270000}"/>
    <cellStyle name="20% - Accent6 6 4 4 2 2" xfId="28597" xr:uid="{00000000-0005-0000-0000-0000AF270000}"/>
    <cellStyle name="20% - Accent6 6 4 4 3" xfId="19912" xr:uid="{00000000-0005-0000-0000-0000B0270000}"/>
    <cellStyle name="20% - Accent6 6 4 5" xfId="2589" xr:uid="{00000000-0005-0000-0000-0000B1270000}"/>
    <cellStyle name="20% - Accent6 6 4 5 2" xfId="16554" xr:uid="{00000000-0005-0000-0000-0000B2270000}"/>
    <cellStyle name="20% - Accent6 6 4 5 2 2" xfId="29961" xr:uid="{00000000-0005-0000-0000-0000B3270000}"/>
    <cellStyle name="20% - Accent6 6 4 5 3" xfId="19913" xr:uid="{00000000-0005-0000-0000-0000B4270000}"/>
    <cellStyle name="20% - Accent6 6 4 6" xfId="9189" xr:uid="{00000000-0005-0000-0000-0000B5270000}"/>
    <cellStyle name="20% - Accent6 6 4 6 2" xfId="23664" xr:uid="{00000000-0005-0000-0000-0000B6270000}"/>
    <cellStyle name="20% - Accent6 6 4 7" xfId="19909" xr:uid="{00000000-0005-0000-0000-0000B7270000}"/>
    <cellStyle name="20% - Accent6 6 5" xfId="2590" xr:uid="{00000000-0005-0000-0000-0000B8270000}"/>
    <cellStyle name="20% - Accent6 6 5 2" xfId="2591" xr:uid="{00000000-0005-0000-0000-0000B9270000}"/>
    <cellStyle name="20% - Accent6 6 5 2 2" xfId="15049" xr:uid="{00000000-0005-0000-0000-0000BA270000}"/>
    <cellStyle name="20% - Accent6 6 5 2 2 2" xfId="28598" xr:uid="{00000000-0005-0000-0000-0000BB270000}"/>
    <cellStyle name="20% - Accent6 6 5 2 3" xfId="19915" xr:uid="{00000000-0005-0000-0000-0000BC270000}"/>
    <cellStyle name="20% - Accent6 6 5 3" xfId="10908" xr:uid="{00000000-0005-0000-0000-0000BD270000}"/>
    <cellStyle name="20% - Accent6 6 5 3 2" xfId="24850" xr:uid="{00000000-0005-0000-0000-0000BE270000}"/>
    <cellStyle name="20% - Accent6 6 5 4" xfId="19914" xr:uid="{00000000-0005-0000-0000-0000BF270000}"/>
    <cellStyle name="20% - Accent6 6 6" xfId="2592" xr:uid="{00000000-0005-0000-0000-0000C0270000}"/>
    <cellStyle name="20% - Accent6 6 6 2" xfId="11929" xr:uid="{00000000-0005-0000-0000-0000C1270000}"/>
    <cellStyle name="20% - Accent6 6 6 2 2" xfId="25644" xr:uid="{00000000-0005-0000-0000-0000C2270000}"/>
    <cellStyle name="20% - Accent6 6 6 3" xfId="19916" xr:uid="{00000000-0005-0000-0000-0000C3270000}"/>
    <cellStyle name="20% - Accent6 6 7" xfId="2593" xr:uid="{00000000-0005-0000-0000-0000C4270000}"/>
    <cellStyle name="20% - Accent6 6 7 2" xfId="12568" xr:uid="{00000000-0005-0000-0000-0000C5270000}"/>
    <cellStyle name="20% - Accent6 6 7 2 2" xfId="26280" xr:uid="{00000000-0005-0000-0000-0000C6270000}"/>
    <cellStyle name="20% - Accent6 6 7 3" xfId="19917" xr:uid="{00000000-0005-0000-0000-0000C7270000}"/>
    <cellStyle name="20% - Accent6 6 8" xfId="2594" xr:uid="{00000000-0005-0000-0000-0000C8270000}"/>
    <cellStyle name="20% - Accent6 6 8 2" xfId="13506" xr:uid="{00000000-0005-0000-0000-0000C9270000}"/>
    <cellStyle name="20% - Accent6 6 8 2 2" xfId="27055" xr:uid="{00000000-0005-0000-0000-0000CA270000}"/>
    <cellStyle name="20% - Accent6 6 8 3" xfId="19918" xr:uid="{00000000-0005-0000-0000-0000CB270000}"/>
    <cellStyle name="20% - Accent6 6 9" xfId="2595" xr:uid="{00000000-0005-0000-0000-0000CC270000}"/>
    <cellStyle name="20% - Accent6 6 9 2" xfId="14087" xr:uid="{00000000-0005-0000-0000-0000CD270000}"/>
    <cellStyle name="20% - Accent6 6 9 2 2" xfId="27636" xr:uid="{00000000-0005-0000-0000-0000CE270000}"/>
    <cellStyle name="20% - Accent6 6 9 3" xfId="19919" xr:uid="{00000000-0005-0000-0000-0000CF270000}"/>
    <cellStyle name="20% - Accent6 7" xfId="2596" xr:uid="{00000000-0005-0000-0000-0000D0270000}"/>
    <cellStyle name="20% - Accent6 7 10" xfId="2597" xr:uid="{00000000-0005-0000-0000-0000D1270000}"/>
    <cellStyle name="20% - Accent6 7 10 2" xfId="15998" xr:uid="{00000000-0005-0000-0000-0000D2270000}"/>
    <cellStyle name="20% - Accent6 7 10 2 2" xfId="29405" xr:uid="{00000000-0005-0000-0000-0000D3270000}"/>
    <cellStyle name="20% - Accent6 7 10 3" xfId="19921" xr:uid="{00000000-0005-0000-0000-0000D4270000}"/>
    <cellStyle name="20% - Accent6 7 11" xfId="9190" xr:uid="{00000000-0005-0000-0000-0000D5270000}"/>
    <cellStyle name="20% - Accent6 7 11 2" xfId="23665" xr:uid="{00000000-0005-0000-0000-0000D6270000}"/>
    <cellStyle name="20% - Accent6 7 12" xfId="19920" xr:uid="{00000000-0005-0000-0000-0000D7270000}"/>
    <cellStyle name="20% - Accent6 7 2" xfId="2598" xr:uid="{00000000-0005-0000-0000-0000D8270000}"/>
    <cellStyle name="20% - Accent6 7 2 10" xfId="9191" xr:uid="{00000000-0005-0000-0000-0000D9270000}"/>
    <cellStyle name="20% - Accent6 7 2 10 2" xfId="23666" xr:uid="{00000000-0005-0000-0000-0000DA270000}"/>
    <cellStyle name="20% - Accent6 7 2 11" xfId="19922" xr:uid="{00000000-0005-0000-0000-0000DB270000}"/>
    <cellStyle name="20% - Accent6 7 2 2" xfId="2599" xr:uid="{00000000-0005-0000-0000-0000DC270000}"/>
    <cellStyle name="20% - Accent6 7 2 2 2" xfId="2600" xr:uid="{00000000-0005-0000-0000-0000DD270000}"/>
    <cellStyle name="20% - Accent6 7 2 2 2 2" xfId="10918" xr:uid="{00000000-0005-0000-0000-0000DE270000}"/>
    <cellStyle name="20% - Accent6 7 2 2 2 2 2" xfId="24860" xr:uid="{00000000-0005-0000-0000-0000DF270000}"/>
    <cellStyle name="20% - Accent6 7 2 2 2 3" xfId="19924" xr:uid="{00000000-0005-0000-0000-0000E0270000}"/>
    <cellStyle name="20% - Accent6 7 2 2 3" xfId="2601" xr:uid="{00000000-0005-0000-0000-0000E1270000}"/>
    <cellStyle name="20% - Accent6 7 2 2 3 2" xfId="11854" xr:uid="{00000000-0005-0000-0000-0000E2270000}"/>
    <cellStyle name="20% - Accent6 7 2 2 3 2 2" xfId="25569" xr:uid="{00000000-0005-0000-0000-0000E3270000}"/>
    <cellStyle name="20% - Accent6 7 2 2 3 3" xfId="19925" xr:uid="{00000000-0005-0000-0000-0000E4270000}"/>
    <cellStyle name="20% - Accent6 7 2 2 4" xfId="2602" xr:uid="{00000000-0005-0000-0000-0000E5270000}"/>
    <cellStyle name="20% - Accent6 7 2 2 4 2" xfId="15052" xr:uid="{00000000-0005-0000-0000-0000E6270000}"/>
    <cellStyle name="20% - Accent6 7 2 2 4 2 2" xfId="28601" xr:uid="{00000000-0005-0000-0000-0000E7270000}"/>
    <cellStyle name="20% - Accent6 7 2 2 4 3" xfId="19926" xr:uid="{00000000-0005-0000-0000-0000E8270000}"/>
    <cellStyle name="20% - Accent6 7 2 2 5" xfId="2603" xr:uid="{00000000-0005-0000-0000-0000E9270000}"/>
    <cellStyle name="20% - Accent6 7 2 2 5 2" xfId="16868" xr:uid="{00000000-0005-0000-0000-0000EA270000}"/>
    <cellStyle name="20% - Accent6 7 2 2 5 2 2" xfId="30275" xr:uid="{00000000-0005-0000-0000-0000EB270000}"/>
    <cellStyle name="20% - Accent6 7 2 2 5 3" xfId="19927" xr:uid="{00000000-0005-0000-0000-0000EC270000}"/>
    <cellStyle name="20% - Accent6 7 2 2 6" xfId="9192" xr:uid="{00000000-0005-0000-0000-0000ED270000}"/>
    <cellStyle name="20% - Accent6 7 2 2 6 2" xfId="23667" xr:uid="{00000000-0005-0000-0000-0000EE270000}"/>
    <cellStyle name="20% - Accent6 7 2 2 7" xfId="19923" xr:uid="{00000000-0005-0000-0000-0000EF270000}"/>
    <cellStyle name="20% - Accent6 7 2 3" xfId="2604" xr:uid="{00000000-0005-0000-0000-0000F0270000}"/>
    <cellStyle name="20% - Accent6 7 2 3 2" xfId="2605" xr:uid="{00000000-0005-0000-0000-0000F1270000}"/>
    <cellStyle name="20% - Accent6 7 2 3 2 2" xfId="15053" xr:uid="{00000000-0005-0000-0000-0000F2270000}"/>
    <cellStyle name="20% - Accent6 7 2 3 2 2 2" xfId="28602" xr:uid="{00000000-0005-0000-0000-0000F3270000}"/>
    <cellStyle name="20% - Accent6 7 2 3 2 3" xfId="19929" xr:uid="{00000000-0005-0000-0000-0000F4270000}"/>
    <cellStyle name="20% - Accent6 7 2 3 3" xfId="10917" xr:uid="{00000000-0005-0000-0000-0000F5270000}"/>
    <cellStyle name="20% - Accent6 7 2 3 3 2" xfId="24859" xr:uid="{00000000-0005-0000-0000-0000F6270000}"/>
    <cellStyle name="20% - Accent6 7 2 3 4" xfId="19928" xr:uid="{00000000-0005-0000-0000-0000F7270000}"/>
    <cellStyle name="20% - Accent6 7 2 4" xfId="2606" xr:uid="{00000000-0005-0000-0000-0000F8270000}"/>
    <cellStyle name="20% - Accent6 7 2 4 2" xfId="12256" xr:uid="{00000000-0005-0000-0000-0000F9270000}"/>
    <cellStyle name="20% - Accent6 7 2 4 2 2" xfId="25968" xr:uid="{00000000-0005-0000-0000-0000FA270000}"/>
    <cellStyle name="20% - Accent6 7 2 4 3" xfId="19930" xr:uid="{00000000-0005-0000-0000-0000FB270000}"/>
    <cellStyle name="20% - Accent6 7 2 5" xfId="2607" xr:uid="{00000000-0005-0000-0000-0000FC270000}"/>
    <cellStyle name="20% - Accent6 7 2 5 2" xfId="12759" xr:uid="{00000000-0005-0000-0000-0000FD270000}"/>
    <cellStyle name="20% - Accent6 7 2 5 2 2" xfId="26471" xr:uid="{00000000-0005-0000-0000-0000FE270000}"/>
    <cellStyle name="20% - Accent6 7 2 5 3" xfId="19931" xr:uid="{00000000-0005-0000-0000-0000FF270000}"/>
    <cellStyle name="20% - Accent6 7 2 6" xfId="2608" xr:uid="{00000000-0005-0000-0000-000000280000}"/>
    <cellStyle name="20% - Accent6 7 2 6 2" xfId="13820" xr:uid="{00000000-0005-0000-0000-000001280000}"/>
    <cellStyle name="20% - Accent6 7 2 6 2 2" xfId="27369" xr:uid="{00000000-0005-0000-0000-000002280000}"/>
    <cellStyle name="20% - Accent6 7 2 6 3" xfId="19932" xr:uid="{00000000-0005-0000-0000-000003280000}"/>
    <cellStyle name="20% - Accent6 7 2 7" xfId="2609" xr:uid="{00000000-0005-0000-0000-000004280000}"/>
    <cellStyle name="20% - Accent6 7 2 7 2" xfId="14401" xr:uid="{00000000-0005-0000-0000-000005280000}"/>
    <cellStyle name="20% - Accent6 7 2 7 2 2" xfId="27950" xr:uid="{00000000-0005-0000-0000-000006280000}"/>
    <cellStyle name="20% - Accent6 7 2 7 3" xfId="19933" xr:uid="{00000000-0005-0000-0000-000007280000}"/>
    <cellStyle name="20% - Accent6 7 2 8" xfId="2610" xr:uid="{00000000-0005-0000-0000-000008280000}"/>
    <cellStyle name="20% - Accent6 7 2 8 2" xfId="15051" xr:uid="{00000000-0005-0000-0000-000009280000}"/>
    <cellStyle name="20% - Accent6 7 2 8 2 2" xfId="28600" xr:uid="{00000000-0005-0000-0000-00000A280000}"/>
    <cellStyle name="20% - Accent6 7 2 8 3" xfId="19934" xr:uid="{00000000-0005-0000-0000-00000B280000}"/>
    <cellStyle name="20% - Accent6 7 2 9" xfId="2611" xr:uid="{00000000-0005-0000-0000-00000C280000}"/>
    <cellStyle name="20% - Accent6 7 2 9 2" xfId="16287" xr:uid="{00000000-0005-0000-0000-00000D280000}"/>
    <cellStyle name="20% - Accent6 7 2 9 2 2" xfId="29694" xr:uid="{00000000-0005-0000-0000-00000E280000}"/>
    <cellStyle name="20% - Accent6 7 2 9 3" xfId="19935" xr:uid="{00000000-0005-0000-0000-00000F280000}"/>
    <cellStyle name="20% - Accent6 7 3" xfId="2612" xr:uid="{00000000-0005-0000-0000-000010280000}"/>
    <cellStyle name="20% - Accent6 7 3 2" xfId="2613" xr:uid="{00000000-0005-0000-0000-000011280000}"/>
    <cellStyle name="20% - Accent6 7 3 2 2" xfId="10919" xr:uid="{00000000-0005-0000-0000-000012280000}"/>
    <cellStyle name="20% - Accent6 7 3 2 2 2" xfId="24861" xr:uid="{00000000-0005-0000-0000-000013280000}"/>
    <cellStyle name="20% - Accent6 7 3 2 3" xfId="19937" xr:uid="{00000000-0005-0000-0000-000014280000}"/>
    <cellStyle name="20% - Accent6 7 3 3" xfId="2614" xr:uid="{00000000-0005-0000-0000-000015280000}"/>
    <cellStyle name="20% - Accent6 7 3 3 2" xfId="12719" xr:uid="{00000000-0005-0000-0000-000016280000}"/>
    <cellStyle name="20% - Accent6 7 3 3 2 2" xfId="26431" xr:uid="{00000000-0005-0000-0000-000017280000}"/>
    <cellStyle name="20% - Accent6 7 3 3 3" xfId="19938" xr:uid="{00000000-0005-0000-0000-000018280000}"/>
    <cellStyle name="20% - Accent6 7 3 4" xfId="2615" xr:uid="{00000000-0005-0000-0000-000019280000}"/>
    <cellStyle name="20% - Accent6 7 3 4 2" xfId="15054" xr:uid="{00000000-0005-0000-0000-00001A280000}"/>
    <cellStyle name="20% - Accent6 7 3 4 2 2" xfId="28603" xr:uid="{00000000-0005-0000-0000-00001B280000}"/>
    <cellStyle name="20% - Accent6 7 3 4 3" xfId="19939" xr:uid="{00000000-0005-0000-0000-00001C280000}"/>
    <cellStyle name="20% - Accent6 7 3 5" xfId="2616" xr:uid="{00000000-0005-0000-0000-00001D280000}"/>
    <cellStyle name="20% - Accent6 7 3 5 2" xfId="16579" xr:uid="{00000000-0005-0000-0000-00001E280000}"/>
    <cellStyle name="20% - Accent6 7 3 5 2 2" xfId="29986" xr:uid="{00000000-0005-0000-0000-00001F280000}"/>
    <cellStyle name="20% - Accent6 7 3 5 3" xfId="19940" xr:uid="{00000000-0005-0000-0000-000020280000}"/>
    <cellStyle name="20% - Accent6 7 3 6" xfId="9193" xr:uid="{00000000-0005-0000-0000-000021280000}"/>
    <cellStyle name="20% - Accent6 7 3 6 2" xfId="23668" xr:uid="{00000000-0005-0000-0000-000022280000}"/>
    <cellStyle name="20% - Accent6 7 3 7" xfId="19936" xr:uid="{00000000-0005-0000-0000-000023280000}"/>
    <cellStyle name="20% - Accent6 7 4" xfId="2617" xr:uid="{00000000-0005-0000-0000-000024280000}"/>
    <cellStyle name="20% - Accent6 7 4 2" xfId="2618" xr:uid="{00000000-0005-0000-0000-000025280000}"/>
    <cellStyle name="20% - Accent6 7 4 2 2" xfId="15055" xr:uid="{00000000-0005-0000-0000-000026280000}"/>
    <cellStyle name="20% - Accent6 7 4 2 2 2" xfId="28604" xr:uid="{00000000-0005-0000-0000-000027280000}"/>
    <cellStyle name="20% - Accent6 7 4 2 3" xfId="19942" xr:uid="{00000000-0005-0000-0000-000028280000}"/>
    <cellStyle name="20% - Accent6 7 4 3" xfId="10916" xr:uid="{00000000-0005-0000-0000-000029280000}"/>
    <cellStyle name="20% - Accent6 7 4 3 2" xfId="24858" xr:uid="{00000000-0005-0000-0000-00002A280000}"/>
    <cellStyle name="20% - Accent6 7 4 4" xfId="19941" xr:uid="{00000000-0005-0000-0000-00002B280000}"/>
    <cellStyle name="20% - Accent6 7 5" xfId="2619" xr:uid="{00000000-0005-0000-0000-00002C280000}"/>
    <cellStyle name="20% - Accent6 7 5 2" xfId="11954" xr:uid="{00000000-0005-0000-0000-00002D280000}"/>
    <cellStyle name="20% - Accent6 7 5 2 2" xfId="25669" xr:uid="{00000000-0005-0000-0000-00002E280000}"/>
    <cellStyle name="20% - Accent6 7 5 3" xfId="19943" xr:uid="{00000000-0005-0000-0000-00002F280000}"/>
    <cellStyle name="20% - Accent6 7 6" xfId="2620" xr:uid="{00000000-0005-0000-0000-000030280000}"/>
    <cellStyle name="20% - Accent6 7 6 2" xfId="12554" xr:uid="{00000000-0005-0000-0000-000031280000}"/>
    <cellStyle name="20% - Accent6 7 6 2 2" xfId="26266" xr:uid="{00000000-0005-0000-0000-000032280000}"/>
    <cellStyle name="20% - Accent6 7 6 3" xfId="19944" xr:uid="{00000000-0005-0000-0000-000033280000}"/>
    <cellStyle name="20% - Accent6 7 7" xfId="2621" xr:uid="{00000000-0005-0000-0000-000034280000}"/>
    <cellStyle name="20% - Accent6 7 7 2" xfId="13531" xr:uid="{00000000-0005-0000-0000-000035280000}"/>
    <cellStyle name="20% - Accent6 7 7 2 2" xfId="27080" xr:uid="{00000000-0005-0000-0000-000036280000}"/>
    <cellStyle name="20% - Accent6 7 7 3" xfId="19945" xr:uid="{00000000-0005-0000-0000-000037280000}"/>
    <cellStyle name="20% - Accent6 7 8" xfId="2622" xr:uid="{00000000-0005-0000-0000-000038280000}"/>
    <cellStyle name="20% - Accent6 7 8 2" xfId="14112" xr:uid="{00000000-0005-0000-0000-000039280000}"/>
    <cellStyle name="20% - Accent6 7 8 2 2" xfId="27661" xr:uid="{00000000-0005-0000-0000-00003A280000}"/>
    <cellStyle name="20% - Accent6 7 8 3" xfId="19946" xr:uid="{00000000-0005-0000-0000-00003B280000}"/>
    <cellStyle name="20% - Accent6 7 9" xfId="2623" xr:uid="{00000000-0005-0000-0000-00003C280000}"/>
    <cellStyle name="20% - Accent6 7 9 2" xfId="15050" xr:uid="{00000000-0005-0000-0000-00003D280000}"/>
    <cellStyle name="20% - Accent6 7 9 2 2" xfId="28599" xr:uid="{00000000-0005-0000-0000-00003E280000}"/>
    <cellStyle name="20% - Accent6 7 9 3" xfId="19947" xr:uid="{00000000-0005-0000-0000-00003F280000}"/>
    <cellStyle name="20% - Accent6 8" xfId="2624" xr:uid="{00000000-0005-0000-0000-000040280000}"/>
    <cellStyle name="20% - Accent6 8 10" xfId="9194" xr:uid="{00000000-0005-0000-0000-000041280000}"/>
    <cellStyle name="20% - Accent6 8 10 2" xfId="23669" xr:uid="{00000000-0005-0000-0000-000042280000}"/>
    <cellStyle name="20% - Accent6 8 11" xfId="19948" xr:uid="{00000000-0005-0000-0000-000043280000}"/>
    <cellStyle name="20% - Accent6 8 2" xfId="2625" xr:uid="{00000000-0005-0000-0000-000044280000}"/>
    <cellStyle name="20% - Accent6 8 2 2" xfId="2626" xr:uid="{00000000-0005-0000-0000-000045280000}"/>
    <cellStyle name="20% - Accent6 8 2 2 2" xfId="10921" xr:uid="{00000000-0005-0000-0000-000046280000}"/>
    <cellStyle name="20% - Accent6 8 2 2 2 2" xfId="24863" xr:uid="{00000000-0005-0000-0000-000047280000}"/>
    <cellStyle name="20% - Accent6 8 2 2 3" xfId="19950" xr:uid="{00000000-0005-0000-0000-000048280000}"/>
    <cellStyle name="20% - Accent6 8 2 3" xfId="2627" xr:uid="{00000000-0005-0000-0000-000049280000}"/>
    <cellStyle name="20% - Accent6 8 2 3 2" xfId="11874" xr:uid="{00000000-0005-0000-0000-00004A280000}"/>
    <cellStyle name="20% - Accent6 8 2 3 2 2" xfId="25589" xr:uid="{00000000-0005-0000-0000-00004B280000}"/>
    <cellStyle name="20% - Accent6 8 2 3 3" xfId="19951" xr:uid="{00000000-0005-0000-0000-00004C280000}"/>
    <cellStyle name="20% - Accent6 8 2 4" xfId="2628" xr:uid="{00000000-0005-0000-0000-00004D280000}"/>
    <cellStyle name="20% - Accent6 8 2 4 2" xfId="15057" xr:uid="{00000000-0005-0000-0000-00004E280000}"/>
    <cellStyle name="20% - Accent6 8 2 4 2 2" xfId="28606" xr:uid="{00000000-0005-0000-0000-00004F280000}"/>
    <cellStyle name="20% - Accent6 8 2 4 3" xfId="19952" xr:uid="{00000000-0005-0000-0000-000050280000}"/>
    <cellStyle name="20% - Accent6 8 2 5" xfId="2629" xr:uid="{00000000-0005-0000-0000-000051280000}"/>
    <cellStyle name="20% - Accent6 8 2 5 2" xfId="16717" xr:uid="{00000000-0005-0000-0000-000052280000}"/>
    <cellStyle name="20% - Accent6 8 2 5 2 2" xfId="30124" xr:uid="{00000000-0005-0000-0000-000053280000}"/>
    <cellStyle name="20% - Accent6 8 2 5 3" xfId="19953" xr:uid="{00000000-0005-0000-0000-000054280000}"/>
    <cellStyle name="20% - Accent6 8 2 6" xfId="9195" xr:uid="{00000000-0005-0000-0000-000055280000}"/>
    <cellStyle name="20% - Accent6 8 2 6 2" xfId="23670" xr:uid="{00000000-0005-0000-0000-000056280000}"/>
    <cellStyle name="20% - Accent6 8 2 7" xfId="19949" xr:uid="{00000000-0005-0000-0000-000057280000}"/>
    <cellStyle name="20% - Accent6 8 3" xfId="2630" xr:uid="{00000000-0005-0000-0000-000058280000}"/>
    <cellStyle name="20% - Accent6 8 3 2" xfId="2631" xr:uid="{00000000-0005-0000-0000-000059280000}"/>
    <cellStyle name="20% - Accent6 8 3 2 2" xfId="15058" xr:uid="{00000000-0005-0000-0000-00005A280000}"/>
    <cellStyle name="20% - Accent6 8 3 2 2 2" xfId="28607" xr:uid="{00000000-0005-0000-0000-00005B280000}"/>
    <cellStyle name="20% - Accent6 8 3 2 3" xfId="19955" xr:uid="{00000000-0005-0000-0000-00005C280000}"/>
    <cellStyle name="20% - Accent6 8 3 3" xfId="10920" xr:uid="{00000000-0005-0000-0000-00005D280000}"/>
    <cellStyle name="20% - Accent6 8 3 3 2" xfId="24862" xr:uid="{00000000-0005-0000-0000-00005E280000}"/>
    <cellStyle name="20% - Accent6 8 3 4" xfId="19954" xr:uid="{00000000-0005-0000-0000-00005F280000}"/>
    <cellStyle name="20% - Accent6 8 4" xfId="2632" xr:uid="{00000000-0005-0000-0000-000060280000}"/>
    <cellStyle name="20% - Accent6 8 4 2" xfId="12095" xr:uid="{00000000-0005-0000-0000-000061280000}"/>
    <cellStyle name="20% - Accent6 8 4 2 2" xfId="25809" xr:uid="{00000000-0005-0000-0000-000062280000}"/>
    <cellStyle name="20% - Accent6 8 4 3" xfId="19956" xr:uid="{00000000-0005-0000-0000-000063280000}"/>
    <cellStyle name="20% - Accent6 8 5" xfId="2633" xr:uid="{00000000-0005-0000-0000-000064280000}"/>
    <cellStyle name="20% - Accent6 8 5 2" xfId="12705" xr:uid="{00000000-0005-0000-0000-000065280000}"/>
    <cellStyle name="20% - Accent6 8 5 2 2" xfId="26417" xr:uid="{00000000-0005-0000-0000-000066280000}"/>
    <cellStyle name="20% - Accent6 8 5 3" xfId="19957" xr:uid="{00000000-0005-0000-0000-000067280000}"/>
    <cellStyle name="20% - Accent6 8 6" xfId="2634" xr:uid="{00000000-0005-0000-0000-000068280000}"/>
    <cellStyle name="20% - Accent6 8 6 2" xfId="13669" xr:uid="{00000000-0005-0000-0000-000069280000}"/>
    <cellStyle name="20% - Accent6 8 6 2 2" xfId="27218" xr:uid="{00000000-0005-0000-0000-00006A280000}"/>
    <cellStyle name="20% - Accent6 8 6 3" xfId="19958" xr:uid="{00000000-0005-0000-0000-00006B280000}"/>
    <cellStyle name="20% - Accent6 8 7" xfId="2635" xr:uid="{00000000-0005-0000-0000-00006C280000}"/>
    <cellStyle name="20% - Accent6 8 7 2" xfId="14250" xr:uid="{00000000-0005-0000-0000-00006D280000}"/>
    <cellStyle name="20% - Accent6 8 7 2 2" xfId="27799" xr:uid="{00000000-0005-0000-0000-00006E280000}"/>
    <cellStyle name="20% - Accent6 8 7 3" xfId="19959" xr:uid="{00000000-0005-0000-0000-00006F280000}"/>
    <cellStyle name="20% - Accent6 8 8" xfId="2636" xr:uid="{00000000-0005-0000-0000-000070280000}"/>
    <cellStyle name="20% - Accent6 8 8 2" xfId="15056" xr:uid="{00000000-0005-0000-0000-000071280000}"/>
    <cellStyle name="20% - Accent6 8 8 2 2" xfId="28605" xr:uid="{00000000-0005-0000-0000-000072280000}"/>
    <cellStyle name="20% - Accent6 8 8 3" xfId="19960" xr:uid="{00000000-0005-0000-0000-000073280000}"/>
    <cellStyle name="20% - Accent6 8 9" xfId="2637" xr:uid="{00000000-0005-0000-0000-000074280000}"/>
    <cellStyle name="20% - Accent6 8 9 2" xfId="16136" xr:uid="{00000000-0005-0000-0000-000075280000}"/>
    <cellStyle name="20% - Accent6 8 9 2 2" xfId="29543" xr:uid="{00000000-0005-0000-0000-000076280000}"/>
    <cellStyle name="20% - Accent6 8 9 3" xfId="19961" xr:uid="{00000000-0005-0000-0000-000077280000}"/>
    <cellStyle name="20% - Accent6 9" xfId="2638" xr:uid="{00000000-0005-0000-0000-000078280000}"/>
    <cellStyle name="20% - Accent6 9 2" xfId="2639" xr:uid="{00000000-0005-0000-0000-000079280000}"/>
    <cellStyle name="20% - Accent6 9 2 2" xfId="10922" xr:uid="{00000000-0005-0000-0000-00007A280000}"/>
    <cellStyle name="20% - Accent6 9 2 2 2" xfId="24864" xr:uid="{00000000-0005-0000-0000-00007B280000}"/>
    <cellStyle name="20% - Accent6 9 2 3" xfId="19963" xr:uid="{00000000-0005-0000-0000-00007C280000}"/>
    <cellStyle name="20% - Accent6 9 3" xfId="2640" xr:uid="{00000000-0005-0000-0000-00007D280000}"/>
    <cellStyle name="20% - Accent6 9 3 2" xfId="12578" xr:uid="{00000000-0005-0000-0000-00007E280000}"/>
    <cellStyle name="20% - Accent6 9 3 2 2" xfId="26290" xr:uid="{00000000-0005-0000-0000-00007F280000}"/>
    <cellStyle name="20% - Accent6 9 3 3" xfId="19964" xr:uid="{00000000-0005-0000-0000-000080280000}"/>
    <cellStyle name="20% - Accent6 9 4" xfId="2641" xr:uid="{00000000-0005-0000-0000-000081280000}"/>
    <cellStyle name="20% - Accent6 9 4 2" xfId="15059" xr:uid="{00000000-0005-0000-0000-000082280000}"/>
    <cellStyle name="20% - Accent6 9 4 2 2" xfId="28608" xr:uid="{00000000-0005-0000-0000-000083280000}"/>
    <cellStyle name="20% - Accent6 9 4 3" xfId="19965" xr:uid="{00000000-0005-0000-0000-000084280000}"/>
    <cellStyle name="20% - Accent6 9 5" xfId="2642" xr:uid="{00000000-0005-0000-0000-000085280000}"/>
    <cellStyle name="20% - Accent6 9 5 2" xfId="17101" xr:uid="{00000000-0005-0000-0000-000086280000}"/>
    <cellStyle name="20% - Accent6 9 5 2 2" xfId="30460" xr:uid="{00000000-0005-0000-0000-000087280000}"/>
    <cellStyle name="20% - Accent6 9 5 3" xfId="19966" xr:uid="{00000000-0005-0000-0000-000088280000}"/>
    <cellStyle name="20% - Accent6 9 6" xfId="9196" xr:uid="{00000000-0005-0000-0000-000089280000}"/>
    <cellStyle name="20% - Accent6 9 6 2" xfId="23671" xr:uid="{00000000-0005-0000-0000-00008A280000}"/>
    <cellStyle name="20% - Accent6 9 7" xfId="19962" xr:uid="{00000000-0005-0000-0000-00008B280000}"/>
    <cellStyle name="40% - Accent1" xfId="29" builtinId="31" customBuiltin="1"/>
    <cellStyle name="40% - Accent1 10" xfId="2643" xr:uid="{00000000-0005-0000-0000-00008D280000}"/>
    <cellStyle name="40% - Accent1 10 2" xfId="2644" xr:uid="{00000000-0005-0000-0000-00008E280000}"/>
    <cellStyle name="40% - Accent1 10 2 2" xfId="2645" xr:uid="{00000000-0005-0000-0000-00008F280000}"/>
    <cellStyle name="40% - Accent1 10 2 2 2" xfId="11856" xr:uid="{00000000-0005-0000-0000-000090280000}"/>
    <cellStyle name="40% - Accent1 10 2 2 2 2" xfId="25571" xr:uid="{00000000-0005-0000-0000-000091280000}"/>
    <cellStyle name="40% - Accent1 10 2 2 3" xfId="19969" xr:uid="{00000000-0005-0000-0000-000092280000}"/>
    <cellStyle name="40% - Accent1 10 2 3" xfId="2646" xr:uid="{00000000-0005-0000-0000-000093280000}"/>
    <cellStyle name="40% - Accent1 10 2 3 2" xfId="15062" xr:uid="{00000000-0005-0000-0000-000094280000}"/>
    <cellStyle name="40% - Accent1 10 2 3 2 2" xfId="28611" xr:uid="{00000000-0005-0000-0000-000095280000}"/>
    <cellStyle name="40% - Accent1 10 2 3 3" xfId="19970" xr:uid="{00000000-0005-0000-0000-000096280000}"/>
    <cellStyle name="40% - Accent1 10 2 4" xfId="10924" xr:uid="{00000000-0005-0000-0000-000097280000}"/>
    <cellStyle name="40% - Accent1 10 2 4 2" xfId="24866" xr:uid="{00000000-0005-0000-0000-000098280000}"/>
    <cellStyle name="40% - Accent1 10 2 5" xfId="19968" xr:uid="{00000000-0005-0000-0000-000099280000}"/>
    <cellStyle name="40% - Accent1 10 3" xfId="2647" xr:uid="{00000000-0005-0000-0000-00009A280000}"/>
    <cellStyle name="40% - Accent1 10 3 2" xfId="12657" xr:uid="{00000000-0005-0000-0000-00009B280000}"/>
    <cellStyle name="40% - Accent1 10 3 2 2" xfId="26369" xr:uid="{00000000-0005-0000-0000-00009C280000}"/>
    <cellStyle name="40% - Accent1 10 3 3" xfId="19971" xr:uid="{00000000-0005-0000-0000-00009D280000}"/>
    <cellStyle name="40% - Accent1 10 4" xfId="2648" xr:uid="{00000000-0005-0000-0000-00009E280000}"/>
    <cellStyle name="40% - Accent1 10 4 2" xfId="15061" xr:uid="{00000000-0005-0000-0000-00009F280000}"/>
    <cellStyle name="40% - Accent1 10 4 2 2" xfId="28610" xr:uid="{00000000-0005-0000-0000-0000A0280000}"/>
    <cellStyle name="40% - Accent1 10 4 3" xfId="19972" xr:uid="{00000000-0005-0000-0000-0000A1280000}"/>
    <cellStyle name="40% - Accent1 10 5" xfId="2649" xr:uid="{00000000-0005-0000-0000-0000A2280000}"/>
    <cellStyle name="40% - Accent1 10 5 2" xfId="17191" xr:uid="{00000000-0005-0000-0000-0000A3280000}"/>
    <cellStyle name="40% - Accent1 10 5 2 2" xfId="30550" xr:uid="{00000000-0005-0000-0000-0000A4280000}"/>
    <cellStyle name="40% - Accent1 10 5 3" xfId="19973" xr:uid="{00000000-0005-0000-0000-0000A5280000}"/>
    <cellStyle name="40% - Accent1 10 6" xfId="9198" xr:uid="{00000000-0005-0000-0000-0000A6280000}"/>
    <cellStyle name="40% - Accent1 10 6 2" xfId="23673" xr:uid="{00000000-0005-0000-0000-0000A7280000}"/>
    <cellStyle name="40% - Accent1 10 7" xfId="19967" xr:uid="{00000000-0005-0000-0000-0000A8280000}"/>
    <cellStyle name="40% - Accent1 11" xfId="2650" xr:uid="{00000000-0005-0000-0000-0000A9280000}"/>
    <cellStyle name="40% - Accent1 11 2" xfId="2651" xr:uid="{00000000-0005-0000-0000-0000AA280000}"/>
    <cellStyle name="40% - Accent1 11 2 2" xfId="10925" xr:uid="{00000000-0005-0000-0000-0000AB280000}"/>
    <cellStyle name="40% - Accent1 11 2 2 2" xfId="24867" xr:uid="{00000000-0005-0000-0000-0000AC280000}"/>
    <cellStyle name="40% - Accent1 11 2 3" xfId="19975" xr:uid="{00000000-0005-0000-0000-0000AD280000}"/>
    <cellStyle name="40% - Accent1 11 3" xfId="2652" xr:uid="{00000000-0005-0000-0000-0000AE280000}"/>
    <cellStyle name="40% - Accent1 11 3 2" xfId="12396" xr:uid="{00000000-0005-0000-0000-0000AF280000}"/>
    <cellStyle name="40% - Accent1 11 3 2 2" xfId="26108" xr:uid="{00000000-0005-0000-0000-0000B0280000}"/>
    <cellStyle name="40% - Accent1 11 3 3" xfId="19976" xr:uid="{00000000-0005-0000-0000-0000B1280000}"/>
    <cellStyle name="40% - Accent1 11 4" xfId="2653" xr:uid="{00000000-0005-0000-0000-0000B2280000}"/>
    <cellStyle name="40% - Accent1 11 4 2" xfId="15063" xr:uid="{00000000-0005-0000-0000-0000B3280000}"/>
    <cellStyle name="40% - Accent1 11 4 2 2" xfId="28612" xr:uid="{00000000-0005-0000-0000-0000B4280000}"/>
    <cellStyle name="40% - Accent1 11 4 3" xfId="19977" xr:uid="{00000000-0005-0000-0000-0000B5280000}"/>
    <cellStyle name="40% - Accent1 11 5" xfId="2654" xr:uid="{00000000-0005-0000-0000-0000B6280000}"/>
    <cellStyle name="40% - Accent1 11 5 2" xfId="17280" xr:uid="{00000000-0005-0000-0000-0000B7280000}"/>
    <cellStyle name="40% - Accent1 11 5 2 2" xfId="30639" xr:uid="{00000000-0005-0000-0000-0000B8280000}"/>
    <cellStyle name="40% - Accent1 11 5 3" xfId="19978" xr:uid="{00000000-0005-0000-0000-0000B9280000}"/>
    <cellStyle name="40% - Accent1 11 6" xfId="9199" xr:uid="{00000000-0005-0000-0000-0000BA280000}"/>
    <cellStyle name="40% - Accent1 11 6 2" xfId="23674" xr:uid="{00000000-0005-0000-0000-0000BB280000}"/>
    <cellStyle name="40% - Accent1 11 7" xfId="19974" xr:uid="{00000000-0005-0000-0000-0000BC280000}"/>
    <cellStyle name="40% - Accent1 12" xfId="2655" xr:uid="{00000000-0005-0000-0000-0000BD280000}"/>
    <cellStyle name="40% - Accent1 12 2" xfId="2656" xr:uid="{00000000-0005-0000-0000-0000BE280000}"/>
    <cellStyle name="40% - Accent1 12 2 2" xfId="2657" xr:uid="{00000000-0005-0000-0000-0000BF280000}"/>
    <cellStyle name="40% - Accent1 12 2 2 2" xfId="10927" xr:uid="{00000000-0005-0000-0000-0000C0280000}"/>
    <cellStyle name="40% - Accent1 12 2 2 2 2" xfId="24869" xr:uid="{00000000-0005-0000-0000-0000C1280000}"/>
    <cellStyle name="40% - Accent1 12 2 2 3" xfId="19981" xr:uid="{00000000-0005-0000-0000-0000C2280000}"/>
    <cellStyle name="40% - Accent1 12 2 3" xfId="2658" xr:uid="{00000000-0005-0000-0000-0000C3280000}"/>
    <cellStyle name="40% - Accent1 12 2 3 2" xfId="12775" xr:uid="{00000000-0005-0000-0000-0000C4280000}"/>
    <cellStyle name="40% - Accent1 12 2 3 2 2" xfId="26487" xr:uid="{00000000-0005-0000-0000-0000C5280000}"/>
    <cellStyle name="40% - Accent1 12 2 3 3" xfId="19982" xr:uid="{00000000-0005-0000-0000-0000C6280000}"/>
    <cellStyle name="40% - Accent1 12 2 4" xfId="2659" xr:uid="{00000000-0005-0000-0000-0000C7280000}"/>
    <cellStyle name="40% - Accent1 12 2 4 2" xfId="15065" xr:uid="{00000000-0005-0000-0000-0000C8280000}"/>
    <cellStyle name="40% - Accent1 12 2 4 2 2" xfId="28614" xr:uid="{00000000-0005-0000-0000-0000C9280000}"/>
    <cellStyle name="40% - Accent1 12 2 4 3" xfId="19983" xr:uid="{00000000-0005-0000-0000-0000CA280000}"/>
    <cellStyle name="40% - Accent1 12 2 5" xfId="9201" xr:uid="{00000000-0005-0000-0000-0000CB280000}"/>
    <cellStyle name="40% - Accent1 12 2 5 2" xfId="23676" xr:uid="{00000000-0005-0000-0000-0000CC280000}"/>
    <cellStyle name="40% - Accent1 12 2 6" xfId="19980" xr:uid="{00000000-0005-0000-0000-0000CD280000}"/>
    <cellStyle name="40% - Accent1 12 3" xfId="2660" xr:uid="{00000000-0005-0000-0000-0000CE280000}"/>
    <cellStyle name="40% - Accent1 12 3 2" xfId="10926" xr:uid="{00000000-0005-0000-0000-0000CF280000}"/>
    <cellStyle name="40% - Accent1 12 3 2 2" xfId="24868" xr:uid="{00000000-0005-0000-0000-0000D0280000}"/>
    <cellStyle name="40% - Accent1 12 3 3" xfId="19984" xr:uid="{00000000-0005-0000-0000-0000D1280000}"/>
    <cellStyle name="40% - Accent1 12 4" xfId="2661" xr:uid="{00000000-0005-0000-0000-0000D2280000}"/>
    <cellStyle name="40% - Accent1 12 4 2" xfId="11753" xr:uid="{00000000-0005-0000-0000-0000D3280000}"/>
    <cellStyle name="40% - Accent1 12 4 2 2" xfId="25468" xr:uid="{00000000-0005-0000-0000-0000D4280000}"/>
    <cellStyle name="40% - Accent1 12 4 3" xfId="19985" xr:uid="{00000000-0005-0000-0000-0000D5280000}"/>
    <cellStyle name="40% - Accent1 12 5" xfId="2662" xr:uid="{00000000-0005-0000-0000-0000D6280000}"/>
    <cellStyle name="40% - Accent1 12 5 2" xfId="15064" xr:uid="{00000000-0005-0000-0000-0000D7280000}"/>
    <cellStyle name="40% - Accent1 12 5 2 2" xfId="28613" xr:uid="{00000000-0005-0000-0000-0000D8280000}"/>
    <cellStyle name="40% - Accent1 12 5 3" xfId="19986" xr:uid="{00000000-0005-0000-0000-0000D9280000}"/>
    <cellStyle name="40% - Accent1 12 6" xfId="2663" xr:uid="{00000000-0005-0000-0000-0000DA280000}"/>
    <cellStyle name="40% - Accent1 12 6 2" xfId="16432" xr:uid="{00000000-0005-0000-0000-0000DB280000}"/>
    <cellStyle name="40% - Accent1 12 6 2 2" xfId="29839" xr:uid="{00000000-0005-0000-0000-0000DC280000}"/>
    <cellStyle name="40% - Accent1 12 6 3" xfId="19987" xr:uid="{00000000-0005-0000-0000-0000DD280000}"/>
    <cellStyle name="40% - Accent1 12 7" xfId="9200" xr:uid="{00000000-0005-0000-0000-0000DE280000}"/>
    <cellStyle name="40% - Accent1 12 7 2" xfId="23675" xr:uid="{00000000-0005-0000-0000-0000DF280000}"/>
    <cellStyle name="40% - Accent1 12 8" xfId="19979" xr:uid="{00000000-0005-0000-0000-0000E0280000}"/>
    <cellStyle name="40% - Accent1 13" xfId="2664" xr:uid="{00000000-0005-0000-0000-0000E1280000}"/>
    <cellStyle name="40% - Accent1 13 2" xfId="2665" xr:uid="{00000000-0005-0000-0000-0000E2280000}"/>
    <cellStyle name="40% - Accent1 13 2 2" xfId="10928" xr:uid="{00000000-0005-0000-0000-0000E3280000}"/>
    <cellStyle name="40% - Accent1 13 2 2 2" xfId="24870" xr:uid="{00000000-0005-0000-0000-0000E4280000}"/>
    <cellStyle name="40% - Accent1 13 2 3" xfId="19989" xr:uid="{00000000-0005-0000-0000-0000E5280000}"/>
    <cellStyle name="40% - Accent1 13 3" xfId="2666" xr:uid="{00000000-0005-0000-0000-0000E6280000}"/>
    <cellStyle name="40% - Accent1 13 3 2" xfId="11766" xr:uid="{00000000-0005-0000-0000-0000E7280000}"/>
    <cellStyle name="40% - Accent1 13 3 2 2" xfId="25481" xr:uid="{00000000-0005-0000-0000-0000E8280000}"/>
    <cellStyle name="40% - Accent1 13 3 3" xfId="19990" xr:uid="{00000000-0005-0000-0000-0000E9280000}"/>
    <cellStyle name="40% - Accent1 13 4" xfId="2667" xr:uid="{00000000-0005-0000-0000-0000EA280000}"/>
    <cellStyle name="40% - Accent1 13 4 2" xfId="15066" xr:uid="{00000000-0005-0000-0000-0000EB280000}"/>
    <cellStyle name="40% - Accent1 13 4 2 2" xfId="28615" xr:uid="{00000000-0005-0000-0000-0000EC280000}"/>
    <cellStyle name="40% - Accent1 13 4 3" xfId="19991" xr:uid="{00000000-0005-0000-0000-0000ED280000}"/>
    <cellStyle name="40% - Accent1 13 5" xfId="9202" xr:uid="{00000000-0005-0000-0000-0000EE280000}"/>
    <cellStyle name="40% - Accent1 13 5 2" xfId="23677" xr:uid="{00000000-0005-0000-0000-0000EF280000}"/>
    <cellStyle name="40% - Accent1 13 6" xfId="19988" xr:uid="{00000000-0005-0000-0000-0000F0280000}"/>
    <cellStyle name="40% - Accent1 14" xfId="2668" xr:uid="{00000000-0005-0000-0000-0000F1280000}"/>
    <cellStyle name="40% - Accent1 14 2" xfId="2669" xr:uid="{00000000-0005-0000-0000-0000F2280000}"/>
    <cellStyle name="40% - Accent1 14 2 2" xfId="10929" xr:uid="{00000000-0005-0000-0000-0000F3280000}"/>
    <cellStyle name="40% - Accent1 14 2 2 2" xfId="24871" xr:uid="{00000000-0005-0000-0000-0000F4280000}"/>
    <cellStyle name="40% - Accent1 14 2 3" xfId="19993" xr:uid="{00000000-0005-0000-0000-0000F5280000}"/>
    <cellStyle name="40% - Accent1 14 3" xfId="2670" xr:uid="{00000000-0005-0000-0000-0000F6280000}"/>
    <cellStyle name="40% - Accent1 14 3 2" xfId="12689" xr:uid="{00000000-0005-0000-0000-0000F7280000}"/>
    <cellStyle name="40% - Accent1 14 3 2 2" xfId="26401" xr:uid="{00000000-0005-0000-0000-0000F8280000}"/>
    <cellStyle name="40% - Accent1 14 3 3" xfId="19994" xr:uid="{00000000-0005-0000-0000-0000F9280000}"/>
    <cellStyle name="40% - Accent1 14 4" xfId="2671" xr:uid="{00000000-0005-0000-0000-0000FA280000}"/>
    <cellStyle name="40% - Accent1 14 4 2" xfId="15067" xr:uid="{00000000-0005-0000-0000-0000FB280000}"/>
    <cellStyle name="40% - Accent1 14 4 2 2" xfId="28616" xr:uid="{00000000-0005-0000-0000-0000FC280000}"/>
    <cellStyle name="40% - Accent1 14 4 3" xfId="19995" xr:uid="{00000000-0005-0000-0000-0000FD280000}"/>
    <cellStyle name="40% - Accent1 14 5" xfId="9203" xr:uid="{00000000-0005-0000-0000-0000FE280000}"/>
    <cellStyle name="40% - Accent1 14 5 2" xfId="23678" xr:uid="{00000000-0005-0000-0000-0000FF280000}"/>
    <cellStyle name="40% - Accent1 14 6" xfId="19992" xr:uid="{00000000-0005-0000-0000-000000290000}"/>
    <cellStyle name="40% - Accent1 15" xfId="2672" xr:uid="{00000000-0005-0000-0000-000001290000}"/>
    <cellStyle name="40% - Accent1 15 2" xfId="2673" xr:uid="{00000000-0005-0000-0000-000002290000}"/>
    <cellStyle name="40% - Accent1 15 2 2" xfId="10930" xr:uid="{00000000-0005-0000-0000-000003290000}"/>
    <cellStyle name="40% - Accent1 15 2 2 2" xfId="24872" xr:uid="{00000000-0005-0000-0000-000004290000}"/>
    <cellStyle name="40% - Accent1 15 2 3" xfId="19997" xr:uid="{00000000-0005-0000-0000-000005290000}"/>
    <cellStyle name="40% - Accent1 15 3" xfId="2674" xr:uid="{00000000-0005-0000-0000-000006290000}"/>
    <cellStyle name="40% - Accent1 15 3 2" xfId="12684" xr:uid="{00000000-0005-0000-0000-000007290000}"/>
    <cellStyle name="40% - Accent1 15 3 2 2" xfId="26396" xr:uid="{00000000-0005-0000-0000-000008290000}"/>
    <cellStyle name="40% - Accent1 15 3 3" xfId="19998" xr:uid="{00000000-0005-0000-0000-000009290000}"/>
    <cellStyle name="40% - Accent1 15 4" xfId="2675" xr:uid="{00000000-0005-0000-0000-00000A290000}"/>
    <cellStyle name="40% - Accent1 15 4 2" xfId="15068" xr:uid="{00000000-0005-0000-0000-00000B290000}"/>
    <cellStyle name="40% - Accent1 15 4 2 2" xfId="28617" xr:uid="{00000000-0005-0000-0000-00000C290000}"/>
    <cellStyle name="40% - Accent1 15 4 3" xfId="19999" xr:uid="{00000000-0005-0000-0000-00000D290000}"/>
    <cellStyle name="40% - Accent1 15 5" xfId="9204" xr:uid="{00000000-0005-0000-0000-00000E290000}"/>
    <cellStyle name="40% - Accent1 15 5 2" xfId="23679" xr:uid="{00000000-0005-0000-0000-00000F290000}"/>
    <cellStyle name="40% - Accent1 15 6" xfId="19996" xr:uid="{00000000-0005-0000-0000-000010290000}"/>
    <cellStyle name="40% - Accent1 16" xfId="2676" xr:uid="{00000000-0005-0000-0000-000011290000}"/>
    <cellStyle name="40% - Accent1 16 2" xfId="2677" xr:uid="{00000000-0005-0000-0000-000012290000}"/>
    <cellStyle name="40% - Accent1 16 2 2" xfId="10931" xr:uid="{00000000-0005-0000-0000-000013290000}"/>
    <cellStyle name="40% - Accent1 16 2 2 2" xfId="24873" xr:uid="{00000000-0005-0000-0000-000014290000}"/>
    <cellStyle name="40% - Accent1 16 2 3" xfId="20001" xr:uid="{00000000-0005-0000-0000-000015290000}"/>
    <cellStyle name="40% - Accent1 16 3" xfId="2678" xr:uid="{00000000-0005-0000-0000-000016290000}"/>
    <cellStyle name="40% - Accent1 16 3 2" xfId="12626" xr:uid="{00000000-0005-0000-0000-000017290000}"/>
    <cellStyle name="40% - Accent1 16 3 2 2" xfId="26338" xr:uid="{00000000-0005-0000-0000-000018290000}"/>
    <cellStyle name="40% - Accent1 16 3 3" xfId="20002" xr:uid="{00000000-0005-0000-0000-000019290000}"/>
    <cellStyle name="40% - Accent1 16 4" xfId="2679" xr:uid="{00000000-0005-0000-0000-00001A290000}"/>
    <cellStyle name="40% - Accent1 16 4 2" xfId="15069" xr:uid="{00000000-0005-0000-0000-00001B290000}"/>
    <cellStyle name="40% - Accent1 16 4 2 2" xfId="28618" xr:uid="{00000000-0005-0000-0000-00001C290000}"/>
    <cellStyle name="40% - Accent1 16 4 3" xfId="20003" xr:uid="{00000000-0005-0000-0000-00001D290000}"/>
    <cellStyle name="40% - Accent1 16 5" xfId="9205" xr:uid="{00000000-0005-0000-0000-00001E290000}"/>
    <cellStyle name="40% - Accent1 16 5 2" xfId="23680" xr:uid="{00000000-0005-0000-0000-00001F290000}"/>
    <cellStyle name="40% - Accent1 16 6" xfId="20000" xr:uid="{00000000-0005-0000-0000-000020290000}"/>
    <cellStyle name="40% - Accent1 17" xfId="2680" xr:uid="{00000000-0005-0000-0000-000021290000}"/>
    <cellStyle name="40% - Accent1 17 2" xfId="2681" xr:uid="{00000000-0005-0000-0000-000022290000}"/>
    <cellStyle name="40% - Accent1 17 2 2" xfId="10932" xr:uid="{00000000-0005-0000-0000-000023290000}"/>
    <cellStyle name="40% - Accent1 17 2 2 2" xfId="24874" xr:uid="{00000000-0005-0000-0000-000024290000}"/>
    <cellStyle name="40% - Accent1 17 2 3" xfId="20005" xr:uid="{00000000-0005-0000-0000-000025290000}"/>
    <cellStyle name="40% - Accent1 17 3" xfId="2682" xr:uid="{00000000-0005-0000-0000-000026290000}"/>
    <cellStyle name="40% - Accent1 17 3 2" xfId="11959" xr:uid="{00000000-0005-0000-0000-000027290000}"/>
    <cellStyle name="40% - Accent1 17 3 2 2" xfId="25674" xr:uid="{00000000-0005-0000-0000-000028290000}"/>
    <cellStyle name="40% - Accent1 17 3 3" xfId="20006" xr:uid="{00000000-0005-0000-0000-000029290000}"/>
    <cellStyle name="40% - Accent1 17 4" xfId="2683" xr:uid="{00000000-0005-0000-0000-00002A290000}"/>
    <cellStyle name="40% - Accent1 17 4 2" xfId="15070" xr:uid="{00000000-0005-0000-0000-00002B290000}"/>
    <cellStyle name="40% - Accent1 17 4 2 2" xfId="28619" xr:uid="{00000000-0005-0000-0000-00002C290000}"/>
    <cellStyle name="40% - Accent1 17 4 3" xfId="20007" xr:uid="{00000000-0005-0000-0000-00002D290000}"/>
    <cellStyle name="40% - Accent1 17 5" xfId="9206" xr:uid="{00000000-0005-0000-0000-00002E290000}"/>
    <cellStyle name="40% - Accent1 17 5 2" xfId="23681" xr:uid="{00000000-0005-0000-0000-00002F290000}"/>
    <cellStyle name="40% - Accent1 17 6" xfId="20004" xr:uid="{00000000-0005-0000-0000-000030290000}"/>
    <cellStyle name="40% - Accent1 18" xfId="2684" xr:uid="{00000000-0005-0000-0000-000031290000}"/>
    <cellStyle name="40% - Accent1 18 2" xfId="2685" xr:uid="{00000000-0005-0000-0000-000032290000}"/>
    <cellStyle name="40% - Accent1 18 2 2" xfId="10933" xr:uid="{00000000-0005-0000-0000-000033290000}"/>
    <cellStyle name="40% - Accent1 18 2 2 2" xfId="24875" xr:uid="{00000000-0005-0000-0000-000034290000}"/>
    <cellStyle name="40% - Accent1 18 2 3" xfId="20009" xr:uid="{00000000-0005-0000-0000-000035290000}"/>
    <cellStyle name="40% - Accent1 18 3" xfId="2686" xr:uid="{00000000-0005-0000-0000-000036290000}"/>
    <cellStyle name="40% - Accent1 18 3 2" xfId="12668" xr:uid="{00000000-0005-0000-0000-000037290000}"/>
    <cellStyle name="40% - Accent1 18 3 2 2" xfId="26380" xr:uid="{00000000-0005-0000-0000-000038290000}"/>
    <cellStyle name="40% - Accent1 18 3 3" xfId="20010" xr:uid="{00000000-0005-0000-0000-000039290000}"/>
    <cellStyle name="40% - Accent1 18 4" xfId="2687" xr:uid="{00000000-0005-0000-0000-00003A290000}"/>
    <cellStyle name="40% - Accent1 18 4 2" xfId="15071" xr:uid="{00000000-0005-0000-0000-00003B290000}"/>
    <cellStyle name="40% - Accent1 18 4 2 2" xfId="28620" xr:uid="{00000000-0005-0000-0000-00003C290000}"/>
    <cellStyle name="40% - Accent1 18 4 3" xfId="20011" xr:uid="{00000000-0005-0000-0000-00003D290000}"/>
    <cellStyle name="40% - Accent1 18 5" xfId="9207" xr:uid="{00000000-0005-0000-0000-00003E290000}"/>
    <cellStyle name="40% - Accent1 18 5 2" xfId="23682" xr:uid="{00000000-0005-0000-0000-00003F290000}"/>
    <cellStyle name="40% - Accent1 18 6" xfId="20008" xr:uid="{00000000-0005-0000-0000-000040290000}"/>
    <cellStyle name="40% - Accent1 19" xfId="2688" xr:uid="{00000000-0005-0000-0000-000041290000}"/>
    <cellStyle name="40% - Accent1 19 2" xfId="2689" xr:uid="{00000000-0005-0000-0000-000042290000}"/>
    <cellStyle name="40% - Accent1 19 2 2" xfId="11716" xr:uid="{00000000-0005-0000-0000-000043290000}"/>
    <cellStyle name="40% - Accent1 19 2 2 2" xfId="25436" xr:uid="{00000000-0005-0000-0000-000044290000}"/>
    <cellStyle name="40% - Accent1 19 2 3" xfId="20013" xr:uid="{00000000-0005-0000-0000-000045290000}"/>
    <cellStyle name="40% - Accent1 19 3" xfId="2690" xr:uid="{00000000-0005-0000-0000-000046290000}"/>
    <cellStyle name="40% - Accent1 19 3 2" xfId="12459" xr:uid="{00000000-0005-0000-0000-000047290000}"/>
    <cellStyle name="40% - Accent1 19 3 2 2" xfId="26171" xr:uid="{00000000-0005-0000-0000-000048290000}"/>
    <cellStyle name="40% - Accent1 19 3 3" xfId="20014" xr:uid="{00000000-0005-0000-0000-000049290000}"/>
    <cellStyle name="40% - Accent1 19 4" xfId="2691" xr:uid="{00000000-0005-0000-0000-00004A290000}"/>
    <cellStyle name="40% - Accent1 19 4 2" xfId="15072" xr:uid="{00000000-0005-0000-0000-00004B290000}"/>
    <cellStyle name="40% - Accent1 19 4 2 2" xfId="28621" xr:uid="{00000000-0005-0000-0000-00004C290000}"/>
    <cellStyle name="40% - Accent1 19 4 3" xfId="20015" xr:uid="{00000000-0005-0000-0000-00004D290000}"/>
    <cellStyle name="40% - Accent1 19 5" xfId="10468" xr:uid="{00000000-0005-0000-0000-00004E290000}"/>
    <cellStyle name="40% - Accent1 19 5 2" xfId="24427" xr:uid="{00000000-0005-0000-0000-00004F290000}"/>
    <cellStyle name="40% - Accent1 19 6" xfId="20012" xr:uid="{00000000-0005-0000-0000-000050290000}"/>
    <cellStyle name="40% - Accent1 2" xfId="2692" xr:uid="{00000000-0005-0000-0000-000051290000}"/>
    <cellStyle name="40% - Accent1 2 10" xfId="2693" xr:uid="{00000000-0005-0000-0000-000052290000}"/>
    <cellStyle name="40% - Accent1 2 10 2" xfId="2694" xr:uid="{00000000-0005-0000-0000-000053290000}"/>
    <cellStyle name="40% - Accent1 2 10 2 2" xfId="15074" xr:uid="{00000000-0005-0000-0000-000054290000}"/>
    <cellStyle name="40% - Accent1 2 10 2 2 2" xfId="28623" xr:uid="{00000000-0005-0000-0000-000055290000}"/>
    <cellStyle name="40% - Accent1 2 10 2 3" xfId="20018" xr:uid="{00000000-0005-0000-0000-000056290000}"/>
    <cellStyle name="40% - Accent1 2 10 3" xfId="11836" xr:uid="{00000000-0005-0000-0000-000057290000}"/>
    <cellStyle name="40% - Accent1 2 10 3 2" xfId="25551" xr:uid="{00000000-0005-0000-0000-000058290000}"/>
    <cellStyle name="40% - Accent1 2 10 4" xfId="20017" xr:uid="{00000000-0005-0000-0000-000059290000}"/>
    <cellStyle name="40% - Accent1 2 11" xfId="2695" xr:uid="{00000000-0005-0000-0000-00005A290000}"/>
    <cellStyle name="40% - Accent1 2 11 2" xfId="12676" xr:uid="{00000000-0005-0000-0000-00005B290000}"/>
    <cellStyle name="40% - Accent1 2 11 2 2" xfId="26388" xr:uid="{00000000-0005-0000-0000-00005C290000}"/>
    <cellStyle name="40% - Accent1 2 11 3" xfId="20019" xr:uid="{00000000-0005-0000-0000-00005D290000}"/>
    <cellStyle name="40% - Accent1 2 12" xfId="2696" xr:uid="{00000000-0005-0000-0000-00005E290000}"/>
    <cellStyle name="40% - Accent1 2 12 2" xfId="13436" xr:uid="{00000000-0005-0000-0000-00005F290000}"/>
    <cellStyle name="40% - Accent1 2 12 2 2" xfId="26985" xr:uid="{00000000-0005-0000-0000-000060290000}"/>
    <cellStyle name="40% - Accent1 2 12 3" xfId="20020" xr:uid="{00000000-0005-0000-0000-000061290000}"/>
    <cellStyle name="40% - Accent1 2 13" xfId="2697" xr:uid="{00000000-0005-0000-0000-000062290000}"/>
    <cellStyle name="40% - Accent1 2 13 2" xfId="14017" xr:uid="{00000000-0005-0000-0000-000063290000}"/>
    <cellStyle name="40% - Accent1 2 13 2 2" xfId="27566" xr:uid="{00000000-0005-0000-0000-000064290000}"/>
    <cellStyle name="40% - Accent1 2 13 3" xfId="20021" xr:uid="{00000000-0005-0000-0000-000065290000}"/>
    <cellStyle name="40% - Accent1 2 14" xfId="2698" xr:uid="{00000000-0005-0000-0000-000066290000}"/>
    <cellStyle name="40% - Accent1 2 14 2" xfId="15073" xr:uid="{00000000-0005-0000-0000-000067290000}"/>
    <cellStyle name="40% - Accent1 2 14 2 2" xfId="28622" xr:uid="{00000000-0005-0000-0000-000068290000}"/>
    <cellStyle name="40% - Accent1 2 14 3" xfId="20022" xr:uid="{00000000-0005-0000-0000-000069290000}"/>
    <cellStyle name="40% - Accent1 2 15" xfId="2699" xr:uid="{00000000-0005-0000-0000-00006A290000}"/>
    <cellStyle name="40% - Accent1 2 15 2" xfId="15903" xr:uid="{00000000-0005-0000-0000-00006B290000}"/>
    <cellStyle name="40% - Accent1 2 15 2 2" xfId="29310" xr:uid="{00000000-0005-0000-0000-00006C290000}"/>
    <cellStyle name="40% - Accent1 2 15 3" xfId="20023" xr:uid="{00000000-0005-0000-0000-00006D290000}"/>
    <cellStyle name="40% - Accent1 2 16" xfId="9208" xr:uid="{00000000-0005-0000-0000-00006E290000}"/>
    <cellStyle name="40% - Accent1 2 16 2" xfId="23683" xr:uid="{00000000-0005-0000-0000-00006F290000}"/>
    <cellStyle name="40% - Accent1 2 17" xfId="20016" xr:uid="{00000000-0005-0000-0000-000070290000}"/>
    <cellStyle name="40% - Accent1 2 18" xfId="33063" xr:uid="{00000000-0005-0000-0000-000071290000}"/>
    <cellStyle name="40% - Accent1 2 2" xfId="2700" xr:uid="{00000000-0005-0000-0000-000072290000}"/>
    <cellStyle name="40% - Accent1 2 2 10" xfId="2701" xr:uid="{00000000-0005-0000-0000-000073290000}"/>
    <cellStyle name="40% - Accent1 2 2 10 2" xfId="15075" xr:uid="{00000000-0005-0000-0000-000074290000}"/>
    <cellStyle name="40% - Accent1 2 2 10 2 2" xfId="28624" xr:uid="{00000000-0005-0000-0000-000075290000}"/>
    <cellStyle name="40% - Accent1 2 2 10 3" xfId="20025" xr:uid="{00000000-0005-0000-0000-000076290000}"/>
    <cellStyle name="40% - Accent1 2 2 11" xfId="2702" xr:uid="{00000000-0005-0000-0000-000077290000}"/>
    <cellStyle name="40% - Accent1 2 2 11 2" xfId="15949" xr:uid="{00000000-0005-0000-0000-000078290000}"/>
    <cellStyle name="40% - Accent1 2 2 11 2 2" xfId="29356" xr:uid="{00000000-0005-0000-0000-000079290000}"/>
    <cellStyle name="40% - Accent1 2 2 11 3" xfId="20026" xr:uid="{00000000-0005-0000-0000-00007A290000}"/>
    <cellStyle name="40% - Accent1 2 2 12" xfId="9209" xr:uid="{00000000-0005-0000-0000-00007B290000}"/>
    <cellStyle name="40% - Accent1 2 2 12 2" xfId="23684" xr:uid="{00000000-0005-0000-0000-00007C290000}"/>
    <cellStyle name="40% - Accent1 2 2 13" xfId="20024" xr:uid="{00000000-0005-0000-0000-00007D290000}"/>
    <cellStyle name="40% - Accent1 2 2 2" xfId="2703" xr:uid="{00000000-0005-0000-0000-00007E290000}"/>
    <cellStyle name="40% - Accent1 2 2 2 10" xfId="2704" xr:uid="{00000000-0005-0000-0000-00007F290000}"/>
    <cellStyle name="40% - Accent1 2 2 2 10 2" xfId="16092" xr:uid="{00000000-0005-0000-0000-000080290000}"/>
    <cellStyle name="40% - Accent1 2 2 2 10 2 2" xfId="29499" xr:uid="{00000000-0005-0000-0000-000081290000}"/>
    <cellStyle name="40% - Accent1 2 2 2 10 3" xfId="20028" xr:uid="{00000000-0005-0000-0000-000082290000}"/>
    <cellStyle name="40% - Accent1 2 2 2 11" xfId="9210" xr:uid="{00000000-0005-0000-0000-000083290000}"/>
    <cellStyle name="40% - Accent1 2 2 2 11 2" xfId="23685" xr:uid="{00000000-0005-0000-0000-000084290000}"/>
    <cellStyle name="40% - Accent1 2 2 2 12" xfId="20027" xr:uid="{00000000-0005-0000-0000-000085290000}"/>
    <cellStyle name="40% - Accent1 2 2 2 2" xfId="2705" xr:uid="{00000000-0005-0000-0000-000086290000}"/>
    <cellStyle name="40% - Accent1 2 2 2 2 10" xfId="9211" xr:uid="{00000000-0005-0000-0000-000087290000}"/>
    <cellStyle name="40% - Accent1 2 2 2 2 10 2" xfId="23686" xr:uid="{00000000-0005-0000-0000-000088290000}"/>
    <cellStyle name="40% - Accent1 2 2 2 2 11" xfId="20029" xr:uid="{00000000-0005-0000-0000-000089290000}"/>
    <cellStyle name="40% - Accent1 2 2 2 2 2" xfId="2706" xr:uid="{00000000-0005-0000-0000-00008A290000}"/>
    <cellStyle name="40% - Accent1 2 2 2 2 2 2" xfId="2707" xr:uid="{00000000-0005-0000-0000-00008B290000}"/>
    <cellStyle name="40% - Accent1 2 2 2 2 2 2 2" xfId="10938" xr:uid="{00000000-0005-0000-0000-00008C290000}"/>
    <cellStyle name="40% - Accent1 2 2 2 2 2 2 2 2" xfId="24880" xr:uid="{00000000-0005-0000-0000-00008D290000}"/>
    <cellStyle name="40% - Accent1 2 2 2 2 2 2 3" xfId="20031" xr:uid="{00000000-0005-0000-0000-00008E290000}"/>
    <cellStyle name="40% - Accent1 2 2 2 2 2 3" xfId="2708" xr:uid="{00000000-0005-0000-0000-00008F290000}"/>
    <cellStyle name="40% - Accent1 2 2 2 2 2 3 2" xfId="12547" xr:uid="{00000000-0005-0000-0000-000090290000}"/>
    <cellStyle name="40% - Accent1 2 2 2 2 2 3 2 2" xfId="26259" xr:uid="{00000000-0005-0000-0000-000091290000}"/>
    <cellStyle name="40% - Accent1 2 2 2 2 2 3 3" xfId="20032" xr:uid="{00000000-0005-0000-0000-000092290000}"/>
    <cellStyle name="40% - Accent1 2 2 2 2 2 4" xfId="2709" xr:uid="{00000000-0005-0000-0000-000093290000}"/>
    <cellStyle name="40% - Accent1 2 2 2 2 2 4 2" xfId="15078" xr:uid="{00000000-0005-0000-0000-000094290000}"/>
    <cellStyle name="40% - Accent1 2 2 2 2 2 4 2 2" xfId="28627" xr:uid="{00000000-0005-0000-0000-000095290000}"/>
    <cellStyle name="40% - Accent1 2 2 2 2 2 4 3" xfId="20033" xr:uid="{00000000-0005-0000-0000-000096290000}"/>
    <cellStyle name="40% - Accent1 2 2 2 2 2 5" xfId="2710" xr:uid="{00000000-0005-0000-0000-000097290000}"/>
    <cellStyle name="40% - Accent1 2 2 2 2 2 5 2" xfId="16962" xr:uid="{00000000-0005-0000-0000-000098290000}"/>
    <cellStyle name="40% - Accent1 2 2 2 2 2 5 2 2" xfId="30369" xr:uid="{00000000-0005-0000-0000-000099290000}"/>
    <cellStyle name="40% - Accent1 2 2 2 2 2 5 3" xfId="20034" xr:uid="{00000000-0005-0000-0000-00009A290000}"/>
    <cellStyle name="40% - Accent1 2 2 2 2 2 6" xfId="9212" xr:uid="{00000000-0005-0000-0000-00009B290000}"/>
    <cellStyle name="40% - Accent1 2 2 2 2 2 6 2" xfId="23687" xr:uid="{00000000-0005-0000-0000-00009C290000}"/>
    <cellStyle name="40% - Accent1 2 2 2 2 2 7" xfId="20030" xr:uid="{00000000-0005-0000-0000-00009D290000}"/>
    <cellStyle name="40% - Accent1 2 2 2 2 3" xfId="2711" xr:uid="{00000000-0005-0000-0000-00009E290000}"/>
    <cellStyle name="40% - Accent1 2 2 2 2 3 2" xfId="2712" xr:uid="{00000000-0005-0000-0000-00009F290000}"/>
    <cellStyle name="40% - Accent1 2 2 2 2 3 2 2" xfId="15079" xr:uid="{00000000-0005-0000-0000-0000A0290000}"/>
    <cellStyle name="40% - Accent1 2 2 2 2 3 2 2 2" xfId="28628" xr:uid="{00000000-0005-0000-0000-0000A1290000}"/>
    <cellStyle name="40% - Accent1 2 2 2 2 3 2 3" xfId="20036" xr:uid="{00000000-0005-0000-0000-0000A2290000}"/>
    <cellStyle name="40% - Accent1 2 2 2 2 3 3" xfId="10937" xr:uid="{00000000-0005-0000-0000-0000A3290000}"/>
    <cellStyle name="40% - Accent1 2 2 2 2 3 3 2" xfId="24879" xr:uid="{00000000-0005-0000-0000-0000A4290000}"/>
    <cellStyle name="40% - Accent1 2 2 2 2 3 4" xfId="20035" xr:uid="{00000000-0005-0000-0000-0000A5290000}"/>
    <cellStyle name="40% - Accent1 2 2 2 2 4" xfId="2713" xr:uid="{00000000-0005-0000-0000-0000A6290000}"/>
    <cellStyle name="40% - Accent1 2 2 2 2 4 2" xfId="12350" xr:uid="{00000000-0005-0000-0000-0000A7290000}"/>
    <cellStyle name="40% - Accent1 2 2 2 2 4 2 2" xfId="26062" xr:uid="{00000000-0005-0000-0000-0000A8290000}"/>
    <cellStyle name="40% - Accent1 2 2 2 2 4 3" xfId="20037" xr:uid="{00000000-0005-0000-0000-0000A9290000}"/>
    <cellStyle name="40% - Accent1 2 2 2 2 5" xfId="2714" xr:uid="{00000000-0005-0000-0000-0000AA290000}"/>
    <cellStyle name="40% - Accent1 2 2 2 2 5 2" xfId="12598" xr:uid="{00000000-0005-0000-0000-0000AB290000}"/>
    <cellStyle name="40% - Accent1 2 2 2 2 5 2 2" xfId="26310" xr:uid="{00000000-0005-0000-0000-0000AC290000}"/>
    <cellStyle name="40% - Accent1 2 2 2 2 5 3" xfId="20038" xr:uid="{00000000-0005-0000-0000-0000AD290000}"/>
    <cellStyle name="40% - Accent1 2 2 2 2 6" xfId="2715" xr:uid="{00000000-0005-0000-0000-0000AE290000}"/>
    <cellStyle name="40% - Accent1 2 2 2 2 6 2" xfId="13914" xr:uid="{00000000-0005-0000-0000-0000AF290000}"/>
    <cellStyle name="40% - Accent1 2 2 2 2 6 2 2" xfId="27463" xr:uid="{00000000-0005-0000-0000-0000B0290000}"/>
    <cellStyle name="40% - Accent1 2 2 2 2 6 3" xfId="20039" xr:uid="{00000000-0005-0000-0000-0000B1290000}"/>
    <cellStyle name="40% - Accent1 2 2 2 2 7" xfId="2716" xr:uid="{00000000-0005-0000-0000-0000B2290000}"/>
    <cellStyle name="40% - Accent1 2 2 2 2 7 2" xfId="14495" xr:uid="{00000000-0005-0000-0000-0000B3290000}"/>
    <cellStyle name="40% - Accent1 2 2 2 2 7 2 2" xfId="28044" xr:uid="{00000000-0005-0000-0000-0000B4290000}"/>
    <cellStyle name="40% - Accent1 2 2 2 2 7 3" xfId="20040" xr:uid="{00000000-0005-0000-0000-0000B5290000}"/>
    <cellStyle name="40% - Accent1 2 2 2 2 8" xfId="2717" xr:uid="{00000000-0005-0000-0000-0000B6290000}"/>
    <cellStyle name="40% - Accent1 2 2 2 2 8 2" xfId="15077" xr:uid="{00000000-0005-0000-0000-0000B7290000}"/>
    <cellStyle name="40% - Accent1 2 2 2 2 8 2 2" xfId="28626" xr:uid="{00000000-0005-0000-0000-0000B8290000}"/>
    <cellStyle name="40% - Accent1 2 2 2 2 8 3" xfId="20041" xr:uid="{00000000-0005-0000-0000-0000B9290000}"/>
    <cellStyle name="40% - Accent1 2 2 2 2 9" xfId="2718" xr:uid="{00000000-0005-0000-0000-0000BA290000}"/>
    <cellStyle name="40% - Accent1 2 2 2 2 9 2" xfId="16381" xr:uid="{00000000-0005-0000-0000-0000BB290000}"/>
    <cellStyle name="40% - Accent1 2 2 2 2 9 2 2" xfId="29788" xr:uid="{00000000-0005-0000-0000-0000BC290000}"/>
    <cellStyle name="40% - Accent1 2 2 2 2 9 3" xfId="20042" xr:uid="{00000000-0005-0000-0000-0000BD290000}"/>
    <cellStyle name="40% - Accent1 2 2 2 3" xfId="2719" xr:uid="{00000000-0005-0000-0000-0000BE290000}"/>
    <cellStyle name="40% - Accent1 2 2 2 3 2" xfId="2720" xr:uid="{00000000-0005-0000-0000-0000BF290000}"/>
    <cellStyle name="40% - Accent1 2 2 2 3 2 2" xfId="10939" xr:uid="{00000000-0005-0000-0000-0000C0290000}"/>
    <cellStyle name="40% - Accent1 2 2 2 3 2 2 2" xfId="24881" xr:uid="{00000000-0005-0000-0000-0000C1290000}"/>
    <cellStyle name="40% - Accent1 2 2 2 3 2 3" xfId="20044" xr:uid="{00000000-0005-0000-0000-0000C2290000}"/>
    <cellStyle name="40% - Accent1 2 2 2 3 3" xfId="2721" xr:uid="{00000000-0005-0000-0000-0000C3290000}"/>
    <cellStyle name="40% - Accent1 2 2 2 3 3 2" xfId="12742" xr:uid="{00000000-0005-0000-0000-0000C4290000}"/>
    <cellStyle name="40% - Accent1 2 2 2 3 3 2 2" xfId="26454" xr:uid="{00000000-0005-0000-0000-0000C5290000}"/>
    <cellStyle name="40% - Accent1 2 2 2 3 3 3" xfId="20045" xr:uid="{00000000-0005-0000-0000-0000C6290000}"/>
    <cellStyle name="40% - Accent1 2 2 2 3 4" xfId="2722" xr:uid="{00000000-0005-0000-0000-0000C7290000}"/>
    <cellStyle name="40% - Accent1 2 2 2 3 4 2" xfId="15080" xr:uid="{00000000-0005-0000-0000-0000C8290000}"/>
    <cellStyle name="40% - Accent1 2 2 2 3 4 2 2" xfId="28629" xr:uid="{00000000-0005-0000-0000-0000C9290000}"/>
    <cellStyle name="40% - Accent1 2 2 2 3 4 3" xfId="20046" xr:uid="{00000000-0005-0000-0000-0000CA290000}"/>
    <cellStyle name="40% - Accent1 2 2 2 3 5" xfId="2723" xr:uid="{00000000-0005-0000-0000-0000CB290000}"/>
    <cellStyle name="40% - Accent1 2 2 2 3 5 2" xfId="16673" xr:uid="{00000000-0005-0000-0000-0000CC290000}"/>
    <cellStyle name="40% - Accent1 2 2 2 3 5 2 2" xfId="30080" xr:uid="{00000000-0005-0000-0000-0000CD290000}"/>
    <cellStyle name="40% - Accent1 2 2 2 3 5 3" xfId="20047" xr:uid="{00000000-0005-0000-0000-0000CE290000}"/>
    <cellStyle name="40% - Accent1 2 2 2 3 6" xfId="9213" xr:uid="{00000000-0005-0000-0000-0000CF290000}"/>
    <cellStyle name="40% - Accent1 2 2 2 3 6 2" xfId="23688" xr:uid="{00000000-0005-0000-0000-0000D0290000}"/>
    <cellStyle name="40% - Accent1 2 2 2 3 7" xfId="20043" xr:uid="{00000000-0005-0000-0000-0000D1290000}"/>
    <cellStyle name="40% - Accent1 2 2 2 4" xfId="2724" xr:uid="{00000000-0005-0000-0000-0000D2290000}"/>
    <cellStyle name="40% - Accent1 2 2 2 4 2" xfId="2725" xr:uid="{00000000-0005-0000-0000-0000D3290000}"/>
    <cellStyle name="40% - Accent1 2 2 2 4 2 2" xfId="15081" xr:uid="{00000000-0005-0000-0000-0000D4290000}"/>
    <cellStyle name="40% - Accent1 2 2 2 4 2 2 2" xfId="28630" xr:uid="{00000000-0005-0000-0000-0000D5290000}"/>
    <cellStyle name="40% - Accent1 2 2 2 4 2 3" xfId="20049" xr:uid="{00000000-0005-0000-0000-0000D6290000}"/>
    <cellStyle name="40% - Accent1 2 2 2 4 3" xfId="10936" xr:uid="{00000000-0005-0000-0000-0000D7290000}"/>
    <cellStyle name="40% - Accent1 2 2 2 4 3 2" xfId="24878" xr:uid="{00000000-0005-0000-0000-0000D8290000}"/>
    <cellStyle name="40% - Accent1 2 2 2 4 4" xfId="20048" xr:uid="{00000000-0005-0000-0000-0000D9290000}"/>
    <cellStyle name="40% - Accent1 2 2 2 5" xfId="2726" xr:uid="{00000000-0005-0000-0000-0000DA290000}"/>
    <cellStyle name="40% - Accent1 2 2 2 5 2" xfId="12050" xr:uid="{00000000-0005-0000-0000-0000DB290000}"/>
    <cellStyle name="40% - Accent1 2 2 2 5 2 2" xfId="25765" xr:uid="{00000000-0005-0000-0000-0000DC290000}"/>
    <cellStyle name="40% - Accent1 2 2 2 5 3" xfId="20050" xr:uid="{00000000-0005-0000-0000-0000DD290000}"/>
    <cellStyle name="40% - Accent1 2 2 2 6" xfId="2727" xr:uid="{00000000-0005-0000-0000-0000DE290000}"/>
    <cellStyle name="40% - Accent1 2 2 2 6 2" xfId="12485" xr:uid="{00000000-0005-0000-0000-0000DF290000}"/>
    <cellStyle name="40% - Accent1 2 2 2 6 2 2" xfId="26197" xr:uid="{00000000-0005-0000-0000-0000E0290000}"/>
    <cellStyle name="40% - Accent1 2 2 2 6 3" xfId="20051" xr:uid="{00000000-0005-0000-0000-0000E1290000}"/>
    <cellStyle name="40% - Accent1 2 2 2 7" xfId="2728" xr:uid="{00000000-0005-0000-0000-0000E2290000}"/>
    <cellStyle name="40% - Accent1 2 2 2 7 2" xfId="13625" xr:uid="{00000000-0005-0000-0000-0000E3290000}"/>
    <cellStyle name="40% - Accent1 2 2 2 7 2 2" xfId="27174" xr:uid="{00000000-0005-0000-0000-0000E4290000}"/>
    <cellStyle name="40% - Accent1 2 2 2 7 3" xfId="20052" xr:uid="{00000000-0005-0000-0000-0000E5290000}"/>
    <cellStyle name="40% - Accent1 2 2 2 8" xfId="2729" xr:uid="{00000000-0005-0000-0000-0000E6290000}"/>
    <cellStyle name="40% - Accent1 2 2 2 8 2" xfId="14206" xr:uid="{00000000-0005-0000-0000-0000E7290000}"/>
    <cellStyle name="40% - Accent1 2 2 2 8 2 2" xfId="27755" xr:uid="{00000000-0005-0000-0000-0000E8290000}"/>
    <cellStyle name="40% - Accent1 2 2 2 8 3" xfId="20053" xr:uid="{00000000-0005-0000-0000-0000E9290000}"/>
    <cellStyle name="40% - Accent1 2 2 2 9" xfId="2730" xr:uid="{00000000-0005-0000-0000-0000EA290000}"/>
    <cellStyle name="40% - Accent1 2 2 2 9 2" xfId="15076" xr:uid="{00000000-0005-0000-0000-0000EB290000}"/>
    <cellStyle name="40% - Accent1 2 2 2 9 2 2" xfId="28625" xr:uid="{00000000-0005-0000-0000-0000EC290000}"/>
    <cellStyle name="40% - Accent1 2 2 2 9 3" xfId="20054" xr:uid="{00000000-0005-0000-0000-0000ED290000}"/>
    <cellStyle name="40% - Accent1 2 2 3" xfId="2731" xr:uid="{00000000-0005-0000-0000-0000EE290000}"/>
    <cellStyle name="40% - Accent1 2 2 3 10" xfId="9214" xr:uid="{00000000-0005-0000-0000-0000EF290000}"/>
    <cellStyle name="40% - Accent1 2 2 3 10 2" xfId="23689" xr:uid="{00000000-0005-0000-0000-0000F0290000}"/>
    <cellStyle name="40% - Accent1 2 2 3 11" xfId="20055" xr:uid="{00000000-0005-0000-0000-0000F1290000}"/>
    <cellStyle name="40% - Accent1 2 2 3 2" xfId="2732" xr:uid="{00000000-0005-0000-0000-0000F2290000}"/>
    <cellStyle name="40% - Accent1 2 2 3 2 2" xfId="2733" xr:uid="{00000000-0005-0000-0000-0000F3290000}"/>
    <cellStyle name="40% - Accent1 2 2 3 2 2 2" xfId="10941" xr:uid="{00000000-0005-0000-0000-0000F4290000}"/>
    <cellStyle name="40% - Accent1 2 2 3 2 2 2 2" xfId="24883" xr:uid="{00000000-0005-0000-0000-0000F5290000}"/>
    <cellStyle name="40% - Accent1 2 2 3 2 2 3" xfId="20057" xr:uid="{00000000-0005-0000-0000-0000F6290000}"/>
    <cellStyle name="40% - Accent1 2 2 3 2 3" xfId="2734" xr:uid="{00000000-0005-0000-0000-0000F7290000}"/>
    <cellStyle name="40% - Accent1 2 2 3 2 3 2" xfId="12659" xr:uid="{00000000-0005-0000-0000-0000F8290000}"/>
    <cellStyle name="40% - Accent1 2 2 3 2 3 2 2" xfId="26371" xr:uid="{00000000-0005-0000-0000-0000F9290000}"/>
    <cellStyle name="40% - Accent1 2 2 3 2 3 3" xfId="20058" xr:uid="{00000000-0005-0000-0000-0000FA290000}"/>
    <cellStyle name="40% - Accent1 2 2 3 2 4" xfId="2735" xr:uid="{00000000-0005-0000-0000-0000FB290000}"/>
    <cellStyle name="40% - Accent1 2 2 3 2 4 2" xfId="15083" xr:uid="{00000000-0005-0000-0000-0000FC290000}"/>
    <cellStyle name="40% - Accent1 2 2 3 2 4 2 2" xfId="28632" xr:uid="{00000000-0005-0000-0000-0000FD290000}"/>
    <cellStyle name="40% - Accent1 2 2 3 2 4 3" xfId="20059" xr:uid="{00000000-0005-0000-0000-0000FE290000}"/>
    <cellStyle name="40% - Accent1 2 2 3 2 5" xfId="2736" xr:uid="{00000000-0005-0000-0000-0000FF290000}"/>
    <cellStyle name="40% - Accent1 2 2 3 2 5 2" xfId="16819" xr:uid="{00000000-0005-0000-0000-0000002A0000}"/>
    <cellStyle name="40% - Accent1 2 2 3 2 5 2 2" xfId="30226" xr:uid="{00000000-0005-0000-0000-0000012A0000}"/>
    <cellStyle name="40% - Accent1 2 2 3 2 5 3" xfId="20060" xr:uid="{00000000-0005-0000-0000-0000022A0000}"/>
    <cellStyle name="40% - Accent1 2 2 3 2 6" xfId="9215" xr:uid="{00000000-0005-0000-0000-0000032A0000}"/>
    <cellStyle name="40% - Accent1 2 2 3 2 6 2" xfId="23690" xr:uid="{00000000-0005-0000-0000-0000042A0000}"/>
    <cellStyle name="40% - Accent1 2 2 3 2 7" xfId="20056" xr:uid="{00000000-0005-0000-0000-0000052A0000}"/>
    <cellStyle name="40% - Accent1 2 2 3 3" xfId="2737" xr:uid="{00000000-0005-0000-0000-0000062A0000}"/>
    <cellStyle name="40% - Accent1 2 2 3 3 2" xfId="2738" xr:uid="{00000000-0005-0000-0000-0000072A0000}"/>
    <cellStyle name="40% - Accent1 2 2 3 3 2 2" xfId="15084" xr:uid="{00000000-0005-0000-0000-0000082A0000}"/>
    <cellStyle name="40% - Accent1 2 2 3 3 2 2 2" xfId="28633" xr:uid="{00000000-0005-0000-0000-0000092A0000}"/>
    <cellStyle name="40% - Accent1 2 2 3 3 2 3" xfId="20062" xr:uid="{00000000-0005-0000-0000-00000A2A0000}"/>
    <cellStyle name="40% - Accent1 2 2 3 3 3" xfId="10940" xr:uid="{00000000-0005-0000-0000-00000B2A0000}"/>
    <cellStyle name="40% - Accent1 2 2 3 3 3 2" xfId="24882" xr:uid="{00000000-0005-0000-0000-00000C2A0000}"/>
    <cellStyle name="40% - Accent1 2 2 3 3 4" xfId="20061" xr:uid="{00000000-0005-0000-0000-00000D2A0000}"/>
    <cellStyle name="40% - Accent1 2 2 3 4" xfId="2739" xr:uid="{00000000-0005-0000-0000-00000E2A0000}"/>
    <cellStyle name="40% - Accent1 2 2 3 4 2" xfId="12207" xr:uid="{00000000-0005-0000-0000-00000F2A0000}"/>
    <cellStyle name="40% - Accent1 2 2 3 4 2 2" xfId="25919" xr:uid="{00000000-0005-0000-0000-0000102A0000}"/>
    <cellStyle name="40% - Accent1 2 2 3 4 3" xfId="20063" xr:uid="{00000000-0005-0000-0000-0000112A0000}"/>
    <cellStyle name="40% - Accent1 2 2 3 5" xfId="2740" xr:uid="{00000000-0005-0000-0000-0000122A0000}"/>
    <cellStyle name="40% - Accent1 2 2 3 5 2" xfId="11790" xr:uid="{00000000-0005-0000-0000-0000132A0000}"/>
    <cellStyle name="40% - Accent1 2 2 3 5 2 2" xfId="25505" xr:uid="{00000000-0005-0000-0000-0000142A0000}"/>
    <cellStyle name="40% - Accent1 2 2 3 5 3" xfId="20064" xr:uid="{00000000-0005-0000-0000-0000152A0000}"/>
    <cellStyle name="40% - Accent1 2 2 3 6" xfId="2741" xr:uid="{00000000-0005-0000-0000-0000162A0000}"/>
    <cellStyle name="40% - Accent1 2 2 3 6 2" xfId="13771" xr:uid="{00000000-0005-0000-0000-0000172A0000}"/>
    <cellStyle name="40% - Accent1 2 2 3 6 2 2" xfId="27320" xr:uid="{00000000-0005-0000-0000-0000182A0000}"/>
    <cellStyle name="40% - Accent1 2 2 3 6 3" xfId="20065" xr:uid="{00000000-0005-0000-0000-0000192A0000}"/>
    <cellStyle name="40% - Accent1 2 2 3 7" xfId="2742" xr:uid="{00000000-0005-0000-0000-00001A2A0000}"/>
    <cellStyle name="40% - Accent1 2 2 3 7 2" xfId="14352" xr:uid="{00000000-0005-0000-0000-00001B2A0000}"/>
    <cellStyle name="40% - Accent1 2 2 3 7 2 2" xfId="27901" xr:uid="{00000000-0005-0000-0000-00001C2A0000}"/>
    <cellStyle name="40% - Accent1 2 2 3 7 3" xfId="20066" xr:uid="{00000000-0005-0000-0000-00001D2A0000}"/>
    <cellStyle name="40% - Accent1 2 2 3 8" xfId="2743" xr:uid="{00000000-0005-0000-0000-00001E2A0000}"/>
    <cellStyle name="40% - Accent1 2 2 3 8 2" xfId="15082" xr:uid="{00000000-0005-0000-0000-00001F2A0000}"/>
    <cellStyle name="40% - Accent1 2 2 3 8 2 2" xfId="28631" xr:uid="{00000000-0005-0000-0000-0000202A0000}"/>
    <cellStyle name="40% - Accent1 2 2 3 8 3" xfId="20067" xr:uid="{00000000-0005-0000-0000-0000212A0000}"/>
    <cellStyle name="40% - Accent1 2 2 3 9" xfId="2744" xr:uid="{00000000-0005-0000-0000-0000222A0000}"/>
    <cellStyle name="40% - Accent1 2 2 3 9 2" xfId="16238" xr:uid="{00000000-0005-0000-0000-0000232A0000}"/>
    <cellStyle name="40% - Accent1 2 2 3 9 2 2" xfId="29645" xr:uid="{00000000-0005-0000-0000-0000242A0000}"/>
    <cellStyle name="40% - Accent1 2 2 3 9 3" xfId="20068" xr:uid="{00000000-0005-0000-0000-0000252A0000}"/>
    <cellStyle name="40% - Accent1 2 2 4" xfId="2745" xr:uid="{00000000-0005-0000-0000-0000262A0000}"/>
    <cellStyle name="40% - Accent1 2 2 4 2" xfId="2746" xr:uid="{00000000-0005-0000-0000-0000272A0000}"/>
    <cellStyle name="40% - Accent1 2 2 4 2 2" xfId="10942" xr:uid="{00000000-0005-0000-0000-0000282A0000}"/>
    <cellStyle name="40% - Accent1 2 2 4 2 2 2" xfId="24884" xr:uid="{00000000-0005-0000-0000-0000292A0000}"/>
    <cellStyle name="40% - Accent1 2 2 4 2 3" xfId="20070" xr:uid="{00000000-0005-0000-0000-00002A2A0000}"/>
    <cellStyle name="40% - Accent1 2 2 4 3" xfId="2747" xr:uid="{00000000-0005-0000-0000-00002B2A0000}"/>
    <cellStyle name="40% - Accent1 2 2 4 3 2" xfId="11869" xr:uid="{00000000-0005-0000-0000-00002C2A0000}"/>
    <cellStyle name="40% - Accent1 2 2 4 3 2 2" xfId="25584" xr:uid="{00000000-0005-0000-0000-00002D2A0000}"/>
    <cellStyle name="40% - Accent1 2 2 4 3 3" xfId="20071" xr:uid="{00000000-0005-0000-0000-00002E2A0000}"/>
    <cellStyle name="40% - Accent1 2 2 4 4" xfId="2748" xr:uid="{00000000-0005-0000-0000-00002F2A0000}"/>
    <cellStyle name="40% - Accent1 2 2 4 4 2" xfId="15085" xr:uid="{00000000-0005-0000-0000-0000302A0000}"/>
    <cellStyle name="40% - Accent1 2 2 4 4 2 2" xfId="28634" xr:uid="{00000000-0005-0000-0000-0000312A0000}"/>
    <cellStyle name="40% - Accent1 2 2 4 4 3" xfId="20072" xr:uid="{00000000-0005-0000-0000-0000322A0000}"/>
    <cellStyle name="40% - Accent1 2 2 4 5" xfId="2749" xr:uid="{00000000-0005-0000-0000-0000332A0000}"/>
    <cellStyle name="40% - Accent1 2 2 4 5 2" xfId="17166" xr:uid="{00000000-0005-0000-0000-0000342A0000}"/>
    <cellStyle name="40% - Accent1 2 2 4 5 2 2" xfId="30525" xr:uid="{00000000-0005-0000-0000-0000352A0000}"/>
    <cellStyle name="40% - Accent1 2 2 4 5 3" xfId="20073" xr:uid="{00000000-0005-0000-0000-0000362A0000}"/>
    <cellStyle name="40% - Accent1 2 2 4 6" xfId="9216" xr:uid="{00000000-0005-0000-0000-0000372A0000}"/>
    <cellStyle name="40% - Accent1 2 2 4 6 2" xfId="23691" xr:uid="{00000000-0005-0000-0000-0000382A0000}"/>
    <cellStyle name="40% - Accent1 2 2 4 7" xfId="20069" xr:uid="{00000000-0005-0000-0000-0000392A0000}"/>
    <cellStyle name="40% - Accent1 2 2 5" xfId="2750" xr:uid="{00000000-0005-0000-0000-00003A2A0000}"/>
    <cellStyle name="40% - Accent1 2 2 5 2" xfId="2751" xr:uid="{00000000-0005-0000-0000-00003B2A0000}"/>
    <cellStyle name="40% - Accent1 2 2 5 2 2" xfId="15086" xr:uid="{00000000-0005-0000-0000-00003C2A0000}"/>
    <cellStyle name="40% - Accent1 2 2 5 2 2 2" xfId="28635" xr:uid="{00000000-0005-0000-0000-00003D2A0000}"/>
    <cellStyle name="40% - Accent1 2 2 5 2 3" xfId="20075" xr:uid="{00000000-0005-0000-0000-00003E2A0000}"/>
    <cellStyle name="40% - Accent1 2 2 5 3" xfId="2752" xr:uid="{00000000-0005-0000-0000-00003F2A0000}"/>
    <cellStyle name="40% - Accent1 2 2 5 3 2" xfId="17255" xr:uid="{00000000-0005-0000-0000-0000402A0000}"/>
    <cellStyle name="40% - Accent1 2 2 5 3 2 2" xfId="30614" xr:uid="{00000000-0005-0000-0000-0000412A0000}"/>
    <cellStyle name="40% - Accent1 2 2 5 3 3" xfId="20076" xr:uid="{00000000-0005-0000-0000-0000422A0000}"/>
    <cellStyle name="40% - Accent1 2 2 5 4" xfId="10935" xr:uid="{00000000-0005-0000-0000-0000432A0000}"/>
    <cellStyle name="40% - Accent1 2 2 5 4 2" xfId="24877" xr:uid="{00000000-0005-0000-0000-0000442A0000}"/>
    <cellStyle name="40% - Accent1 2 2 5 5" xfId="20074" xr:uid="{00000000-0005-0000-0000-0000452A0000}"/>
    <cellStyle name="40% - Accent1 2 2 6" xfId="2753" xr:uid="{00000000-0005-0000-0000-0000462A0000}"/>
    <cellStyle name="40% - Accent1 2 2 6 2" xfId="2754" xr:uid="{00000000-0005-0000-0000-0000472A0000}"/>
    <cellStyle name="40% - Accent1 2 2 6 2 2" xfId="16530" xr:uid="{00000000-0005-0000-0000-0000482A0000}"/>
    <cellStyle name="40% - Accent1 2 2 6 2 2 2" xfId="29937" xr:uid="{00000000-0005-0000-0000-0000492A0000}"/>
    <cellStyle name="40% - Accent1 2 2 6 2 3" xfId="20078" xr:uid="{00000000-0005-0000-0000-00004A2A0000}"/>
    <cellStyle name="40% - Accent1 2 2 6 3" xfId="11905" xr:uid="{00000000-0005-0000-0000-00004B2A0000}"/>
    <cellStyle name="40% - Accent1 2 2 6 3 2" xfId="25620" xr:uid="{00000000-0005-0000-0000-00004C2A0000}"/>
    <cellStyle name="40% - Accent1 2 2 6 4" xfId="20077" xr:uid="{00000000-0005-0000-0000-00004D2A0000}"/>
    <cellStyle name="40% - Accent1 2 2 7" xfId="2755" xr:uid="{00000000-0005-0000-0000-00004E2A0000}"/>
    <cellStyle name="40% - Accent1 2 2 7 2" xfId="11870" xr:uid="{00000000-0005-0000-0000-00004F2A0000}"/>
    <cellStyle name="40% - Accent1 2 2 7 2 2" xfId="25585" xr:uid="{00000000-0005-0000-0000-0000502A0000}"/>
    <cellStyle name="40% - Accent1 2 2 7 3" xfId="20079" xr:uid="{00000000-0005-0000-0000-0000512A0000}"/>
    <cellStyle name="40% - Accent1 2 2 8" xfId="2756" xr:uid="{00000000-0005-0000-0000-0000522A0000}"/>
    <cellStyle name="40% - Accent1 2 2 8 2" xfId="13482" xr:uid="{00000000-0005-0000-0000-0000532A0000}"/>
    <cellStyle name="40% - Accent1 2 2 8 2 2" xfId="27031" xr:uid="{00000000-0005-0000-0000-0000542A0000}"/>
    <cellStyle name="40% - Accent1 2 2 8 3" xfId="20080" xr:uid="{00000000-0005-0000-0000-0000552A0000}"/>
    <cellStyle name="40% - Accent1 2 2 9" xfId="2757" xr:uid="{00000000-0005-0000-0000-0000562A0000}"/>
    <cellStyle name="40% - Accent1 2 2 9 2" xfId="14063" xr:uid="{00000000-0005-0000-0000-0000572A0000}"/>
    <cellStyle name="40% - Accent1 2 2 9 2 2" xfId="27612" xr:uid="{00000000-0005-0000-0000-0000582A0000}"/>
    <cellStyle name="40% - Accent1 2 2 9 3" xfId="20081" xr:uid="{00000000-0005-0000-0000-0000592A0000}"/>
    <cellStyle name="40% - Accent1 2 3" xfId="2758" xr:uid="{00000000-0005-0000-0000-00005A2A0000}"/>
    <cellStyle name="40% - Accent1 2 3 10" xfId="2759" xr:uid="{00000000-0005-0000-0000-00005B2A0000}"/>
    <cellStyle name="40% - Accent1 2 3 10 2" xfId="16046" xr:uid="{00000000-0005-0000-0000-00005C2A0000}"/>
    <cellStyle name="40% - Accent1 2 3 10 2 2" xfId="29453" xr:uid="{00000000-0005-0000-0000-00005D2A0000}"/>
    <cellStyle name="40% - Accent1 2 3 10 3" xfId="20083" xr:uid="{00000000-0005-0000-0000-00005E2A0000}"/>
    <cellStyle name="40% - Accent1 2 3 11" xfId="9217" xr:uid="{00000000-0005-0000-0000-00005F2A0000}"/>
    <cellStyle name="40% - Accent1 2 3 11 2" xfId="23692" xr:uid="{00000000-0005-0000-0000-0000602A0000}"/>
    <cellStyle name="40% - Accent1 2 3 12" xfId="20082" xr:uid="{00000000-0005-0000-0000-0000612A0000}"/>
    <cellStyle name="40% - Accent1 2 3 2" xfId="2760" xr:uid="{00000000-0005-0000-0000-0000622A0000}"/>
    <cellStyle name="40% - Accent1 2 3 2 10" xfId="9218" xr:uid="{00000000-0005-0000-0000-0000632A0000}"/>
    <cellStyle name="40% - Accent1 2 3 2 10 2" xfId="23693" xr:uid="{00000000-0005-0000-0000-0000642A0000}"/>
    <cellStyle name="40% - Accent1 2 3 2 11" xfId="20084" xr:uid="{00000000-0005-0000-0000-0000652A0000}"/>
    <cellStyle name="40% - Accent1 2 3 2 2" xfId="2761" xr:uid="{00000000-0005-0000-0000-0000662A0000}"/>
    <cellStyle name="40% - Accent1 2 3 2 2 2" xfId="2762" xr:uid="{00000000-0005-0000-0000-0000672A0000}"/>
    <cellStyle name="40% - Accent1 2 3 2 2 2 2" xfId="10945" xr:uid="{00000000-0005-0000-0000-0000682A0000}"/>
    <cellStyle name="40% - Accent1 2 3 2 2 2 2 2" xfId="24887" xr:uid="{00000000-0005-0000-0000-0000692A0000}"/>
    <cellStyle name="40% - Accent1 2 3 2 2 2 3" xfId="20086" xr:uid="{00000000-0005-0000-0000-00006A2A0000}"/>
    <cellStyle name="40% - Accent1 2 3 2 2 3" xfId="2763" xr:uid="{00000000-0005-0000-0000-00006B2A0000}"/>
    <cellStyle name="40% - Accent1 2 3 2 2 3 2" xfId="11792" xr:uid="{00000000-0005-0000-0000-00006C2A0000}"/>
    <cellStyle name="40% - Accent1 2 3 2 2 3 2 2" xfId="25507" xr:uid="{00000000-0005-0000-0000-00006D2A0000}"/>
    <cellStyle name="40% - Accent1 2 3 2 2 3 3" xfId="20087" xr:uid="{00000000-0005-0000-0000-00006E2A0000}"/>
    <cellStyle name="40% - Accent1 2 3 2 2 4" xfId="2764" xr:uid="{00000000-0005-0000-0000-00006F2A0000}"/>
    <cellStyle name="40% - Accent1 2 3 2 2 4 2" xfId="15089" xr:uid="{00000000-0005-0000-0000-0000702A0000}"/>
    <cellStyle name="40% - Accent1 2 3 2 2 4 2 2" xfId="28638" xr:uid="{00000000-0005-0000-0000-0000712A0000}"/>
    <cellStyle name="40% - Accent1 2 3 2 2 4 3" xfId="20088" xr:uid="{00000000-0005-0000-0000-0000722A0000}"/>
    <cellStyle name="40% - Accent1 2 3 2 2 5" xfId="2765" xr:uid="{00000000-0005-0000-0000-0000732A0000}"/>
    <cellStyle name="40% - Accent1 2 3 2 2 5 2" xfId="16916" xr:uid="{00000000-0005-0000-0000-0000742A0000}"/>
    <cellStyle name="40% - Accent1 2 3 2 2 5 2 2" xfId="30323" xr:uid="{00000000-0005-0000-0000-0000752A0000}"/>
    <cellStyle name="40% - Accent1 2 3 2 2 5 3" xfId="20089" xr:uid="{00000000-0005-0000-0000-0000762A0000}"/>
    <cellStyle name="40% - Accent1 2 3 2 2 6" xfId="9219" xr:uid="{00000000-0005-0000-0000-0000772A0000}"/>
    <cellStyle name="40% - Accent1 2 3 2 2 6 2" xfId="23694" xr:uid="{00000000-0005-0000-0000-0000782A0000}"/>
    <cellStyle name="40% - Accent1 2 3 2 2 7" xfId="20085" xr:uid="{00000000-0005-0000-0000-0000792A0000}"/>
    <cellStyle name="40% - Accent1 2 3 2 3" xfId="2766" xr:uid="{00000000-0005-0000-0000-00007A2A0000}"/>
    <cellStyle name="40% - Accent1 2 3 2 3 2" xfId="2767" xr:uid="{00000000-0005-0000-0000-00007B2A0000}"/>
    <cellStyle name="40% - Accent1 2 3 2 3 2 2" xfId="15090" xr:uid="{00000000-0005-0000-0000-00007C2A0000}"/>
    <cellStyle name="40% - Accent1 2 3 2 3 2 2 2" xfId="28639" xr:uid="{00000000-0005-0000-0000-00007D2A0000}"/>
    <cellStyle name="40% - Accent1 2 3 2 3 2 3" xfId="20091" xr:uid="{00000000-0005-0000-0000-00007E2A0000}"/>
    <cellStyle name="40% - Accent1 2 3 2 3 3" xfId="10944" xr:uid="{00000000-0005-0000-0000-00007F2A0000}"/>
    <cellStyle name="40% - Accent1 2 3 2 3 3 2" xfId="24886" xr:uid="{00000000-0005-0000-0000-0000802A0000}"/>
    <cellStyle name="40% - Accent1 2 3 2 3 4" xfId="20090" xr:uid="{00000000-0005-0000-0000-0000812A0000}"/>
    <cellStyle name="40% - Accent1 2 3 2 4" xfId="2768" xr:uid="{00000000-0005-0000-0000-0000822A0000}"/>
    <cellStyle name="40% - Accent1 2 3 2 4 2" xfId="12304" xr:uid="{00000000-0005-0000-0000-0000832A0000}"/>
    <cellStyle name="40% - Accent1 2 3 2 4 2 2" xfId="26016" xr:uid="{00000000-0005-0000-0000-0000842A0000}"/>
    <cellStyle name="40% - Accent1 2 3 2 4 3" xfId="20092" xr:uid="{00000000-0005-0000-0000-0000852A0000}"/>
    <cellStyle name="40% - Accent1 2 3 2 5" xfId="2769" xr:uid="{00000000-0005-0000-0000-0000862A0000}"/>
    <cellStyle name="40% - Accent1 2 3 2 5 2" xfId="12616" xr:uid="{00000000-0005-0000-0000-0000872A0000}"/>
    <cellStyle name="40% - Accent1 2 3 2 5 2 2" xfId="26328" xr:uid="{00000000-0005-0000-0000-0000882A0000}"/>
    <cellStyle name="40% - Accent1 2 3 2 5 3" xfId="20093" xr:uid="{00000000-0005-0000-0000-0000892A0000}"/>
    <cellStyle name="40% - Accent1 2 3 2 6" xfId="2770" xr:uid="{00000000-0005-0000-0000-00008A2A0000}"/>
    <cellStyle name="40% - Accent1 2 3 2 6 2" xfId="13868" xr:uid="{00000000-0005-0000-0000-00008B2A0000}"/>
    <cellStyle name="40% - Accent1 2 3 2 6 2 2" xfId="27417" xr:uid="{00000000-0005-0000-0000-00008C2A0000}"/>
    <cellStyle name="40% - Accent1 2 3 2 6 3" xfId="20094" xr:uid="{00000000-0005-0000-0000-00008D2A0000}"/>
    <cellStyle name="40% - Accent1 2 3 2 7" xfId="2771" xr:uid="{00000000-0005-0000-0000-00008E2A0000}"/>
    <cellStyle name="40% - Accent1 2 3 2 7 2" xfId="14449" xr:uid="{00000000-0005-0000-0000-00008F2A0000}"/>
    <cellStyle name="40% - Accent1 2 3 2 7 2 2" xfId="27998" xr:uid="{00000000-0005-0000-0000-0000902A0000}"/>
    <cellStyle name="40% - Accent1 2 3 2 7 3" xfId="20095" xr:uid="{00000000-0005-0000-0000-0000912A0000}"/>
    <cellStyle name="40% - Accent1 2 3 2 8" xfId="2772" xr:uid="{00000000-0005-0000-0000-0000922A0000}"/>
    <cellStyle name="40% - Accent1 2 3 2 8 2" xfId="15088" xr:uid="{00000000-0005-0000-0000-0000932A0000}"/>
    <cellStyle name="40% - Accent1 2 3 2 8 2 2" xfId="28637" xr:uid="{00000000-0005-0000-0000-0000942A0000}"/>
    <cellStyle name="40% - Accent1 2 3 2 8 3" xfId="20096" xr:uid="{00000000-0005-0000-0000-0000952A0000}"/>
    <cellStyle name="40% - Accent1 2 3 2 9" xfId="2773" xr:uid="{00000000-0005-0000-0000-0000962A0000}"/>
    <cellStyle name="40% - Accent1 2 3 2 9 2" xfId="16335" xr:uid="{00000000-0005-0000-0000-0000972A0000}"/>
    <cellStyle name="40% - Accent1 2 3 2 9 2 2" xfId="29742" xr:uid="{00000000-0005-0000-0000-0000982A0000}"/>
    <cellStyle name="40% - Accent1 2 3 2 9 3" xfId="20097" xr:uid="{00000000-0005-0000-0000-0000992A0000}"/>
    <cellStyle name="40% - Accent1 2 3 3" xfId="2774" xr:uid="{00000000-0005-0000-0000-00009A2A0000}"/>
    <cellStyle name="40% - Accent1 2 3 3 2" xfId="2775" xr:uid="{00000000-0005-0000-0000-00009B2A0000}"/>
    <cellStyle name="40% - Accent1 2 3 3 2 2" xfId="10946" xr:uid="{00000000-0005-0000-0000-00009C2A0000}"/>
    <cellStyle name="40% - Accent1 2 3 3 2 2 2" xfId="24888" xr:uid="{00000000-0005-0000-0000-00009D2A0000}"/>
    <cellStyle name="40% - Accent1 2 3 3 2 3" xfId="20099" xr:uid="{00000000-0005-0000-0000-00009E2A0000}"/>
    <cellStyle name="40% - Accent1 2 3 3 3" xfId="2776" xr:uid="{00000000-0005-0000-0000-00009F2A0000}"/>
    <cellStyle name="40% - Accent1 2 3 3 3 2" xfId="12587" xr:uid="{00000000-0005-0000-0000-0000A02A0000}"/>
    <cellStyle name="40% - Accent1 2 3 3 3 2 2" xfId="26299" xr:uid="{00000000-0005-0000-0000-0000A12A0000}"/>
    <cellStyle name="40% - Accent1 2 3 3 3 3" xfId="20100" xr:uid="{00000000-0005-0000-0000-0000A22A0000}"/>
    <cellStyle name="40% - Accent1 2 3 3 4" xfId="2777" xr:uid="{00000000-0005-0000-0000-0000A32A0000}"/>
    <cellStyle name="40% - Accent1 2 3 3 4 2" xfId="15091" xr:uid="{00000000-0005-0000-0000-0000A42A0000}"/>
    <cellStyle name="40% - Accent1 2 3 3 4 2 2" xfId="28640" xr:uid="{00000000-0005-0000-0000-0000A52A0000}"/>
    <cellStyle name="40% - Accent1 2 3 3 4 3" xfId="20101" xr:uid="{00000000-0005-0000-0000-0000A62A0000}"/>
    <cellStyle name="40% - Accent1 2 3 3 5" xfId="2778" xr:uid="{00000000-0005-0000-0000-0000A72A0000}"/>
    <cellStyle name="40% - Accent1 2 3 3 5 2" xfId="16627" xr:uid="{00000000-0005-0000-0000-0000A82A0000}"/>
    <cellStyle name="40% - Accent1 2 3 3 5 2 2" xfId="30034" xr:uid="{00000000-0005-0000-0000-0000A92A0000}"/>
    <cellStyle name="40% - Accent1 2 3 3 5 3" xfId="20102" xr:uid="{00000000-0005-0000-0000-0000AA2A0000}"/>
    <cellStyle name="40% - Accent1 2 3 3 6" xfId="9220" xr:uid="{00000000-0005-0000-0000-0000AB2A0000}"/>
    <cellStyle name="40% - Accent1 2 3 3 6 2" xfId="23695" xr:uid="{00000000-0005-0000-0000-0000AC2A0000}"/>
    <cellStyle name="40% - Accent1 2 3 3 7" xfId="20098" xr:uid="{00000000-0005-0000-0000-0000AD2A0000}"/>
    <cellStyle name="40% - Accent1 2 3 4" xfId="2779" xr:uid="{00000000-0005-0000-0000-0000AE2A0000}"/>
    <cellStyle name="40% - Accent1 2 3 4 2" xfId="2780" xr:uid="{00000000-0005-0000-0000-0000AF2A0000}"/>
    <cellStyle name="40% - Accent1 2 3 4 2 2" xfId="15092" xr:uid="{00000000-0005-0000-0000-0000B02A0000}"/>
    <cellStyle name="40% - Accent1 2 3 4 2 2 2" xfId="28641" xr:uid="{00000000-0005-0000-0000-0000B12A0000}"/>
    <cellStyle name="40% - Accent1 2 3 4 2 3" xfId="20104" xr:uid="{00000000-0005-0000-0000-0000B22A0000}"/>
    <cellStyle name="40% - Accent1 2 3 4 3" xfId="10943" xr:uid="{00000000-0005-0000-0000-0000B32A0000}"/>
    <cellStyle name="40% - Accent1 2 3 4 3 2" xfId="24885" xr:uid="{00000000-0005-0000-0000-0000B42A0000}"/>
    <cellStyle name="40% - Accent1 2 3 4 4" xfId="20103" xr:uid="{00000000-0005-0000-0000-0000B52A0000}"/>
    <cellStyle name="40% - Accent1 2 3 5" xfId="2781" xr:uid="{00000000-0005-0000-0000-0000B62A0000}"/>
    <cellStyle name="40% - Accent1 2 3 5 2" xfId="12004" xr:uid="{00000000-0005-0000-0000-0000B72A0000}"/>
    <cellStyle name="40% - Accent1 2 3 5 2 2" xfId="25719" xr:uid="{00000000-0005-0000-0000-0000B82A0000}"/>
    <cellStyle name="40% - Accent1 2 3 5 3" xfId="20105" xr:uid="{00000000-0005-0000-0000-0000B92A0000}"/>
    <cellStyle name="40% - Accent1 2 3 6" xfId="2782" xr:uid="{00000000-0005-0000-0000-0000BA2A0000}"/>
    <cellStyle name="40% - Accent1 2 3 6 2" xfId="12109" xr:uid="{00000000-0005-0000-0000-0000BB2A0000}"/>
    <cellStyle name="40% - Accent1 2 3 6 2 2" xfId="25821" xr:uid="{00000000-0005-0000-0000-0000BC2A0000}"/>
    <cellStyle name="40% - Accent1 2 3 6 3" xfId="20106" xr:uid="{00000000-0005-0000-0000-0000BD2A0000}"/>
    <cellStyle name="40% - Accent1 2 3 7" xfId="2783" xr:uid="{00000000-0005-0000-0000-0000BE2A0000}"/>
    <cellStyle name="40% - Accent1 2 3 7 2" xfId="13579" xr:uid="{00000000-0005-0000-0000-0000BF2A0000}"/>
    <cellStyle name="40% - Accent1 2 3 7 2 2" xfId="27128" xr:uid="{00000000-0005-0000-0000-0000C02A0000}"/>
    <cellStyle name="40% - Accent1 2 3 7 3" xfId="20107" xr:uid="{00000000-0005-0000-0000-0000C12A0000}"/>
    <cellStyle name="40% - Accent1 2 3 8" xfId="2784" xr:uid="{00000000-0005-0000-0000-0000C22A0000}"/>
    <cellStyle name="40% - Accent1 2 3 8 2" xfId="14160" xr:uid="{00000000-0005-0000-0000-0000C32A0000}"/>
    <cellStyle name="40% - Accent1 2 3 8 2 2" xfId="27709" xr:uid="{00000000-0005-0000-0000-0000C42A0000}"/>
    <cellStyle name="40% - Accent1 2 3 8 3" xfId="20108" xr:uid="{00000000-0005-0000-0000-0000C52A0000}"/>
    <cellStyle name="40% - Accent1 2 3 9" xfId="2785" xr:uid="{00000000-0005-0000-0000-0000C62A0000}"/>
    <cellStyle name="40% - Accent1 2 3 9 2" xfId="15087" xr:uid="{00000000-0005-0000-0000-0000C72A0000}"/>
    <cellStyle name="40% - Accent1 2 3 9 2 2" xfId="28636" xr:uid="{00000000-0005-0000-0000-0000C82A0000}"/>
    <cellStyle name="40% - Accent1 2 3 9 3" xfId="20109" xr:uid="{00000000-0005-0000-0000-0000C92A0000}"/>
    <cellStyle name="40% - Accent1 2 4" xfId="2786" xr:uid="{00000000-0005-0000-0000-0000CA2A0000}"/>
    <cellStyle name="40% - Accent1 2 4 10" xfId="9221" xr:uid="{00000000-0005-0000-0000-0000CB2A0000}"/>
    <cellStyle name="40% - Accent1 2 4 10 2" xfId="23696" xr:uid="{00000000-0005-0000-0000-0000CC2A0000}"/>
    <cellStyle name="40% - Accent1 2 4 11" xfId="20110" xr:uid="{00000000-0005-0000-0000-0000CD2A0000}"/>
    <cellStyle name="40% - Accent1 2 4 2" xfId="2787" xr:uid="{00000000-0005-0000-0000-0000CE2A0000}"/>
    <cellStyle name="40% - Accent1 2 4 2 2" xfId="2788" xr:uid="{00000000-0005-0000-0000-0000CF2A0000}"/>
    <cellStyle name="40% - Accent1 2 4 2 2 2" xfId="10948" xr:uid="{00000000-0005-0000-0000-0000D02A0000}"/>
    <cellStyle name="40% - Accent1 2 4 2 2 2 2" xfId="24890" xr:uid="{00000000-0005-0000-0000-0000D12A0000}"/>
    <cellStyle name="40% - Accent1 2 4 2 2 3" xfId="20112" xr:uid="{00000000-0005-0000-0000-0000D22A0000}"/>
    <cellStyle name="40% - Accent1 2 4 2 3" xfId="2789" xr:uid="{00000000-0005-0000-0000-0000D32A0000}"/>
    <cellStyle name="40% - Accent1 2 4 2 3 2" xfId="12599" xr:uid="{00000000-0005-0000-0000-0000D42A0000}"/>
    <cellStyle name="40% - Accent1 2 4 2 3 2 2" xfId="26311" xr:uid="{00000000-0005-0000-0000-0000D52A0000}"/>
    <cellStyle name="40% - Accent1 2 4 2 3 3" xfId="20113" xr:uid="{00000000-0005-0000-0000-0000D62A0000}"/>
    <cellStyle name="40% - Accent1 2 4 2 4" xfId="2790" xr:uid="{00000000-0005-0000-0000-0000D72A0000}"/>
    <cellStyle name="40% - Accent1 2 4 2 4 2" xfId="15094" xr:uid="{00000000-0005-0000-0000-0000D82A0000}"/>
    <cellStyle name="40% - Accent1 2 4 2 4 2 2" xfId="28643" xr:uid="{00000000-0005-0000-0000-0000D92A0000}"/>
    <cellStyle name="40% - Accent1 2 4 2 4 3" xfId="20114" xr:uid="{00000000-0005-0000-0000-0000DA2A0000}"/>
    <cellStyle name="40% - Accent1 2 4 2 5" xfId="2791" xr:uid="{00000000-0005-0000-0000-0000DB2A0000}"/>
    <cellStyle name="40% - Accent1 2 4 2 5 2" xfId="16773" xr:uid="{00000000-0005-0000-0000-0000DC2A0000}"/>
    <cellStyle name="40% - Accent1 2 4 2 5 2 2" xfId="30180" xr:uid="{00000000-0005-0000-0000-0000DD2A0000}"/>
    <cellStyle name="40% - Accent1 2 4 2 5 3" xfId="20115" xr:uid="{00000000-0005-0000-0000-0000DE2A0000}"/>
    <cellStyle name="40% - Accent1 2 4 2 6" xfId="9222" xr:uid="{00000000-0005-0000-0000-0000DF2A0000}"/>
    <cellStyle name="40% - Accent1 2 4 2 6 2" xfId="23697" xr:uid="{00000000-0005-0000-0000-0000E02A0000}"/>
    <cellStyle name="40% - Accent1 2 4 2 7" xfId="20111" xr:uid="{00000000-0005-0000-0000-0000E12A0000}"/>
    <cellStyle name="40% - Accent1 2 4 3" xfId="2792" xr:uid="{00000000-0005-0000-0000-0000E22A0000}"/>
    <cellStyle name="40% - Accent1 2 4 3 2" xfId="2793" xr:uid="{00000000-0005-0000-0000-0000E32A0000}"/>
    <cellStyle name="40% - Accent1 2 4 3 2 2" xfId="15095" xr:uid="{00000000-0005-0000-0000-0000E42A0000}"/>
    <cellStyle name="40% - Accent1 2 4 3 2 2 2" xfId="28644" xr:uid="{00000000-0005-0000-0000-0000E52A0000}"/>
    <cellStyle name="40% - Accent1 2 4 3 2 3" xfId="20117" xr:uid="{00000000-0005-0000-0000-0000E62A0000}"/>
    <cellStyle name="40% - Accent1 2 4 3 3" xfId="10947" xr:uid="{00000000-0005-0000-0000-0000E72A0000}"/>
    <cellStyle name="40% - Accent1 2 4 3 3 2" xfId="24889" xr:uid="{00000000-0005-0000-0000-0000E82A0000}"/>
    <cellStyle name="40% - Accent1 2 4 3 4" xfId="20116" xr:uid="{00000000-0005-0000-0000-0000E92A0000}"/>
    <cellStyle name="40% - Accent1 2 4 4" xfId="2794" xr:uid="{00000000-0005-0000-0000-0000EA2A0000}"/>
    <cellStyle name="40% - Accent1 2 4 4 2" xfId="12161" xr:uid="{00000000-0005-0000-0000-0000EB2A0000}"/>
    <cellStyle name="40% - Accent1 2 4 4 2 2" xfId="25873" xr:uid="{00000000-0005-0000-0000-0000EC2A0000}"/>
    <cellStyle name="40% - Accent1 2 4 4 3" xfId="20118" xr:uid="{00000000-0005-0000-0000-0000ED2A0000}"/>
    <cellStyle name="40% - Accent1 2 4 5" xfId="2795" xr:uid="{00000000-0005-0000-0000-0000EE2A0000}"/>
    <cellStyle name="40% - Accent1 2 4 5 2" xfId="12796" xr:uid="{00000000-0005-0000-0000-0000EF2A0000}"/>
    <cellStyle name="40% - Accent1 2 4 5 2 2" xfId="26508" xr:uid="{00000000-0005-0000-0000-0000F02A0000}"/>
    <cellStyle name="40% - Accent1 2 4 5 3" xfId="20119" xr:uid="{00000000-0005-0000-0000-0000F12A0000}"/>
    <cellStyle name="40% - Accent1 2 4 6" xfId="2796" xr:uid="{00000000-0005-0000-0000-0000F22A0000}"/>
    <cellStyle name="40% - Accent1 2 4 6 2" xfId="13725" xr:uid="{00000000-0005-0000-0000-0000F32A0000}"/>
    <cellStyle name="40% - Accent1 2 4 6 2 2" xfId="27274" xr:uid="{00000000-0005-0000-0000-0000F42A0000}"/>
    <cellStyle name="40% - Accent1 2 4 6 3" xfId="20120" xr:uid="{00000000-0005-0000-0000-0000F52A0000}"/>
    <cellStyle name="40% - Accent1 2 4 7" xfId="2797" xr:uid="{00000000-0005-0000-0000-0000F62A0000}"/>
    <cellStyle name="40% - Accent1 2 4 7 2" xfId="14306" xr:uid="{00000000-0005-0000-0000-0000F72A0000}"/>
    <cellStyle name="40% - Accent1 2 4 7 2 2" xfId="27855" xr:uid="{00000000-0005-0000-0000-0000F82A0000}"/>
    <cellStyle name="40% - Accent1 2 4 7 3" xfId="20121" xr:uid="{00000000-0005-0000-0000-0000F92A0000}"/>
    <cellStyle name="40% - Accent1 2 4 8" xfId="2798" xr:uid="{00000000-0005-0000-0000-0000FA2A0000}"/>
    <cellStyle name="40% - Accent1 2 4 8 2" xfId="15093" xr:uid="{00000000-0005-0000-0000-0000FB2A0000}"/>
    <cellStyle name="40% - Accent1 2 4 8 2 2" xfId="28642" xr:uid="{00000000-0005-0000-0000-0000FC2A0000}"/>
    <cellStyle name="40% - Accent1 2 4 8 3" xfId="20122" xr:uid="{00000000-0005-0000-0000-0000FD2A0000}"/>
    <cellStyle name="40% - Accent1 2 4 9" xfId="2799" xr:uid="{00000000-0005-0000-0000-0000FE2A0000}"/>
    <cellStyle name="40% - Accent1 2 4 9 2" xfId="16192" xr:uid="{00000000-0005-0000-0000-0000FF2A0000}"/>
    <cellStyle name="40% - Accent1 2 4 9 2 2" xfId="29599" xr:uid="{00000000-0005-0000-0000-0000002B0000}"/>
    <cellStyle name="40% - Accent1 2 4 9 3" xfId="20123" xr:uid="{00000000-0005-0000-0000-0000012B0000}"/>
    <cellStyle name="40% - Accent1 2 5" xfId="2800" xr:uid="{00000000-0005-0000-0000-0000022B0000}"/>
    <cellStyle name="40% - Accent1 2 5 2" xfId="2801" xr:uid="{00000000-0005-0000-0000-0000032B0000}"/>
    <cellStyle name="40% - Accent1 2 5 2 2" xfId="2802" xr:uid="{00000000-0005-0000-0000-0000042B0000}"/>
    <cellStyle name="40% - Accent1 2 5 2 2 2" xfId="10950" xr:uid="{00000000-0005-0000-0000-0000052B0000}"/>
    <cellStyle name="40% - Accent1 2 5 2 2 2 2" xfId="24892" xr:uid="{00000000-0005-0000-0000-0000062B0000}"/>
    <cellStyle name="40% - Accent1 2 5 2 2 3" xfId="20126" xr:uid="{00000000-0005-0000-0000-0000072B0000}"/>
    <cellStyle name="40% - Accent1 2 5 2 3" xfId="2803" xr:uid="{00000000-0005-0000-0000-0000082B0000}"/>
    <cellStyle name="40% - Accent1 2 5 2 3 2" xfId="11772" xr:uid="{00000000-0005-0000-0000-0000092B0000}"/>
    <cellStyle name="40% - Accent1 2 5 2 3 2 2" xfId="25487" xr:uid="{00000000-0005-0000-0000-00000A2B0000}"/>
    <cellStyle name="40% - Accent1 2 5 2 3 3" xfId="20127" xr:uid="{00000000-0005-0000-0000-00000B2B0000}"/>
    <cellStyle name="40% - Accent1 2 5 2 4" xfId="2804" xr:uid="{00000000-0005-0000-0000-00000C2B0000}"/>
    <cellStyle name="40% - Accent1 2 5 2 4 2" xfId="15097" xr:uid="{00000000-0005-0000-0000-00000D2B0000}"/>
    <cellStyle name="40% - Accent1 2 5 2 4 2 2" xfId="28646" xr:uid="{00000000-0005-0000-0000-00000E2B0000}"/>
    <cellStyle name="40% - Accent1 2 5 2 4 3" xfId="20128" xr:uid="{00000000-0005-0000-0000-00000F2B0000}"/>
    <cellStyle name="40% - Accent1 2 5 2 5" xfId="9224" xr:uid="{00000000-0005-0000-0000-0000102B0000}"/>
    <cellStyle name="40% - Accent1 2 5 2 5 2" xfId="23699" xr:uid="{00000000-0005-0000-0000-0000112B0000}"/>
    <cellStyle name="40% - Accent1 2 5 2 6" xfId="20125" xr:uid="{00000000-0005-0000-0000-0000122B0000}"/>
    <cellStyle name="40% - Accent1 2 5 3" xfId="2805" xr:uid="{00000000-0005-0000-0000-0000132B0000}"/>
    <cellStyle name="40% - Accent1 2 5 3 2" xfId="10949" xr:uid="{00000000-0005-0000-0000-0000142B0000}"/>
    <cellStyle name="40% - Accent1 2 5 3 2 2" xfId="24891" xr:uid="{00000000-0005-0000-0000-0000152B0000}"/>
    <cellStyle name="40% - Accent1 2 5 3 3" xfId="20129" xr:uid="{00000000-0005-0000-0000-0000162B0000}"/>
    <cellStyle name="40% - Accent1 2 5 4" xfId="2806" xr:uid="{00000000-0005-0000-0000-0000172B0000}"/>
    <cellStyle name="40% - Accent1 2 5 4 2" xfId="12398" xr:uid="{00000000-0005-0000-0000-0000182B0000}"/>
    <cellStyle name="40% - Accent1 2 5 4 2 2" xfId="26110" xr:uid="{00000000-0005-0000-0000-0000192B0000}"/>
    <cellStyle name="40% - Accent1 2 5 4 3" xfId="20130" xr:uid="{00000000-0005-0000-0000-00001A2B0000}"/>
    <cellStyle name="40% - Accent1 2 5 5" xfId="2807" xr:uid="{00000000-0005-0000-0000-00001B2B0000}"/>
    <cellStyle name="40% - Accent1 2 5 5 2" xfId="15096" xr:uid="{00000000-0005-0000-0000-00001C2B0000}"/>
    <cellStyle name="40% - Accent1 2 5 5 2 2" xfId="28645" xr:uid="{00000000-0005-0000-0000-00001D2B0000}"/>
    <cellStyle name="40% - Accent1 2 5 5 3" xfId="20131" xr:uid="{00000000-0005-0000-0000-00001E2B0000}"/>
    <cellStyle name="40% - Accent1 2 5 6" xfId="2808" xr:uid="{00000000-0005-0000-0000-00001F2B0000}"/>
    <cellStyle name="40% - Accent1 2 5 6 2" xfId="17013" xr:uid="{00000000-0005-0000-0000-0000202B0000}"/>
    <cellStyle name="40% - Accent1 2 5 6 2 2" xfId="30420" xr:uid="{00000000-0005-0000-0000-0000212B0000}"/>
    <cellStyle name="40% - Accent1 2 5 6 3" xfId="20132" xr:uid="{00000000-0005-0000-0000-0000222B0000}"/>
    <cellStyle name="40% - Accent1 2 5 7" xfId="9223" xr:uid="{00000000-0005-0000-0000-0000232B0000}"/>
    <cellStyle name="40% - Accent1 2 5 7 2" xfId="23698" xr:uid="{00000000-0005-0000-0000-0000242B0000}"/>
    <cellStyle name="40% - Accent1 2 5 8" xfId="20124" xr:uid="{00000000-0005-0000-0000-0000252B0000}"/>
    <cellStyle name="40% - Accent1 2 6" xfId="2809" xr:uid="{00000000-0005-0000-0000-0000262B0000}"/>
    <cellStyle name="40% - Accent1 2 6 2" xfId="2810" xr:uid="{00000000-0005-0000-0000-0000272B0000}"/>
    <cellStyle name="40% - Accent1 2 6 2 2" xfId="10951" xr:uid="{00000000-0005-0000-0000-0000282B0000}"/>
    <cellStyle name="40% - Accent1 2 6 2 2 2" xfId="24893" xr:uid="{00000000-0005-0000-0000-0000292B0000}"/>
    <cellStyle name="40% - Accent1 2 6 2 3" xfId="20134" xr:uid="{00000000-0005-0000-0000-00002A2B0000}"/>
    <cellStyle name="40% - Accent1 2 6 3" xfId="2811" xr:uid="{00000000-0005-0000-0000-00002B2B0000}"/>
    <cellStyle name="40% - Accent1 2 6 3 2" xfId="12515" xr:uid="{00000000-0005-0000-0000-00002C2B0000}"/>
    <cellStyle name="40% - Accent1 2 6 3 2 2" xfId="26227" xr:uid="{00000000-0005-0000-0000-00002D2B0000}"/>
    <cellStyle name="40% - Accent1 2 6 3 3" xfId="20135" xr:uid="{00000000-0005-0000-0000-00002E2B0000}"/>
    <cellStyle name="40% - Accent1 2 6 4" xfId="2812" xr:uid="{00000000-0005-0000-0000-00002F2B0000}"/>
    <cellStyle name="40% - Accent1 2 6 4 2" xfId="15098" xr:uid="{00000000-0005-0000-0000-0000302B0000}"/>
    <cellStyle name="40% - Accent1 2 6 4 2 2" xfId="28647" xr:uid="{00000000-0005-0000-0000-0000312B0000}"/>
    <cellStyle name="40% - Accent1 2 6 4 3" xfId="20136" xr:uid="{00000000-0005-0000-0000-0000322B0000}"/>
    <cellStyle name="40% - Accent1 2 6 5" xfId="2813" xr:uid="{00000000-0005-0000-0000-0000332B0000}"/>
    <cellStyle name="40% - Accent1 2 6 5 2" xfId="17120" xr:uid="{00000000-0005-0000-0000-0000342B0000}"/>
    <cellStyle name="40% - Accent1 2 6 5 2 2" xfId="30479" xr:uid="{00000000-0005-0000-0000-0000352B0000}"/>
    <cellStyle name="40% - Accent1 2 6 5 3" xfId="20137" xr:uid="{00000000-0005-0000-0000-0000362B0000}"/>
    <cellStyle name="40% - Accent1 2 6 6" xfId="9225" xr:uid="{00000000-0005-0000-0000-0000372B0000}"/>
    <cellStyle name="40% - Accent1 2 6 6 2" xfId="23700" xr:uid="{00000000-0005-0000-0000-0000382B0000}"/>
    <cellStyle name="40% - Accent1 2 6 7" xfId="20133" xr:uid="{00000000-0005-0000-0000-0000392B0000}"/>
    <cellStyle name="40% - Accent1 2 7" xfId="2814" xr:uid="{00000000-0005-0000-0000-00003A2B0000}"/>
    <cellStyle name="40% - Accent1 2 7 2" xfId="2815" xr:uid="{00000000-0005-0000-0000-00003B2B0000}"/>
    <cellStyle name="40% - Accent1 2 7 2 2" xfId="10952" xr:uid="{00000000-0005-0000-0000-00003C2B0000}"/>
    <cellStyle name="40% - Accent1 2 7 2 2 2" xfId="24894" xr:uid="{00000000-0005-0000-0000-00003D2B0000}"/>
    <cellStyle name="40% - Accent1 2 7 2 3" xfId="20139" xr:uid="{00000000-0005-0000-0000-00003E2B0000}"/>
    <cellStyle name="40% - Accent1 2 7 3" xfId="2816" xr:uid="{00000000-0005-0000-0000-00003F2B0000}"/>
    <cellStyle name="40% - Accent1 2 7 3 2" xfId="12511" xr:uid="{00000000-0005-0000-0000-0000402B0000}"/>
    <cellStyle name="40% - Accent1 2 7 3 2 2" xfId="26223" xr:uid="{00000000-0005-0000-0000-0000412B0000}"/>
    <cellStyle name="40% - Accent1 2 7 3 3" xfId="20140" xr:uid="{00000000-0005-0000-0000-0000422B0000}"/>
    <cellStyle name="40% - Accent1 2 7 4" xfId="2817" xr:uid="{00000000-0005-0000-0000-0000432B0000}"/>
    <cellStyle name="40% - Accent1 2 7 4 2" xfId="15099" xr:uid="{00000000-0005-0000-0000-0000442B0000}"/>
    <cellStyle name="40% - Accent1 2 7 4 2 2" xfId="28648" xr:uid="{00000000-0005-0000-0000-0000452B0000}"/>
    <cellStyle name="40% - Accent1 2 7 4 3" xfId="20141" xr:uid="{00000000-0005-0000-0000-0000462B0000}"/>
    <cellStyle name="40% - Accent1 2 7 5" xfId="2818" xr:uid="{00000000-0005-0000-0000-0000472B0000}"/>
    <cellStyle name="40% - Accent1 2 7 5 2" xfId="17209" xr:uid="{00000000-0005-0000-0000-0000482B0000}"/>
    <cellStyle name="40% - Accent1 2 7 5 2 2" xfId="30568" xr:uid="{00000000-0005-0000-0000-0000492B0000}"/>
    <cellStyle name="40% - Accent1 2 7 5 3" xfId="20142" xr:uid="{00000000-0005-0000-0000-00004A2B0000}"/>
    <cellStyle name="40% - Accent1 2 7 6" xfId="9226" xr:uid="{00000000-0005-0000-0000-00004B2B0000}"/>
    <cellStyle name="40% - Accent1 2 7 6 2" xfId="23701" xr:uid="{00000000-0005-0000-0000-00004C2B0000}"/>
    <cellStyle name="40% - Accent1 2 7 7" xfId="20138" xr:uid="{00000000-0005-0000-0000-00004D2B0000}"/>
    <cellStyle name="40% - Accent1 2 8" xfId="2819" xr:uid="{00000000-0005-0000-0000-00004E2B0000}"/>
    <cellStyle name="40% - Accent1 2 8 2" xfId="2820" xr:uid="{00000000-0005-0000-0000-00004F2B0000}"/>
    <cellStyle name="40% - Accent1 2 8 2 2" xfId="12664" xr:uid="{00000000-0005-0000-0000-0000502B0000}"/>
    <cellStyle name="40% - Accent1 2 8 2 2 2" xfId="26376" xr:uid="{00000000-0005-0000-0000-0000512B0000}"/>
    <cellStyle name="40% - Accent1 2 8 2 3" xfId="20144" xr:uid="{00000000-0005-0000-0000-0000522B0000}"/>
    <cellStyle name="40% - Accent1 2 8 3" xfId="2821" xr:uid="{00000000-0005-0000-0000-0000532B0000}"/>
    <cellStyle name="40% - Accent1 2 8 3 2" xfId="15100" xr:uid="{00000000-0005-0000-0000-0000542B0000}"/>
    <cellStyle name="40% - Accent1 2 8 3 2 2" xfId="28649" xr:uid="{00000000-0005-0000-0000-0000552B0000}"/>
    <cellStyle name="40% - Accent1 2 8 3 3" xfId="20145" xr:uid="{00000000-0005-0000-0000-0000562B0000}"/>
    <cellStyle name="40% - Accent1 2 8 4" xfId="2822" xr:uid="{00000000-0005-0000-0000-0000572B0000}"/>
    <cellStyle name="40% - Accent1 2 8 4 2" xfId="16484" xr:uid="{00000000-0005-0000-0000-0000582B0000}"/>
    <cellStyle name="40% - Accent1 2 8 4 2 2" xfId="29891" xr:uid="{00000000-0005-0000-0000-0000592B0000}"/>
    <cellStyle name="40% - Accent1 2 8 4 3" xfId="20146" xr:uid="{00000000-0005-0000-0000-00005A2B0000}"/>
    <cellStyle name="40% - Accent1 2 8 5" xfId="10534" xr:uid="{00000000-0005-0000-0000-00005B2B0000}"/>
    <cellStyle name="40% - Accent1 2 8 5 2" xfId="24476" xr:uid="{00000000-0005-0000-0000-00005C2B0000}"/>
    <cellStyle name="40% - Accent1 2 8 6" xfId="20143" xr:uid="{00000000-0005-0000-0000-00005D2B0000}"/>
    <cellStyle name="40% - Accent1 2 9" xfId="2823" xr:uid="{00000000-0005-0000-0000-00005E2B0000}"/>
    <cellStyle name="40% - Accent1 2 9 2" xfId="2824" xr:uid="{00000000-0005-0000-0000-00005F2B0000}"/>
    <cellStyle name="40% - Accent1 2 9 2 2" xfId="11765" xr:uid="{00000000-0005-0000-0000-0000602B0000}"/>
    <cellStyle name="40% - Accent1 2 9 2 2 2" xfId="25480" xr:uid="{00000000-0005-0000-0000-0000612B0000}"/>
    <cellStyle name="40% - Accent1 2 9 2 3" xfId="20148" xr:uid="{00000000-0005-0000-0000-0000622B0000}"/>
    <cellStyle name="40% - Accent1 2 9 3" xfId="2825" xr:uid="{00000000-0005-0000-0000-0000632B0000}"/>
    <cellStyle name="40% - Accent1 2 9 3 2" xfId="15101" xr:uid="{00000000-0005-0000-0000-0000642B0000}"/>
    <cellStyle name="40% - Accent1 2 9 3 2 2" xfId="28650" xr:uid="{00000000-0005-0000-0000-0000652B0000}"/>
    <cellStyle name="40% - Accent1 2 9 3 3" xfId="20149" xr:uid="{00000000-0005-0000-0000-0000662B0000}"/>
    <cellStyle name="40% - Accent1 2 9 4" xfId="10934" xr:uid="{00000000-0005-0000-0000-0000672B0000}"/>
    <cellStyle name="40% - Accent1 2 9 4 2" xfId="24876" xr:uid="{00000000-0005-0000-0000-0000682B0000}"/>
    <cellStyle name="40% - Accent1 2 9 5" xfId="20147" xr:uid="{00000000-0005-0000-0000-0000692B0000}"/>
    <cellStyle name="40% - Accent1 20" xfId="2826" xr:uid="{00000000-0005-0000-0000-00006A2B0000}"/>
    <cellStyle name="40% - Accent1 20 2" xfId="2827" xr:uid="{00000000-0005-0000-0000-00006B2B0000}"/>
    <cellStyle name="40% - Accent1 20 2 2" xfId="12486" xr:uid="{00000000-0005-0000-0000-00006C2B0000}"/>
    <cellStyle name="40% - Accent1 20 2 2 2" xfId="26198" xr:uid="{00000000-0005-0000-0000-00006D2B0000}"/>
    <cellStyle name="40% - Accent1 20 2 3" xfId="20151" xr:uid="{00000000-0005-0000-0000-00006E2B0000}"/>
    <cellStyle name="40% - Accent1 20 3" xfId="2828" xr:uid="{00000000-0005-0000-0000-00006F2B0000}"/>
    <cellStyle name="40% - Accent1 20 3 2" xfId="15102" xr:uid="{00000000-0005-0000-0000-0000702B0000}"/>
    <cellStyle name="40% - Accent1 20 3 2 2" xfId="28651" xr:uid="{00000000-0005-0000-0000-0000712B0000}"/>
    <cellStyle name="40% - Accent1 20 3 3" xfId="20152" xr:uid="{00000000-0005-0000-0000-0000722B0000}"/>
    <cellStyle name="40% - Accent1 20 4" xfId="10509" xr:uid="{00000000-0005-0000-0000-0000732B0000}"/>
    <cellStyle name="40% - Accent1 20 4 2" xfId="24457" xr:uid="{00000000-0005-0000-0000-0000742B0000}"/>
    <cellStyle name="40% - Accent1 20 5" xfId="20150" xr:uid="{00000000-0005-0000-0000-0000752B0000}"/>
    <cellStyle name="40% - Accent1 21" xfId="2829" xr:uid="{00000000-0005-0000-0000-0000762B0000}"/>
    <cellStyle name="40% - Accent1 21 2" xfId="2830" xr:uid="{00000000-0005-0000-0000-0000772B0000}"/>
    <cellStyle name="40% - Accent1 21 2 2" xfId="12487" xr:uid="{00000000-0005-0000-0000-0000782B0000}"/>
    <cellStyle name="40% - Accent1 21 2 2 2" xfId="26199" xr:uid="{00000000-0005-0000-0000-0000792B0000}"/>
    <cellStyle name="40% - Accent1 21 2 3" xfId="20154" xr:uid="{00000000-0005-0000-0000-00007A2B0000}"/>
    <cellStyle name="40% - Accent1 21 3" xfId="2831" xr:uid="{00000000-0005-0000-0000-00007B2B0000}"/>
    <cellStyle name="40% - Accent1 21 3 2" xfId="15103" xr:uid="{00000000-0005-0000-0000-00007C2B0000}"/>
    <cellStyle name="40% - Accent1 21 3 2 2" xfId="28652" xr:uid="{00000000-0005-0000-0000-00007D2B0000}"/>
    <cellStyle name="40% - Accent1 21 3 3" xfId="20155" xr:uid="{00000000-0005-0000-0000-00007E2B0000}"/>
    <cellStyle name="40% - Accent1 21 4" xfId="10923" xr:uid="{00000000-0005-0000-0000-00007F2B0000}"/>
    <cellStyle name="40% - Accent1 21 4 2" xfId="24865" xr:uid="{00000000-0005-0000-0000-0000802B0000}"/>
    <cellStyle name="40% - Accent1 21 5" xfId="20153" xr:uid="{00000000-0005-0000-0000-0000812B0000}"/>
    <cellStyle name="40% - Accent1 22" xfId="2832" xr:uid="{00000000-0005-0000-0000-0000822B0000}"/>
    <cellStyle name="40% - Accent1 22 2" xfId="11745" xr:uid="{00000000-0005-0000-0000-0000832B0000}"/>
    <cellStyle name="40% - Accent1 22 2 2" xfId="25460" xr:uid="{00000000-0005-0000-0000-0000842B0000}"/>
    <cellStyle name="40% - Accent1 22 3" xfId="20156" xr:uid="{00000000-0005-0000-0000-0000852B0000}"/>
    <cellStyle name="40% - Accent1 23" xfId="2833" xr:uid="{00000000-0005-0000-0000-0000862B0000}"/>
    <cellStyle name="40% - Accent1 23 2" xfId="12712" xr:uid="{00000000-0005-0000-0000-0000872B0000}"/>
    <cellStyle name="40% - Accent1 23 2 2" xfId="26424" xr:uid="{00000000-0005-0000-0000-0000882B0000}"/>
    <cellStyle name="40% - Accent1 23 3" xfId="20157" xr:uid="{00000000-0005-0000-0000-0000892B0000}"/>
    <cellStyle name="40% - Accent1 24" xfId="2834" xr:uid="{00000000-0005-0000-0000-00008A2B0000}"/>
    <cellStyle name="40% - Accent1 24 2" xfId="13384" xr:uid="{00000000-0005-0000-0000-00008B2B0000}"/>
    <cellStyle name="40% - Accent1 24 2 2" xfId="26933" xr:uid="{00000000-0005-0000-0000-00008C2B0000}"/>
    <cellStyle name="40% - Accent1 24 3" xfId="20158" xr:uid="{00000000-0005-0000-0000-00008D2B0000}"/>
    <cellStyle name="40% - Accent1 25" xfId="2835" xr:uid="{00000000-0005-0000-0000-00008E2B0000}"/>
    <cellStyle name="40% - Accent1 25 2" xfId="13965" xr:uid="{00000000-0005-0000-0000-00008F2B0000}"/>
    <cellStyle name="40% - Accent1 25 2 2" xfId="27514" xr:uid="{00000000-0005-0000-0000-0000902B0000}"/>
    <cellStyle name="40% - Accent1 25 3" xfId="20159" xr:uid="{00000000-0005-0000-0000-0000912B0000}"/>
    <cellStyle name="40% - Accent1 26" xfId="2836" xr:uid="{00000000-0005-0000-0000-0000922B0000}"/>
    <cellStyle name="40% - Accent1 26 2" xfId="15060" xr:uid="{00000000-0005-0000-0000-0000932B0000}"/>
    <cellStyle name="40% - Accent1 26 2 2" xfId="28609" xr:uid="{00000000-0005-0000-0000-0000942B0000}"/>
    <cellStyle name="40% - Accent1 26 3" xfId="20160" xr:uid="{00000000-0005-0000-0000-0000952B0000}"/>
    <cellStyle name="40% - Accent1 27" xfId="2837" xr:uid="{00000000-0005-0000-0000-0000962B0000}"/>
    <cellStyle name="40% - Accent1 27 2" xfId="15835" xr:uid="{00000000-0005-0000-0000-0000972B0000}"/>
    <cellStyle name="40% - Accent1 27 2 2" xfId="29242" xr:uid="{00000000-0005-0000-0000-0000982B0000}"/>
    <cellStyle name="40% - Accent1 27 3" xfId="20161" xr:uid="{00000000-0005-0000-0000-0000992B0000}"/>
    <cellStyle name="40% - Accent1 28" xfId="2838" xr:uid="{00000000-0005-0000-0000-00009A2B0000}"/>
    <cellStyle name="40% - Accent1 28 2" xfId="15851" xr:uid="{00000000-0005-0000-0000-00009B2B0000}"/>
    <cellStyle name="40% - Accent1 28 2 2" xfId="29258" xr:uid="{00000000-0005-0000-0000-00009C2B0000}"/>
    <cellStyle name="40% - Accent1 28 3" xfId="20162" xr:uid="{00000000-0005-0000-0000-00009D2B0000}"/>
    <cellStyle name="40% - Accent1 29" xfId="2839" xr:uid="{00000000-0005-0000-0000-00009E2B0000}"/>
    <cellStyle name="40% - Accent1 29 2" xfId="9197" xr:uid="{00000000-0005-0000-0000-00009F2B0000}"/>
    <cellStyle name="40% - Accent1 29 2 2" xfId="23672" xr:uid="{00000000-0005-0000-0000-0000A02B0000}"/>
    <cellStyle name="40% - Accent1 29 3" xfId="20163" xr:uid="{00000000-0005-0000-0000-0000A12B0000}"/>
    <cellStyle name="40% - Accent1 3" xfId="2840" xr:uid="{00000000-0005-0000-0000-0000A22B0000}"/>
    <cellStyle name="40% - Accent1 3 10" xfId="2841" xr:uid="{00000000-0005-0000-0000-0000A32B0000}"/>
    <cellStyle name="40% - Accent1 3 10 2" xfId="14040" xr:uid="{00000000-0005-0000-0000-0000A42B0000}"/>
    <cellStyle name="40% - Accent1 3 10 2 2" xfId="27589" xr:uid="{00000000-0005-0000-0000-0000A52B0000}"/>
    <cellStyle name="40% - Accent1 3 10 3" xfId="20165" xr:uid="{00000000-0005-0000-0000-0000A62B0000}"/>
    <cellStyle name="40% - Accent1 3 11" xfId="2842" xr:uid="{00000000-0005-0000-0000-0000A72B0000}"/>
    <cellStyle name="40% - Accent1 3 11 2" xfId="15104" xr:uid="{00000000-0005-0000-0000-0000A82B0000}"/>
    <cellStyle name="40% - Accent1 3 11 2 2" xfId="28653" xr:uid="{00000000-0005-0000-0000-0000A92B0000}"/>
    <cellStyle name="40% - Accent1 3 11 3" xfId="20166" xr:uid="{00000000-0005-0000-0000-0000AA2B0000}"/>
    <cellStyle name="40% - Accent1 3 12" xfId="2843" xr:uid="{00000000-0005-0000-0000-0000AB2B0000}"/>
    <cellStyle name="40% - Accent1 3 12 2" xfId="15926" xr:uid="{00000000-0005-0000-0000-0000AC2B0000}"/>
    <cellStyle name="40% - Accent1 3 12 2 2" xfId="29333" xr:uid="{00000000-0005-0000-0000-0000AD2B0000}"/>
    <cellStyle name="40% - Accent1 3 12 3" xfId="20167" xr:uid="{00000000-0005-0000-0000-0000AE2B0000}"/>
    <cellStyle name="40% - Accent1 3 13" xfId="9227" xr:uid="{00000000-0005-0000-0000-0000AF2B0000}"/>
    <cellStyle name="40% - Accent1 3 13 2" xfId="23702" xr:uid="{00000000-0005-0000-0000-0000B02B0000}"/>
    <cellStyle name="40% - Accent1 3 14" xfId="20164" xr:uid="{00000000-0005-0000-0000-0000B12B0000}"/>
    <cellStyle name="40% - Accent1 3 2" xfId="2844" xr:uid="{00000000-0005-0000-0000-0000B22B0000}"/>
    <cellStyle name="40% - Accent1 3 2 10" xfId="2845" xr:uid="{00000000-0005-0000-0000-0000B32B0000}"/>
    <cellStyle name="40% - Accent1 3 2 10 2" xfId="16069" xr:uid="{00000000-0005-0000-0000-0000B42B0000}"/>
    <cellStyle name="40% - Accent1 3 2 10 2 2" xfId="29476" xr:uid="{00000000-0005-0000-0000-0000B52B0000}"/>
    <cellStyle name="40% - Accent1 3 2 10 3" xfId="20169" xr:uid="{00000000-0005-0000-0000-0000B62B0000}"/>
    <cellStyle name="40% - Accent1 3 2 11" xfId="9228" xr:uid="{00000000-0005-0000-0000-0000B72B0000}"/>
    <cellStyle name="40% - Accent1 3 2 11 2" xfId="23703" xr:uid="{00000000-0005-0000-0000-0000B82B0000}"/>
    <cellStyle name="40% - Accent1 3 2 12" xfId="20168" xr:uid="{00000000-0005-0000-0000-0000B92B0000}"/>
    <cellStyle name="40% - Accent1 3 2 2" xfId="2846" xr:uid="{00000000-0005-0000-0000-0000BA2B0000}"/>
    <cellStyle name="40% - Accent1 3 2 2 10" xfId="9229" xr:uid="{00000000-0005-0000-0000-0000BB2B0000}"/>
    <cellStyle name="40% - Accent1 3 2 2 10 2" xfId="23704" xr:uid="{00000000-0005-0000-0000-0000BC2B0000}"/>
    <cellStyle name="40% - Accent1 3 2 2 11" xfId="20170" xr:uid="{00000000-0005-0000-0000-0000BD2B0000}"/>
    <cellStyle name="40% - Accent1 3 2 2 2" xfId="2847" xr:uid="{00000000-0005-0000-0000-0000BE2B0000}"/>
    <cellStyle name="40% - Accent1 3 2 2 2 2" xfId="2848" xr:uid="{00000000-0005-0000-0000-0000BF2B0000}"/>
    <cellStyle name="40% - Accent1 3 2 2 2 2 2" xfId="10956" xr:uid="{00000000-0005-0000-0000-0000C02B0000}"/>
    <cellStyle name="40% - Accent1 3 2 2 2 2 2 2" xfId="24898" xr:uid="{00000000-0005-0000-0000-0000C12B0000}"/>
    <cellStyle name="40% - Accent1 3 2 2 2 2 3" xfId="20172" xr:uid="{00000000-0005-0000-0000-0000C22B0000}"/>
    <cellStyle name="40% - Accent1 3 2 2 2 3" xfId="2849" xr:uid="{00000000-0005-0000-0000-0000C32B0000}"/>
    <cellStyle name="40% - Accent1 3 2 2 2 3 2" xfId="12781" xr:uid="{00000000-0005-0000-0000-0000C42B0000}"/>
    <cellStyle name="40% - Accent1 3 2 2 2 3 2 2" xfId="26493" xr:uid="{00000000-0005-0000-0000-0000C52B0000}"/>
    <cellStyle name="40% - Accent1 3 2 2 2 3 3" xfId="20173" xr:uid="{00000000-0005-0000-0000-0000C62B0000}"/>
    <cellStyle name="40% - Accent1 3 2 2 2 4" xfId="2850" xr:uid="{00000000-0005-0000-0000-0000C72B0000}"/>
    <cellStyle name="40% - Accent1 3 2 2 2 4 2" xfId="15107" xr:uid="{00000000-0005-0000-0000-0000C82B0000}"/>
    <cellStyle name="40% - Accent1 3 2 2 2 4 2 2" xfId="28656" xr:uid="{00000000-0005-0000-0000-0000C92B0000}"/>
    <cellStyle name="40% - Accent1 3 2 2 2 4 3" xfId="20174" xr:uid="{00000000-0005-0000-0000-0000CA2B0000}"/>
    <cellStyle name="40% - Accent1 3 2 2 2 5" xfId="2851" xr:uid="{00000000-0005-0000-0000-0000CB2B0000}"/>
    <cellStyle name="40% - Accent1 3 2 2 2 5 2" xfId="16939" xr:uid="{00000000-0005-0000-0000-0000CC2B0000}"/>
    <cellStyle name="40% - Accent1 3 2 2 2 5 2 2" xfId="30346" xr:uid="{00000000-0005-0000-0000-0000CD2B0000}"/>
    <cellStyle name="40% - Accent1 3 2 2 2 5 3" xfId="20175" xr:uid="{00000000-0005-0000-0000-0000CE2B0000}"/>
    <cellStyle name="40% - Accent1 3 2 2 2 6" xfId="9230" xr:uid="{00000000-0005-0000-0000-0000CF2B0000}"/>
    <cellStyle name="40% - Accent1 3 2 2 2 6 2" xfId="23705" xr:uid="{00000000-0005-0000-0000-0000D02B0000}"/>
    <cellStyle name="40% - Accent1 3 2 2 2 7" xfId="20171" xr:uid="{00000000-0005-0000-0000-0000D12B0000}"/>
    <cellStyle name="40% - Accent1 3 2 2 3" xfId="2852" xr:uid="{00000000-0005-0000-0000-0000D22B0000}"/>
    <cellStyle name="40% - Accent1 3 2 2 3 2" xfId="2853" xr:uid="{00000000-0005-0000-0000-0000D32B0000}"/>
    <cellStyle name="40% - Accent1 3 2 2 3 2 2" xfId="15108" xr:uid="{00000000-0005-0000-0000-0000D42B0000}"/>
    <cellStyle name="40% - Accent1 3 2 2 3 2 2 2" xfId="28657" xr:uid="{00000000-0005-0000-0000-0000D52B0000}"/>
    <cellStyle name="40% - Accent1 3 2 2 3 2 3" xfId="20177" xr:uid="{00000000-0005-0000-0000-0000D62B0000}"/>
    <cellStyle name="40% - Accent1 3 2 2 3 3" xfId="10955" xr:uid="{00000000-0005-0000-0000-0000D72B0000}"/>
    <cellStyle name="40% - Accent1 3 2 2 3 3 2" xfId="24897" xr:uid="{00000000-0005-0000-0000-0000D82B0000}"/>
    <cellStyle name="40% - Accent1 3 2 2 3 4" xfId="20176" xr:uid="{00000000-0005-0000-0000-0000D92B0000}"/>
    <cellStyle name="40% - Accent1 3 2 2 4" xfId="2854" xr:uid="{00000000-0005-0000-0000-0000DA2B0000}"/>
    <cellStyle name="40% - Accent1 3 2 2 4 2" xfId="12327" xr:uid="{00000000-0005-0000-0000-0000DB2B0000}"/>
    <cellStyle name="40% - Accent1 3 2 2 4 2 2" xfId="26039" xr:uid="{00000000-0005-0000-0000-0000DC2B0000}"/>
    <cellStyle name="40% - Accent1 3 2 2 4 3" xfId="20178" xr:uid="{00000000-0005-0000-0000-0000DD2B0000}"/>
    <cellStyle name="40% - Accent1 3 2 2 5" xfId="2855" xr:uid="{00000000-0005-0000-0000-0000DE2B0000}"/>
    <cellStyle name="40% - Accent1 3 2 2 5 2" xfId="12743" xr:uid="{00000000-0005-0000-0000-0000DF2B0000}"/>
    <cellStyle name="40% - Accent1 3 2 2 5 2 2" xfId="26455" xr:uid="{00000000-0005-0000-0000-0000E02B0000}"/>
    <cellStyle name="40% - Accent1 3 2 2 5 3" xfId="20179" xr:uid="{00000000-0005-0000-0000-0000E12B0000}"/>
    <cellStyle name="40% - Accent1 3 2 2 6" xfId="2856" xr:uid="{00000000-0005-0000-0000-0000E22B0000}"/>
    <cellStyle name="40% - Accent1 3 2 2 6 2" xfId="13891" xr:uid="{00000000-0005-0000-0000-0000E32B0000}"/>
    <cellStyle name="40% - Accent1 3 2 2 6 2 2" xfId="27440" xr:uid="{00000000-0005-0000-0000-0000E42B0000}"/>
    <cellStyle name="40% - Accent1 3 2 2 6 3" xfId="20180" xr:uid="{00000000-0005-0000-0000-0000E52B0000}"/>
    <cellStyle name="40% - Accent1 3 2 2 7" xfId="2857" xr:uid="{00000000-0005-0000-0000-0000E62B0000}"/>
    <cellStyle name="40% - Accent1 3 2 2 7 2" xfId="14472" xr:uid="{00000000-0005-0000-0000-0000E72B0000}"/>
    <cellStyle name="40% - Accent1 3 2 2 7 2 2" xfId="28021" xr:uid="{00000000-0005-0000-0000-0000E82B0000}"/>
    <cellStyle name="40% - Accent1 3 2 2 7 3" xfId="20181" xr:uid="{00000000-0005-0000-0000-0000E92B0000}"/>
    <cellStyle name="40% - Accent1 3 2 2 8" xfId="2858" xr:uid="{00000000-0005-0000-0000-0000EA2B0000}"/>
    <cellStyle name="40% - Accent1 3 2 2 8 2" xfId="15106" xr:uid="{00000000-0005-0000-0000-0000EB2B0000}"/>
    <cellStyle name="40% - Accent1 3 2 2 8 2 2" xfId="28655" xr:uid="{00000000-0005-0000-0000-0000EC2B0000}"/>
    <cellStyle name="40% - Accent1 3 2 2 8 3" xfId="20182" xr:uid="{00000000-0005-0000-0000-0000ED2B0000}"/>
    <cellStyle name="40% - Accent1 3 2 2 9" xfId="2859" xr:uid="{00000000-0005-0000-0000-0000EE2B0000}"/>
    <cellStyle name="40% - Accent1 3 2 2 9 2" xfId="16358" xr:uid="{00000000-0005-0000-0000-0000EF2B0000}"/>
    <cellStyle name="40% - Accent1 3 2 2 9 2 2" xfId="29765" xr:uid="{00000000-0005-0000-0000-0000F02B0000}"/>
    <cellStyle name="40% - Accent1 3 2 2 9 3" xfId="20183" xr:uid="{00000000-0005-0000-0000-0000F12B0000}"/>
    <cellStyle name="40% - Accent1 3 2 3" xfId="2860" xr:uid="{00000000-0005-0000-0000-0000F22B0000}"/>
    <cellStyle name="40% - Accent1 3 2 3 2" xfId="2861" xr:uid="{00000000-0005-0000-0000-0000F32B0000}"/>
    <cellStyle name="40% - Accent1 3 2 3 2 2" xfId="10957" xr:uid="{00000000-0005-0000-0000-0000F42B0000}"/>
    <cellStyle name="40% - Accent1 3 2 3 2 2 2" xfId="24899" xr:uid="{00000000-0005-0000-0000-0000F52B0000}"/>
    <cellStyle name="40% - Accent1 3 2 3 2 3" xfId="20185" xr:uid="{00000000-0005-0000-0000-0000F62B0000}"/>
    <cellStyle name="40% - Accent1 3 2 3 3" xfId="2862" xr:uid="{00000000-0005-0000-0000-0000F72B0000}"/>
    <cellStyle name="40% - Accent1 3 2 3 3 2" xfId="12752" xr:uid="{00000000-0005-0000-0000-0000F82B0000}"/>
    <cellStyle name="40% - Accent1 3 2 3 3 2 2" xfId="26464" xr:uid="{00000000-0005-0000-0000-0000F92B0000}"/>
    <cellStyle name="40% - Accent1 3 2 3 3 3" xfId="20186" xr:uid="{00000000-0005-0000-0000-0000FA2B0000}"/>
    <cellStyle name="40% - Accent1 3 2 3 4" xfId="2863" xr:uid="{00000000-0005-0000-0000-0000FB2B0000}"/>
    <cellStyle name="40% - Accent1 3 2 3 4 2" xfId="15109" xr:uid="{00000000-0005-0000-0000-0000FC2B0000}"/>
    <cellStyle name="40% - Accent1 3 2 3 4 2 2" xfId="28658" xr:uid="{00000000-0005-0000-0000-0000FD2B0000}"/>
    <cellStyle name="40% - Accent1 3 2 3 4 3" xfId="20187" xr:uid="{00000000-0005-0000-0000-0000FE2B0000}"/>
    <cellStyle name="40% - Accent1 3 2 3 5" xfId="2864" xr:uid="{00000000-0005-0000-0000-0000FF2B0000}"/>
    <cellStyle name="40% - Accent1 3 2 3 5 2" xfId="16650" xr:uid="{00000000-0005-0000-0000-0000002C0000}"/>
    <cellStyle name="40% - Accent1 3 2 3 5 2 2" xfId="30057" xr:uid="{00000000-0005-0000-0000-0000012C0000}"/>
    <cellStyle name="40% - Accent1 3 2 3 5 3" xfId="20188" xr:uid="{00000000-0005-0000-0000-0000022C0000}"/>
    <cellStyle name="40% - Accent1 3 2 3 6" xfId="9231" xr:uid="{00000000-0005-0000-0000-0000032C0000}"/>
    <cellStyle name="40% - Accent1 3 2 3 6 2" xfId="23706" xr:uid="{00000000-0005-0000-0000-0000042C0000}"/>
    <cellStyle name="40% - Accent1 3 2 3 7" xfId="20184" xr:uid="{00000000-0005-0000-0000-0000052C0000}"/>
    <cellStyle name="40% - Accent1 3 2 4" xfId="2865" xr:uid="{00000000-0005-0000-0000-0000062C0000}"/>
    <cellStyle name="40% - Accent1 3 2 4 2" xfId="2866" xr:uid="{00000000-0005-0000-0000-0000072C0000}"/>
    <cellStyle name="40% - Accent1 3 2 4 2 2" xfId="15110" xr:uid="{00000000-0005-0000-0000-0000082C0000}"/>
    <cellStyle name="40% - Accent1 3 2 4 2 2 2" xfId="28659" xr:uid="{00000000-0005-0000-0000-0000092C0000}"/>
    <cellStyle name="40% - Accent1 3 2 4 2 3" xfId="20190" xr:uid="{00000000-0005-0000-0000-00000A2C0000}"/>
    <cellStyle name="40% - Accent1 3 2 4 3" xfId="10954" xr:uid="{00000000-0005-0000-0000-00000B2C0000}"/>
    <cellStyle name="40% - Accent1 3 2 4 3 2" xfId="24896" xr:uid="{00000000-0005-0000-0000-00000C2C0000}"/>
    <cellStyle name="40% - Accent1 3 2 4 4" xfId="20189" xr:uid="{00000000-0005-0000-0000-00000D2C0000}"/>
    <cellStyle name="40% - Accent1 3 2 5" xfId="2867" xr:uid="{00000000-0005-0000-0000-00000E2C0000}"/>
    <cellStyle name="40% - Accent1 3 2 5 2" xfId="12027" xr:uid="{00000000-0005-0000-0000-00000F2C0000}"/>
    <cellStyle name="40% - Accent1 3 2 5 2 2" xfId="25742" xr:uid="{00000000-0005-0000-0000-0000102C0000}"/>
    <cellStyle name="40% - Accent1 3 2 5 3" xfId="20191" xr:uid="{00000000-0005-0000-0000-0000112C0000}"/>
    <cellStyle name="40% - Accent1 3 2 6" xfId="2868" xr:uid="{00000000-0005-0000-0000-0000122C0000}"/>
    <cellStyle name="40% - Accent1 3 2 6 2" xfId="11893" xr:uid="{00000000-0005-0000-0000-0000132C0000}"/>
    <cellStyle name="40% - Accent1 3 2 6 2 2" xfId="25608" xr:uid="{00000000-0005-0000-0000-0000142C0000}"/>
    <cellStyle name="40% - Accent1 3 2 6 3" xfId="20192" xr:uid="{00000000-0005-0000-0000-0000152C0000}"/>
    <cellStyle name="40% - Accent1 3 2 7" xfId="2869" xr:uid="{00000000-0005-0000-0000-0000162C0000}"/>
    <cellStyle name="40% - Accent1 3 2 7 2" xfId="13602" xr:uid="{00000000-0005-0000-0000-0000172C0000}"/>
    <cellStyle name="40% - Accent1 3 2 7 2 2" xfId="27151" xr:uid="{00000000-0005-0000-0000-0000182C0000}"/>
    <cellStyle name="40% - Accent1 3 2 7 3" xfId="20193" xr:uid="{00000000-0005-0000-0000-0000192C0000}"/>
    <cellStyle name="40% - Accent1 3 2 8" xfId="2870" xr:uid="{00000000-0005-0000-0000-00001A2C0000}"/>
    <cellStyle name="40% - Accent1 3 2 8 2" xfId="14183" xr:uid="{00000000-0005-0000-0000-00001B2C0000}"/>
    <cellStyle name="40% - Accent1 3 2 8 2 2" xfId="27732" xr:uid="{00000000-0005-0000-0000-00001C2C0000}"/>
    <cellStyle name="40% - Accent1 3 2 8 3" xfId="20194" xr:uid="{00000000-0005-0000-0000-00001D2C0000}"/>
    <cellStyle name="40% - Accent1 3 2 9" xfId="2871" xr:uid="{00000000-0005-0000-0000-00001E2C0000}"/>
    <cellStyle name="40% - Accent1 3 2 9 2" xfId="15105" xr:uid="{00000000-0005-0000-0000-00001F2C0000}"/>
    <cellStyle name="40% - Accent1 3 2 9 2 2" xfId="28654" xr:uid="{00000000-0005-0000-0000-0000202C0000}"/>
    <cellStyle name="40% - Accent1 3 2 9 3" xfId="20195" xr:uid="{00000000-0005-0000-0000-0000212C0000}"/>
    <cellStyle name="40% - Accent1 3 3" xfId="2872" xr:uid="{00000000-0005-0000-0000-0000222C0000}"/>
    <cellStyle name="40% - Accent1 3 3 10" xfId="9232" xr:uid="{00000000-0005-0000-0000-0000232C0000}"/>
    <cellStyle name="40% - Accent1 3 3 10 2" xfId="23707" xr:uid="{00000000-0005-0000-0000-0000242C0000}"/>
    <cellStyle name="40% - Accent1 3 3 11" xfId="20196" xr:uid="{00000000-0005-0000-0000-0000252C0000}"/>
    <cellStyle name="40% - Accent1 3 3 2" xfId="2873" xr:uid="{00000000-0005-0000-0000-0000262C0000}"/>
    <cellStyle name="40% - Accent1 3 3 2 2" xfId="2874" xr:uid="{00000000-0005-0000-0000-0000272C0000}"/>
    <cellStyle name="40% - Accent1 3 3 2 2 2" xfId="10959" xr:uid="{00000000-0005-0000-0000-0000282C0000}"/>
    <cellStyle name="40% - Accent1 3 3 2 2 2 2" xfId="24901" xr:uid="{00000000-0005-0000-0000-0000292C0000}"/>
    <cellStyle name="40% - Accent1 3 3 2 2 3" xfId="20198" xr:uid="{00000000-0005-0000-0000-00002A2C0000}"/>
    <cellStyle name="40% - Accent1 3 3 2 3" xfId="2875" xr:uid="{00000000-0005-0000-0000-00002B2C0000}"/>
    <cellStyle name="40% - Accent1 3 3 2 3 2" xfId="12460" xr:uid="{00000000-0005-0000-0000-00002C2C0000}"/>
    <cellStyle name="40% - Accent1 3 3 2 3 2 2" xfId="26172" xr:uid="{00000000-0005-0000-0000-00002D2C0000}"/>
    <cellStyle name="40% - Accent1 3 3 2 3 3" xfId="20199" xr:uid="{00000000-0005-0000-0000-00002E2C0000}"/>
    <cellStyle name="40% - Accent1 3 3 2 4" xfId="2876" xr:uid="{00000000-0005-0000-0000-00002F2C0000}"/>
    <cellStyle name="40% - Accent1 3 3 2 4 2" xfId="15112" xr:uid="{00000000-0005-0000-0000-0000302C0000}"/>
    <cellStyle name="40% - Accent1 3 3 2 4 2 2" xfId="28661" xr:uid="{00000000-0005-0000-0000-0000312C0000}"/>
    <cellStyle name="40% - Accent1 3 3 2 4 3" xfId="20200" xr:uid="{00000000-0005-0000-0000-0000322C0000}"/>
    <cellStyle name="40% - Accent1 3 3 2 5" xfId="2877" xr:uid="{00000000-0005-0000-0000-0000332C0000}"/>
    <cellStyle name="40% - Accent1 3 3 2 5 2" xfId="16796" xr:uid="{00000000-0005-0000-0000-0000342C0000}"/>
    <cellStyle name="40% - Accent1 3 3 2 5 2 2" xfId="30203" xr:uid="{00000000-0005-0000-0000-0000352C0000}"/>
    <cellStyle name="40% - Accent1 3 3 2 5 3" xfId="20201" xr:uid="{00000000-0005-0000-0000-0000362C0000}"/>
    <cellStyle name="40% - Accent1 3 3 2 6" xfId="9233" xr:uid="{00000000-0005-0000-0000-0000372C0000}"/>
    <cellStyle name="40% - Accent1 3 3 2 6 2" xfId="23708" xr:uid="{00000000-0005-0000-0000-0000382C0000}"/>
    <cellStyle name="40% - Accent1 3 3 2 7" xfId="20197" xr:uid="{00000000-0005-0000-0000-0000392C0000}"/>
    <cellStyle name="40% - Accent1 3 3 3" xfId="2878" xr:uid="{00000000-0005-0000-0000-00003A2C0000}"/>
    <cellStyle name="40% - Accent1 3 3 3 2" xfId="2879" xr:uid="{00000000-0005-0000-0000-00003B2C0000}"/>
    <cellStyle name="40% - Accent1 3 3 3 2 2" xfId="15113" xr:uid="{00000000-0005-0000-0000-00003C2C0000}"/>
    <cellStyle name="40% - Accent1 3 3 3 2 2 2" xfId="28662" xr:uid="{00000000-0005-0000-0000-00003D2C0000}"/>
    <cellStyle name="40% - Accent1 3 3 3 2 3" xfId="20203" xr:uid="{00000000-0005-0000-0000-00003E2C0000}"/>
    <cellStyle name="40% - Accent1 3 3 3 3" xfId="10958" xr:uid="{00000000-0005-0000-0000-00003F2C0000}"/>
    <cellStyle name="40% - Accent1 3 3 3 3 2" xfId="24900" xr:uid="{00000000-0005-0000-0000-0000402C0000}"/>
    <cellStyle name="40% - Accent1 3 3 3 4" xfId="20202" xr:uid="{00000000-0005-0000-0000-0000412C0000}"/>
    <cellStyle name="40% - Accent1 3 3 4" xfId="2880" xr:uid="{00000000-0005-0000-0000-0000422C0000}"/>
    <cellStyle name="40% - Accent1 3 3 4 2" xfId="12184" xr:uid="{00000000-0005-0000-0000-0000432C0000}"/>
    <cellStyle name="40% - Accent1 3 3 4 2 2" xfId="25896" xr:uid="{00000000-0005-0000-0000-0000442C0000}"/>
    <cellStyle name="40% - Accent1 3 3 4 3" xfId="20204" xr:uid="{00000000-0005-0000-0000-0000452C0000}"/>
    <cellStyle name="40% - Accent1 3 3 5" xfId="2881" xr:uid="{00000000-0005-0000-0000-0000462C0000}"/>
    <cellStyle name="40% - Accent1 3 3 5 2" xfId="12696" xr:uid="{00000000-0005-0000-0000-0000472C0000}"/>
    <cellStyle name="40% - Accent1 3 3 5 2 2" xfId="26408" xr:uid="{00000000-0005-0000-0000-0000482C0000}"/>
    <cellStyle name="40% - Accent1 3 3 5 3" xfId="20205" xr:uid="{00000000-0005-0000-0000-0000492C0000}"/>
    <cellStyle name="40% - Accent1 3 3 6" xfId="2882" xr:uid="{00000000-0005-0000-0000-00004A2C0000}"/>
    <cellStyle name="40% - Accent1 3 3 6 2" xfId="13748" xr:uid="{00000000-0005-0000-0000-00004B2C0000}"/>
    <cellStyle name="40% - Accent1 3 3 6 2 2" xfId="27297" xr:uid="{00000000-0005-0000-0000-00004C2C0000}"/>
    <cellStyle name="40% - Accent1 3 3 6 3" xfId="20206" xr:uid="{00000000-0005-0000-0000-00004D2C0000}"/>
    <cellStyle name="40% - Accent1 3 3 7" xfId="2883" xr:uid="{00000000-0005-0000-0000-00004E2C0000}"/>
    <cellStyle name="40% - Accent1 3 3 7 2" xfId="14329" xr:uid="{00000000-0005-0000-0000-00004F2C0000}"/>
    <cellStyle name="40% - Accent1 3 3 7 2 2" xfId="27878" xr:uid="{00000000-0005-0000-0000-0000502C0000}"/>
    <cellStyle name="40% - Accent1 3 3 7 3" xfId="20207" xr:uid="{00000000-0005-0000-0000-0000512C0000}"/>
    <cellStyle name="40% - Accent1 3 3 8" xfId="2884" xr:uid="{00000000-0005-0000-0000-0000522C0000}"/>
    <cellStyle name="40% - Accent1 3 3 8 2" xfId="15111" xr:uid="{00000000-0005-0000-0000-0000532C0000}"/>
    <cellStyle name="40% - Accent1 3 3 8 2 2" xfId="28660" xr:uid="{00000000-0005-0000-0000-0000542C0000}"/>
    <cellStyle name="40% - Accent1 3 3 8 3" xfId="20208" xr:uid="{00000000-0005-0000-0000-0000552C0000}"/>
    <cellStyle name="40% - Accent1 3 3 9" xfId="2885" xr:uid="{00000000-0005-0000-0000-0000562C0000}"/>
    <cellStyle name="40% - Accent1 3 3 9 2" xfId="16215" xr:uid="{00000000-0005-0000-0000-0000572C0000}"/>
    <cellStyle name="40% - Accent1 3 3 9 2 2" xfId="29622" xr:uid="{00000000-0005-0000-0000-0000582C0000}"/>
    <cellStyle name="40% - Accent1 3 3 9 3" xfId="20209" xr:uid="{00000000-0005-0000-0000-0000592C0000}"/>
    <cellStyle name="40% - Accent1 3 4" xfId="2886" xr:uid="{00000000-0005-0000-0000-00005A2C0000}"/>
    <cellStyle name="40% - Accent1 3 4 2" xfId="2887" xr:uid="{00000000-0005-0000-0000-00005B2C0000}"/>
    <cellStyle name="40% - Accent1 3 4 2 2" xfId="10960" xr:uid="{00000000-0005-0000-0000-00005C2C0000}"/>
    <cellStyle name="40% - Accent1 3 4 2 2 2" xfId="24902" xr:uid="{00000000-0005-0000-0000-00005D2C0000}"/>
    <cellStyle name="40% - Accent1 3 4 2 3" xfId="20211" xr:uid="{00000000-0005-0000-0000-00005E2C0000}"/>
    <cellStyle name="40% - Accent1 3 4 3" xfId="2888" xr:uid="{00000000-0005-0000-0000-00005F2C0000}"/>
    <cellStyle name="40% - Accent1 3 4 3 2" xfId="12589" xr:uid="{00000000-0005-0000-0000-0000602C0000}"/>
    <cellStyle name="40% - Accent1 3 4 3 2 2" xfId="26301" xr:uid="{00000000-0005-0000-0000-0000612C0000}"/>
    <cellStyle name="40% - Accent1 3 4 3 3" xfId="20212" xr:uid="{00000000-0005-0000-0000-0000622C0000}"/>
    <cellStyle name="40% - Accent1 3 4 4" xfId="2889" xr:uid="{00000000-0005-0000-0000-0000632C0000}"/>
    <cellStyle name="40% - Accent1 3 4 4 2" xfId="15114" xr:uid="{00000000-0005-0000-0000-0000642C0000}"/>
    <cellStyle name="40% - Accent1 3 4 4 2 2" xfId="28663" xr:uid="{00000000-0005-0000-0000-0000652C0000}"/>
    <cellStyle name="40% - Accent1 3 4 4 3" xfId="20213" xr:uid="{00000000-0005-0000-0000-0000662C0000}"/>
    <cellStyle name="40% - Accent1 3 4 5" xfId="2890" xr:uid="{00000000-0005-0000-0000-0000672C0000}"/>
    <cellStyle name="40% - Accent1 3 4 5 2" xfId="17143" xr:uid="{00000000-0005-0000-0000-0000682C0000}"/>
    <cellStyle name="40% - Accent1 3 4 5 2 2" xfId="30502" xr:uid="{00000000-0005-0000-0000-0000692C0000}"/>
    <cellStyle name="40% - Accent1 3 4 5 3" xfId="20214" xr:uid="{00000000-0005-0000-0000-00006A2C0000}"/>
    <cellStyle name="40% - Accent1 3 4 6" xfId="9234" xr:uid="{00000000-0005-0000-0000-00006B2C0000}"/>
    <cellStyle name="40% - Accent1 3 4 6 2" xfId="23709" xr:uid="{00000000-0005-0000-0000-00006C2C0000}"/>
    <cellStyle name="40% - Accent1 3 4 7" xfId="20210" xr:uid="{00000000-0005-0000-0000-00006D2C0000}"/>
    <cellStyle name="40% - Accent1 3 5" xfId="2891" xr:uid="{00000000-0005-0000-0000-00006E2C0000}"/>
    <cellStyle name="40% - Accent1 3 5 2" xfId="2892" xr:uid="{00000000-0005-0000-0000-00006F2C0000}"/>
    <cellStyle name="40% - Accent1 3 5 2 2" xfId="10961" xr:uid="{00000000-0005-0000-0000-0000702C0000}"/>
    <cellStyle name="40% - Accent1 3 5 2 2 2" xfId="24903" xr:uid="{00000000-0005-0000-0000-0000712C0000}"/>
    <cellStyle name="40% - Accent1 3 5 2 3" xfId="20216" xr:uid="{00000000-0005-0000-0000-0000722C0000}"/>
    <cellStyle name="40% - Accent1 3 5 3" xfId="2893" xr:uid="{00000000-0005-0000-0000-0000732C0000}"/>
    <cellStyle name="40% - Accent1 3 5 3 2" xfId="12410" xr:uid="{00000000-0005-0000-0000-0000742C0000}"/>
    <cellStyle name="40% - Accent1 3 5 3 2 2" xfId="26122" xr:uid="{00000000-0005-0000-0000-0000752C0000}"/>
    <cellStyle name="40% - Accent1 3 5 3 3" xfId="20217" xr:uid="{00000000-0005-0000-0000-0000762C0000}"/>
    <cellStyle name="40% - Accent1 3 5 4" xfId="2894" xr:uid="{00000000-0005-0000-0000-0000772C0000}"/>
    <cellStyle name="40% - Accent1 3 5 4 2" xfId="15115" xr:uid="{00000000-0005-0000-0000-0000782C0000}"/>
    <cellStyle name="40% - Accent1 3 5 4 2 2" xfId="28664" xr:uid="{00000000-0005-0000-0000-0000792C0000}"/>
    <cellStyle name="40% - Accent1 3 5 4 3" xfId="20218" xr:uid="{00000000-0005-0000-0000-00007A2C0000}"/>
    <cellStyle name="40% - Accent1 3 5 5" xfId="2895" xr:uid="{00000000-0005-0000-0000-00007B2C0000}"/>
    <cellStyle name="40% - Accent1 3 5 5 2" xfId="17232" xr:uid="{00000000-0005-0000-0000-00007C2C0000}"/>
    <cellStyle name="40% - Accent1 3 5 5 2 2" xfId="30591" xr:uid="{00000000-0005-0000-0000-00007D2C0000}"/>
    <cellStyle name="40% - Accent1 3 5 5 3" xfId="20219" xr:uid="{00000000-0005-0000-0000-00007E2C0000}"/>
    <cellStyle name="40% - Accent1 3 5 6" xfId="9235" xr:uid="{00000000-0005-0000-0000-00007F2C0000}"/>
    <cellStyle name="40% - Accent1 3 5 6 2" xfId="23710" xr:uid="{00000000-0005-0000-0000-0000802C0000}"/>
    <cellStyle name="40% - Accent1 3 5 7" xfId="20215" xr:uid="{00000000-0005-0000-0000-0000812C0000}"/>
    <cellStyle name="40% - Accent1 3 6" xfId="2896" xr:uid="{00000000-0005-0000-0000-0000822C0000}"/>
    <cellStyle name="40% - Accent1 3 6 2" xfId="2897" xr:uid="{00000000-0005-0000-0000-0000832C0000}"/>
    <cellStyle name="40% - Accent1 3 6 2 2" xfId="15116" xr:uid="{00000000-0005-0000-0000-0000842C0000}"/>
    <cellStyle name="40% - Accent1 3 6 2 2 2" xfId="28665" xr:uid="{00000000-0005-0000-0000-0000852C0000}"/>
    <cellStyle name="40% - Accent1 3 6 2 3" xfId="20221" xr:uid="{00000000-0005-0000-0000-0000862C0000}"/>
    <cellStyle name="40% - Accent1 3 6 3" xfId="2898" xr:uid="{00000000-0005-0000-0000-0000872C0000}"/>
    <cellStyle name="40% - Accent1 3 6 3 2" xfId="16507" xr:uid="{00000000-0005-0000-0000-0000882C0000}"/>
    <cellStyle name="40% - Accent1 3 6 3 2 2" xfId="29914" xr:uid="{00000000-0005-0000-0000-0000892C0000}"/>
    <cellStyle name="40% - Accent1 3 6 3 3" xfId="20222" xr:uid="{00000000-0005-0000-0000-00008A2C0000}"/>
    <cellStyle name="40% - Accent1 3 6 4" xfId="10953" xr:uid="{00000000-0005-0000-0000-00008B2C0000}"/>
    <cellStyle name="40% - Accent1 3 6 4 2" xfId="24895" xr:uid="{00000000-0005-0000-0000-00008C2C0000}"/>
    <cellStyle name="40% - Accent1 3 6 5" xfId="20220" xr:uid="{00000000-0005-0000-0000-00008D2C0000}"/>
    <cellStyle name="40% - Accent1 3 7" xfId="2899" xr:uid="{00000000-0005-0000-0000-00008E2C0000}"/>
    <cellStyle name="40% - Accent1 3 7 2" xfId="11879" xr:uid="{00000000-0005-0000-0000-00008F2C0000}"/>
    <cellStyle name="40% - Accent1 3 7 2 2" xfId="25594" xr:uid="{00000000-0005-0000-0000-0000902C0000}"/>
    <cellStyle name="40% - Accent1 3 7 3" xfId="20223" xr:uid="{00000000-0005-0000-0000-0000912C0000}"/>
    <cellStyle name="40% - Accent1 3 8" xfId="2900" xr:uid="{00000000-0005-0000-0000-0000922C0000}"/>
    <cellStyle name="40% - Accent1 3 8 2" xfId="11756" xr:uid="{00000000-0005-0000-0000-0000932C0000}"/>
    <cellStyle name="40% - Accent1 3 8 2 2" xfId="25471" xr:uid="{00000000-0005-0000-0000-0000942C0000}"/>
    <cellStyle name="40% - Accent1 3 8 3" xfId="20224" xr:uid="{00000000-0005-0000-0000-0000952C0000}"/>
    <cellStyle name="40% - Accent1 3 9" xfId="2901" xr:uid="{00000000-0005-0000-0000-0000962C0000}"/>
    <cellStyle name="40% - Accent1 3 9 2" xfId="13459" xr:uid="{00000000-0005-0000-0000-0000972C0000}"/>
    <cellStyle name="40% - Accent1 3 9 2 2" xfId="27008" xr:uid="{00000000-0005-0000-0000-0000982C0000}"/>
    <cellStyle name="40% - Accent1 3 9 3" xfId="20225" xr:uid="{00000000-0005-0000-0000-0000992C0000}"/>
    <cellStyle name="40% - Accent1 30" xfId="23247" xr:uid="{00000000-0005-0000-0000-00009A2C0000}"/>
    <cellStyle name="40% - Accent1 4" xfId="2902" xr:uid="{00000000-0005-0000-0000-00009B2C0000}"/>
    <cellStyle name="40% - Accent1 4 10" xfId="2903" xr:uid="{00000000-0005-0000-0000-00009C2C0000}"/>
    <cellStyle name="40% - Accent1 4 10 2" xfId="15117" xr:uid="{00000000-0005-0000-0000-00009D2C0000}"/>
    <cellStyle name="40% - Accent1 4 10 2 2" xfId="28666" xr:uid="{00000000-0005-0000-0000-00009E2C0000}"/>
    <cellStyle name="40% - Accent1 4 10 3" xfId="20227" xr:uid="{00000000-0005-0000-0000-00009F2C0000}"/>
    <cellStyle name="40% - Accent1 4 11" xfId="2904" xr:uid="{00000000-0005-0000-0000-0000A02C0000}"/>
    <cellStyle name="40% - Accent1 4 11 2" xfId="15885" xr:uid="{00000000-0005-0000-0000-0000A12C0000}"/>
    <cellStyle name="40% - Accent1 4 11 2 2" xfId="29292" xr:uid="{00000000-0005-0000-0000-0000A22C0000}"/>
    <cellStyle name="40% - Accent1 4 11 3" xfId="20228" xr:uid="{00000000-0005-0000-0000-0000A32C0000}"/>
    <cellStyle name="40% - Accent1 4 12" xfId="9236" xr:uid="{00000000-0005-0000-0000-0000A42C0000}"/>
    <cellStyle name="40% - Accent1 4 12 2" xfId="23711" xr:uid="{00000000-0005-0000-0000-0000A52C0000}"/>
    <cellStyle name="40% - Accent1 4 13" xfId="20226" xr:uid="{00000000-0005-0000-0000-0000A62C0000}"/>
    <cellStyle name="40% - Accent1 4 2" xfId="2905" xr:uid="{00000000-0005-0000-0000-0000A72C0000}"/>
    <cellStyle name="40% - Accent1 4 2 10" xfId="2906" xr:uid="{00000000-0005-0000-0000-0000A82C0000}"/>
    <cellStyle name="40% - Accent1 4 2 10 2" xfId="16028" xr:uid="{00000000-0005-0000-0000-0000A92C0000}"/>
    <cellStyle name="40% - Accent1 4 2 10 2 2" xfId="29435" xr:uid="{00000000-0005-0000-0000-0000AA2C0000}"/>
    <cellStyle name="40% - Accent1 4 2 10 3" xfId="20230" xr:uid="{00000000-0005-0000-0000-0000AB2C0000}"/>
    <cellStyle name="40% - Accent1 4 2 11" xfId="9237" xr:uid="{00000000-0005-0000-0000-0000AC2C0000}"/>
    <cellStyle name="40% - Accent1 4 2 11 2" xfId="23712" xr:uid="{00000000-0005-0000-0000-0000AD2C0000}"/>
    <cellStyle name="40% - Accent1 4 2 12" xfId="20229" xr:uid="{00000000-0005-0000-0000-0000AE2C0000}"/>
    <cellStyle name="40% - Accent1 4 2 2" xfId="2907" xr:uid="{00000000-0005-0000-0000-0000AF2C0000}"/>
    <cellStyle name="40% - Accent1 4 2 2 10" xfId="9238" xr:uid="{00000000-0005-0000-0000-0000B02C0000}"/>
    <cellStyle name="40% - Accent1 4 2 2 10 2" xfId="23713" xr:uid="{00000000-0005-0000-0000-0000B12C0000}"/>
    <cellStyle name="40% - Accent1 4 2 2 11" xfId="20231" xr:uid="{00000000-0005-0000-0000-0000B22C0000}"/>
    <cellStyle name="40% - Accent1 4 2 2 2" xfId="2908" xr:uid="{00000000-0005-0000-0000-0000B32C0000}"/>
    <cellStyle name="40% - Accent1 4 2 2 2 2" xfId="2909" xr:uid="{00000000-0005-0000-0000-0000B42C0000}"/>
    <cellStyle name="40% - Accent1 4 2 2 2 2 2" xfId="10965" xr:uid="{00000000-0005-0000-0000-0000B52C0000}"/>
    <cellStyle name="40% - Accent1 4 2 2 2 2 2 2" xfId="24907" xr:uid="{00000000-0005-0000-0000-0000B62C0000}"/>
    <cellStyle name="40% - Accent1 4 2 2 2 2 3" xfId="20233" xr:uid="{00000000-0005-0000-0000-0000B72C0000}"/>
    <cellStyle name="40% - Accent1 4 2 2 2 3" xfId="2910" xr:uid="{00000000-0005-0000-0000-0000B82C0000}"/>
    <cellStyle name="40% - Accent1 4 2 2 2 3 2" xfId="12519" xr:uid="{00000000-0005-0000-0000-0000B92C0000}"/>
    <cellStyle name="40% - Accent1 4 2 2 2 3 2 2" xfId="26231" xr:uid="{00000000-0005-0000-0000-0000BA2C0000}"/>
    <cellStyle name="40% - Accent1 4 2 2 2 3 3" xfId="20234" xr:uid="{00000000-0005-0000-0000-0000BB2C0000}"/>
    <cellStyle name="40% - Accent1 4 2 2 2 4" xfId="2911" xr:uid="{00000000-0005-0000-0000-0000BC2C0000}"/>
    <cellStyle name="40% - Accent1 4 2 2 2 4 2" xfId="15120" xr:uid="{00000000-0005-0000-0000-0000BD2C0000}"/>
    <cellStyle name="40% - Accent1 4 2 2 2 4 2 2" xfId="28669" xr:uid="{00000000-0005-0000-0000-0000BE2C0000}"/>
    <cellStyle name="40% - Accent1 4 2 2 2 4 3" xfId="20235" xr:uid="{00000000-0005-0000-0000-0000BF2C0000}"/>
    <cellStyle name="40% - Accent1 4 2 2 2 5" xfId="2912" xr:uid="{00000000-0005-0000-0000-0000C02C0000}"/>
    <cellStyle name="40% - Accent1 4 2 2 2 5 2" xfId="16898" xr:uid="{00000000-0005-0000-0000-0000C12C0000}"/>
    <cellStyle name="40% - Accent1 4 2 2 2 5 2 2" xfId="30305" xr:uid="{00000000-0005-0000-0000-0000C22C0000}"/>
    <cellStyle name="40% - Accent1 4 2 2 2 5 3" xfId="20236" xr:uid="{00000000-0005-0000-0000-0000C32C0000}"/>
    <cellStyle name="40% - Accent1 4 2 2 2 6" xfId="9239" xr:uid="{00000000-0005-0000-0000-0000C42C0000}"/>
    <cellStyle name="40% - Accent1 4 2 2 2 6 2" xfId="23714" xr:uid="{00000000-0005-0000-0000-0000C52C0000}"/>
    <cellStyle name="40% - Accent1 4 2 2 2 7" xfId="20232" xr:uid="{00000000-0005-0000-0000-0000C62C0000}"/>
    <cellStyle name="40% - Accent1 4 2 2 3" xfId="2913" xr:uid="{00000000-0005-0000-0000-0000C72C0000}"/>
    <cellStyle name="40% - Accent1 4 2 2 3 2" xfId="2914" xr:uid="{00000000-0005-0000-0000-0000C82C0000}"/>
    <cellStyle name="40% - Accent1 4 2 2 3 2 2" xfId="15121" xr:uid="{00000000-0005-0000-0000-0000C92C0000}"/>
    <cellStyle name="40% - Accent1 4 2 2 3 2 2 2" xfId="28670" xr:uid="{00000000-0005-0000-0000-0000CA2C0000}"/>
    <cellStyle name="40% - Accent1 4 2 2 3 2 3" xfId="20238" xr:uid="{00000000-0005-0000-0000-0000CB2C0000}"/>
    <cellStyle name="40% - Accent1 4 2 2 3 3" xfId="10964" xr:uid="{00000000-0005-0000-0000-0000CC2C0000}"/>
    <cellStyle name="40% - Accent1 4 2 2 3 3 2" xfId="24906" xr:uid="{00000000-0005-0000-0000-0000CD2C0000}"/>
    <cellStyle name="40% - Accent1 4 2 2 3 4" xfId="20237" xr:uid="{00000000-0005-0000-0000-0000CE2C0000}"/>
    <cellStyle name="40% - Accent1 4 2 2 4" xfId="2915" xr:uid="{00000000-0005-0000-0000-0000CF2C0000}"/>
    <cellStyle name="40% - Accent1 4 2 2 4 2" xfId="12286" xr:uid="{00000000-0005-0000-0000-0000D02C0000}"/>
    <cellStyle name="40% - Accent1 4 2 2 4 2 2" xfId="25998" xr:uid="{00000000-0005-0000-0000-0000D12C0000}"/>
    <cellStyle name="40% - Accent1 4 2 2 4 3" xfId="20239" xr:uid="{00000000-0005-0000-0000-0000D22C0000}"/>
    <cellStyle name="40% - Accent1 4 2 2 5" xfId="2916" xr:uid="{00000000-0005-0000-0000-0000D32C0000}"/>
    <cellStyle name="40% - Accent1 4 2 2 5 2" xfId="11787" xr:uid="{00000000-0005-0000-0000-0000D42C0000}"/>
    <cellStyle name="40% - Accent1 4 2 2 5 2 2" xfId="25502" xr:uid="{00000000-0005-0000-0000-0000D52C0000}"/>
    <cellStyle name="40% - Accent1 4 2 2 5 3" xfId="20240" xr:uid="{00000000-0005-0000-0000-0000D62C0000}"/>
    <cellStyle name="40% - Accent1 4 2 2 6" xfId="2917" xr:uid="{00000000-0005-0000-0000-0000D72C0000}"/>
    <cellStyle name="40% - Accent1 4 2 2 6 2" xfId="13850" xr:uid="{00000000-0005-0000-0000-0000D82C0000}"/>
    <cellStyle name="40% - Accent1 4 2 2 6 2 2" xfId="27399" xr:uid="{00000000-0005-0000-0000-0000D92C0000}"/>
    <cellStyle name="40% - Accent1 4 2 2 6 3" xfId="20241" xr:uid="{00000000-0005-0000-0000-0000DA2C0000}"/>
    <cellStyle name="40% - Accent1 4 2 2 7" xfId="2918" xr:uid="{00000000-0005-0000-0000-0000DB2C0000}"/>
    <cellStyle name="40% - Accent1 4 2 2 7 2" xfId="14431" xr:uid="{00000000-0005-0000-0000-0000DC2C0000}"/>
    <cellStyle name="40% - Accent1 4 2 2 7 2 2" xfId="27980" xr:uid="{00000000-0005-0000-0000-0000DD2C0000}"/>
    <cellStyle name="40% - Accent1 4 2 2 7 3" xfId="20242" xr:uid="{00000000-0005-0000-0000-0000DE2C0000}"/>
    <cellStyle name="40% - Accent1 4 2 2 8" xfId="2919" xr:uid="{00000000-0005-0000-0000-0000DF2C0000}"/>
    <cellStyle name="40% - Accent1 4 2 2 8 2" xfId="15119" xr:uid="{00000000-0005-0000-0000-0000E02C0000}"/>
    <cellStyle name="40% - Accent1 4 2 2 8 2 2" xfId="28668" xr:uid="{00000000-0005-0000-0000-0000E12C0000}"/>
    <cellStyle name="40% - Accent1 4 2 2 8 3" xfId="20243" xr:uid="{00000000-0005-0000-0000-0000E22C0000}"/>
    <cellStyle name="40% - Accent1 4 2 2 9" xfId="2920" xr:uid="{00000000-0005-0000-0000-0000E32C0000}"/>
    <cellStyle name="40% - Accent1 4 2 2 9 2" xfId="16317" xr:uid="{00000000-0005-0000-0000-0000E42C0000}"/>
    <cellStyle name="40% - Accent1 4 2 2 9 2 2" xfId="29724" xr:uid="{00000000-0005-0000-0000-0000E52C0000}"/>
    <cellStyle name="40% - Accent1 4 2 2 9 3" xfId="20244" xr:uid="{00000000-0005-0000-0000-0000E62C0000}"/>
    <cellStyle name="40% - Accent1 4 2 3" xfId="2921" xr:uid="{00000000-0005-0000-0000-0000E72C0000}"/>
    <cellStyle name="40% - Accent1 4 2 3 2" xfId="2922" xr:uid="{00000000-0005-0000-0000-0000E82C0000}"/>
    <cellStyle name="40% - Accent1 4 2 3 2 2" xfId="10966" xr:uid="{00000000-0005-0000-0000-0000E92C0000}"/>
    <cellStyle name="40% - Accent1 4 2 3 2 2 2" xfId="24908" xr:uid="{00000000-0005-0000-0000-0000EA2C0000}"/>
    <cellStyle name="40% - Accent1 4 2 3 2 3" xfId="20246" xr:uid="{00000000-0005-0000-0000-0000EB2C0000}"/>
    <cellStyle name="40% - Accent1 4 2 3 3" xfId="2923" xr:uid="{00000000-0005-0000-0000-0000EC2C0000}"/>
    <cellStyle name="40% - Accent1 4 2 3 3 2" xfId="12443" xr:uid="{00000000-0005-0000-0000-0000ED2C0000}"/>
    <cellStyle name="40% - Accent1 4 2 3 3 2 2" xfId="26155" xr:uid="{00000000-0005-0000-0000-0000EE2C0000}"/>
    <cellStyle name="40% - Accent1 4 2 3 3 3" xfId="20247" xr:uid="{00000000-0005-0000-0000-0000EF2C0000}"/>
    <cellStyle name="40% - Accent1 4 2 3 4" xfId="2924" xr:uid="{00000000-0005-0000-0000-0000F02C0000}"/>
    <cellStyle name="40% - Accent1 4 2 3 4 2" xfId="15122" xr:uid="{00000000-0005-0000-0000-0000F12C0000}"/>
    <cellStyle name="40% - Accent1 4 2 3 4 2 2" xfId="28671" xr:uid="{00000000-0005-0000-0000-0000F22C0000}"/>
    <cellStyle name="40% - Accent1 4 2 3 4 3" xfId="20248" xr:uid="{00000000-0005-0000-0000-0000F32C0000}"/>
    <cellStyle name="40% - Accent1 4 2 3 5" xfId="2925" xr:uid="{00000000-0005-0000-0000-0000F42C0000}"/>
    <cellStyle name="40% - Accent1 4 2 3 5 2" xfId="16609" xr:uid="{00000000-0005-0000-0000-0000F52C0000}"/>
    <cellStyle name="40% - Accent1 4 2 3 5 2 2" xfId="30016" xr:uid="{00000000-0005-0000-0000-0000F62C0000}"/>
    <cellStyle name="40% - Accent1 4 2 3 5 3" xfId="20249" xr:uid="{00000000-0005-0000-0000-0000F72C0000}"/>
    <cellStyle name="40% - Accent1 4 2 3 6" xfId="9240" xr:uid="{00000000-0005-0000-0000-0000F82C0000}"/>
    <cellStyle name="40% - Accent1 4 2 3 6 2" xfId="23715" xr:uid="{00000000-0005-0000-0000-0000F92C0000}"/>
    <cellStyle name="40% - Accent1 4 2 3 7" xfId="20245" xr:uid="{00000000-0005-0000-0000-0000FA2C0000}"/>
    <cellStyle name="40% - Accent1 4 2 4" xfId="2926" xr:uid="{00000000-0005-0000-0000-0000FB2C0000}"/>
    <cellStyle name="40% - Accent1 4 2 4 2" xfId="2927" xr:uid="{00000000-0005-0000-0000-0000FC2C0000}"/>
    <cellStyle name="40% - Accent1 4 2 4 2 2" xfId="15123" xr:uid="{00000000-0005-0000-0000-0000FD2C0000}"/>
    <cellStyle name="40% - Accent1 4 2 4 2 2 2" xfId="28672" xr:uid="{00000000-0005-0000-0000-0000FE2C0000}"/>
    <cellStyle name="40% - Accent1 4 2 4 2 3" xfId="20251" xr:uid="{00000000-0005-0000-0000-0000FF2C0000}"/>
    <cellStyle name="40% - Accent1 4 2 4 3" xfId="10963" xr:uid="{00000000-0005-0000-0000-0000002D0000}"/>
    <cellStyle name="40% - Accent1 4 2 4 3 2" xfId="24905" xr:uid="{00000000-0005-0000-0000-0000012D0000}"/>
    <cellStyle name="40% - Accent1 4 2 4 4" xfId="20250" xr:uid="{00000000-0005-0000-0000-0000022D0000}"/>
    <cellStyle name="40% - Accent1 4 2 5" xfId="2928" xr:uid="{00000000-0005-0000-0000-0000032D0000}"/>
    <cellStyle name="40% - Accent1 4 2 5 2" xfId="11986" xr:uid="{00000000-0005-0000-0000-0000042D0000}"/>
    <cellStyle name="40% - Accent1 4 2 5 2 2" xfId="25701" xr:uid="{00000000-0005-0000-0000-0000052D0000}"/>
    <cellStyle name="40% - Accent1 4 2 5 3" xfId="20252" xr:uid="{00000000-0005-0000-0000-0000062D0000}"/>
    <cellStyle name="40% - Accent1 4 2 6" xfId="2929" xr:uid="{00000000-0005-0000-0000-0000072D0000}"/>
    <cellStyle name="40% - Accent1 4 2 6 2" xfId="12436" xr:uid="{00000000-0005-0000-0000-0000082D0000}"/>
    <cellStyle name="40% - Accent1 4 2 6 2 2" xfId="26148" xr:uid="{00000000-0005-0000-0000-0000092D0000}"/>
    <cellStyle name="40% - Accent1 4 2 6 3" xfId="20253" xr:uid="{00000000-0005-0000-0000-00000A2D0000}"/>
    <cellStyle name="40% - Accent1 4 2 7" xfId="2930" xr:uid="{00000000-0005-0000-0000-00000B2D0000}"/>
    <cellStyle name="40% - Accent1 4 2 7 2" xfId="13561" xr:uid="{00000000-0005-0000-0000-00000C2D0000}"/>
    <cellStyle name="40% - Accent1 4 2 7 2 2" xfId="27110" xr:uid="{00000000-0005-0000-0000-00000D2D0000}"/>
    <cellStyle name="40% - Accent1 4 2 7 3" xfId="20254" xr:uid="{00000000-0005-0000-0000-00000E2D0000}"/>
    <cellStyle name="40% - Accent1 4 2 8" xfId="2931" xr:uid="{00000000-0005-0000-0000-00000F2D0000}"/>
    <cellStyle name="40% - Accent1 4 2 8 2" xfId="14142" xr:uid="{00000000-0005-0000-0000-0000102D0000}"/>
    <cellStyle name="40% - Accent1 4 2 8 2 2" xfId="27691" xr:uid="{00000000-0005-0000-0000-0000112D0000}"/>
    <cellStyle name="40% - Accent1 4 2 8 3" xfId="20255" xr:uid="{00000000-0005-0000-0000-0000122D0000}"/>
    <cellStyle name="40% - Accent1 4 2 9" xfId="2932" xr:uid="{00000000-0005-0000-0000-0000132D0000}"/>
    <cellStyle name="40% - Accent1 4 2 9 2" xfId="15118" xr:uid="{00000000-0005-0000-0000-0000142D0000}"/>
    <cellStyle name="40% - Accent1 4 2 9 2 2" xfId="28667" xr:uid="{00000000-0005-0000-0000-0000152D0000}"/>
    <cellStyle name="40% - Accent1 4 2 9 3" xfId="20256" xr:uid="{00000000-0005-0000-0000-0000162D0000}"/>
    <cellStyle name="40% - Accent1 4 3" xfId="2933" xr:uid="{00000000-0005-0000-0000-0000172D0000}"/>
    <cellStyle name="40% - Accent1 4 3 10" xfId="9241" xr:uid="{00000000-0005-0000-0000-0000182D0000}"/>
    <cellStyle name="40% - Accent1 4 3 10 2" xfId="23716" xr:uid="{00000000-0005-0000-0000-0000192D0000}"/>
    <cellStyle name="40% - Accent1 4 3 11" xfId="20257" xr:uid="{00000000-0005-0000-0000-00001A2D0000}"/>
    <cellStyle name="40% - Accent1 4 3 2" xfId="2934" xr:uid="{00000000-0005-0000-0000-00001B2D0000}"/>
    <cellStyle name="40% - Accent1 4 3 2 2" xfId="2935" xr:uid="{00000000-0005-0000-0000-00001C2D0000}"/>
    <cellStyle name="40% - Accent1 4 3 2 2 2" xfId="10968" xr:uid="{00000000-0005-0000-0000-00001D2D0000}"/>
    <cellStyle name="40% - Accent1 4 3 2 2 2 2" xfId="24910" xr:uid="{00000000-0005-0000-0000-00001E2D0000}"/>
    <cellStyle name="40% - Accent1 4 3 2 2 3" xfId="20259" xr:uid="{00000000-0005-0000-0000-00001F2D0000}"/>
    <cellStyle name="40% - Accent1 4 3 2 3" xfId="2936" xr:uid="{00000000-0005-0000-0000-0000202D0000}"/>
    <cellStyle name="40% - Accent1 4 3 2 3 2" xfId="12478" xr:uid="{00000000-0005-0000-0000-0000212D0000}"/>
    <cellStyle name="40% - Accent1 4 3 2 3 2 2" xfId="26190" xr:uid="{00000000-0005-0000-0000-0000222D0000}"/>
    <cellStyle name="40% - Accent1 4 3 2 3 3" xfId="20260" xr:uid="{00000000-0005-0000-0000-0000232D0000}"/>
    <cellStyle name="40% - Accent1 4 3 2 4" xfId="2937" xr:uid="{00000000-0005-0000-0000-0000242D0000}"/>
    <cellStyle name="40% - Accent1 4 3 2 4 2" xfId="15125" xr:uid="{00000000-0005-0000-0000-0000252D0000}"/>
    <cellStyle name="40% - Accent1 4 3 2 4 2 2" xfId="28674" xr:uid="{00000000-0005-0000-0000-0000262D0000}"/>
    <cellStyle name="40% - Accent1 4 3 2 4 3" xfId="20261" xr:uid="{00000000-0005-0000-0000-0000272D0000}"/>
    <cellStyle name="40% - Accent1 4 3 2 5" xfId="2938" xr:uid="{00000000-0005-0000-0000-0000282D0000}"/>
    <cellStyle name="40% - Accent1 4 3 2 5 2" xfId="16758" xr:uid="{00000000-0005-0000-0000-0000292D0000}"/>
    <cellStyle name="40% - Accent1 4 3 2 5 2 2" xfId="30165" xr:uid="{00000000-0005-0000-0000-00002A2D0000}"/>
    <cellStyle name="40% - Accent1 4 3 2 5 3" xfId="20262" xr:uid="{00000000-0005-0000-0000-00002B2D0000}"/>
    <cellStyle name="40% - Accent1 4 3 2 6" xfId="9242" xr:uid="{00000000-0005-0000-0000-00002C2D0000}"/>
    <cellStyle name="40% - Accent1 4 3 2 6 2" xfId="23717" xr:uid="{00000000-0005-0000-0000-00002D2D0000}"/>
    <cellStyle name="40% - Accent1 4 3 2 7" xfId="20258" xr:uid="{00000000-0005-0000-0000-00002E2D0000}"/>
    <cellStyle name="40% - Accent1 4 3 3" xfId="2939" xr:uid="{00000000-0005-0000-0000-00002F2D0000}"/>
    <cellStyle name="40% - Accent1 4 3 3 2" xfId="2940" xr:uid="{00000000-0005-0000-0000-0000302D0000}"/>
    <cellStyle name="40% - Accent1 4 3 3 2 2" xfId="15126" xr:uid="{00000000-0005-0000-0000-0000312D0000}"/>
    <cellStyle name="40% - Accent1 4 3 3 2 2 2" xfId="28675" xr:uid="{00000000-0005-0000-0000-0000322D0000}"/>
    <cellStyle name="40% - Accent1 4 3 3 2 3" xfId="20264" xr:uid="{00000000-0005-0000-0000-0000332D0000}"/>
    <cellStyle name="40% - Accent1 4 3 3 3" xfId="10967" xr:uid="{00000000-0005-0000-0000-0000342D0000}"/>
    <cellStyle name="40% - Accent1 4 3 3 3 2" xfId="24909" xr:uid="{00000000-0005-0000-0000-0000352D0000}"/>
    <cellStyle name="40% - Accent1 4 3 3 4" xfId="20263" xr:uid="{00000000-0005-0000-0000-0000362D0000}"/>
    <cellStyle name="40% - Accent1 4 3 4" xfId="2941" xr:uid="{00000000-0005-0000-0000-0000372D0000}"/>
    <cellStyle name="40% - Accent1 4 3 4 2" xfId="12146" xr:uid="{00000000-0005-0000-0000-0000382D0000}"/>
    <cellStyle name="40% - Accent1 4 3 4 2 2" xfId="25858" xr:uid="{00000000-0005-0000-0000-0000392D0000}"/>
    <cellStyle name="40% - Accent1 4 3 4 3" xfId="20265" xr:uid="{00000000-0005-0000-0000-00003A2D0000}"/>
    <cellStyle name="40% - Accent1 4 3 5" xfId="2942" xr:uid="{00000000-0005-0000-0000-00003B2D0000}"/>
    <cellStyle name="40% - Accent1 4 3 5 2" xfId="12596" xr:uid="{00000000-0005-0000-0000-00003C2D0000}"/>
    <cellStyle name="40% - Accent1 4 3 5 2 2" xfId="26308" xr:uid="{00000000-0005-0000-0000-00003D2D0000}"/>
    <cellStyle name="40% - Accent1 4 3 5 3" xfId="20266" xr:uid="{00000000-0005-0000-0000-00003E2D0000}"/>
    <cellStyle name="40% - Accent1 4 3 6" xfId="2943" xr:uid="{00000000-0005-0000-0000-00003F2D0000}"/>
    <cellStyle name="40% - Accent1 4 3 6 2" xfId="13710" xr:uid="{00000000-0005-0000-0000-0000402D0000}"/>
    <cellStyle name="40% - Accent1 4 3 6 2 2" xfId="27259" xr:uid="{00000000-0005-0000-0000-0000412D0000}"/>
    <cellStyle name="40% - Accent1 4 3 6 3" xfId="20267" xr:uid="{00000000-0005-0000-0000-0000422D0000}"/>
    <cellStyle name="40% - Accent1 4 3 7" xfId="2944" xr:uid="{00000000-0005-0000-0000-0000432D0000}"/>
    <cellStyle name="40% - Accent1 4 3 7 2" xfId="14291" xr:uid="{00000000-0005-0000-0000-0000442D0000}"/>
    <cellStyle name="40% - Accent1 4 3 7 2 2" xfId="27840" xr:uid="{00000000-0005-0000-0000-0000452D0000}"/>
    <cellStyle name="40% - Accent1 4 3 7 3" xfId="20268" xr:uid="{00000000-0005-0000-0000-0000462D0000}"/>
    <cellStyle name="40% - Accent1 4 3 8" xfId="2945" xr:uid="{00000000-0005-0000-0000-0000472D0000}"/>
    <cellStyle name="40% - Accent1 4 3 8 2" xfId="15124" xr:uid="{00000000-0005-0000-0000-0000482D0000}"/>
    <cellStyle name="40% - Accent1 4 3 8 2 2" xfId="28673" xr:uid="{00000000-0005-0000-0000-0000492D0000}"/>
    <cellStyle name="40% - Accent1 4 3 8 3" xfId="20269" xr:uid="{00000000-0005-0000-0000-00004A2D0000}"/>
    <cellStyle name="40% - Accent1 4 3 9" xfId="2946" xr:uid="{00000000-0005-0000-0000-00004B2D0000}"/>
    <cellStyle name="40% - Accent1 4 3 9 2" xfId="16177" xr:uid="{00000000-0005-0000-0000-00004C2D0000}"/>
    <cellStyle name="40% - Accent1 4 3 9 2 2" xfId="29584" xr:uid="{00000000-0005-0000-0000-00004D2D0000}"/>
    <cellStyle name="40% - Accent1 4 3 9 3" xfId="20270" xr:uid="{00000000-0005-0000-0000-00004E2D0000}"/>
    <cellStyle name="40% - Accent1 4 4" xfId="2947" xr:uid="{00000000-0005-0000-0000-00004F2D0000}"/>
    <cellStyle name="40% - Accent1 4 4 2" xfId="2948" xr:uid="{00000000-0005-0000-0000-0000502D0000}"/>
    <cellStyle name="40% - Accent1 4 4 2 2" xfId="10969" xr:uid="{00000000-0005-0000-0000-0000512D0000}"/>
    <cellStyle name="40% - Accent1 4 4 2 2 2" xfId="24911" xr:uid="{00000000-0005-0000-0000-0000522D0000}"/>
    <cellStyle name="40% - Accent1 4 4 2 3" xfId="20272" xr:uid="{00000000-0005-0000-0000-0000532D0000}"/>
    <cellStyle name="40% - Accent1 4 4 3" xfId="2949" xr:uid="{00000000-0005-0000-0000-0000542D0000}"/>
    <cellStyle name="40% - Accent1 4 4 3 2" xfId="12463" xr:uid="{00000000-0005-0000-0000-0000552D0000}"/>
    <cellStyle name="40% - Accent1 4 4 3 2 2" xfId="26175" xr:uid="{00000000-0005-0000-0000-0000562D0000}"/>
    <cellStyle name="40% - Accent1 4 4 3 3" xfId="20273" xr:uid="{00000000-0005-0000-0000-0000572D0000}"/>
    <cellStyle name="40% - Accent1 4 4 4" xfId="2950" xr:uid="{00000000-0005-0000-0000-0000582D0000}"/>
    <cellStyle name="40% - Accent1 4 4 4 2" xfId="15127" xr:uid="{00000000-0005-0000-0000-0000592D0000}"/>
    <cellStyle name="40% - Accent1 4 4 4 2 2" xfId="28676" xr:uid="{00000000-0005-0000-0000-00005A2D0000}"/>
    <cellStyle name="40% - Accent1 4 4 4 3" xfId="20274" xr:uid="{00000000-0005-0000-0000-00005B2D0000}"/>
    <cellStyle name="40% - Accent1 4 4 5" xfId="2951" xr:uid="{00000000-0005-0000-0000-00005C2D0000}"/>
    <cellStyle name="40% - Accent1 4 4 5 2" xfId="16466" xr:uid="{00000000-0005-0000-0000-00005D2D0000}"/>
    <cellStyle name="40% - Accent1 4 4 5 2 2" xfId="29873" xr:uid="{00000000-0005-0000-0000-00005E2D0000}"/>
    <cellStyle name="40% - Accent1 4 4 5 3" xfId="20275" xr:uid="{00000000-0005-0000-0000-00005F2D0000}"/>
    <cellStyle name="40% - Accent1 4 4 6" xfId="9243" xr:uid="{00000000-0005-0000-0000-0000602D0000}"/>
    <cellStyle name="40% - Accent1 4 4 6 2" xfId="23718" xr:uid="{00000000-0005-0000-0000-0000612D0000}"/>
    <cellStyle name="40% - Accent1 4 4 7" xfId="20271" xr:uid="{00000000-0005-0000-0000-0000622D0000}"/>
    <cellStyle name="40% - Accent1 4 5" xfId="2952" xr:uid="{00000000-0005-0000-0000-0000632D0000}"/>
    <cellStyle name="40% - Accent1 4 5 2" xfId="2953" xr:uid="{00000000-0005-0000-0000-0000642D0000}"/>
    <cellStyle name="40% - Accent1 4 5 2 2" xfId="15128" xr:uid="{00000000-0005-0000-0000-0000652D0000}"/>
    <cellStyle name="40% - Accent1 4 5 2 2 2" xfId="28677" xr:uid="{00000000-0005-0000-0000-0000662D0000}"/>
    <cellStyle name="40% - Accent1 4 5 2 3" xfId="20277" xr:uid="{00000000-0005-0000-0000-0000672D0000}"/>
    <cellStyle name="40% - Accent1 4 5 3" xfId="10962" xr:uid="{00000000-0005-0000-0000-0000682D0000}"/>
    <cellStyle name="40% - Accent1 4 5 3 2" xfId="24904" xr:uid="{00000000-0005-0000-0000-0000692D0000}"/>
    <cellStyle name="40% - Accent1 4 5 4" xfId="20276" xr:uid="{00000000-0005-0000-0000-00006A2D0000}"/>
    <cellStyle name="40% - Accent1 4 6" xfId="2954" xr:uid="{00000000-0005-0000-0000-00006B2D0000}"/>
    <cellStyle name="40% - Accent1 4 6 2" xfId="11817" xr:uid="{00000000-0005-0000-0000-00006C2D0000}"/>
    <cellStyle name="40% - Accent1 4 6 2 2" xfId="25532" xr:uid="{00000000-0005-0000-0000-00006D2D0000}"/>
    <cellStyle name="40% - Accent1 4 6 3" xfId="20278" xr:uid="{00000000-0005-0000-0000-00006E2D0000}"/>
    <cellStyle name="40% - Accent1 4 7" xfId="2955" xr:uid="{00000000-0005-0000-0000-00006F2D0000}"/>
    <cellStyle name="40% - Accent1 4 7 2" xfId="12649" xr:uid="{00000000-0005-0000-0000-0000702D0000}"/>
    <cellStyle name="40% - Accent1 4 7 2 2" xfId="26361" xr:uid="{00000000-0005-0000-0000-0000712D0000}"/>
    <cellStyle name="40% - Accent1 4 7 3" xfId="20279" xr:uid="{00000000-0005-0000-0000-0000722D0000}"/>
    <cellStyle name="40% - Accent1 4 8" xfId="2956" xr:uid="{00000000-0005-0000-0000-0000732D0000}"/>
    <cellStyle name="40% - Accent1 4 8 2" xfId="13418" xr:uid="{00000000-0005-0000-0000-0000742D0000}"/>
    <cellStyle name="40% - Accent1 4 8 2 2" xfId="26967" xr:uid="{00000000-0005-0000-0000-0000752D0000}"/>
    <cellStyle name="40% - Accent1 4 8 3" xfId="20280" xr:uid="{00000000-0005-0000-0000-0000762D0000}"/>
    <cellStyle name="40% - Accent1 4 9" xfId="2957" xr:uid="{00000000-0005-0000-0000-0000772D0000}"/>
    <cellStyle name="40% - Accent1 4 9 2" xfId="13999" xr:uid="{00000000-0005-0000-0000-0000782D0000}"/>
    <cellStyle name="40% - Accent1 4 9 2 2" xfId="27548" xr:uid="{00000000-0005-0000-0000-0000792D0000}"/>
    <cellStyle name="40% - Accent1 4 9 3" xfId="20281" xr:uid="{00000000-0005-0000-0000-00007A2D0000}"/>
    <cellStyle name="40% - Accent1 5" xfId="2958" xr:uid="{00000000-0005-0000-0000-00007B2D0000}"/>
    <cellStyle name="40% - Accent1 5 10" xfId="2959" xr:uid="{00000000-0005-0000-0000-00007C2D0000}"/>
    <cellStyle name="40% - Accent1 5 10 2" xfId="15129" xr:uid="{00000000-0005-0000-0000-00007D2D0000}"/>
    <cellStyle name="40% - Accent1 5 10 2 2" xfId="28678" xr:uid="{00000000-0005-0000-0000-00007E2D0000}"/>
    <cellStyle name="40% - Accent1 5 10 3" xfId="20283" xr:uid="{00000000-0005-0000-0000-00007F2D0000}"/>
    <cellStyle name="40% - Accent1 5 11" xfId="2960" xr:uid="{00000000-0005-0000-0000-0000802D0000}"/>
    <cellStyle name="40% - Accent1 5 11 2" xfId="15868" xr:uid="{00000000-0005-0000-0000-0000812D0000}"/>
    <cellStyle name="40% - Accent1 5 11 2 2" xfId="29275" xr:uid="{00000000-0005-0000-0000-0000822D0000}"/>
    <cellStyle name="40% - Accent1 5 11 3" xfId="20284" xr:uid="{00000000-0005-0000-0000-0000832D0000}"/>
    <cellStyle name="40% - Accent1 5 12" xfId="9244" xr:uid="{00000000-0005-0000-0000-0000842D0000}"/>
    <cellStyle name="40% - Accent1 5 12 2" xfId="23719" xr:uid="{00000000-0005-0000-0000-0000852D0000}"/>
    <cellStyle name="40% - Accent1 5 13" xfId="20282" xr:uid="{00000000-0005-0000-0000-0000862D0000}"/>
    <cellStyle name="40% - Accent1 5 2" xfId="2961" xr:uid="{00000000-0005-0000-0000-0000872D0000}"/>
    <cellStyle name="40% - Accent1 5 2 10" xfId="2962" xr:uid="{00000000-0005-0000-0000-0000882D0000}"/>
    <cellStyle name="40% - Accent1 5 2 10 2" xfId="16011" xr:uid="{00000000-0005-0000-0000-0000892D0000}"/>
    <cellStyle name="40% - Accent1 5 2 10 2 2" xfId="29418" xr:uid="{00000000-0005-0000-0000-00008A2D0000}"/>
    <cellStyle name="40% - Accent1 5 2 10 3" xfId="20286" xr:uid="{00000000-0005-0000-0000-00008B2D0000}"/>
    <cellStyle name="40% - Accent1 5 2 11" xfId="9245" xr:uid="{00000000-0005-0000-0000-00008C2D0000}"/>
    <cellStyle name="40% - Accent1 5 2 11 2" xfId="23720" xr:uid="{00000000-0005-0000-0000-00008D2D0000}"/>
    <cellStyle name="40% - Accent1 5 2 12" xfId="20285" xr:uid="{00000000-0005-0000-0000-00008E2D0000}"/>
    <cellStyle name="40% - Accent1 5 2 2" xfId="2963" xr:uid="{00000000-0005-0000-0000-00008F2D0000}"/>
    <cellStyle name="40% - Accent1 5 2 2 10" xfId="9246" xr:uid="{00000000-0005-0000-0000-0000902D0000}"/>
    <cellStyle name="40% - Accent1 5 2 2 10 2" xfId="23721" xr:uid="{00000000-0005-0000-0000-0000912D0000}"/>
    <cellStyle name="40% - Accent1 5 2 2 11" xfId="20287" xr:uid="{00000000-0005-0000-0000-0000922D0000}"/>
    <cellStyle name="40% - Accent1 5 2 2 2" xfId="2964" xr:uid="{00000000-0005-0000-0000-0000932D0000}"/>
    <cellStyle name="40% - Accent1 5 2 2 2 2" xfId="2965" xr:uid="{00000000-0005-0000-0000-0000942D0000}"/>
    <cellStyle name="40% - Accent1 5 2 2 2 2 2" xfId="10973" xr:uid="{00000000-0005-0000-0000-0000952D0000}"/>
    <cellStyle name="40% - Accent1 5 2 2 2 2 2 2" xfId="24915" xr:uid="{00000000-0005-0000-0000-0000962D0000}"/>
    <cellStyle name="40% - Accent1 5 2 2 2 2 3" xfId="20289" xr:uid="{00000000-0005-0000-0000-0000972D0000}"/>
    <cellStyle name="40% - Accent1 5 2 2 2 3" xfId="2966" xr:uid="{00000000-0005-0000-0000-0000982D0000}"/>
    <cellStyle name="40% - Accent1 5 2 2 2 3 2" xfId="12517" xr:uid="{00000000-0005-0000-0000-0000992D0000}"/>
    <cellStyle name="40% - Accent1 5 2 2 2 3 2 2" xfId="26229" xr:uid="{00000000-0005-0000-0000-00009A2D0000}"/>
    <cellStyle name="40% - Accent1 5 2 2 2 3 3" xfId="20290" xr:uid="{00000000-0005-0000-0000-00009B2D0000}"/>
    <cellStyle name="40% - Accent1 5 2 2 2 4" xfId="2967" xr:uid="{00000000-0005-0000-0000-00009C2D0000}"/>
    <cellStyle name="40% - Accent1 5 2 2 2 4 2" xfId="15132" xr:uid="{00000000-0005-0000-0000-00009D2D0000}"/>
    <cellStyle name="40% - Accent1 5 2 2 2 4 2 2" xfId="28681" xr:uid="{00000000-0005-0000-0000-00009E2D0000}"/>
    <cellStyle name="40% - Accent1 5 2 2 2 4 3" xfId="20291" xr:uid="{00000000-0005-0000-0000-00009F2D0000}"/>
    <cellStyle name="40% - Accent1 5 2 2 2 5" xfId="2968" xr:uid="{00000000-0005-0000-0000-0000A02D0000}"/>
    <cellStyle name="40% - Accent1 5 2 2 2 5 2" xfId="16881" xr:uid="{00000000-0005-0000-0000-0000A12D0000}"/>
    <cellStyle name="40% - Accent1 5 2 2 2 5 2 2" xfId="30288" xr:uid="{00000000-0005-0000-0000-0000A22D0000}"/>
    <cellStyle name="40% - Accent1 5 2 2 2 5 3" xfId="20292" xr:uid="{00000000-0005-0000-0000-0000A32D0000}"/>
    <cellStyle name="40% - Accent1 5 2 2 2 6" xfId="9247" xr:uid="{00000000-0005-0000-0000-0000A42D0000}"/>
    <cellStyle name="40% - Accent1 5 2 2 2 6 2" xfId="23722" xr:uid="{00000000-0005-0000-0000-0000A52D0000}"/>
    <cellStyle name="40% - Accent1 5 2 2 2 7" xfId="20288" xr:uid="{00000000-0005-0000-0000-0000A62D0000}"/>
    <cellStyle name="40% - Accent1 5 2 2 3" xfId="2969" xr:uid="{00000000-0005-0000-0000-0000A72D0000}"/>
    <cellStyle name="40% - Accent1 5 2 2 3 2" xfId="2970" xr:uid="{00000000-0005-0000-0000-0000A82D0000}"/>
    <cellStyle name="40% - Accent1 5 2 2 3 2 2" xfId="15133" xr:uid="{00000000-0005-0000-0000-0000A92D0000}"/>
    <cellStyle name="40% - Accent1 5 2 2 3 2 2 2" xfId="28682" xr:uid="{00000000-0005-0000-0000-0000AA2D0000}"/>
    <cellStyle name="40% - Accent1 5 2 2 3 2 3" xfId="20294" xr:uid="{00000000-0005-0000-0000-0000AB2D0000}"/>
    <cellStyle name="40% - Accent1 5 2 2 3 3" xfId="10972" xr:uid="{00000000-0005-0000-0000-0000AC2D0000}"/>
    <cellStyle name="40% - Accent1 5 2 2 3 3 2" xfId="24914" xr:uid="{00000000-0005-0000-0000-0000AD2D0000}"/>
    <cellStyle name="40% - Accent1 5 2 2 3 4" xfId="20293" xr:uid="{00000000-0005-0000-0000-0000AE2D0000}"/>
    <cellStyle name="40% - Accent1 5 2 2 4" xfId="2971" xr:uid="{00000000-0005-0000-0000-0000AF2D0000}"/>
    <cellStyle name="40% - Accent1 5 2 2 4 2" xfId="12269" xr:uid="{00000000-0005-0000-0000-0000B02D0000}"/>
    <cellStyle name="40% - Accent1 5 2 2 4 2 2" xfId="25981" xr:uid="{00000000-0005-0000-0000-0000B12D0000}"/>
    <cellStyle name="40% - Accent1 5 2 2 4 3" xfId="20295" xr:uid="{00000000-0005-0000-0000-0000B22D0000}"/>
    <cellStyle name="40% - Accent1 5 2 2 5" xfId="2972" xr:uid="{00000000-0005-0000-0000-0000B32D0000}"/>
    <cellStyle name="40% - Accent1 5 2 2 5 2" xfId="12469" xr:uid="{00000000-0005-0000-0000-0000B42D0000}"/>
    <cellStyle name="40% - Accent1 5 2 2 5 2 2" xfId="26181" xr:uid="{00000000-0005-0000-0000-0000B52D0000}"/>
    <cellStyle name="40% - Accent1 5 2 2 5 3" xfId="20296" xr:uid="{00000000-0005-0000-0000-0000B62D0000}"/>
    <cellStyle name="40% - Accent1 5 2 2 6" xfId="2973" xr:uid="{00000000-0005-0000-0000-0000B72D0000}"/>
    <cellStyle name="40% - Accent1 5 2 2 6 2" xfId="13833" xr:uid="{00000000-0005-0000-0000-0000B82D0000}"/>
    <cellStyle name="40% - Accent1 5 2 2 6 2 2" xfId="27382" xr:uid="{00000000-0005-0000-0000-0000B92D0000}"/>
    <cellStyle name="40% - Accent1 5 2 2 6 3" xfId="20297" xr:uid="{00000000-0005-0000-0000-0000BA2D0000}"/>
    <cellStyle name="40% - Accent1 5 2 2 7" xfId="2974" xr:uid="{00000000-0005-0000-0000-0000BB2D0000}"/>
    <cellStyle name="40% - Accent1 5 2 2 7 2" xfId="14414" xr:uid="{00000000-0005-0000-0000-0000BC2D0000}"/>
    <cellStyle name="40% - Accent1 5 2 2 7 2 2" xfId="27963" xr:uid="{00000000-0005-0000-0000-0000BD2D0000}"/>
    <cellStyle name="40% - Accent1 5 2 2 7 3" xfId="20298" xr:uid="{00000000-0005-0000-0000-0000BE2D0000}"/>
    <cellStyle name="40% - Accent1 5 2 2 8" xfId="2975" xr:uid="{00000000-0005-0000-0000-0000BF2D0000}"/>
    <cellStyle name="40% - Accent1 5 2 2 8 2" xfId="15131" xr:uid="{00000000-0005-0000-0000-0000C02D0000}"/>
    <cellStyle name="40% - Accent1 5 2 2 8 2 2" xfId="28680" xr:uid="{00000000-0005-0000-0000-0000C12D0000}"/>
    <cellStyle name="40% - Accent1 5 2 2 8 3" xfId="20299" xr:uid="{00000000-0005-0000-0000-0000C22D0000}"/>
    <cellStyle name="40% - Accent1 5 2 2 9" xfId="2976" xr:uid="{00000000-0005-0000-0000-0000C32D0000}"/>
    <cellStyle name="40% - Accent1 5 2 2 9 2" xfId="16300" xr:uid="{00000000-0005-0000-0000-0000C42D0000}"/>
    <cellStyle name="40% - Accent1 5 2 2 9 2 2" xfId="29707" xr:uid="{00000000-0005-0000-0000-0000C52D0000}"/>
    <cellStyle name="40% - Accent1 5 2 2 9 3" xfId="20300" xr:uid="{00000000-0005-0000-0000-0000C62D0000}"/>
    <cellStyle name="40% - Accent1 5 2 3" xfId="2977" xr:uid="{00000000-0005-0000-0000-0000C72D0000}"/>
    <cellStyle name="40% - Accent1 5 2 3 2" xfId="2978" xr:uid="{00000000-0005-0000-0000-0000C82D0000}"/>
    <cellStyle name="40% - Accent1 5 2 3 2 2" xfId="10974" xr:uid="{00000000-0005-0000-0000-0000C92D0000}"/>
    <cellStyle name="40% - Accent1 5 2 3 2 2 2" xfId="24916" xr:uid="{00000000-0005-0000-0000-0000CA2D0000}"/>
    <cellStyle name="40% - Accent1 5 2 3 2 3" xfId="20302" xr:uid="{00000000-0005-0000-0000-0000CB2D0000}"/>
    <cellStyle name="40% - Accent1 5 2 3 3" xfId="2979" xr:uid="{00000000-0005-0000-0000-0000CC2D0000}"/>
    <cellStyle name="40% - Accent1 5 2 3 3 2" xfId="11771" xr:uid="{00000000-0005-0000-0000-0000CD2D0000}"/>
    <cellStyle name="40% - Accent1 5 2 3 3 2 2" xfId="25486" xr:uid="{00000000-0005-0000-0000-0000CE2D0000}"/>
    <cellStyle name="40% - Accent1 5 2 3 3 3" xfId="20303" xr:uid="{00000000-0005-0000-0000-0000CF2D0000}"/>
    <cellStyle name="40% - Accent1 5 2 3 4" xfId="2980" xr:uid="{00000000-0005-0000-0000-0000D02D0000}"/>
    <cellStyle name="40% - Accent1 5 2 3 4 2" xfId="15134" xr:uid="{00000000-0005-0000-0000-0000D12D0000}"/>
    <cellStyle name="40% - Accent1 5 2 3 4 2 2" xfId="28683" xr:uid="{00000000-0005-0000-0000-0000D22D0000}"/>
    <cellStyle name="40% - Accent1 5 2 3 4 3" xfId="20304" xr:uid="{00000000-0005-0000-0000-0000D32D0000}"/>
    <cellStyle name="40% - Accent1 5 2 3 5" xfId="2981" xr:uid="{00000000-0005-0000-0000-0000D42D0000}"/>
    <cellStyle name="40% - Accent1 5 2 3 5 2" xfId="16592" xr:uid="{00000000-0005-0000-0000-0000D52D0000}"/>
    <cellStyle name="40% - Accent1 5 2 3 5 2 2" xfId="29999" xr:uid="{00000000-0005-0000-0000-0000D62D0000}"/>
    <cellStyle name="40% - Accent1 5 2 3 5 3" xfId="20305" xr:uid="{00000000-0005-0000-0000-0000D72D0000}"/>
    <cellStyle name="40% - Accent1 5 2 3 6" xfId="9248" xr:uid="{00000000-0005-0000-0000-0000D82D0000}"/>
    <cellStyle name="40% - Accent1 5 2 3 6 2" xfId="23723" xr:uid="{00000000-0005-0000-0000-0000D92D0000}"/>
    <cellStyle name="40% - Accent1 5 2 3 7" xfId="20301" xr:uid="{00000000-0005-0000-0000-0000DA2D0000}"/>
    <cellStyle name="40% - Accent1 5 2 4" xfId="2982" xr:uid="{00000000-0005-0000-0000-0000DB2D0000}"/>
    <cellStyle name="40% - Accent1 5 2 4 2" xfId="2983" xr:uid="{00000000-0005-0000-0000-0000DC2D0000}"/>
    <cellStyle name="40% - Accent1 5 2 4 2 2" xfId="15135" xr:uid="{00000000-0005-0000-0000-0000DD2D0000}"/>
    <cellStyle name="40% - Accent1 5 2 4 2 2 2" xfId="28684" xr:uid="{00000000-0005-0000-0000-0000DE2D0000}"/>
    <cellStyle name="40% - Accent1 5 2 4 2 3" xfId="20307" xr:uid="{00000000-0005-0000-0000-0000DF2D0000}"/>
    <cellStyle name="40% - Accent1 5 2 4 3" xfId="10971" xr:uid="{00000000-0005-0000-0000-0000E02D0000}"/>
    <cellStyle name="40% - Accent1 5 2 4 3 2" xfId="24913" xr:uid="{00000000-0005-0000-0000-0000E12D0000}"/>
    <cellStyle name="40% - Accent1 5 2 4 4" xfId="20306" xr:uid="{00000000-0005-0000-0000-0000E22D0000}"/>
    <cellStyle name="40% - Accent1 5 2 5" xfId="2984" xr:uid="{00000000-0005-0000-0000-0000E32D0000}"/>
    <cellStyle name="40% - Accent1 5 2 5 2" xfId="11969" xr:uid="{00000000-0005-0000-0000-0000E42D0000}"/>
    <cellStyle name="40% - Accent1 5 2 5 2 2" xfId="25684" xr:uid="{00000000-0005-0000-0000-0000E52D0000}"/>
    <cellStyle name="40% - Accent1 5 2 5 3" xfId="20308" xr:uid="{00000000-0005-0000-0000-0000E62D0000}"/>
    <cellStyle name="40% - Accent1 5 2 6" xfId="2985" xr:uid="{00000000-0005-0000-0000-0000E72D0000}"/>
    <cellStyle name="40% - Accent1 5 2 6 2" xfId="12686" xr:uid="{00000000-0005-0000-0000-0000E82D0000}"/>
    <cellStyle name="40% - Accent1 5 2 6 2 2" xfId="26398" xr:uid="{00000000-0005-0000-0000-0000E92D0000}"/>
    <cellStyle name="40% - Accent1 5 2 6 3" xfId="20309" xr:uid="{00000000-0005-0000-0000-0000EA2D0000}"/>
    <cellStyle name="40% - Accent1 5 2 7" xfId="2986" xr:uid="{00000000-0005-0000-0000-0000EB2D0000}"/>
    <cellStyle name="40% - Accent1 5 2 7 2" xfId="13544" xr:uid="{00000000-0005-0000-0000-0000EC2D0000}"/>
    <cellStyle name="40% - Accent1 5 2 7 2 2" xfId="27093" xr:uid="{00000000-0005-0000-0000-0000ED2D0000}"/>
    <cellStyle name="40% - Accent1 5 2 7 3" xfId="20310" xr:uid="{00000000-0005-0000-0000-0000EE2D0000}"/>
    <cellStyle name="40% - Accent1 5 2 8" xfId="2987" xr:uid="{00000000-0005-0000-0000-0000EF2D0000}"/>
    <cellStyle name="40% - Accent1 5 2 8 2" xfId="14125" xr:uid="{00000000-0005-0000-0000-0000F02D0000}"/>
    <cellStyle name="40% - Accent1 5 2 8 2 2" xfId="27674" xr:uid="{00000000-0005-0000-0000-0000F12D0000}"/>
    <cellStyle name="40% - Accent1 5 2 8 3" xfId="20311" xr:uid="{00000000-0005-0000-0000-0000F22D0000}"/>
    <cellStyle name="40% - Accent1 5 2 9" xfId="2988" xr:uid="{00000000-0005-0000-0000-0000F32D0000}"/>
    <cellStyle name="40% - Accent1 5 2 9 2" xfId="15130" xr:uid="{00000000-0005-0000-0000-0000F42D0000}"/>
    <cellStyle name="40% - Accent1 5 2 9 2 2" xfId="28679" xr:uid="{00000000-0005-0000-0000-0000F52D0000}"/>
    <cellStyle name="40% - Accent1 5 2 9 3" xfId="20312" xr:uid="{00000000-0005-0000-0000-0000F62D0000}"/>
    <cellStyle name="40% - Accent1 5 3" xfId="2989" xr:uid="{00000000-0005-0000-0000-0000F72D0000}"/>
    <cellStyle name="40% - Accent1 5 3 10" xfId="9249" xr:uid="{00000000-0005-0000-0000-0000F82D0000}"/>
    <cellStyle name="40% - Accent1 5 3 10 2" xfId="23724" xr:uid="{00000000-0005-0000-0000-0000F92D0000}"/>
    <cellStyle name="40% - Accent1 5 3 11" xfId="20313" xr:uid="{00000000-0005-0000-0000-0000FA2D0000}"/>
    <cellStyle name="40% - Accent1 5 3 2" xfId="2990" xr:uid="{00000000-0005-0000-0000-0000FB2D0000}"/>
    <cellStyle name="40% - Accent1 5 3 2 2" xfId="2991" xr:uid="{00000000-0005-0000-0000-0000FC2D0000}"/>
    <cellStyle name="40% - Accent1 5 3 2 2 2" xfId="10976" xr:uid="{00000000-0005-0000-0000-0000FD2D0000}"/>
    <cellStyle name="40% - Accent1 5 3 2 2 2 2" xfId="24918" xr:uid="{00000000-0005-0000-0000-0000FE2D0000}"/>
    <cellStyle name="40% - Accent1 5 3 2 2 3" xfId="20315" xr:uid="{00000000-0005-0000-0000-0000FF2D0000}"/>
    <cellStyle name="40% - Accent1 5 3 2 3" xfId="2992" xr:uid="{00000000-0005-0000-0000-0000002E0000}"/>
    <cellStyle name="40% - Accent1 5 3 2 3 2" xfId="12727" xr:uid="{00000000-0005-0000-0000-0000012E0000}"/>
    <cellStyle name="40% - Accent1 5 3 2 3 2 2" xfId="26439" xr:uid="{00000000-0005-0000-0000-0000022E0000}"/>
    <cellStyle name="40% - Accent1 5 3 2 3 3" xfId="20316" xr:uid="{00000000-0005-0000-0000-0000032E0000}"/>
    <cellStyle name="40% - Accent1 5 3 2 4" xfId="2993" xr:uid="{00000000-0005-0000-0000-0000042E0000}"/>
    <cellStyle name="40% - Accent1 5 3 2 4 2" xfId="15137" xr:uid="{00000000-0005-0000-0000-0000052E0000}"/>
    <cellStyle name="40% - Accent1 5 3 2 4 2 2" xfId="28686" xr:uid="{00000000-0005-0000-0000-0000062E0000}"/>
    <cellStyle name="40% - Accent1 5 3 2 4 3" xfId="20317" xr:uid="{00000000-0005-0000-0000-0000072E0000}"/>
    <cellStyle name="40% - Accent1 5 3 2 5" xfId="2994" xr:uid="{00000000-0005-0000-0000-0000082E0000}"/>
    <cellStyle name="40% - Accent1 5 3 2 5 2" xfId="16741" xr:uid="{00000000-0005-0000-0000-0000092E0000}"/>
    <cellStyle name="40% - Accent1 5 3 2 5 2 2" xfId="30148" xr:uid="{00000000-0005-0000-0000-00000A2E0000}"/>
    <cellStyle name="40% - Accent1 5 3 2 5 3" xfId="20318" xr:uid="{00000000-0005-0000-0000-00000B2E0000}"/>
    <cellStyle name="40% - Accent1 5 3 2 6" xfId="9250" xr:uid="{00000000-0005-0000-0000-00000C2E0000}"/>
    <cellStyle name="40% - Accent1 5 3 2 6 2" xfId="23725" xr:uid="{00000000-0005-0000-0000-00000D2E0000}"/>
    <cellStyle name="40% - Accent1 5 3 2 7" xfId="20314" xr:uid="{00000000-0005-0000-0000-00000E2E0000}"/>
    <cellStyle name="40% - Accent1 5 3 3" xfId="2995" xr:uid="{00000000-0005-0000-0000-00000F2E0000}"/>
    <cellStyle name="40% - Accent1 5 3 3 2" xfId="2996" xr:uid="{00000000-0005-0000-0000-0000102E0000}"/>
    <cellStyle name="40% - Accent1 5 3 3 2 2" xfId="15138" xr:uid="{00000000-0005-0000-0000-0000112E0000}"/>
    <cellStyle name="40% - Accent1 5 3 3 2 2 2" xfId="28687" xr:uid="{00000000-0005-0000-0000-0000122E0000}"/>
    <cellStyle name="40% - Accent1 5 3 3 2 3" xfId="20320" xr:uid="{00000000-0005-0000-0000-0000132E0000}"/>
    <cellStyle name="40% - Accent1 5 3 3 3" xfId="10975" xr:uid="{00000000-0005-0000-0000-0000142E0000}"/>
    <cellStyle name="40% - Accent1 5 3 3 3 2" xfId="24917" xr:uid="{00000000-0005-0000-0000-0000152E0000}"/>
    <cellStyle name="40% - Accent1 5 3 3 4" xfId="20319" xr:uid="{00000000-0005-0000-0000-0000162E0000}"/>
    <cellStyle name="40% - Accent1 5 3 4" xfId="2997" xr:uid="{00000000-0005-0000-0000-0000172E0000}"/>
    <cellStyle name="40% - Accent1 5 3 4 2" xfId="12129" xr:uid="{00000000-0005-0000-0000-0000182E0000}"/>
    <cellStyle name="40% - Accent1 5 3 4 2 2" xfId="25841" xr:uid="{00000000-0005-0000-0000-0000192E0000}"/>
    <cellStyle name="40% - Accent1 5 3 4 3" xfId="20321" xr:uid="{00000000-0005-0000-0000-00001A2E0000}"/>
    <cellStyle name="40% - Accent1 5 3 5" xfId="2998" xr:uid="{00000000-0005-0000-0000-00001B2E0000}"/>
    <cellStyle name="40% - Accent1 5 3 5 2" xfId="12732" xr:uid="{00000000-0005-0000-0000-00001C2E0000}"/>
    <cellStyle name="40% - Accent1 5 3 5 2 2" xfId="26444" xr:uid="{00000000-0005-0000-0000-00001D2E0000}"/>
    <cellStyle name="40% - Accent1 5 3 5 3" xfId="20322" xr:uid="{00000000-0005-0000-0000-00001E2E0000}"/>
    <cellStyle name="40% - Accent1 5 3 6" xfId="2999" xr:uid="{00000000-0005-0000-0000-00001F2E0000}"/>
    <cellStyle name="40% - Accent1 5 3 6 2" xfId="13693" xr:uid="{00000000-0005-0000-0000-0000202E0000}"/>
    <cellStyle name="40% - Accent1 5 3 6 2 2" xfId="27242" xr:uid="{00000000-0005-0000-0000-0000212E0000}"/>
    <cellStyle name="40% - Accent1 5 3 6 3" xfId="20323" xr:uid="{00000000-0005-0000-0000-0000222E0000}"/>
    <cellStyle name="40% - Accent1 5 3 7" xfId="3000" xr:uid="{00000000-0005-0000-0000-0000232E0000}"/>
    <cellStyle name="40% - Accent1 5 3 7 2" xfId="14274" xr:uid="{00000000-0005-0000-0000-0000242E0000}"/>
    <cellStyle name="40% - Accent1 5 3 7 2 2" xfId="27823" xr:uid="{00000000-0005-0000-0000-0000252E0000}"/>
    <cellStyle name="40% - Accent1 5 3 7 3" xfId="20324" xr:uid="{00000000-0005-0000-0000-0000262E0000}"/>
    <cellStyle name="40% - Accent1 5 3 8" xfId="3001" xr:uid="{00000000-0005-0000-0000-0000272E0000}"/>
    <cellStyle name="40% - Accent1 5 3 8 2" xfId="15136" xr:uid="{00000000-0005-0000-0000-0000282E0000}"/>
    <cellStyle name="40% - Accent1 5 3 8 2 2" xfId="28685" xr:uid="{00000000-0005-0000-0000-0000292E0000}"/>
    <cellStyle name="40% - Accent1 5 3 8 3" xfId="20325" xr:uid="{00000000-0005-0000-0000-00002A2E0000}"/>
    <cellStyle name="40% - Accent1 5 3 9" xfId="3002" xr:uid="{00000000-0005-0000-0000-00002B2E0000}"/>
    <cellStyle name="40% - Accent1 5 3 9 2" xfId="16160" xr:uid="{00000000-0005-0000-0000-00002C2E0000}"/>
    <cellStyle name="40% - Accent1 5 3 9 2 2" xfId="29567" xr:uid="{00000000-0005-0000-0000-00002D2E0000}"/>
    <cellStyle name="40% - Accent1 5 3 9 3" xfId="20326" xr:uid="{00000000-0005-0000-0000-00002E2E0000}"/>
    <cellStyle name="40% - Accent1 5 4" xfId="3003" xr:uid="{00000000-0005-0000-0000-00002F2E0000}"/>
    <cellStyle name="40% - Accent1 5 4 2" xfId="3004" xr:uid="{00000000-0005-0000-0000-0000302E0000}"/>
    <cellStyle name="40% - Accent1 5 4 2 2" xfId="10977" xr:uid="{00000000-0005-0000-0000-0000312E0000}"/>
    <cellStyle name="40% - Accent1 5 4 2 2 2" xfId="24919" xr:uid="{00000000-0005-0000-0000-0000322E0000}"/>
    <cellStyle name="40% - Accent1 5 4 2 3" xfId="20328" xr:uid="{00000000-0005-0000-0000-0000332E0000}"/>
    <cellStyle name="40% - Accent1 5 4 3" xfId="3005" xr:uid="{00000000-0005-0000-0000-0000342E0000}"/>
    <cellStyle name="40% - Accent1 5 4 3 2" xfId="12524" xr:uid="{00000000-0005-0000-0000-0000352E0000}"/>
    <cellStyle name="40% - Accent1 5 4 3 2 2" xfId="26236" xr:uid="{00000000-0005-0000-0000-0000362E0000}"/>
    <cellStyle name="40% - Accent1 5 4 3 3" xfId="20329" xr:uid="{00000000-0005-0000-0000-0000372E0000}"/>
    <cellStyle name="40% - Accent1 5 4 4" xfId="3006" xr:uid="{00000000-0005-0000-0000-0000382E0000}"/>
    <cellStyle name="40% - Accent1 5 4 4 2" xfId="15139" xr:uid="{00000000-0005-0000-0000-0000392E0000}"/>
    <cellStyle name="40% - Accent1 5 4 4 2 2" xfId="28688" xr:uid="{00000000-0005-0000-0000-00003A2E0000}"/>
    <cellStyle name="40% - Accent1 5 4 4 3" xfId="20330" xr:uid="{00000000-0005-0000-0000-00003B2E0000}"/>
    <cellStyle name="40% - Accent1 5 4 5" xfId="3007" xr:uid="{00000000-0005-0000-0000-00003C2E0000}"/>
    <cellStyle name="40% - Accent1 5 4 5 2" xfId="16449" xr:uid="{00000000-0005-0000-0000-00003D2E0000}"/>
    <cellStyle name="40% - Accent1 5 4 5 2 2" xfId="29856" xr:uid="{00000000-0005-0000-0000-00003E2E0000}"/>
    <cellStyle name="40% - Accent1 5 4 5 3" xfId="20331" xr:uid="{00000000-0005-0000-0000-00003F2E0000}"/>
    <cellStyle name="40% - Accent1 5 4 6" xfId="9251" xr:uid="{00000000-0005-0000-0000-0000402E0000}"/>
    <cellStyle name="40% - Accent1 5 4 6 2" xfId="23726" xr:uid="{00000000-0005-0000-0000-0000412E0000}"/>
    <cellStyle name="40% - Accent1 5 4 7" xfId="20327" xr:uid="{00000000-0005-0000-0000-0000422E0000}"/>
    <cellStyle name="40% - Accent1 5 5" xfId="3008" xr:uid="{00000000-0005-0000-0000-0000432E0000}"/>
    <cellStyle name="40% - Accent1 5 5 2" xfId="3009" xr:uid="{00000000-0005-0000-0000-0000442E0000}"/>
    <cellStyle name="40% - Accent1 5 5 2 2" xfId="15140" xr:uid="{00000000-0005-0000-0000-0000452E0000}"/>
    <cellStyle name="40% - Accent1 5 5 2 2 2" xfId="28689" xr:uid="{00000000-0005-0000-0000-0000462E0000}"/>
    <cellStyle name="40% - Accent1 5 5 2 3" xfId="20333" xr:uid="{00000000-0005-0000-0000-0000472E0000}"/>
    <cellStyle name="40% - Accent1 5 5 3" xfId="10970" xr:uid="{00000000-0005-0000-0000-0000482E0000}"/>
    <cellStyle name="40% - Accent1 5 5 3 2" xfId="24912" xr:uid="{00000000-0005-0000-0000-0000492E0000}"/>
    <cellStyle name="40% - Accent1 5 5 4" xfId="20332" xr:uid="{00000000-0005-0000-0000-00004A2E0000}"/>
    <cellStyle name="40% - Accent1 5 6" xfId="3010" xr:uid="{00000000-0005-0000-0000-00004B2E0000}"/>
    <cellStyle name="40% - Accent1 5 6 2" xfId="11800" xr:uid="{00000000-0005-0000-0000-00004C2E0000}"/>
    <cellStyle name="40% - Accent1 5 6 2 2" xfId="25515" xr:uid="{00000000-0005-0000-0000-00004D2E0000}"/>
    <cellStyle name="40% - Accent1 5 6 3" xfId="20334" xr:uid="{00000000-0005-0000-0000-00004E2E0000}"/>
    <cellStyle name="40% - Accent1 5 7" xfId="3011" xr:uid="{00000000-0005-0000-0000-00004F2E0000}"/>
    <cellStyle name="40% - Accent1 5 7 2" xfId="12418" xr:uid="{00000000-0005-0000-0000-0000502E0000}"/>
    <cellStyle name="40% - Accent1 5 7 2 2" xfId="26130" xr:uid="{00000000-0005-0000-0000-0000512E0000}"/>
    <cellStyle name="40% - Accent1 5 7 3" xfId="20335" xr:uid="{00000000-0005-0000-0000-0000522E0000}"/>
    <cellStyle name="40% - Accent1 5 8" xfId="3012" xr:uid="{00000000-0005-0000-0000-0000532E0000}"/>
    <cellStyle name="40% - Accent1 5 8 2" xfId="13401" xr:uid="{00000000-0005-0000-0000-0000542E0000}"/>
    <cellStyle name="40% - Accent1 5 8 2 2" xfId="26950" xr:uid="{00000000-0005-0000-0000-0000552E0000}"/>
    <cellStyle name="40% - Accent1 5 8 3" xfId="20336" xr:uid="{00000000-0005-0000-0000-0000562E0000}"/>
    <cellStyle name="40% - Accent1 5 9" xfId="3013" xr:uid="{00000000-0005-0000-0000-0000572E0000}"/>
    <cellStyle name="40% - Accent1 5 9 2" xfId="13982" xr:uid="{00000000-0005-0000-0000-0000582E0000}"/>
    <cellStyle name="40% - Accent1 5 9 2 2" xfId="27531" xr:uid="{00000000-0005-0000-0000-0000592E0000}"/>
    <cellStyle name="40% - Accent1 5 9 3" xfId="20337" xr:uid="{00000000-0005-0000-0000-00005A2E0000}"/>
    <cellStyle name="40% - Accent1 6" xfId="3014" xr:uid="{00000000-0005-0000-0000-00005B2E0000}"/>
    <cellStyle name="40% - Accent1 6 10" xfId="3015" xr:uid="{00000000-0005-0000-0000-00005C2E0000}"/>
    <cellStyle name="40% - Accent1 6 10 2" xfId="15141" xr:uid="{00000000-0005-0000-0000-00005D2E0000}"/>
    <cellStyle name="40% - Accent1 6 10 2 2" xfId="28690" xr:uid="{00000000-0005-0000-0000-00005E2E0000}"/>
    <cellStyle name="40% - Accent1 6 10 3" xfId="20339" xr:uid="{00000000-0005-0000-0000-00005F2E0000}"/>
    <cellStyle name="40% - Accent1 6 11" xfId="3016" xr:uid="{00000000-0005-0000-0000-0000602E0000}"/>
    <cellStyle name="40% - Accent1 6 11 2" xfId="15974" xr:uid="{00000000-0005-0000-0000-0000612E0000}"/>
    <cellStyle name="40% - Accent1 6 11 2 2" xfId="29381" xr:uid="{00000000-0005-0000-0000-0000622E0000}"/>
    <cellStyle name="40% - Accent1 6 11 3" xfId="20340" xr:uid="{00000000-0005-0000-0000-0000632E0000}"/>
    <cellStyle name="40% - Accent1 6 12" xfId="9252" xr:uid="{00000000-0005-0000-0000-0000642E0000}"/>
    <cellStyle name="40% - Accent1 6 12 2" xfId="23727" xr:uid="{00000000-0005-0000-0000-0000652E0000}"/>
    <cellStyle name="40% - Accent1 6 13" xfId="20338" xr:uid="{00000000-0005-0000-0000-0000662E0000}"/>
    <cellStyle name="40% - Accent1 6 2" xfId="3017" xr:uid="{00000000-0005-0000-0000-0000672E0000}"/>
    <cellStyle name="40% - Accent1 6 2 10" xfId="3018" xr:uid="{00000000-0005-0000-0000-0000682E0000}"/>
    <cellStyle name="40% - Accent1 6 2 10 2" xfId="16117" xr:uid="{00000000-0005-0000-0000-0000692E0000}"/>
    <cellStyle name="40% - Accent1 6 2 10 2 2" xfId="29524" xr:uid="{00000000-0005-0000-0000-00006A2E0000}"/>
    <cellStyle name="40% - Accent1 6 2 10 3" xfId="20342" xr:uid="{00000000-0005-0000-0000-00006B2E0000}"/>
    <cellStyle name="40% - Accent1 6 2 11" xfId="9253" xr:uid="{00000000-0005-0000-0000-00006C2E0000}"/>
    <cellStyle name="40% - Accent1 6 2 11 2" xfId="23728" xr:uid="{00000000-0005-0000-0000-00006D2E0000}"/>
    <cellStyle name="40% - Accent1 6 2 12" xfId="20341" xr:uid="{00000000-0005-0000-0000-00006E2E0000}"/>
    <cellStyle name="40% - Accent1 6 2 2" xfId="3019" xr:uid="{00000000-0005-0000-0000-00006F2E0000}"/>
    <cellStyle name="40% - Accent1 6 2 2 10" xfId="9254" xr:uid="{00000000-0005-0000-0000-0000702E0000}"/>
    <cellStyle name="40% - Accent1 6 2 2 10 2" xfId="23729" xr:uid="{00000000-0005-0000-0000-0000712E0000}"/>
    <cellStyle name="40% - Accent1 6 2 2 11" xfId="20343" xr:uid="{00000000-0005-0000-0000-0000722E0000}"/>
    <cellStyle name="40% - Accent1 6 2 2 2" xfId="3020" xr:uid="{00000000-0005-0000-0000-0000732E0000}"/>
    <cellStyle name="40% - Accent1 6 2 2 2 2" xfId="3021" xr:uid="{00000000-0005-0000-0000-0000742E0000}"/>
    <cellStyle name="40% - Accent1 6 2 2 2 2 2" xfId="10981" xr:uid="{00000000-0005-0000-0000-0000752E0000}"/>
    <cellStyle name="40% - Accent1 6 2 2 2 2 2 2" xfId="24923" xr:uid="{00000000-0005-0000-0000-0000762E0000}"/>
    <cellStyle name="40% - Accent1 6 2 2 2 2 3" xfId="20345" xr:uid="{00000000-0005-0000-0000-0000772E0000}"/>
    <cellStyle name="40% - Accent1 6 2 2 2 3" xfId="3022" xr:uid="{00000000-0005-0000-0000-0000782E0000}"/>
    <cellStyle name="40% - Accent1 6 2 2 2 3 2" xfId="12505" xr:uid="{00000000-0005-0000-0000-0000792E0000}"/>
    <cellStyle name="40% - Accent1 6 2 2 2 3 2 2" xfId="26217" xr:uid="{00000000-0005-0000-0000-00007A2E0000}"/>
    <cellStyle name="40% - Accent1 6 2 2 2 3 3" xfId="20346" xr:uid="{00000000-0005-0000-0000-00007B2E0000}"/>
    <cellStyle name="40% - Accent1 6 2 2 2 4" xfId="3023" xr:uid="{00000000-0005-0000-0000-00007C2E0000}"/>
    <cellStyle name="40% - Accent1 6 2 2 2 4 2" xfId="15144" xr:uid="{00000000-0005-0000-0000-00007D2E0000}"/>
    <cellStyle name="40% - Accent1 6 2 2 2 4 2 2" xfId="28693" xr:uid="{00000000-0005-0000-0000-00007E2E0000}"/>
    <cellStyle name="40% - Accent1 6 2 2 2 4 3" xfId="20347" xr:uid="{00000000-0005-0000-0000-00007F2E0000}"/>
    <cellStyle name="40% - Accent1 6 2 2 2 5" xfId="3024" xr:uid="{00000000-0005-0000-0000-0000802E0000}"/>
    <cellStyle name="40% - Accent1 6 2 2 2 5 2" xfId="16987" xr:uid="{00000000-0005-0000-0000-0000812E0000}"/>
    <cellStyle name="40% - Accent1 6 2 2 2 5 2 2" xfId="30394" xr:uid="{00000000-0005-0000-0000-0000822E0000}"/>
    <cellStyle name="40% - Accent1 6 2 2 2 5 3" xfId="20348" xr:uid="{00000000-0005-0000-0000-0000832E0000}"/>
    <cellStyle name="40% - Accent1 6 2 2 2 6" xfId="9255" xr:uid="{00000000-0005-0000-0000-0000842E0000}"/>
    <cellStyle name="40% - Accent1 6 2 2 2 6 2" xfId="23730" xr:uid="{00000000-0005-0000-0000-0000852E0000}"/>
    <cellStyle name="40% - Accent1 6 2 2 2 7" xfId="20344" xr:uid="{00000000-0005-0000-0000-0000862E0000}"/>
    <cellStyle name="40% - Accent1 6 2 2 3" xfId="3025" xr:uid="{00000000-0005-0000-0000-0000872E0000}"/>
    <cellStyle name="40% - Accent1 6 2 2 3 2" xfId="3026" xr:uid="{00000000-0005-0000-0000-0000882E0000}"/>
    <cellStyle name="40% - Accent1 6 2 2 3 2 2" xfId="15145" xr:uid="{00000000-0005-0000-0000-0000892E0000}"/>
    <cellStyle name="40% - Accent1 6 2 2 3 2 2 2" xfId="28694" xr:uid="{00000000-0005-0000-0000-00008A2E0000}"/>
    <cellStyle name="40% - Accent1 6 2 2 3 2 3" xfId="20350" xr:uid="{00000000-0005-0000-0000-00008B2E0000}"/>
    <cellStyle name="40% - Accent1 6 2 2 3 3" xfId="10980" xr:uid="{00000000-0005-0000-0000-00008C2E0000}"/>
    <cellStyle name="40% - Accent1 6 2 2 3 3 2" xfId="24922" xr:uid="{00000000-0005-0000-0000-00008D2E0000}"/>
    <cellStyle name="40% - Accent1 6 2 2 3 4" xfId="20349" xr:uid="{00000000-0005-0000-0000-00008E2E0000}"/>
    <cellStyle name="40% - Accent1 6 2 2 4" xfId="3027" xr:uid="{00000000-0005-0000-0000-00008F2E0000}"/>
    <cellStyle name="40% - Accent1 6 2 2 4 2" xfId="12375" xr:uid="{00000000-0005-0000-0000-0000902E0000}"/>
    <cellStyle name="40% - Accent1 6 2 2 4 2 2" xfId="26087" xr:uid="{00000000-0005-0000-0000-0000912E0000}"/>
    <cellStyle name="40% - Accent1 6 2 2 4 3" xfId="20351" xr:uid="{00000000-0005-0000-0000-0000922E0000}"/>
    <cellStyle name="40% - Accent1 6 2 2 5" xfId="3028" xr:uid="{00000000-0005-0000-0000-0000932E0000}"/>
    <cellStyle name="40% - Accent1 6 2 2 5 2" xfId="12704" xr:uid="{00000000-0005-0000-0000-0000942E0000}"/>
    <cellStyle name="40% - Accent1 6 2 2 5 2 2" xfId="26416" xr:uid="{00000000-0005-0000-0000-0000952E0000}"/>
    <cellStyle name="40% - Accent1 6 2 2 5 3" xfId="20352" xr:uid="{00000000-0005-0000-0000-0000962E0000}"/>
    <cellStyle name="40% - Accent1 6 2 2 6" xfId="3029" xr:uid="{00000000-0005-0000-0000-0000972E0000}"/>
    <cellStyle name="40% - Accent1 6 2 2 6 2" xfId="13939" xr:uid="{00000000-0005-0000-0000-0000982E0000}"/>
    <cellStyle name="40% - Accent1 6 2 2 6 2 2" xfId="27488" xr:uid="{00000000-0005-0000-0000-0000992E0000}"/>
    <cellStyle name="40% - Accent1 6 2 2 6 3" xfId="20353" xr:uid="{00000000-0005-0000-0000-00009A2E0000}"/>
    <cellStyle name="40% - Accent1 6 2 2 7" xfId="3030" xr:uid="{00000000-0005-0000-0000-00009B2E0000}"/>
    <cellStyle name="40% - Accent1 6 2 2 7 2" xfId="14520" xr:uid="{00000000-0005-0000-0000-00009C2E0000}"/>
    <cellStyle name="40% - Accent1 6 2 2 7 2 2" xfId="28069" xr:uid="{00000000-0005-0000-0000-00009D2E0000}"/>
    <cellStyle name="40% - Accent1 6 2 2 7 3" xfId="20354" xr:uid="{00000000-0005-0000-0000-00009E2E0000}"/>
    <cellStyle name="40% - Accent1 6 2 2 8" xfId="3031" xr:uid="{00000000-0005-0000-0000-00009F2E0000}"/>
    <cellStyle name="40% - Accent1 6 2 2 8 2" xfId="15143" xr:uid="{00000000-0005-0000-0000-0000A02E0000}"/>
    <cellStyle name="40% - Accent1 6 2 2 8 2 2" xfId="28692" xr:uid="{00000000-0005-0000-0000-0000A12E0000}"/>
    <cellStyle name="40% - Accent1 6 2 2 8 3" xfId="20355" xr:uid="{00000000-0005-0000-0000-0000A22E0000}"/>
    <cellStyle name="40% - Accent1 6 2 2 9" xfId="3032" xr:uid="{00000000-0005-0000-0000-0000A32E0000}"/>
    <cellStyle name="40% - Accent1 6 2 2 9 2" xfId="16406" xr:uid="{00000000-0005-0000-0000-0000A42E0000}"/>
    <cellStyle name="40% - Accent1 6 2 2 9 2 2" xfId="29813" xr:uid="{00000000-0005-0000-0000-0000A52E0000}"/>
    <cellStyle name="40% - Accent1 6 2 2 9 3" xfId="20356" xr:uid="{00000000-0005-0000-0000-0000A62E0000}"/>
    <cellStyle name="40% - Accent1 6 2 3" xfId="3033" xr:uid="{00000000-0005-0000-0000-0000A72E0000}"/>
    <cellStyle name="40% - Accent1 6 2 3 2" xfId="3034" xr:uid="{00000000-0005-0000-0000-0000A82E0000}"/>
    <cellStyle name="40% - Accent1 6 2 3 2 2" xfId="10982" xr:uid="{00000000-0005-0000-0000-0000A92E0000}"/>
    <cellStyle name="40% - Accent1 6 2 3 2 2 2" xfId="24924" xr:uid="{00000000-0005-0000-0000-0000AA2E0000}"/>
    <cellStyle name="40% - Accent1 6 2 3 2 3" xfId="20358" xr:uid="{00000000-0005-0000-0000-0000AB2E0000}"/>
    <cellStyle name="40% - Accent1 6 2 3 3" xfId="3035" xr:uid="{00000000-0005-0000-0000-0000AC2E0000}"/>
    <cellStyle name="40% - Accent1 6 2 3 3 2" xfId="11833" xr:uid="{00000000-0005-0000-0000-0000AD2E0000}"/>
    <cellStyle name="40% - Accent1 6 2 3 3 2 2" xfId="25548" xr:uid="{00000000-0005-0000-0000-0000AE2E0000}"/>
    <cellStyle name="40% - Accent1 6 2 3 3 3" xfId="20359" xr:uid="{00000000-0005-0000-0000-0000AF2E0000}"/>
    <cellStyle name="40% - Accent1 6 2 3 4" xfId="3036" xr:uid="{00000000-0005-0000-0000-0000B02E0000}"/>
    <cellStyle name="40% - Accent1 6 2 3 4 2" xfId="15146" xr:uid="{00000000-0005-0000-0000-0000B12E0000}"/>
    <cellStyle name="40% - Accent1 6 2 3 4 2 2" xfId="28695" xr:uid="{00000000-0005-0000-0000-0000B22E0000}"/>
    <cellStyle name="40% - Accent1 6 2 3 4 3" xfId="20360" xr:uid="{00000000-0005-0000-0000-0000B32E0000}"/>
    <cellStyle name="40% - Accent1 6 2 3 5" xfId="3037" xr:uid="{00000000-0005-0000-0000-0000B42E0000}"/>
    <cellStyle name="40% - Accent1 6 2 3 5 2" xfId="16698" xr:uid="{00000000-0005-0000-0000-0000B52E0000}"/>
    <cellStyle name="40% - Accent1 6 2 3 5 2 2" xfId="30105" xr:uid="{00000000-0005-0000-0000-0000B62E0000}"/>
    <cellStyle name="40% - Accent1 6 2 3 5 3" xfId="20361" xr:uid="{00000000-0005-0000-0000-0000B72E0000}"/>
    <cellStyle name="40% - Accent1 6 2 3 6" xfId="9256" xr:uid="{00000000-0005-0000-0000-0000B82E0000}"/>
    <cellStyle name="40% - Accent1 6 2 3 6 2" xfId="23731" xr:uid="{00000000-0005-0000-0000-0000B92E0000}"/>
    <cellStyle name="40% - Accent1 6 2 3 7" xfId="20357" xr:uid="{00000000-0005-0000-0000-0000BA2E0000}"/>
    <cellStyle name="40% - Accent1 6 2 4" xfId="3038" xr:uid="{00000000-0005-0000-0000-0000BB2E0000}"/>
    <cellStyle name="40% - Accent1 6 2 4 2" xfId="3039" xr:uid="{00000000-0005-0000-0000-0000BC2E0000}"/>
    <cellStyle name="40% - Accent1 6 2 4 2 2" xfId="15147" xr:uid="{00000000-0005-0000-0000-0000BD2E0000}"/>
    <cellStyle name="40% - Accent1 6 2 4 2 2 2" xfId="28696" xr:uid="{00000000-0005-0000-0000-0000BE2E0000}"/>
    <cellStyle name="40% - Accent1 6 2 4 2 3" xfId="20363" xr:uid="{00000000-0005-0000-0000-0000BF2E0000}"/>
    <cellStyle name="40% - Accent1 6 2 4 3" xfId="10979" xr:uid="{00000000-0005-0000-0000-0000C02E0000}"/>
    <cellStyle name="40% - Accent1 6 2 4 3 2" xfId="24921" xr:uid="{00000000-0005-0000-0000-0000C12E0000}"/>
    <cellStyle name="40% - Accent1 6 2 4 4" xfId="20362" xr:uid="{00000000-0005-0000-0000-0000C22E0000}"/>
    <cellStyle name="40% - Accent1 6 2 5" xfId="3040" xr:uid="{00000000-0005-0000-0000-0000C32E0000}"/>
    <cellStyle name="40% - Accent1 6 2 5 2" xfId="12075" xr:uid="{00000000-0005-0000-0000-0000C42E0000}"/>
    <cellStyle name="40% - Accent1 6 2 5 2 2" xfId="25790" xr:uid="{00000000-0005-0000-0000-0000C52E0000}"/>
    <cellStyle name="40% - Accent1 6 2 5 3" xfId="20364" xr:uid="{00000000-0005-0000-0000-0000C62E0000}"/>
    <cellStyle name="40% - Accent1 6 2 6" xfId="3041" xr:uid="{00000000-0005-0000-0000-0000C72E0000}"/>
    <cellStyle name="40% - Accent1 6 2 6 2" xfId="12703" xr:uid="{00000000-0005-0000-0000-0000C82E0000}"/>
    <cellStyle name="40% - Accent1 6 2 6 2 2" xfId="26415" xr:uid="{00000000-0005-0000-0000-0000C92E0000}"/>
    <cellStyle name="40% - Accent1 6 2 6 3" xfId="20365" xr:uid="{00000000-0005-0000-0000-0000CA2E0000}"/>
    <cellStyle name="40% - Accent1 6 2 7" xfId="3042" xr:uid="{00000000-0005-0000-0000-0000CB2E0000}"/>
    <cellStyle name="40% - Accent1 6 2 7 2" xfId="13650" xr:uid="{00000000-0005-0000-0000-0000CC2E0000}"/>
    <cellStyle name="40% - Accent1 6 2 7 2 2" xfId="27199" xr:uid="{00000000-0005-0000-0000-0000CD2E0000}"/>
    <cellStyle name="40% - Accent1 6 2 7 3" xfId="20366" xr:uid="{00000000-0005-0000-0000-0000CE2E0000}"/>
    <cellStyle name="40% - Accent1 6 2 8" xfId="3043" xr:uid="{00000000-0005-0000-0000-0000CF2E0000}"/>
    <cellStyle name="40% - Accent1 6 2 8 2" xfId="14231" xr:uid="{00000000-0005-0000-0000-0000D02E0000}"/>
    <cellStyle name="40% - Accent1 6 2 8 2 2" xfId="27780" xr:uid="{00000000-0005-0000-0000-0000D12E0000}"/>
    <cellStyle name="40% - Accent1 6 2 8 3" xfId="20367" xr:uid="{00000000-0005-0000-0000-0000D22E0000}"/>
    <cellStyle name="40% - Accent1 6 2 9" xfId="3044" xr:uid="{00000000-0005-0000-0000-0000D32E0000}"/>
    <cellStyle name="40% - Accent1 6 2 9 2" xfId="15142" xr:uid="{00000000-0005-0000-0000-0000D42E0000}"/>
    <cellStyle name="40% - Accent1 6 2 9 2 2" xfId="28691" xr:uid="{00000000-0005-0000-0000-0000D52E0000}"/>
    <cellStyle name="40% - Accent1 6 2 9 3" xfId="20368" xr:uid="{00000000-0005-0000-0000-0000D62E0000}"/>
    <cellStyle name="40% - Accent1 6 3" xfId="3045" xr:uid="{00000000-0005-0000-0000-0000D72E0000}"/>
    <cellStyle name="40% - Accent1 6 3 10" xfId="9257" xr:uid="{00000000-0005-0000-0000-0000D82E0000}"/>
    <cellStyle name="40% - Accent1 6 3 10 2" xfId="23732" xr:uid="{00000000-0005-0000-0000-0000D92E0000}"/>
    <cellStyle name="40% - Accent1 6 3 11" xfId="20369" xr:uid="{00000000-0005-0000-0000-0000DA2E0000}"/>
    <cellStyle name="40% - Accent1 6 3 2" xfId="3046" xr:uid="{00000000-0005-0000-0000-0000DB2E0000}"/>
    <cellStyle name="40% - Accent1 6 3 2 2" xfId="3047" xr:uid="{00000000-0005-0000-0000-0000DC2E0000}"/>
    <cellStyle name="40% - Accent1 6 3 2 2 2" xfId="10984" xr:uid="{00000000-0005-0000-0000-0000DD2E0000}"/>
    <cellStyle name="40% - Accent1 6 3 2 2 2 2" xfId="24926" xr:uid="{00000000-0005-0000-0000-0000DE2E0000}"/>
    <cellStyle name="40% - Accent1 6 3 2 2 3" xfId="20371" xr:uid="{00000000-0005-0000-0000-0000DF2E0000}"/>
    <cellStyle name="40% - Accent1 6 3 2 3" xfId="3048" xr:uid="{00000000-0005-0000-0000-0000E02E0000}"/>
    <cellStyle name="40% - Accent1 6 3 2 3 2" xfId="12530" xr:uid="{00000000-0005-0000-0000-0000E12E0000}"/>
    <cellStyle name="40% - Accent1 6 3 2 3 2 2" xfId="26242" xr:uid="{00000000-0005-0000-0000-0000E22E0000}"/>
    <cellStyle name="40% - Accent1 6 3 2 3 3" xfId="20372" xr:uid="{00000000-0005-0000-0000-0000E32E0000}"/>
    <cellStyle name="40% - Accent1 6 3 2 4" xfId="3049" xr:uid="{00000000-0005-0000-0000-0000E42E0000}"/>
    <cellStyle name="40% - Accent1 6 3 2 4 2" xfId="15149" xr:uid="{00000000-0005-0000-0000-0000E52E0000}"/>
    <cellStyle name="40% - Accent1 6 3 2 4 2 2" xfId="28698" xr:uid="{00000000-0005-0000-0000-0000E62E0000}"/>
    <cellStyle name="40% - Accent1 6 3 2 4 3" xfId="20373" xr:uid="{00000000-0005-0000-0000-0000E72E0000}"/>
    <cellStyle name="40% - Accent1 6 3 2 5" xfId="3050" xr:uid="{00000000-0005-0000-0000-0000E82E0000}"/>
    <cellStyle name="40% - Accent1 6 3 2 5 2" xfId="16844" xr:uid="{00000000-0005-0000-0000-0000E92E0000}"/>
    <cellStyle name="40% - Accent1 6 3 2 5 2 2" xfId="30251" xr:uid="{00000000-0005-0000-0000-0000EA2E0000}"/>
    <cellStyle name="40% - Accent1 6 3 2 5 3" xfId="20374" xr:uid="{00000000-0005-0000-0000-0000EB2E0000}"/>
    <cellStyle name="40% - Accent1 6 3 2 6" xfId="9258" xr:uid="{00000000-0005-0000-0000-0000EC2E0000}"/>
    <cellStyle name="40% - Accent1 6 3 2 6 2" xfId="23733" xr:uid="{00000000-0005-0000-0000-0000ED2E0000}"/>
    <cellStyle name="40% - Accent1 6 3 2 7" xfId="20370" xr:uid="{00000000-0005-0000-0000-0000EE2E0000}"/>
    <cellStyle name="40% - Accent1 6 3 3" xfId="3051" xr:uid="{00000000-0005-0000-0000-0000EF2E0000}"/>
    <cellStyle name="40% - Accent1 6 3 3 2" xfId="3052" xr:uid="{00000000-0005-0000-0000-0000F02E0000}"/>
    <cellStyle name="40% - Accent1 6 3 3 2 2" xfId="15150" xr:uid="{00000000-0005-0000-0000-0000F12E0000}"/>
    <cellStyle name="40% - Accent1 6 3 3 2 2 2" xfId="28699" xr:uid="{00000000-0005-0000-0000-0000F22E0000}"/>
    <cellStyle name="40% - Accent1 6 3 3 2 3" xfId="20376" xr:uid="{00000000-0005-0000-0000-0000F32E0000}"/>
    <cellStyle name="40% - Accent1 6 3 3 3" xfId="10983" xr:uid="{00000000-0005-0000-0000-0000F42E0000}"/>
    <cellStyle name="40% - Accent1 6 3 3 3 2" xfId="24925" xr:uid="{00000000-0005-0000-0000-0000F52E0000}"/>
    <cellStyle name="40% - Accent1 6 3 3 4" xfId="20375" xr:uid="{00000000-0005-0000-0000-0000F62E0000}"/>
    <cellStyle name="40% - Accent1 6 3 4" xfId="3053" xr:uid="{00000000-0005-0000-0000-0000F72E0000}"/>
    <cellStyle name="40% - Accent1 6 3 4 2" xfId="12232" xr:uid="{00000000-0005-0000-0000-0000F82E0000}"/>
    <cellStyle name="40% - Accent1 6 3 4 2 2" xfId="25944" xr:uid="{00000000-0005-0000-0000-0000F92E0000}"/>
    <cellStyle name="40% - Accent1 6 3 4 3" xfId="20377" xr:uid="{00000000-0005-0000-0000-0000FA2E0000}"/>
    <cellStyle name="40% - Accent1 6 3 5" xfId="3054" xr:uid="{00000000-0005-0000-0000-0000FB2E0000}"/>
    <cellStyle name="40% - Accent1 6 3 5 2" xfId="12437" xr:uid="{00000000-0005-0000-0000-0000FC2E0000}"/>
    <cellStyle name="40% - Accent1 6 3 5 2 2" xfId="26149" xr:uid="{00000000-0005-0000-0000-0000FD2E0000}"/>
    <cellStyle name="40% - Accent1 6 3 5 3" xfId="20378" xr:uid="{00000000-0005-0000-0000-0000FE2E0000}"/>
    <cellStyle name="40% - Accent1 6 3 6" xfId="3055" xr:uid="{00000000-0005-0000-0000-0000FF2E0000}"/>
    <cellStyle name="40% - Accent1 6 3 6 2" xfId="13796" xr:uid="{00000000-0005-0000-0000-0000002F0000}"/>
    <cellStyle name="40% - Accent1 6 3 6 2 2" xfId="27345" xr:uid="{00000000-0005-0000-0000-0000012F0000}"/>
    <cellStyle name="40% - Accent1 6 3 6 3" xfId="20379" xr:uid="{00000000-0005-0000-0000-0000022F0000}"/>
    <cellStyle name="40% - Accent1 6 3 7" xfId="3056" xr:uid="{00000000-0005-0000-0000-0000032F0000}"/>
    <cellStyle name="40% - Accent1 6 3 7 2" xfId="14377" xr:uid="{00000000-0005-0000-0000-0000042F0000}"/>
    <cellStyle name="40% - Accent1 6 3 7 2 2" xfId="27926" xr:uid="{00000000-0005-0000-0000-0000052F0000}"/>
    <cellStyle name="40% - Accent1 6 3 7 3" xfId="20380" xr:uid="{00000000-0005-0000-0000-0000062F0000}"/>
    <cellStyle name="40% - Accent1 6 3 8" xfId="3057" xr:uid="{00000000-0005-0000-0000-0000072F0000}"/>
    <cellStyle name="40% - Accent1 6 3 8 2" xfId="15148" xr:uid="{00000000-0005-0000-0000-0000082F0000}"/>
    <cellStyle name="40% - Accent1 6 3 8 2 2" xfId="28697" xr:uid="{00000000-0005-0000-0000-0000092F0000}"/>
    <cellStyle name="40% - Accent1 6 3 8 3" xfId="20381" xr:uid="{00000000-0005-0000-0000-00000A2F0000}"/>
    <cellStyle name="40% - Accent1 6 3 9" xfId="3058" xr:uid="{00000000-0005-0000-0000-00000B2F0000}"/>
    <cellStyle name="40% - Accent1 6 3 9 2" xfId="16263" xr:uid="{00000000-0005-0000-0000-00000C2F0000}"/>
    <cellStyle name="40% - Accent1 6 3 9 2 2" xfId="29670" xr:uid="{00000000-0005-0000-0000-00000D2F0000}"/>
    <cellStyle name="40% - Accent1 6 3 9 3" xfId="20382" xr:uid="{00000000-0005-0000-0000-00000E2F0000}"/>
    <cellStyle name="40% - Accent1 6 4" xfId="3059" xr:uid="{00000000-0005-0000-0000-00000F2F0000}"/>
    <cellStyle name="40% - Accent1 6 4 2" xfId="3060" xr:uid="{00000000-0005-0000-0000-0000102F0000}"/>
    <cellStyle name="40% - Accent1 6 4 2 2" xfId="10985" xr:uid="{00000000-0005-0000-0000-0000112F0000}"/>
    <cellStyle name="40% - Accent1 6 4 2 2 2" xfId="24927" xr:uid="{00000000-0005-0000-0000-0000122F0000}"/>
    <cellStyle name="40% - Accent1 6 4 2 3" xfId="20384" xr:uid="{00000000-0005-0000-0000-0000132F0000}"/>
    <cellStyle name="40% - Accent1 6 4 3" xfId="3061" xr:uid="{00000000-0005-0000-0000-0000142F0000}"/>
    <cellStyle name="40% - Accent1 6 4 3 2" xfId="12445" xr:uid="{00000000-0005-0000-0000-0000152F0000}"/>
    <cellStyle name="40% - Accent1 6 4 3 2 2" xfId="26157" xr:uid="{00000000-0005-0000-0000-0000162F0000}"/>
    <cellStyle name="40% - Accent1 6 4 3 3" xfId="20385" xr:uid="{00000000-0005-0000-0000-0000172F0000}"/>
    <cellStyle name="40% - Accent1 6 4 4" xfId="3062" xr:uid="{00000000-0005-0000-0000-0000182F0000}"/>
    <cellStyle name="40% - Accent1 6 4 4 2" xfId="15151" xr:uid="{00000000-0005-0000-0000-0000192F0000}"/>
    <cellStyle name="40% - Accent1 6 4 4 2 2" xfId="28700" xr:uid="{00000000-0005-0000-0000-00001A2F0000}"/>
    <cellStyle name="40% - Accent1 6 4 4 3" xfId="20386" xr:uid="{00000000-0005-0000-0000-00001B2F0000}"/>
    <cellStyle name="40% - Accent1 6 4 5" xfId="3063" xr:uid="{00000000-0005-0000-0000-00001C2F0000}"/>
    <cellStyle name="40% - Accent1 6 4 5 2" xfId="16555" xr:uid="{00000000-0005-0000-0000-00001D2F0000}"/>
    <cellStyle name="40% - Accent1 6 4 5 2 2" xfId="29962" xr:uid="{00000000-0005-0000-0000-00001E2F0000}"/>
    <cellStyle name="40% - Accent1 6 4 5 3" xfId="20387" xr:uid="{00000000-0005-0000-0000-00001F2F0000}"/>
    <cellStyle name="40% - Accent1 6 4 6" xfId="9259" xr:uid="{00000000-0005-0000-0000-0000202F0000}"/>
    <cellStyle name="40% - Accent1 6 4 6 2" xfId="23734" xr:uid="{00000000-0005-0000-0000-0000212F0000}"/>
    <cellStyle name="40% - Accent1 6 4 7" xfId="20383" xr:uid="{00000000-0005-0000-0000-0000222F0000}"/>
    <cellStyle name="40% - Accent1 6 5" xfId="3064" xr:uid="{00000000-0005-0000-0000-0000232F0000}"/>
    <cellStyle name="40% - Accent1 6 5 2" xfId="3065" xr:uid="{00000000-0005-0000-0000-0000242F0000}"/>
    <cellStyle name="40% - Accent1 6 5 2 2" xfId="15152" xr:uid="{00000000-0005-0000-0000-0000252F0000}"/>
    <cellStyle name="40% - Accent1 6 5 2 2 2" xfId="28701" xr:uid="{00000000-0005-0000-0000-0000262F0000}"/>
    <cellStyle name="40% - Accent1 6 5 2 3" xfId="20389" xr:uid="{00000000-0005-0000-0000-0000272F0000}"/>
    <cellStyle name="40% - Accent1 6 5 3" xfId="10978" xr:uid="{00000000-0005-0000-0000-0000282F0000}"/>
    <cellStyle name="40% - Accent1 6 5 3 2" xfId="24920" xr:uid="{00000000-0005-0000-0000-0000292F0000}"/>
    <cellStyle name="40% - Accent1 6 5 4" xfId="20388" xr:uid="{00000000-0005-0000-0000-00002A2F0000}"/>
    <cellStyle name="40% - Accent1 6 6" xfId="3066" xr:uid="{00000000-0005-0000-0000-00002B2F0000}"/>
    <cellStyle name="40% - Accent1 6 6 2" xfId="11930" xr:uid="{00000000-0005-0000-0000-00002C2F0000}"/>
    <cellStyle name="40% - Accent1 6 6 2 2" xfId="25645" xr:uid="{00000000-0005-0000-0000-00002D2F0000}"/>
    <cellStyle name="40% - Accent1 6 6 3" xfId="20390" xr:uid="{00000000-0005-0000-0000-00002E2F0000}"/>
    <cellStyle name="40% - Accent1 6 7" xfId="3067" xr:uid="{00000000-0005-0000-0000-00002F2F0000}"/>
    <cellStyle name="40% - Accent1 6 7 2" xfId="12421" xr:uid="{00000000-0005-0000-0000-0000302F0000}"/>
    <cellStyle name="40% - Accent1 6 7 2 2" xfId="26133" xr:uid="{00000000-0005-0000-0000-0000312F0000}"/>
    <cellStyle name="40% - Accent1 6 7 3" xfId="20391" xr:uid="{00000000-0005-0000-0000-0000322F0000}"/>
    <cellStyle name="40% - Accent1 6 8" xfId="3068" xr:uid="{00000000-0005-0000-0000-0000332F0000}"/>
    <cellStyle name="40% - Accent1 6 8 2" xfId="13507" xr:uid="{00000000-0005-0000-0000-0000342F0000}"/>
    <cellStyle name="40% - Accent1 6 8 2 2" xfId="27056" xr:uid="{00000000-0005-0000-0000-0000352F0000}"/>
    <cellStyle name="40% - Accent1 6 8 3" xfId="20392" xr:uid="{00000000-0005-0000-0000-0000362F0000}"/>
    <cellStyle name="40% - Accent1 6 9" xfId="3069" xr:uid="{00000000-0005-0000-0000-0000372F0000}"/>
    <cellStyle name="40% - Accent1 6 9 2" xfId="14088" xr:uid="{00000000-0005-0000-0000-0000382F0000}"/>
    <cellStyle name="40% - Accent1 6 9 2 2" xfId="27637" xr:uid="{00000000-0005-0000-0000-0000392F0000}"/>
    <cellStyle name="40% - Accent1 6 9 3" xfId="20393" xr:uid="{00000000-0005-0000-0000-00003A2F0000}"/>
    <cellStyle name="40% - Accent1 7" xfId="3070" xr:uid="{00000000-0005-0000-0000-00003B2F0000}"/>
    <cellStyle name="40% - Accent1 7 10" xfId="3071" xr:uid="{00000000-0005-0000-0000-00003C2F0000}"/>
    <cellStyle name="40% - Accent1 7 10 2" xfId="15989" xr:uid="{00000000-0005-0000-0000-00003D2F0000}"/>
    <cellStyle name="40% - Accent1 7 10 2 2" xfId="29396" xr:uid="{00000000-0005-0000-0000-00003E2F0000}"/>
    <cellStyle name="40% - Accent1 7 10 3" xfId="20395" xr:uid="{00000000-0005-0000-0000-00003F2F0000}"/>
    <cellStyle name="40% - Accent1 7 11" xfId="9260" xr:uid="{00000000-0005-0000-0000-0000402F0000}"/>
    <cellStyle name="40% - Accent1 7 11 2" xfId="23735" xr:uid="{00000000-0005-0000-0000-0000412F0000}"/>
    <cellStyle name="40% - Accent1 7 12" xfId="20394" xr:uid="{00000000-0005-0000-0000-0000422F0000}"/>
    <cellStyle name="40% - Accent1 7 2" xfId="3072" xr:uid="{00000000-0005-0000-0000-0000432F0000}"/>
    <cellStyle name="40% - Accent1 7 2 10" xfId="9261" xr:uid="{00000000-0005-0000-0000-0000442F0000}"/>
    <cellStyle name="40% - Accent1 7 2 10 2" xfId="23736" xr:uid="{00000000-0005-0000-0000-0000452F0000}"/>
    <cellStyle name="40% - Accent1 7 2 11" xfId="20396" xr:uid="{00000000-0005-0000-0000-0000462F0000}"/>
    <cellStyle name="40% - Accent1 7 2 2" xfId="3073" xr:uid="{00000000-0005-0000-0000-0000472F0000}"/>
    <cellStyle name="40% - Accent1 7 2 2 2" xfId="3074" xr:uid="{00000000-0005-0000-0000-0000482F0000}"/>
    <cellStyle name="40% - Accent1 7 2 2 2 2" xfId="10988" xr:uid="{00000000-0005-0000-0000-0000492F0000}"/>
    <cellStyle name="40% - Accent1 7 2 2 2 2 2" xfId="24930" xr:uid="{00000000-0005-0000-0000-00004A2F0000}"/>
    <cellStyle name="40% - Accent1 7 2 2 2 3" xfId="20398" xr:uid="{00000000-0005-0000-0000-00004B2F0000}"/>
    <cellStyle name="40% - Accent1 7 2 2 3" xfId="3075" xr:uid="{00000000-0005-0000-0000-00004C2F0000}"/>
    <cellStyle name="40% - Accent1 7 2 2 3 2" xfId="12408" xr:uid="{00000000-0005-0000-0000-00004D2F0000}"/>
    <cellStyle name="40% - Accent1 7 2 2 3 2 2" xfId="26120" xr:uid="{00000000-0005-0000-0000-00004E2F0000}"/>
    <cellStyle name="40% - Accent1 7 2 2 3 3" xfId="20399" xr:uid="{00000000-0005-0000-0000-00004F2F0000}"/>
    <cellStyle name="40% - Accent1 7 2 2 4" xfId="3076" xr:uid="{00000000-0005-0000-0000-0000502F0000}"/>
    <cellStyle name="40% - Accent1 7 2 2 4 2" xfId="15155" xr:uid="{00000000-0005-0000-0000-0000512F0000}"/>
    <cellStyle name="40% - Accent1 7 2 2 4 2 2" xfId="28704" xr:uid="{00000000-0005-0000-0000-0000522F0000}"/>
    <cellStyle name="40% - Accent1 7 2 2 4 3" xfId="20400" xr:uid="{00000000-0005-0000-0000-0000532F0000}"/>
    <cellStyle name="40% - Accent1 7 2 2 5" xfId="3077" xr:uid="{00000000-0005-0000-0000-0000542F0000}"/>
    <cellStyle name="40% - Accent1 7 2 2 5 2" xfId="16859" xr:uid="{00000000-0005-0000-0000-0000552F0000}"/>
    <cellStyle name="40% - Accent1 7 2 2 5 2 2" xfId="30266" xr:uid="{00000000-0005-0000-0000-0000562F0000}"/>
    <cellStyle name="40% - Accent1 7 2 2 5 3" xfId="20401" xr:uid="{00000000-0005-0000-0000-0000572F0000}"/>
    <cellStyle name="40% - Accent1 7 2 2 6" xfId="9262" xr:uid="{00000000-0005-0000-0000-0000582F0000}"/>
    <cellStyle name="40% - Accent1 7 2 2 6 2" xfId="23737" xr:uid="{00000000-0005-0000-0000-0000592F0000}"/>
    <cellStyle name="40% - Accent1 7 2 2 7" xfId="20397" xr:uid="{00000000-0005-0000-0000-00005A2F0000}"/>
    <cellStyle name="40% - Accent1 7 2 3" xfId="3078" xr:uid="{00000000-0005-0000-0000-00005B2F0000}"/>
    <cellStyle name="40% - Accent1 7 2 3 2" xfId="3079" xr:uid="{00000000-0005-0000-0000-00005C2F0000}"/>
    <cellStyle name="40% - Accent1 7 2 3 2 2" xfId="15156" xr:uid="{00000000-0005-0000-0000-00005D2F0000}"/>
    <cellStyle name="40% - Accent1 7 2 3 2 2 2" xfId="28705" xr:uid="{00000000-0005-0000-0000-00005E2F0000}"/>
    <cellStyle name="40% - Accent1 7 2 3 2 3" xfId="20403" xr:uid="{00000000-0005-0000-0000-00005F2F0000}"/>
    <cellStyle name="40% - Accent1 7 2 3 3" xfId="10987" xr:uid="{00000000-0005-0000-0000-0000602F0000}"/>
    <cellStyle name="40% - Accent1 7 2 3 3 2" xfId="24929" xr:uid="{00000000-0005-0000-0000-0000612F0000}"/>
    <cellStyle name="40% - Accent1 7 2 3 4" xfId="20402" xr:uid="{00000000-0005-0000-0000-0000622F0000}"/>
    <cellStyle name="40% - Accent1 7 2 4" xfId="3080" xr:uid="{00000000-0005-0000-0000-0000632F0000}"/>
    <cellStyle name="40% - Accent1 7 2 4 2" xfId="12247" xr:uid="{00000000-0005-0000-0000-0000642F0000}"/>
    <cellStyle name="40% - Accent1 7 2 4 2 2" xfId="25959" xr:uid="{00000000-0005-0000-0000-0000652F0000}"/>
    <cellStyle name="40% - Accent1 7 2 4 3" xfId="20404" xr:uid="{00000000-0005-0000-0000-0000662F0000}"/>
    <cellStyle name="40% - Accent1 7 2 5" xfId="3081" xr:uid="{00000000-0005-0000-0000-0000672F0000}"/>
    <cellStyle name="40% - Accent1 7 2 5 2" xfId="12782" xr:uid="{00000000-0005-0000-0000-0000682F0000}"/>
    <cellStyle name="40% - Accent1 7 2 5 2 2" xfId="26494" xr:uid="{00000000-0005-0000-0000-0000692F0000}"/>
    <cellStyle name="40% - Accent1 7 2 5 3" xfId="20405" xr:uid="{00000000-0005-0000-0000-00006A2F0000}"/>
    <cellStyle name="40% - Accent1 7 2 6" xfId="3082" xr:uid="{00000000-0005-0000-0000-00006B2F0000}"/>
    <cellStyle name="40% - Accent1 7 2 6 2" xfId="13811" xr:uid="{00000000-0005-0000-0000-00006C2F0000}"/>
    <cellStyle name="40% - Accent1 7 2 6 2 2" xfId="27360" xr:uid="{00000000-0005-0000-0000-00006D2F0000}"/>
    <cellStyle name="40% - Accent1 7 2 6 3" xfId="20406" xr:uid="{00000000-0005-0000-0000-00006E2F0000}"/>
    <cellStyle name="40% - Accent1 7 2 7" xfId="3083" xr:uid="{00000000-0005-0000-0000-00006F2F0000}"/>
    <cellStyle name="40% - Accent1 7 2 7 2" xfId="14392" xr:uid="{00000000-0005-0000-0000-0000702F0000}"/>
    <cellStyle name="40% - Accent1 7 2 7 2 2" xfId="27941" xr:uid="{00000000-0005-0000-0000-0000712F0000}"/>
    <cellStyle name="40% - Accent1 7 2 7 3" xfId="20407" xr:uid="{00000000-0005-0000-0000-0000722F0000}"/>
    <cellStyle name="40% - Accent1 7 2 8" xfId="3084" xr:uid="{00000000-0005-0000-0000-0000732F0000}"/>
    <cellStyle name="40% - Accent1 7 2 8 2" xfId="15154" xr:uid="{00000000-0005-0000-0000-0000742F0000}"/>
    <cellStyle name="40% - Accent1 7 2 8 2 2" xfId="28703" xr:uid="{00000000-0005-0000-0000-0000752F0000}"/>
    <cellStyle name="40% - Accent1 7 2 8 3" xfId="20408" xr:uid="{00000000-0005-0000-0000-0000762F0000}"/>
    <cellStyle name="40% - Accent1 7 2 9" xfId="3085" xr:uid="{00000000-0005-0000-0000-0000772F0000}"/>
    <cellStyle name="40% - Accent1 7 2 9 2" xfId="16278" xr:uid="{00000000-0005-0000-0000-0000782F0000}"/>
    <cellStyle name="40% - Accent1 7 2 9 2 2" xfId="29685" xr:uid="{00000000-0005-0000-0000-0000792F0000}"/>
    <cellStyle name="40% - Accent1 7 2 9 3" xfId="20409" xr:uid="{00000000-0005-0000-0000-00007A2F0000}"/>
    <cellStyle name="40% - Accent1 7 3" xfId="3086" xr:uid="{00000000-0005-0000-0000-00007B2F0000}"/>
    <cellStyle name="40% - Accent1 7 3 2" xfId="3087" xr:uid="{00000000-0005-0000-0000-00007C2F0000}"/>
    <cellStyle name="40% - Accent1 7 3 2 2" xfId="10989" xr:uid="{00000000-0005-0000-0000-00007D2F0000}"/>
    <cellStyle name="40% - Accent1 7 3 2 2 2" xfId="24931" xr:uid="{00000000-0005-0000-0000-00007E2F0000}"/>
    <cellStyle name="40% - Accent1 7 3 2 3" xfId="20411" xr:uid="{00000000-0005-0000-0000-00007F2F0000}"/>
    <cellStyle name="40% - Accent1 7 3 3" xfId="3088" xr:uid="{00000000-0005-0000-0000-0000802F0000}"/>
    <cellStyle name="40% - Accent1 7 3 3 2" xfId="12444" xr:uid="{00000000-0005-0000-0000-0000812F0000}"/>
    <cellStyle name="40% - Accent1 7 3 3 2 2" xfId="26156" xr:uid="{00000000-0005-0000-0000-0000822F0000}"/>
    <cellStyle name="40% - Accent1 7 3 3 3" xfId="20412" xr:uid="{00000000-0005-0000-0000-0000832F0000}"/>
    <cellStyle name="40% - Accent1 7 3 4" xfId="3089" xr:uid="{00000000-0005-0000-0000-0000842F0000}"/>
    <cellStyle name="40% - Accent1 7 3 4 2" xfId="15157" xr:uid="{00000000-0005-0000-0000-0000852F0000}"/>
    <cellStyle name="40% - Accent1 7 3 4 2 2" xfId="28706" xr:uid="{00000000-0005-0000-0000-0000862F0000}"/>
    <cellStyle name="40% - Accent1 7 3 4 3" xfId="20413" xr:uid="{00000000-0005-0000-0000-0000872F0000}"/>
    <cellStyle name="40% - Accent1 7 3 5" xfId="3090" xr:uid="{00000000-0005-0000-0000-0000882F0000}"/>
    <cellStyle name="40% - Accent1 7 3 5 2" xfId="16570" xr:uid="{00000000-0005-0000-0000-0000892F0000}"/>
    <cellStyle name="40% - Accent1 7 3 5 2 2" xfId="29977" xr:uid="{00000000-0005-0000-0000-00008A2F0000}"/>
    <cellStyle name="40% - Accent1 7 3 5 3" xfId="20414" xr:uid="{00000000-0005-0000-0000-00008B2F0000}"/>
    <cellStyle name="40% - Accent1 7 3 6" xfId="9263" xr:uid="{00000000-0005-0000-0000-00008C2F0000}"/>
    <cellStyle name="40% - Accent1 7 3 6 2" xfId="23738" xr:uid="{00000000-0005-0000-0000-00008D2F0000}"/>
    <cellStyle name="40% - Accent1 7 3 7" xfId="20410" xr:uid="{00000000-0005-0000-0000-00008E2F0000}"/>
    <cellStyle name="40% - Accent1 7 4" xfId="3091" xr:uid="{00000000-0005-0000-0000-00008F2F0000}"/>
    <cellStyle name="40% - Accent1 7 4 2" xfId="3092" xr:uid="{00000000-0005-0000-0000-0000902F0000}"/>
    <cellStyle name="40% - Accent1 7 4 2 2" xfId="15158" xr:uid="{00000000-0005-0000-0000-0000912F0000}"/>
    <cellStyle name="40% - Accent1 7 4 2 2 2" xfId="28707" xr:uid="{00000000-0005-0000-0000-0000922F0000}"/>
    <cellStyle name="40% - Accent1 7 4 2 3" xfId="20416" xr:uid="{00000000-0005-0000-0000-0000932F0000}"/>
    <cellStyle name="40% - Accent1 7 4 3" xfId="10986" xr:uid="{00000000-0005-0000-0000-0000942F0000}"/>
    <cellStyle name="40% - Accent1 7 4 3 2" xfId="24928" xr:uid="{00000000-0005-0000-0000-0000952F0000}"/>
    <cellStyle name="40% - Accent1 7 4 4" xfId="20415" xr:uid="{00000000-0005-0000-0000-0000962F0000}"/>
    <cellStyle name="40% - Accent1 7 5" xfId="3093" xr:uid="{00000000-0005-0000-0000-0000972F0000}"/>
    <cellStyle name="40% - Accent1 7 5 2" xfId="11945" xr:uid="{00000000-0005-0000-0000-0000982F0000}"/>
    <cellStyle name="40% - Accent1 7 5 2 2" xfId="25660" xr:uid="{00000000-0005-0000-0000-0000992F0000}"/>
    <cellStyle name="40% - Accent1 7 5 3" xfId="20417" xr:uid="{00000000-0005-0000-0000-00009A2F0000}"/>
    <cellStyle name="40% - Accent1 7 6" xfId="3094" xr:uid="{00000000-0005-0000-0000-00009B2F0000}"/>
    <cellStyle name="40% - Accent1 7 6 2" xfId="12737" xr:uid="{00000000-0005-0000-0000-00009C2F0000}"/>
    <cellStyle name="40% - Accent1 7 6 2 2" xfId="26449" xr:uid="{00000000-0005-0000-0000-00009D2F0000}"/>
    <cellStyle name="40% - Accent1 7 6 3" xfId="20418" xr:uid="{00000000-0005-0000-0000-00009E2F0000}"/>
    <cellStyle name="40% - Accent1 7 7" xfId="3095" xr:uid="{00000000-0005-0000-0000-00009F2F0000}"/>
    <cellStyle name="40% - Accent1 7 7 2" xfId="13522" xr:uid="{00000000-0005-0000-0000-0000A02F0000}"/>
    <cellStyle name="40% - Accent1 7 7 2 2" xfId="27071" xr:uid="{00000000-0005-0000-0000-0000A12F0000}"/>
    <cellStyle name="40% - Accent1 7 7 3" xfId="20419" xr:uid="{00000000-0005-0000-0000-0000A22F0000}"/>
    <cellStyle name="40% - Accent1 7 8" xfId="3096" xr:uid="{00000000-0005-0000-0000-0000A32F0000}"/>
    <cellStyle name="40% - Accent1 7 8 2" xfId="14103" xr:uid="{00000000-0005-0000-0000-0000A42F0000}"/>
    <cellStyle name="40% - Accent1 7 8 2 2" xfId="27652" xr:uid="{00000000-0005-0000-0000-0000A52F0000}"/>
    <cellStyle name="40% - Accent1 7 8 3" xfId="20420" xr:uid="{00000000-0005-0000-0000-0000A62F0000}"/>
    <cellStyle name="40% - Accent1 7 9" xfId="3097" xr:uid="{00000000-0005-0000-0000-0000A72F0000}"/>
    <cellStyle name="40% - Accent1 7 9 2" xfId="15153" xr:uid="{00000000-0005-0000-0000-0000A82F0000}"/>
    <cellStyle name="40% - Accent1 7 9 2 2" xfId="28702" xr:uid="{00000000-0005-0000-0000-0000A92F0000}"/>
    <cellStyle name="40% - Accent1 7 9 3" xfId="20421" xr:uid="{00000000-0005-0000-0000-0000AA2F0000}"/>
    <cellStyle name="40% - Accent1 8" xfId="3098" xr:uid="{00000000-0005-0000-0000-0000AB2F0000}"/>
    <cellStyle name="40% - Accent1 8 10" xfId="9264" xr:uid="{00000000-0005-0000-0000-0000AC2F0000}"/>
    <cellStyle name="40% - Accent1 8 10 2" xfId="23739" xr:uid="{00000000-0005-0000-0000-0000AD2F0000}"/>
    <cellStyle name="40% - Accent1 8 11" xfId="20422" xr:uid="{00000000-0005-0000-0000-0000AE2F0000}"/>
    <cellStyle name="40% - Accent1 8 2" xfId="3099" xr:uid="{00000000-0005-0000-0000-0000AF2F0000}"/>
    <cellStyle name="40% - Accent1 8 2 2" xfId="3100" xr:uid="{00000000-0005-0000-0000-0000B02F0000}"/>
    <cellStyle name="40% - Accent1 8 2 2 2" xfId="10991" xr:uid="{00000000-0005-0000-0000-0000B12F0000}"/>
    <cellStyle name="40% - Accent1 8 2 2 2 2" xfId="24933" xr:uid="{00000000-0005-0000-0000-0000B22F0000}"/>
    <cellStyle name="40% - Accent1 8 2 2 3" xfId="20424" xr:uid="{00000000-0005-0000-0000-0000B32F0000}"/>
    <cellStyle name="40% - Accent1 8 2 3" xfId="3101" xr:uid="{00000000-0005-0000-0000-0000B42F0000}"/>
    <cellStyle name="40% - Accent1 8 2 3 2" xfId="12764" xr:uid="{00000000-0005-0000-0000-0000B52F0000}"/>
    <cellStyle name="40% - Accent1 8 2 3 2 2" xfId="26476" xr:uid="{00000000-0005-0000-0000-0000B62F0000}"/>
    <cellStyle name="40% - Accent1 8 2 3 3" xfId="20425" xr:uid="{00000000-0005-0000-0000-0000B72F0000}"/>
    <cellStyle name="40% - Accent1 8 2 4" xfId="3102" xr:uid="{00000000-0005-0000-0000-0000B82F0000}"/>
    <cellStyle name="40% - Accent1 8 2 4 2" xfId="15160" xr:uid="{00000000-0005-0000-0000-0000B92F0000}"/>
    <cellStyle name="40% - Accent1 8 2 4 2 2" xfId="28709" xr:uid="{00000000-0005-0000-0000-0000BA2F0000}"/>
    <cellStyle name="40% - Accent1 8 2 4 3" xfId="20426" xr:uid="{00000000-0005-0000-0000-0000BB2F0000}"/>
    <cellStyle name="40% - Accent1 8 2 5" xfId="3103" xr:uid="{00000000-0005-0000-0000-0000BC2F0000}"/>
    <cellStyle name="40% - Accent1 8 2 5 2" xfId="16718" xr:uid="{00000000-0005-0000-0000-0000BD2F0000}"/>
    <cellStyle name="40% - Accent1 8 2 5 2 2" xfId="30125" xr:uid="{00000000-0005-0000-0000-0000BE2F0000}"/>
    <cellStyle name="40% - Accent1 8 2 5 3" xfId="20427" xr:uid="{00000000-0005-0000-0000-0000BF2F0000}"/>
    <cellStyle name="40% - Accent1 8 2 6" xfId="9265" xr:uid="{00000000-0005-0000-0000-0000C02F0000}"/>
    <cellStyle name="40% - Accent1 8 2 6 2" xfId="23740" xr:uid="{00000000-0005-0000-0000-0000C12F0000}"/>
    <cellStyle name="40% - Accent1 8 2 7" xfId="20423" xr:uid="{00000000-0005-0000-0000-0000C22F0000}"/>
    <cellStyle name="40% - Accent1 8 3" xfId="3104" xr:uid="{00000000-0005-0000-0000-0000C32F0000}"/>
    <cellStyle name="40% - Accent1 8 3 2" xfId="3105" xr:uid="{00000000-0005-0000-0000-0000C42F0000}"/>
    <cellStyle name="40% - Accent1 8 3 2 2" xfId="15161" xr:uid="{00000000-0005-0000-0000-0000C52F0000}"/>
    <cellStyle name="40% - Accent1 8 3 2 2 2" xfId="28710" xr:uid="{00000000-0005-0000-0000-0000C62F0000}"/>
    <cellStyle name="40% - Accent1 8 3 2 3" xfId="20429" xr:uid="{00000000-0005-0000-0000-0000C72F0000}"/>
    <cellStyle name="40% - Accent1 8 3 3" xfId="10990" xr:uid="{00000000-0005-0000-0000-0000C82F0000}"/>
    <cellStyle name="40% - Accent1 8 3 3 2" xfId="24932" xr:uid="{00000000-0005-0000-0000-0000C92F0000}"/>
    <cellStyle name="40% - Accent1 8 3 4" xfId="20428" xr:uid="{00000000-0005-0000-0000-0000CA2F0000}"/>
    <cellStyle name="40% - Accent1 8 4" xfId="3106" xr:uid="{00000000-0005-0000-0000-0000CB2F0000}"/>
    <cellStyle name="40% - Accent1 8 4 2" xfId="12096" xr:uid="{00000000-0005-0000-0000-0000CC2F0000}"/>
    <cellStyle name="40% - Accent1 8 4 2 2" xfId="25810" xr:uid="{00000000-0005-0000-0000-0000CD2F0000}"/>
    <cellStyle name="40% - Accent1 8 4 3" xfId="20430" xr:uid="{00000000-0005-0000-0000-0000CE2F0000}"/>
    <cellStyle name="40% - Accent1 8 5" xfId="3107" xr:uid="{00000000-0005-0000-0000-0000CF2F0000}"/>
    <cellStyle name="40% - Accent1 8 5 2" xfId="12513" xr:uid="{00000000-0005-0000-0000-0000D02F0000}"/>
    <cellStyle name="40% - Accent1 8 5 2 2" xfId="26225" xr:uid="{00000000-0005-0000-0000-0000D12F0000}"/>
    <cellStyle name="40% - Accent1 8 5 3" xfId="20431" xr:uid="{00000000-0005-0000-0000-0000D22F0000}"/>
    <cellStyle name="40% - Accent1 8 6" xfId="3108" xr:uid="{00000000-0005-0000-0000-0000D32F0000}"/>
    <cellStyle name="40% - Accent1 8 6 2" xfId="13670" xr:uid="{00000000-0005-0000-0000-0000D42F0000}"/>
    <cellStyle name="40% - Accent1 8 6 2 2" xfId="27219" xr:uid="{00000000-0005-0000-0000-0000D52F0000}"/>
    <cellStyle name="40% - Accent1 8 6 3" xfId="20432" xr:uid="{00000000-0005-0000-0000-0000D62F0000}"/>
    <cellStyle name="40% - Accent1 8 7" xfId="3109" xr:uid="{00000000-0005-0000-0000-0000D72F0000}"/>
    <cellStyle name="40% - Accent1 8 7 2" xfId="14251" xr:uid="{00000000-0005-0000-0000-0000D82F0000}"/>
    <cellStyle name="40% - Accent1 8 7 2 2" xfId="27800" xr:uid="{00000000-0005-0000-0000-0000D92F0000}"/>
    <cellStyle name="40% - Accent1 8 7 3" xfId="20433" xr:uid="{00000000-0005-0000-0000-0000DA2F0000}"/>
    <cellStyle name="40% - Accent1 8 8" xfId="3110" xr:uid="{00000000-0005-0000-0000-0000DB2F0000}"/>
    <cellStyle name="40% - Accent1 8 8 2" xfId="15159" xr:uid="{00000000-0005-0000-0000-0000DC2F0000}"/>
    <cellStyle name="40% - Accent1 8 8 2 2" xfId="28708" xr:uid="{00000000-0005-0000-0000-0000DD2F0000}"/>
    <cellStyle name="40% - Accent1 8 8 3" xfId="20434" xr:uid="{00000000-0005-0000-0000-0000DE2F0000}"/>
    <cellStyle name="40% - Accent1 8 9" xfId="3111" xr:uid="{00000000-0005-0000-0000-0000DF2F0000}"/>
    <cellStyle name="40% - Accent1 8 9 2" xfId="16137" xr:uid="{00000000-0005-0000-0000-0000E02F0000}"/>
    <cellStyle name="40% - Accent1 8 9 2 2" xfId="29544" xr:uid="{00000000-0005-0000-0000-0000E12F0000}"/>
    <cellStyle name="40% - Accent1 8 9 3" xfId="20435" xr:uid="{00000000-0005-0000-0000-0000E22F0000}"/>
    <cellStyle name="40% - Accent1 9" xfId="3112" xr:uid="{00000000-0005-0000-0000-0000E32F0000}"/>
    <cellStyle name="40% - Accent1 9 2" xfId="3113" xr:uid="{00000000-0005-0000-0000-0000E42F0000}"/>
    <cellStyle name="40% - Accent1 9 2 2" xfId="10992" xr:uid="{00000000-0005-0000-0000-0000E52F0000}"/>
    <cellStyle name="40% - Accent1 9 2 2 2" xfId="24934" xr:uid="{00000000-0005-0000-0000-0000E62F0000}"/>
    <cellStyle name="40% - Accent1 9 2 3" xfId="20437" xr:uid="{00000000-0005-0000-0000-0000E72F0000}"/>
    <cellStyle name="40% - Accent1 9 3" xfId="3114" xr:uid="{00000000-0005-0000-0000-0000E82F0000}"/>
    <cellStyle name="40% - Accent1 9 3 2" xfId="11786" xr:uid="{00000000-0005-0000-0000-0000E92F0000}"/>
    <cellStyle name="40% - Accent1 9 3 2 2" xfId="25501" xr:uid="{00000000-0005-0000-0000-0000EA2F0000}"/>
    <cellStyle name="40% - Accent1 9 3 3" xfId="20438" xr:uid="{00000000-0005-0000-0000-0000EB2F0000}"/>
    <cellStyle name="40% - Accent1 9 4" xfId="3115" xr:uid="{00000000-0005-0000-0000-0000EC2F0000}"/>
    <cellStyle name="40% - Accent1 9 4 2" xfId="15162" xr:uid="{00000000-0005-0000-0000-0000ED2F0000}"/>
    <cellStyle name="40% - Accent1 9 4 2 2" xfId="28711" xr:uid="{00000000-0005-0000-0000-0000EE2F0000}"/>
    <cellStyle name="40% - Accent1 9 4 3" xfId="20439" xr:uid="{00000000-0005-0000-0000-0000EF2F0000}"/>
    <cellStyle name="40% - Accent1 9 5" xfId="3116" xr:uid="{00000000-0005-0000-0000-0000F02F0000}"/>
    <cellStyle name="40% - Accent1 9 5 2" xfId="17102" xr:uid="{00000000-0005-0000-0000-0000F12F0000}"/>
    <cellStyle name="40% - Accent1 9 5 2 2" xfId="30461" xr:uid="{00000000-0005-0000-0000-0000F22F0000}"/>
    <cellStyle name="40% - Accent1 9 5 3" xfId="20440" xr:uid="{00000000-0005-0000-0000-0000F32F0000}"/>
    <cellStyle name="40% - Accent1 9 6" xfId="9266" xr:uid="{00000000-0005-0000-0000-0000F42F0000}"/>
    <cellStyle name="40% - Accent1 9 6 2" xfId="23741" xr:uid="{00000000-0005-0000-0000-0000F52F0000}"/>
    <cellStyle name="40% - Accent1 9 7" xfId="20436" xr:uid="{00000000-0005-0000-0000-0000F62F0000}"/>
    <cellStyle name="40% - Accent2" xfId="33" builtinId="35" customBuiltin="1"/>
    <cellStyle name="40% - Accent2 10" xfId="3117" xr:uid="{00000000-0005-0000-0000-0000F82F0000}"/>
    <cellStyle name="40% - Accent2 10 2" xfId="3118" xr:uid="{00000000-0005-0000-0000-0000F92F0000}"/>
    <cellStyle name="40% - Accent2 10 2 2" xfId="11770" xr:uid="{00000000-0005-0000-0000-0000FA2F0000}"/>
    <cellStyle name="40% - Accent2 10 2 2 2" xfId="25485" xr:uid="{00000000-0005-0000-0000-0000FB2F0000}"/>
    <cellStyle name="40% - Accent2 10 2 3" xfId="20443" xr:uid="{00000000-0005-0000-0000-0000FC2F0000}"/>
    <cellStyle name="40% - Accent2 10 3" xfId="3119" xr:uid="{00000000-0005-0000-0000-0000FD2F0000}"/>
    <cellStyle name="40% - Accent2 10 3 2" xfId="15163" xr:uid="{00000000-0005-0000-0000-0000FE2F0000}"/>
    <cellStyle name="40% - Accent2 10 3 2 2" xfId="28712" xr:uid="{00000000-0005-0000-0000-0000FF2F0000}"/>
    <cellStyle name="40% - Accent2 10 3 3" xfId="20444" xr:uid="{00000000-0005-0000-0000-000000300000}"/>
    <cellStyle name="40% - Accent2 10 4" xfId="3120" xr:uid="{00000000-0005-0000-0000-000001300000}"/>
    <cellStyle name="40% - Accent2 10 4 2" xfId="17192" xr:uid="{00000000-0005-0000-0000-000002300000}"/>
    <cellStyle name="40% - Accent2 10 4 2 2" xfId="30551" xr:uid="{00000000-0005-0000-0000-000003300000}"/>
    <cellStyle name="40% - Accent2 10 4 3" xfId="20445" xr:uid="{00000000-0005-0000-0000-000004300000}"/>
    <cellStyle name="40% - Accent2 10 5" xfId="10510" xr:uid="{00000000-0005-0000-0000-000005300000}"/>
    <cellStyle name="40% - Accent2 10 5 2" xfId="24458" xr:uid="{00000000-0005-0000-0000-000006300000}"/>
    <cellStyle name="40% - Accent2 10 6" xfId="20442" xr:uid="{00000000-0005-0000-0000-000007300000}"/>
    <cellStyle name="40% - Accent2 11" xfId="3121" xr:uid="{00000000-0005-0000-0000-000008300000}"/>
    <cellStyle name="40% - Accent2 11 2" xfId="3122" xr:uid="{00000000-0005-0000-0000-000009300000}"/>
    <cellStyle name="40% - Accent2 11 2 2" xfId="12606" xr:uid="{00000000-0005-0000-0000-00000A300000}"/>
    <cellStyle name="40% - Accent2 11 2 2 2" xfId="26318" xr:uid="{00000000-0005-0000-0000-00000B300000}"/>
    <cellStyle name="40% - Accent2 11 2 3" xfId="20447" xr:uid="{00000000-0005-0000-0000-00000C300000}"/>
    <cellStyle name="40% - Accent2 11 3" xfId="3123" xr:uid="{00000000-0005-0000-0000-00000D300000}"/>
    <cellStyle name="40% - Accent2 11 3 2" xfId="15164" xr:uid="{00000000-0005-0000-0000-00000E300000}"/>
    <cellStyle name="40% - Accent2 11 3 2 2" xfId="28713" xr:uid="{00000000-0005-0000-0000-00000F300000}"/>
    <cellStyle name="40% - Accent2 11 3 3" xfId="20448" xr:uid="{00000000-0005-0000-0000-000010300000}"/>
    <cellStyle name="40% - Accent2 11 4" xfId="3124" xr:uid="{00000000-0005-0000-0000-000011300000}"/>
    <cellStyle name="40% - Accent2 11 4 2" xfId="17281" xr:uid="{00000000-0005-0000-0000-000012300000}"/>
    <cellStyle name="40% - Accent2 11 4 2 2" xfId="30640" xr:uid="{00000000-0005-0000-0000-000013300000}"/>
    <cellStyle name="40% - Accent2 11 4 3" xfId="20449" xr:uid="{00000000-0005-0000-0000-000014300000}"/>
    <cellStyle name="40% - Accent2 11 5" xfId="10993" xr:uid="{00000000-0005-0000-0000-000015300000}"/>
    <cellStyle name="40% - Accent2 11 5 2" xfId="24935" xr:uid="{00000000-0005-0000-0000-000016300000}"/>
    <cellStyle name="40% - Accent2 11 6" xfId="20446" xr:uid="{00000000-0005-0000-0000-000017300000}"/>
    <cellStyle name="40% - Accent2 12" xfId="3125" xr:uid="{00000000-0005-0000-0000-000018300000}"/>
    <cellStyle name="40% - Accent2 12 2" xfId="3126" xr:uid="{00000000-0005-0000-0000-000019300000}"/>
    <cellStyle name="40% - Accent2 12 2 2" xfId="16433" xr:uid="{00000000-0005-0000-0000-00001A300000}"/>
    <cellStyle name="40% - Accent2 12 2 2 2" xfId="29840" xr:uid="{00000000-0005-0000-0000-00001B300000}"/>
    <cellStyle name="40% - Accent2 12 2 3" xfId="20451" xr:uid="{00000000-0005-0000-0000-00001C300000}"/>
    <cellStyle name="40% - Accent2 12 3" xfId="11746" xr:uid="{00000000-0005-0000-0000-00001D300000}"/>
    <cellStyle name="40% - Accent2 12 3 2" xfId="25461" xr:uid="{00000000-0005-0000-0000-00001E300000}"/>
    <cellStyle name="40% - Accent2 12 4" xfId="20450" xr:uid="{00000000-0005-0000-0000-00001F300000}"/>
    <cellStyle name="40% - Accent2 13" xfId="3127" xr:uid="{00000000-0005-0000-0000-000020300000}"/>
    <cellStyle name="40% - Accent2 13 2" xfId="13385" xr:uid="{00000000-0005-0000-0000-000021300000}"/>
    <cellStyle name="40% - Accent2 13 2 2" xfId="26934" xr:uid="{00000000-0005-0000-0000-000022300000}"/>
    <cellStyle name="40% - Accent2 13 3" xfId="20452" xr:uid="{00000000-0005-0000-0000-000023300000}"/>
    <cellStyle name="40% - Accent2 14" xfId="3128" xr:uid="{00000000-0005-0000-0000-000024300000}"/>
    <cellStyle name="40% - Accent2 14 2" xfId="13966" xr:uid="{00000000-0005-0000-0000-000025300000}"/>
    <cellStyle name="40% - Accent2 14 2 2" xfId="27515" xr:uid="{00000000-0005-0000-0000-000026300000}"/>
    <cellStyle name="40% - Accent2 14 3" xfId="20453" xr:uid="{00000000-0005-0000-0000-000027300000}"/>
    <cellStyle name="40% - Accent2 15" xfId="3129" xr:uid="{00000000-0005-0000-0000-000028300000}"/>
    <cellStyle name="40% - Accent2 15 2" xfId="15834" xr:uid="{00000000-0005-0000-0000-000029300000}"/>
    <cellStyle name="40% - Accent2 15 2 2" xfId="29241" xr:uid="{00000000-0005-0000-0000-00002A300000}"/>
    <cellStyle name="40% - Accent2 15 3" xfId="20454" xr:uid="{00000000-0005-0000-0000-00002B300000}"/>
    <cellStyle name="40% - Accent2 16" xfId="3130" xr:uid="{00000000-0005-0000-0000-00002C300000}"/>
    <cellStyle name="40% - Accent2 16 2" xfId="15852" xr:uid="{00000000-0005-0000-0000-00002D300000}"/>
    <cellStyle name="40% - Accent2 16 2 2" xfId="29259" xr:uid="{00000000-0005-0000-0000-00002E300000}"/>
    <cellStyle name="40% - Accent2 16 3" xfId="20455" xr:uid="{00000000-0005-0000-0000-00002F300000}"/>
    <cellStyle name="40% - Accent2 17" xfId="8816" xr:uid="{00000000-0005-0000-0000-000030300000}"/>
    <cellStyle name="40% - Accent2 17 2" xfId="23292" xr:uid="{00000000-0005-0000-0000-000031300000}"/>
    <cellStyle name="40% - Accent2 18" xfId="20441" xr:uid="{00000000-0005-0000-0000-000032300000}"/>
    <cellStyle name="40% - Accent2 2" xfId="3131" xr:uid="{00000000-0005-0000-0000-000033300000}"/>
    <cellStyle name="40% - Accent2 2 10" xfId="3132" xr:uid="{00000000-0005-0000-0000-000034300000}"/>
    <cellStyle name="40% - Accent2 2 10 2" xfId="15905" xr:uid="{00000000-0005-0000-0000-000035300000}"/>
    <cellStyle name="40% - Accent2 2 10 2 2" xfId="29312" xr:uid="{00000000-0005-0000-0000-000036300000}"/>
    <cellStyle name="40% - Accent2 2 10 3" xfId="20457" xr:uid="{00000000-0005-0000-0000-000037300000}"/>
    <cellStyle name="40% - Accent2 2 11" xfId="9267" xr:uid="{00000000-0005-0000-0000-000038300000}"/>
    <cellStyle name="40% - Accent2 2 11 2" xfId="23742" xr:uid="{00000000-0005-0000-0000-000039300000}"/>
    <cellStyle name="40% - Accent2 2 12" xfId="20456" xr:uid="{00000000-0005-0000-0000-00003A300000}"/>
    <cellStyle name="40% - Accent2 2 13" xfId="33067" xr:uid="{00000000-0005-0000-0000-00003B300000}"/>
    <cellStyle name="40% - Accent2 2 2" xfId="3133" xr:uid="{00000000-0005-0000-0000-00003C300000}"/>
    <cellStyle name="40% - Accent2 2 2 10" xfId="20458" xr:uid="{00000000-0005-0000-0000-00003D300000}"/>
    <cellStyle name="40% - Accent2 2 2 2" xfId="3134" xr:uid="{00000000-0005-0000-0000-00003E300000}"/>
    <cellStyle name="40% - Accent2 2 2 2 2" xfId="3135" xr:uid="{00000000-0005-0000-0000-00003F300000}"/>
    <cellStyle name="40% - Accent2 2 2 2 2 2" xfId="3136" xr:uid="{00000000-0005-0000-0000-000040300000}"/>
    <cellStyle name="40% - Accent2 2 2 2 2 2 2" xfId="3137" xr:uid="{00000000-0005-0000-0000-000041300000}"/>
    <cellStyle name="40% - Accent2 2 2 2 2 2 2 2" xfId="16964" xr:uid="{00000000-0005-0000-0000-000042300000}"/>
    <cellStyle name="40% - Accent2 2 2 2 2 2 2 2 2" xfId="30371" xr:uid="{00000000-0005-0000-0000-000043300000}"/>
    <cellStyle name="40% - Accent2 2 2 2 2 2 2 3" xfId="20462" xr:uid="{00000000-0005-0000-0000-000044300000}"/>
    <cellStyle name="40% - Accent2 2 2 2 2 2 3" xfId="10997" xr:uid="{00000000-0005-0000-0000-000045300000}"/>
    <cellStyle name="40% - Accent2 2 2 2 2 2 3 2" xfId="24939" xr:uid="{00000000-0005-0000-0000-000046300000}"/>
    <cellStyle name="40% - Accent2 2 2 2 2 2 4" xfId="20461" xr:uid="{00000000-0005-0000-0000-000047300000}"/>
    <cellStyle name="40% - Accent2 2 2 2 2 3" xfId="3138" xr:uid="{00000000-0005-0000-0000-000048300000}"/>
    <cellStyle name="40% - Accent2 2 2 2 2 3 2" xfId="12352" xr:uid="{00000000-0005-0000-0000-000049300000}"/>
    <cellStyle name="40% - Accent2 2 2 2 2 3 2 2" xfId="26064" xr:uid="{00000000-0005-0000-0000-00004A300000}"/>
    <cellStyle name="40% - Accent2 2 2 2 2 3 3" xfId="20463" xr:uid="{00000000-0005-0000-0000-00004B300000}"/>
    <cellStyle name="40% - Accent2 2 2 2 2 4" xfId="3139" xr:uid="{00000000-0005-0000-0000-00004C300000}"/>
    <cellStyle name="40% - Accent2 2 2 2 2 4 2" xfId="13916" xr:uid="{00000000-0005-0000-0000-00004D300000}"/>
    <cellStyle name="40% - Accent2 2 2 2 2 4 2 2" xfId="27465" xr:uid="{00000000-0005-0000-0000-00004E300000}"/>
    <cellStyle name="40% - Accent2 2 2 2 2 4 3" xfId="20464" xr:uid="{00000000-0005-0000-0000-00004F300000}"/>
    <cellStyle name="40% - Accent2 2 2 2 2 5" xfId="3140" xr:uid="{00000000-0005-0000-0000-000050300000}"/>
    <cellStyle name="40% - Accent2 2 2 2 2 5 2" xfId="14497" xr:uid="{00000000-0005-0000-0000-000051300000}"/>
    <cellStyle name="40% - Accent2 2 2 2 2 5 2 2" xfId="28046" xr:uid="{00000000-0005-0000-0000-000052300000}"/>
    <cellStyle name="40% - Accent2 2 2 2 2 5 3" xfId="20465" xr:uid="{00000000-0005-0000-0000-000053300000}"/>
    <cellStyle name="40% - Accent2 2 2 2 2 6" xfId="3141" xr:uid="{00000000-0005-0000-0000-000054300000}"/>
    <cellStyle name="40% - Accent2 2 2 2 2 6 2" xfId="16383" xr:uid="{00000000-0005-0000-0000-000055300000}"/>
    <cellStyle name="40% - Accent2 2 2 2 2 6 2 2" xfId="29790" xr:uid="{00000000-0005-0000-0000-000056300000}"/>
    <cellStyle name="40% - Accent2 2 2 2 2 6 3" xfId="20466" xr:uid="{00000000-0005-0000-0000-000057300000}"/>
    <cellStyle name="40% - Accent2 2 2 2 2 7" xfId="9270" xr:uid="{00000000-0005-0000-0000-000058300000}"/>
    <cellStyle name="40% - Accent2 2 2 2 2 7 2" xfId="23745" xr:uid="{00000000-0005-0000-0000-000059300000}"/>
    <cellStyle name="40% - Accent2 2 2 2 2 8" xfId="20460" xr:uid="{00000000-0005-0000-0000-00005A300000}"/>
    <cellStyle name="40% - Accent2 2 2 2 3" xfId="3142" xr:uid="{00000000-0005-0000-0000-00005B300000}"/>
    <cellStyle name="40% - Accent2 2 2 2 3 2" xfId="3143" xr:uid="{00000000-0005-0000-0000-00005C300000}"/>
    <cellStyle name="40% - Accent2 2 2 2 3 2 2" xfId="16675" xr:uid="{00000000-0005-0000-0000-00005D300000}"/>
    <cellStyle name="40% - Accent2 2 2 2 3 2 2 2" xfId="30082" xr:uid="{00000000-0005-0000-0000-00005E300000}"/>
    <cellStyle name="40% - Accent2 2 2 2 3 2 3" xfId="20468" xr:uid="{00000000-0005-0000-0000-00005F300000}"/>
    <cellStyle name="40% - Accent2 2 2 2 3 3" xfId="10996" xr:uid="{00000000-0005-0000-0000-000060300000}"/>
    <cellStyle name="40% - Accent2 2 2 2 3 3 2" xfId="24938" xr:uid="{00000000-0005-0000-0000-000061300000}"/>
    <cellStyle name="40% - Accent2 2 2 2 3 4" xfId="20467" xr:uid="{00000000-0005-0000-0000-000062300000}"/>
    <cellStyle name="40% - Accent2 2 2 2 4" xfId="3144" xr:uid="{00000000-0005-0000-0000-000063300000}"/>
    <cellStyle name="40% - Accent2 2 2 2 4 2" xfId="12052" xr:uid="{00000000-0005-0000-0000-000064300000}"/>
    <cellStyle name="40% - Accent2 2 2 2 4 2 2" xfId="25767" xr:uid="{00000000-0005-0000-0000-000065300000}"/>
    <cellStyle name="40% - Accent2 2 2 2 4 3" xfId="20469" xr:uid="{00000000-0005-0000-0000-000066300000}"/>
    <cellStyle name="40% - Accent2 2 2 2 5" xfId="3145" xr:uid="{00000000-0005-0000-0000-000067300000}"/>
    <cellStyle name="40% - Accent2 2 2 2 5 2" xfId="13627" xr:uid="{00000000-0005-0000-0000-000068300000}"/>
    <cellStyle name="40% - Accent2 2 2 2 5 2 2" xfId="27176" xr:uid="{00000000-0005-0000-0000-000069300000}"/>
    <cellStyle name="40% - Accent2 2 2 2 5 3" xfId="20470" xr:uid="{00000000-0005-0000-0000-00006A300000}"/>
    <cellStyle name="40% - Accent2 2 2 2 6" xfId="3146" xr:uid="{00000000-0005-0000-0000-00006B300000}"/>
    <cellStyle name="40% - Accent2 2 2 2 6 2" xfId="14208" xr:uid="{00000000-0005-0000-0000-00006C300000}"/>
    <cellStyle name="40% - Accent2 2 2 2 6 2 2" xfId="27757" xr:uid="{00000000-0005-0000-0000-00006D300000}"/>
    <cellStyle name="40% - Accent2 2 2 2 6 3" xfId="20471" xr:uid="{00000000-0005-0000-0000-00006E300000}"/>
    <cellStyle name="40% - Accent2 2 2 2 7" xfId="3147" xr:uid="{00000000-0005-0000-0000-00006F300000}"/>
    <cellStyle name="40% - Accent2 2 2 2 7 2" xfId="16094" xr:uid="{00000000-0005-0000-0000-000070300000}"/>
    <cellStyle name="40% - Accent2 2 2 2 7 2 2" xfId="29501" xr:uid="{00000000-0005-0000-0000-000071300000}"/>
    <cellStyle name="40% - Accent2 2 2 2 7 3" xfId="20472" xr:uid="{00000000-0005-0000-0000-000072300000}"/>
    <cellStyle name="40% - Accent2 2 2 2 8" xfId="9269" xr:uid="{00000000-0005-0000-0000-000073300000}"/>
    <cellStyle name="40% - Accent2 2 2 2 8 2" xfId="23744" xr:uid="{00000000-0005-0000-0000-000074300000}"/>
    <cellStyle name="40% - Accent2 2 2 2 9" xfId="20459" xr:uid="{00000000-0005-0000-0000-000075300000}"/>
    <cellStyle name="40% - Accent2 2 2 3" xfId="3148" xr:uid="{00000000-0005-0000-0000-000076300000}"/>
    <cellStyle name="40% - Accent2 2 2 3 2" xfId="3149" xr:uid="{00000000-0005-0000-0000-000077300000}"/>
    <cellStyle name="40% - Accent2 2 2 3 2 2" xfId="3150" xr:uid="{00000000-0005-0000-0000-000078300000}"/>
    <cellStyle name="40% - Accent2 2 2 3 2 2 2" xfId="16821" xr:uid="{00000000-0005-0000-0000-000079300000}"/>
    <cellStyle name="40% - Accent2 2 2 3 2 2 2 2" xfId="30228" xr:uid="{00000000-0005-0000-0000-00007A300000}"/>
    <cellStyle name="40% - Accent2 2 2 3 2 2 3" xfId="20475" xr:uid="{00000000-0005-0000-0000-00007B300000}"/>
    <cellStyle name="40% - Accent2 2 2 3 2 3" xfId="10998" xr:uid="{00000000-0005-0000-0000-00007C300000}"/>
    <cellStyle name="40% - Accent2 2 2 3 2 3 2" xfId="24940" xr:uid="{00000000-0005-0000-0000-00007D300000}"/>
    <cellStyle name="40% - Accent2 2 2 3 2 4" xfId="20474" xr:uid="{00000000-0005-0000-0000-00007E300000}"/>
    <cellStyle name="40% - Accent2 2 2 3 3" xfId="3151" xr:uid="{00000000-0005-0000-0000-00007F300000}"/>
    <cellStyle name="40% - Accent2 2 2 3 3 2" xfId="12209" xr:uid="{00000000-0005-0000-0000-000080300000}"/>
    <cellStyle name="40% - Accent2 2 2 3 3 2 2" xfId="25921" xr:uid="{00000000-0005-0000-0000-000081300000}"/>
    <cellStyle name="40% - Accent2 2 2 3 3 3" xfId="20476" xr:uid="{00000000-0005-0000-0000-000082300000}"/>
    <cellStyle name="40% - Accent2 2 2 3 4" xfId="3152" xr:uid="{00000000-0005-0000-0000-000083300000}"/>
    <cellStyle name="40% - Accent2 2 2 3 4 2" xfId="13773" xr:uid="{00000000-0005-0000-0000-000084300000}"/>
    <cellStyle name="40% - Accent2 2 2 3 4 2 2" xfId="27322" xr:uid="{00000000-0005-0000-0000-000085300000}"/>
    <cellStyle name="40% - Accent2 2 2 3 4 3" xfId="20477" xr:uid="{00000000-0005-0000-0000-000086300000}"/>
    <cellStyle name="40% - Accent2 2 2 3 5" xfId="3153" xr:uid="{00000000-0005-0000-0000-000087300000}"/>
    <cellStyle name="40% - Accent2 2 2 3 5 2" xfId="14354" xr:uid="{00000000-0005-0000-0000-000088300000}"/>
    <cellStyle name="40% - Accent2 2 2 3 5 2 2" xfId="27903" xr:uid="{00000000-0005-0000-0000-000089300000}"/>
    <cellStyle name="40% - Accent2 2 2 3 5 3" xfId="20478" xr:uid="{00000000-0005-0000-0000-00008A300000}"/>
    <cellStyle name="40% - Accent2 2 2 3 6" xfId="3154" xr:uid="{00000000-0005-0000-0000-00008B300000}"/>
    <cellStyle name="40% - Accent2 2 2 3 6 2" xfId="16240" xr:uid="{00000000-0005-0000-0000-00008C300000}"/>
    <cellStyle name="40% - Accent2 2 2 3 6 2 2" xfId="29647" xr:uid="{00000000-0005-0000-0000-00008D300000}"/>
    <cellStyle name="40% - Accent2 2 2 3 6 3" xfId="20479" xr:uid="{00000000-0005-0000-0000-00008E300000}"/>
    <cellStyle name="40% - Accent2 2 2 3 7" xfId="9271" xr:uid="{00000000-0005-0000-0000-00008F300000}"/>
    <cellStyle name="40% - Accent2 2 2 3 7 2" xfId="23746" xr:uid="{00000000-0005-0000-0000-000090300000}"/>
    <cellStyle name="40% - Accent2 2 2 3 8" xfId="20473" xr:uid="{00000000-0005-0000-0000-000091300000}"/>
    <cellStyle name="40% - Accent2 2 2 4" xfId="3155" xr:uid="{00000000-0005-0000-0000-000092300000}"/>
    <cellStyle name="40% - Accent2 2 2 4 2" xfId="3156" xr:uid="{00000000-0005-0000-0000-000093300000}"/>
    <cellStyle name="40% - Accent2 2 2 4 2 2" xfId="17168" xr:uid="{00000000-0005-0000-0000-000094300000}"/>
    <cellStyle name="40% - Accent2 2 2 4 2 2 2" xfId="30527" xr:uid="{00000000-0005-0000-0000-000095300000}"/>
    <cellStyle name="40% - Accent2 2 2 4 2 3" xfId="20481" xr:uid="{00000000-0005-0000-0000-000096300000}"/>
    <cellStyle name="40% - Accent2 2 2 4 3" xfId="10995" xr:uid="{00000000-0005-0000-0000-000097300000}"/>
    <cellStyle name="40% - Accent2 2 2 4 3 2" xfId="24937" xr:uid="{00000000-0005-0000-0000-000098300000}"/>
    <cellStyle name="40% - Accent2 2 2 4 4" xfId="20480" xr:uid="{00000000-0005-0000-0000-000099300000}"/>
    <cellStyle name="40% - Accent2 2 2 5" xfId="3157" xr:uid="{00000000-0005-0000-0000-00009A300000}"/>
    <cellStyle name="40% - Accent2 2 2 5 2" xfId="3158" xr:uid="{00000000-0005-0000-0000-00009B300000}"/>
    <cellStyle name="40% - Accent2 2 2 5 2 2" xfId="17257" xr:uid="{00000000-0005-0000-0000-00009C300000}"/>
    <cellStyle name="40% - Accent2 2 2 5 2 2 2" xfId="30616" xr:uid="{00000000-0005-0000-0000-00009D300000}"/>
    <cellStyle name="40% - Accent2 2 2 5 2 3" xfId="20483" xr:uid="{00000000-0005-0000-0000-00009E300000}"/>
    <cellStyle name="40% - Accent2 2 2 5 3" xfId="11907" xr:uid="{00000000-0005-0000-0000-00009F300000}"/>
    <cellStyle name="40% - Accent2 2 2 5 3 2" xfId="25622" xr:uid="{00000000-0005-0000-0000-0000A0300000}"/>
    <cellStyle name="40% - Accent2 2 2 5 4" xfId="20482" xr:uid="{00000000-0005-0000-0000-0000A1300000}"/>
    <cellStyle name="40% - Accent2 2 2 6" xfId="3159" xr:uid="{00000000-0005-0000-0000-0000A2300000}"/>
    <cellStyle name="40% - Accent2 2 2 6 2" xfId="3160" xr:uid="{00000000-0005-0000-0000-0000A3300000}"/>
    <cellStyle name="40% - Accent2 2 2 6 2 2" xfId="16532" xr:uid="{00000000-0005-0000-0000-0000A4300000}"/>
    <cellStyle name="40% - Accent2 2 2 6 2 2 2" xfId="29939" xr:uid="{00000000-0005-0000-0000-0000A5300000}"/>
    <cellStyle name="40% - Accent2 2 2 6 2 3" xfId="20485" xr:uid="{00000000-0005-0000-0000-0000A6300000}"/>
    <cellStyle name="40% - Accent2 2 2 6 3" xfId="13484" xr:uid="{00000000-0005-0000-0000-0000A7300000}"/>
    <cellStyle name="40% - Accent2 2 2 6 3 2" xfId="27033" xr:uid="{00000000-0005-0000-0000-0000A8300000}"/>
    <cellStyle name="40% - Accent2 2 2 6 4" xfId="20484" xr:uid="{00000000-0005-0000-0000-0000A9300000}"/>
    <cellStyle name="40% - Accent2 2 2 7" xfId="3161" xr:uid="{00000000-0005-0000-0000-0000AA300000}"/>
    <cellStyle name="40% - Accent2 2 2 7 2" xfId="14065" xr:uid="{00000000-0005-0000-0000-0000AB300000}"/>
    <cellStyle name="40% - Accent2 2 2 7 2 2" xfId="27614" xr:uid="{00000000-0005-0000-0000-0000AC300000}"/>
    <cellStyle name="40% - Accent2 2 2 7 3" xfId="20486" xr:uid="{00000000-0005-0000-0000-0000AD300000}"/>
    <cellStyle name="40% - Accent2 2 2 8" xfId="3162" xr:uid="{00000000-0005-0000-0000-0000AE300000}"/>
    <cellStyle name="40% - Accent2 2 2 8 2" xfId="15951" xr:uid="{00000000-0005-0000-0000-0000AF300000}"/>
    <cellStyle name="40% - Accent2 2 2 8 2 2" xfId="29358" xr:uid="{00000000-0005-0000-0000-0000B0300000}"/>
    <cellStyle name="40% - Accent2 2 2 8 3" xfId="20487" xr:uid="{00000000-0005-0000-0000-0000B1300000}"/>
    <cellStyle name="40% - Accent2 2 2 9" xfId="9268" xr:uid="{00000000-0005-0000-0000-0000B2300000}"/>
    <cellStyle name="40% - Accent2 2 2 9 2" xfId="23743" xr:uid="{00000000-0005-0000-0000-0000B3300000}"/>
    <cellStyle name="40% - Accent2 2 3" xfId="3163" xr:uid="{00000000-0005-0000-0000-0000B4300000}"/>
    <cellStyle name="40% - Accent2 2 3 2" xfId="3164" xr:uid="{00000000-0005-0000-0000-0000B5300000}"/>
    <cellStyle name="40% - Accent2 2 3 2 2" xfId="3165" xr:uid="{00000000-0005-0000-0000-0000B6300000}"/>
    <cellStyle name="40% - Accent2 2 3 2 2 2" xfId="3166" xr:uid="{00000000-0005-0000-0000-0000B7300000}"/>
    <cellStyle name="40% - Accent2 2 3 2 2 2 2" xfId="16918" xr:uid="{00000000-0005-0000-0000-0000B8300000}"/>
    <cellStyle name="40% - Accent2 2 3 2 2 2 2 2" xfId="30325" xr:uid="{00000000-0005-0000-0000-0000B9300000}"/>
    <cellStyle name="40% - Accent2 2 3 2 2 2 3" xfId="20491" xr:uid="{00000000-0005-0000-0000-0000BA300000}"/>
    <cellStyle name="40% - Accent2 2 3 2 2 3" xfId="11000" xr:uid="{00000000-0005-0000-0000-0000BB300000}"/>
    <cellStyle name="40% - Accent2 2 3 2 2 3 2" xfId="24942" xr:uid="{00000000-0005-0000-0000-0000BC300000}"/>
    <cellStyle name="40% - Accent2 2 3 2 2 4" xfId="20490" xr:uid="{00000000-0005-0000-0000-0000BD300000}"/>
    <cellStyle name="40% - Accent2 2 3 2 3" xfId="3167" xr:uid="{00000000-0005-0000-0000-0000BE300000}"/>
    <cellStyle name="40% - Accent2 2 3 2 3 2" xfId="12306" xr:uid="{00000000-0005-0000-0000-0000BF300000}"/>
    <cellStyle name="40% - Accent2 2 3 2 3 2 2" xfId="26018" xr:uid="{00000000-0005-0000-0000-0000C0300000}"/>
    <cellStyle name="40% - Accent2 2 3 2 3 3" xfId="20492" xr:uid="{00000000-0005-0000-0000-0000C1300000}"/>
    <cellStyle name="40% - Accent2 2 3 2 4" xfId="3168" xr:uid="{00000000-0005-0000-0000-0000C2300000}"/>
    <cellStyle name="40% - Accent2 2 3 2 4 2" xfId="13870" xr:uid="{00000000-0005-0000-0000-0000C3300000}"/>
    <cellStyle name="40% - Accent2 2 3 2 4 2 2" xfId="27419" xr:uid="{00000000-0005-0000-0000-0000C4300000}"/>
    <cellStyle name="40% - Accent2 2 3 2 4 3" xfId="20493" xr:uid="{00000000-0005-0000-0000-0000C5300000}"/>
    <cellStyle name="40% - Accent2 2 3 2 5" xfId="3169" xr:uid="{00000000-0005-0000-0000-0000C6300000}"/>
    <cellStyle name="40% - Accent2 2 3 2 5 2" xfId="14451" xr:uid="{00000000-0005-0000-0000-0000C7300000}"/>
    <cellStyle name="40% - Accent2 2 3 2 5 2 2" xfId="28000" xr:uid="{00000000-0005-0000-0000-0000C8300000}"/>
    <cellStyle name="40% - Accent2 2 3 2 5 3" xfId="20494" xr:uid="{00000000-0005-0000-0000-0000C9300000}"/>
    <cellStyle name="40% - Accent2 2 3 2 6" xfId="3170" xr:uid="{00000000-0005-0000-0000-0000CA300000}"/>
    <cellStyle name="40% - Accent2 2 3 2 6 2" xfId="16337" xr:uid="{00000000-0005-0000-0000-0000CB300000}"/>
    <cellStyle name="40% - Accent2 2 3 2 6 2 2" xfId="29744" xr:uid="{00000000-0005-0000-0000-0000CC300000}"/>
    <cellStyle name="40% - Accent2 2 3 2 6 3" xfId="20495" xr:uid="{00000000-0005-0000-0000-0000CD300000}"/>
    <cellStyle name="40% - Accent2 2 3 2 7" xfId="9273" xr:uid="{00000000-0005-0000-0000-0000CE300000}"/>
    <cellStyle name="40% - Accent2 2 3 2 7 2" xfId="23748" xr:uid="{00000000-0005-0000-0000-0000CF300000}"/>
    <cellStyle name="40% - Accent2 2 3 2 8" xfId="20489" xr:uid="{00000000-0005-0000-0000-0000D0300000}"/>
    <cellStyle name="40% - Accent2 2 3 3" xfId="3171" xr:uid="{00000000-0005-0000-0000-0000D1300000}"/>
    <cellStyle name="40% - Accent2 2 3 3 2" xfId="3172" xr:uid="{00000000-0005-0000-0000-0000D2300000}"/>
    <cellStyle name="40% - Accent2 2 3 3 2 2" xfId="16629" xr:uid="{00000000-0005-0000-0000-0000D3300000}"/>
    <cellStyle name="40% - Accent2 2 3 3 2 2 2" xfId="30036" xr:uid="{00000000-0005-0000-0000-0000D4300000}"/>
    <cellStyle name="40% - Accent2 2 3 3 2 3" xfId="20497" xr:uid="{00000000-0005-0000-0000-0000D5300000}"/>
    <cellStyle name="40% - Accent2 2 3 3 3" xfId="10999" xr:uid="{00000000-0005-0000-0000-0000D6300000}"/>
    <cellStyle name="40% - Accent2 2 3 3 3 2" xfId="24941" xr:uid="{00000000-0005-0000-0000-0000D7300000}"/>
    <cellStyle name="40% - Accent2 2 3 3 4" xfId="20496" xr:uid="{00000000-0005-0000-0000-0000D8300000}"/>
    <cellStyle name="40% - Accent2 2 3 4" xfId="3173" xr:uid="{00000000-0005-0000-0000-0000D9300000}"/>
    <cellStyle name="40% - Accent2 2 3 4 2" xfId="12006" xr:uid="{00000000-0005-0000-0000-0000DA300000}"/>
    <cellStyle name="40% - Accent2 2 3 4 2 2" xfId="25721" xr:uid="{00000000-0005-0000-0000-0000DB300000}"/>
    <cellStyle name="40% - Accent2 2 3 4 3" xfId="20498" xr:uid="{00000000-0005-0000-0000-0000DC300000}"/>
    <cellStyle name="40% - Accent2 2 3 5" xfId="3174" xr:uid="{00000000-0005-0000-0000-0000DD300000}"/>
    <cellStyle name="40% - Accent2 2 3 5 2" xfId="13581" xr:uid="{00000000-0005-0000-0000-0000DE300000}"/>
    <cellStyle name="40% - Accent2 2 3 5 2 2" xfId="27130" xr:uid="{00000000-0005-0000-0000-0000DF300000}"/>
    <cellStyle name="40% - Accent2 2 3 5 3" xfId="20499" xr:uid="{00000000-0005-0000-0000-0000E0300000}"/>
    <cellStyle name="40% - Accent2 2 3 6" xfId="3175" xr:uid="{00000000-0005-0000-0000-0000E1300000}"/>
    <cellStyle name="40% - Accent2 2 3 6 2" xfId="14162" xr:uid="{00000000-0005-0000-0000-0000E2300000}"/>
    <cellStyle name="40% - Accent2 2 3 6 2 2" xfId="27711" xr:uid="{00000000-0005-0000-0000-0000E3300000}"/>
    <cellStyle name="40% - Accent2 2 3 6 3" xfId="20500" xr:uid="{00000000-0005-0000-0000-0000E4300000}"/>
    <cellStyle name="40% - Accent2 2 3 7" xfId="3176" xr:uid="{00000000-0005-0000-0000-0000E5300000}"/>
    <cellStyle name="40% - Accent2 2 3 7 2" xfId="16048" xr:uid="{00000000-0005-0000-0000-0000E6300000}"/>
    <cellStyle name="40% - Accent2 2 3 7 2 2" xfId="29455" xr:uid="{00000000-0005-0000-0000-0000E7300000}"/>
    <cellStyle name="40% - Accent2 2 3 7 3" xfId="20501" xr:uid="{00000000-0005-0000-0000-0000E8300000}"/>
    <cellStyle name="40% - Accent2 2 3 8" xfId="9272" xr:uid="{00000000-0005-0000-0000-0000E9300000}"/>
    <cellStyle name="40% - Accent2 2 3 8 2" xfId="23747" xr:uid="{00000000-0005-0000-0000-0000EA300000}"/>
    <cellStyle name="40% - Accent2 2 3 9" xfId="20488" xr:uid="{00000000-0005-0000-0000-0000EB300000}"/>
    <cellStyle name="40% - Accent2 2 4" xfId="3177" xr:uid="{00000000-0005-0000-0000-0000EC300000}"/>
    <cellStyle name="40% - Accent2 2 4 2" xfId="3178" xr:uid="{00000000-0005-0000-0000-0000ED300000}"/>
    <cellStyle name="40% - Accent2 2 4 2 2" xfId="3179" xr:uid="{00000000-0005-0000-0000-0000EE300000}"/>
    <cellStyle name="40% - Accent2 2 4 2 2 2" xfId="16775" xr:uid="{00000000-0005-0000-0000-0000EF300000}"/>
    <cellStyle name="40% - Accent2 2 4 2 2 2 2" xfId="30182" xr:uid="{00000000-0005-0000-0000-0000F0300000}"/>
    <cellStyle name="40% - Accent2 2 4 2 2 3" xfId="20504" xr:uid="{00000000-0005-0000-0000-0000F1300000}"/>
    <cellStyle name="40% - Accent2 2 4 2 3" xfId="11001" xr:uid="{00000000-0005-0000-0000-0000F2300000}"/>
    <cellStyle name="40% - Accent2 2 4 2 3 2" xfId="24943" xr:uid="{00000000-0005-0000-0000-0000F3300000}"/>
    <cellStyle name="40% - Accent2 2 4 2 4" xfId="20503" xr:uid="{00000000-0005-0000-0000-0000F4300000}"/>
    <cellStyle name="40% - Accent2 2 4 3" xfId="3180" xr:uid="{00000000-0005-0000-0000-0000F5300000}"/>
    <cellStyle name="40% - Accent2 2 4 3 2" xfId="12163" xr:uid="{00000000-0005-0000-0000-0000F6300000}"/>
    <cellStyle name="40% - Accent2 2 4 3 2 2" xfId="25875" xr:uid="{00000000-0005-0000-0000-0000F7300000}"/>
    <cellStyle name="40% - Accent2 2 4 3 3" xfId="20505" xr:uid="{00000000-0005-0000-0000-0000F8300000}"/>
    <cellStyle name="40% - Accent2 2 4 4" xfId="3181" xr:uid="{00000000-0005-0000-0000-0000F9300000}"/>
    <cellStyle name="40% - Accent2 2 4 4 2" xfId="13727" xr:uid="{00000000-0005-0000-0000-0000FA300000}"/>
    <cellStyle name="40% - Accent2 2 4 4 2 2" xfId="27276" xr:uid="{00000000-0005-0000-0000-0000FB300000}"/>
    <cellStyle name="40% - Accent2 2 4 4 3" xfId="20506" xr:uid="{00000000-0005-0000-0000-0000FC300000}"/>
    <cellStyle name="40% - Accent2 2 4 5" xfId="3182" xr:uid="{00000000-0005-0000-0000-0000FD300000}"/>
    <cellStyle name="40% - Accent2 2 4 5 2" xfId="14308" xr:uid="{00000000-0005-0000-0000-0000FE300000}"/>
    <cellStyle name="40% - Accent2 2 4 5 2 2" xfId="27857" xr:uid="{00000000-0005-0000-0000-0000FF300000}"/>
    <cellStyle name="40% - Accent2 2 4 5 3" xfId="20507" xr:uid="{00000000-0005-0000-0000-000000310000}"/>
    <cellStyle name="40% - Accent2 2 4 6" xfId="3183" xr:uid="{00000000-0005-0000-0000-000001310000}"/>
    <cellStyle name="40% - Accent2 2 4 6 2" xfId="16194" xr:uid="{00000000-0005-0000-0000-000002310000}"/>
    <cellStyle name="40% - Accent2 2 4 6 2 2" xfId="29601" xr:uid="{00000000-0005-0000-0000-000003310000}"/>
    <cellStyle name="40% - Accent2 2 4 6 3" xfId="20508" xr:uid="{00000000-0005-0000-0000-000004310000}"/>
    <cellStyle name="40% - Accent2 2 4 7" xfId="9274" xr:uid="{00000000-0005-0000-0000-000005310000}"/>
    <cellStyle name="40% - Accent2 2 4 7 2" xfId="23749" xr:uid="{00000000-0005-0000-0000-000006310000}"/>
    <cellStyle name="40% - Accent2 2 4 8" xfId="20502" xr:uid="{00000000-0005-0000-0000-000007310000}"/>
    <cellStyle name="40% - Accent2 2 5" xfId="3184" xr:uid="{00000000-0005-0000-0000-000008310000}"/>
    <cellStyle name="40% - Accent2 2 5 2" xfId="3185" xr:uid="{00000000-0005-0000-0000-000009310000}"/>
    <cellStyle name="40% - Accent2 2 5 2 2" xfId="12622" xr:uid="{00000000-0005-0000-0000-00000A310000}"/>
    <cellStyle name="40% - Accent2 2 5 2 2 2" xfId="26334" xr:uid="{00000000-0005-0000-0000-00000B310000}"/>
    <cellStyle name="40% - Accent2 2 5 2 3" xfId="20510" xr:uid="{00000000-0005-0000-0000-00000C310000}"/>
    <cellStyle name="40% - Accent2 2 5 3" xfId="3186" xr:uid="{00000000-0005-0000-0000-00000D310000}"/>
    <cellStyle name="40% - Accent2 2 5 3 2" xfId="15165" xr:uid="{00000000-0005-0000-0000-00000E310000}"/>
    <cellStyle name="40% - Accent2 2 5 3 2 2" xfId="28714" xr:uid="{00000000-0005-0000-0000-00000F310000}"/>
    <cellStyle name="40% - Accent2 2 5 3 3" xfId="20511" xr:uid="{00000000-0005-0000-0000-000010310000}"/>
    <cellStyle name="40% - Accent2 2 5 4" xfId="3187" xr:uid="{00000000-0005-0000-0000-000011310000}"/>
    <cellStyle name="40% - Accent2 2 5 4 2" xfId="17014" xr:uid="{00000000-0005-0000-0000-000012310000}"/>
    <cellStyle name="40% - Accent2 2 5 4 2 2" xfId="30421" xr:uid="{00000000-0005-0000-0000-000013310000}"/>
    <cellStyle name="40% - Accent2 2 5 4 3" xfId="20512" xr:uid="{00000000-0005-0000-0000-000014310000}"/>
    <cellStyle name="40% - Accent2 2 5 5" xfId="10535" xr:uid="{00000000-0005-0000-0000-000015310000}"/>
    <cellStyle name="40% - Accent2 2 5 5 2" xfId="24477" xr:uid="{00000000-0005-0000-0000-000016310000}"/>
    <cellStyle name="40% - Accent2 2 5 6" xfId="20509" xr:uid="{00000000-0005-0000-0000-000017310000}"/>
    <cellStyle name="40% - Accent2 2 6" xfId="3188" xr:uid="{00000000-0005-0000-0000-000018310000}"/>
    <cellStyle name="40% - Accent2 2 6 2" xfId="3189" xr:uid="{00000000-0005-0000-0000-000019310000}"/>
    <cellStyle name="40% - Accent2 2 6 2 2" xfId="12739" xr:uid="{00000000-0005-0000-0000-00001A310000}"/>
    <cellStyle name="40% - Accent2 2 6 2 2 2" xfId="26451" xr:uid="{00000000-0005-0000-0000-00001B310000}"/>
    <cellStyle name="40% - Accent2 2 6 2 3" xfId="20514" xr:uid="{00000000-0005-0000-0000-00001C310000}"/>
    <cellStyle name="40% - Accent2 2 6 3" xfId="3190" xr:uid="{00000000-0005-0000-0000-00001D310000}"/>
    <cellStyle name="40% - Accent2 2 6 3 2" xfId="15166" xr:uid="{00000000-0005-0000-0000-00001E310000}"/>
    <cellStyle name="40% - Accent2 2 6 3 2 2" xfId="28715" xr:uid="{00000000-0005-0000-0000-00001F310000}"/>
    <cellStyle name="40% - Accent2 2 6 3 3" xfId="20515" xr:uid="{00000000-0005-0000-0000-000020310000}"/>
    <cellStyle name="40% - Accent2 2 6 4" xfId="3191" xr:uid="{00000000-0005-0000-0000-000021310000}"/>
    <cellStyle name="40% - Accent2 2 6 4 2" xfId="17122" xr:uid="{00000000-0005-0000-0000-000022310000}"/>
    <cellStyle name="40% - Accent2 2 6 4 2 2" xfId="30481" xr:uid="{00000000-0005-0000-0000-000023310000}"/>
    <cellStyle name="40% - Accent2 2 6 4 3" xfId="20516" xr:uid="{00000000-0005-0000-0000-000024310000}"/>
    <cellStyle name="40% - Accent2 2 6 5" xfId="10994" xr:uid="{00000000-0005-0000-0000-000025310000}"/>
    <cellStyle name="40% - Accent2 2 6 5 2" xfId="24936" xr:uid="{00000000-0005-0000-0000-000026310000}"/>
    <cellStyle name="40% - Accent2 2 6 6" xfId="20513" xr:uid="{00000000-0005-0000-0000-000027310000}"/>
    <cellStyle name="40% - Accent2 2 7" xfId="3192" xr:uid="{00000000-0005-0000-0000-000028310000}"/>
    <cellStyle name="40% - Accent2 2 7 2" xfId="3193" xr:uid="{00000000-0005-0000-0000-000029310000}"/>
    <cellStyle name="40% - Accent2 2 7 2 2" xfId="17211" xr:uid="{00000000-0005-0000-0000-00002A310000}"/>
    <cellStyle name="40% - Accent2 2 7 2 2 2" xfId="30570" xr:uid="{00000000-0005-0000-0000-00002B310000}"/>
    <cellStyle name="40% - Accent2 2 7 2 3" xfId="20518" xr:uid="{00000000-0005-0000-0000-00002C310000}"/>
    <cellStyle name="40% - Accent2 2 7 3" xfId="11839" xr:uid="{00000000-0005-0000-0000-00002D310000}"/>
    <cellStyle name="40% - Accent2 2 7 3 2" xfId="25554" xr:uid="{00000000-0005-0000-0000-00002E310000}"/>
    <cellStyle name="40% - Accent2 2 7 4" xfId="20517" xr:uid="{00000000-0005-0000-0000-00002F310000}"/>
    <cellStyle name="40% - Accent2 2 8" xfId="3194" xr:uid="{00000000-0005-0000-0000-000030310000}"/>
    <cellStyle name="40% - Accent2 2 8 2" xfId="3195" xr:uid="{00000000-0005-0000-0000-000031310000}"/>
    <cellStyle name="40% - Accent2 2 8 2 2" xfId="16486" xr:uid="{00000000-0005-0000-0000-000032310000}"/>
    <cellStyle name="40% - Accent2 2 8 2 2 2" xfId="29893" xr:uid="{00000000-0005-0000-0000-000033310000}"/>
    <cellStyle name="40% - Accent2 2 8 2 3" xfId="20520" xr:uid="{00000000-0005-0000-0000-000034310000}"/>
    <cellStyle name="40% - Accent2 2 8 3" xfId="13438" xr:uid="{00000000-0005-0000-0000-000035310000}"/>
    <cellStyle name="40% - Accent2 2 8 3 2" xfId="26987" xr:uid="{00000000-0005-0000-0000-000036310000}"/>
    <cellStyle name="40% - Accent2 2 8 4" xfId="20519" xr:uid="{00000000-0005-0000-0000-000037310000}"/>
    <cellStyle name="40% - Accent2 2 9" xfId="3196" xr:uid="{00000000-0005-0000-0000-000038310000}"/>
    <cellStyle name="40% - Accent2 2 9 2" xfId="14019" xr:uid="{00000000-0005-0000-0000-000039310000}"/>
    <cellStyle name="40% - Accent2 2 9 2 2" xfId="27568" xr:uid="{00000000-0005-0000-0000-00003A310000}"/>
    <cellStyle name="40% - Accent2 2 9 3" xfId="20521" xr:uid="{00000000-0005-0000-0000-00003B310000}"/>
    <cellStyle name="40% - Accent2 3" xfId="3197" xr:uid="{00000000-0005-0000-0000-00003C310000}"/>
    <cellStyle name="40% - Accent2 3 10" xfId="20522" xr:uid="{00000000-0005-0000-0000-00003D310000}"/>
    <cellStyle name="40% - Accent2 3 2" xfId="3198" xr:uid="{00000000-0005-0000-0000-00003E310000}"/>
    <cellStyle name="40% - Accent2 3 2 2" xfId="3199" xr:uid="{00000000-0005-0000-0000-00003F310000}"/>
    <cellStyle name="40% - Accent2 3 2 2 2" xfId="3200" xr:uid="{00000000-0005-0000-0000-000040310000}"/>
    <cellStyle name="40% - Accent2 3 2 2 2 2" xfId="3201" xr:uid="{00000000-0005-0000-0000-000041310000}"/>
    <cellStyle name="40% - Accent2 3 2 2 2 2 2" xfId="16941" xr:uid="{00000000-0005-0000-0000-000042310000}"/>
    <cellStyle name="40% - Accent2 3 2 2 2 2 2 2" xfId="30348" xr:uid="{00000000-0005-0000-0000-000043310000}"/>
    <cellStyle name="40% - Accent2 3 2 2 2 2 3" xfId="20526" xr:uid="{00000000-0005-0000-0000-000044310000}"/>
    <cellStyle name="40% - Accent2 3 2 2 2 3" xfId="11004" xr:uid="{00000000-0005-0000-0000-000045310000}"/>
    <cellStyle name="40% - Accent2 3 2 2 2 3 2" xfId="24946" xr:uid="{00000000-0005-0000-0000-000046310000}"/>
    <cellStyle name="40% - Accent2 3 2 2 2 4" xfId="20525" xr:uid="{00000000-0005-0000-0000-000047310000}"/>
    <cellStyle name="40% - Accent2 3 2 2 3" xfId="3202" xr:uid="{00000000-0005-0000-0000-000048310000}"/>
    <cellStyle name="40% - Accent2 3 2 2 3 2" xfId="12329" xr:uid="{00000000-0005-0000-0000-000049310000}"/>
    <cellStyle name="40% - Accent2 3 2 2 3 2 2" xfId="26041" xr:uid="{00000000-0005-0000-0000-00004A310000}"/>
    <cellStyle name="40% - Accent2 3 2 2 3 3" xfId="20527" xr:uid="{00000000-0005-0000-0000-00004B310000}"/>
    <cellStyle name="40% - Accent2 3 2 2 4" xfId="3203" xr:uid="{00000000-0005-0000-0000-00004C310000}"/>
    <cellStyle name="40% - Accent2 3 2 2 4 2" xfId="13893" xr:uid="{00000000-0005-0000-0000-00004D310000}"/>
    <cellStyle name="40% - Accent2 3 2 2 4 2 2" xfId="27442" xr:uid="{00000000-0005-0000-0000-00004E310000}"/>
    <cellStyle name="40% - Accent2 3 2 2 4 3" xfId="20528" xr:uid="{00000000-0005-0000-0000-00004F310000}"/>
    <cellStyle name="40% - Accent2 3 2 2 5" xfId="3204" xr:uid="{00000000-0005-0000-0000-000050310000}"/>
    <cellStyle name="40% - Accent2 3 2 2 5 2" xfId="14474" xr:uid="{00000000-0005-0000-0000-000051310000}"/>
    <cellStyle name="40% - Accent2 3 2 2 5 2 2" xfId="28023" xr:uid="{00000000-0005-0000-0000-000052310000}"/>
    <cellStyle name="40% - Accent2 3 2 2 5 3" xfId="20529" xr:uid="{00000000-0005-0000-0000-000053310000}"/>
    <cellStyle name="40% - Accent2 3 2 2 6" xfId="3205" xr:uid="{00000000-0005-0000-0000-000054310000}"/>
    <cellStyle name="40% - Accent2 3 2 2 6 2" xfId="16360" xr:uid="{00000000-0005-0000-0000-000055310000}"/>
    <cellStyle name="40% - Accent2 3 2 2 6 2 2" xfId="29767" xr:uid="{00000000-0005-0000-0000-000056310000}"/>
    <cellStyle name="40% - Accent2 3 2 2 6 3" xfId="20530" xr:uid="{00000000-0005-0000-0000-000057310000}"/>
    <cellStyle name="40% - Accent2 3 2 2 7" xfId="9277" xr:uid="{00000000-0005-0000-0000-000058310000}"/>
    <cellStyle name="40% - Accent2 3 2 2 7 2" xfId="23752" xr:uid="{00000000-0005-0000-0000-000059310000}"/>
    <cellStyle name="40% - Accent2 3 2 2 8" xfId="20524" xr:uid="{00000000-0005-0000-0000-00005A310000}"/>
    <cellStyle name="40% - Accent2 3 2 3" xfId="3206" xr:uid="{00000000-0005-0000-0000-00005B310000}"/>
    <cellStyle name="40% - Accent2 3 2 3 2" xfId="3207" xr:uid="{00000000-0005-0000-0000-00005C310000}"/>
    <cellStyle name="40% - Accent2 3 2 3 2 2" xfId="16652" xr:uid="{00000000-0005-0000-0000-00005D310000}"/>
    <cellStyle name="40% - Accent2 3 2 3 2 2 2" xfId="30059" xr:uid="{00000000-0005-0000-0000-00005E310000}"/>
    <cellStyle name="40% - Accent2 3 2 3 2 3" xfId="20532" xr:uid="{00000000-0005-0000-0000-00005F310000}"/>
    <cellStyle name="40% - Accent2 3 2 3 3" xfId="11003" xr:uid="{00000000-0005-0000-0000-000060310000}"/>
    <cellStyle name="40% - Accent2 3 2 3 3 2" xfId="24945" xr:uid="{00000000-0005-0000-0000-000061310000}"/>
    <cellStyle name="40% - Accent2 3 2 3 4" xfId="20531" xr:uid="{00000000-0005-0000-0000-000062310000}"/>
    <cellStyle name="40% - Accent2 3 2 4" xfId="3208" xr:uid="{00000000-0005-0000-0000-000063310000}"/>
    <cellStyle name="40% - Accent2 3 2 4 2" xfId="12029" xr:uid="{00000000-0005-0000-0000-000064310000}"/>
    <cellStyle name="40% - Accent2 3 2 4 2 2" xfId="25744" xr:uid="{00000000-0005-0000-0000-000065310000}"/>
    <cellStyle name="40% - Accent2 3 2 4 3" xfId="20533" xr:uid="{00000000-0005-0000-0000-000066310000}"/>
    <cellStyle name="40% - Accent2 3 2 5" xfId="3209" xr:uid="{00000000-0005-0000-0000-000067310000}"/>
    <cellStyle name="40% - Accent2 3 2 5 2" xfId="13604" xr:uid="{00000000-0005-0000-0000-000068310000}"/>
    <cellStyle name="40% - Accent2 3 2 5 2 2" xfId="27153" xr:uid="{00000000-0005-0000-0000-000069310000}"/>
    <cellStyle name="40% - Accent2 3 2 5 3" xfId="20534" xr:uid="{00000000-0005-0000-0000-00006A310000}"/>
    <cellStyle name="40% - Accent2 3 2 6" xfId="3210" xr:uid="{00000000-0005-0000-0000-00006B310000}"/>
    <cellStyle name="40% - Accent2 3 2 6 2" xfId="14185" xr:uid="{00000000-0005-0000-0000-00006C310000}"/>
    <cellStyle name="40% - Accent2 3 2 6 2 2" xfId="27734" xr:uid="{00000000-0005-0000-0000-00006D310000}"/>
    <cellStyle name="40% - Accent2 3 2 6 3" xfId="20535" xr:uid="{00000000-0005-0000-0000-00006E310000}"/>
    <cellStyle name="40% - Accent2 3 2 7" xfId="3211" xr:uid="{00000000-0005-0000-0000-00006F310000}"/>
    <cellStyle name="40% - Accent2 3 2 7 2" xfId="16071" xr:uid="{00000000-0005-0000-0000-000070310000}"/>
    <cellStyle name="40% - Accent2 3 2 7 2 2" xfId="29478" xr:uid="{00000000-0005-0000-0000-000071310000}"/>
    <cellStyle name="40% - Accent2 3 2 7 3" xfId="20536" xr:uid="{00000000-0005-0000-0000-000072310000}"/>
    <cellStyle name="40% - Accent2 3 2 8" xfId="9276" xr:uid="{00000000-0005-0000-0000-000073310000}"/>
    <cellStyle name="40% - Accent2 3 2 8 2" xfId="23751" xr:uid="{00000000-0005-0000-0000-000074310000}"/>
    <cellStyle name="40% - Accent2 3 2 9" xfId="20523" xr:uid="{00000000-0005-0000-0000-000075310000}"/>
    <cellStyle name="40% - Accent2 3 3" xfId="3212" xr:uid="{00000000-0005-0000-0000-000076310000}"/>
    <cellStyle name="40% - Accent2 3 3 2" xfId="3213" xr:uid="{00000000-0005-0000-0000-000077310000}"/>
    <cellStyle name="40% - Accent2 3 3 2 2" xfId="3214" xr:uid="{00000000-0005-0000-0000-000078310000}"/>
    <cellStyle name="40% - Accent2 3 3 2 2 2" xfId="16798" xr:uid="{00000000-0005-0000-0000-000079310000}"/>
    <cellStyle name="40% - Accent2 3 3 2 2 2 2" xfId="30205" xr:uid="{00000000-0005-0000-0000-00007A310000}"/>
    <cellStyle name="40% - Accent2 3 3 2 2 3" xfId="20539" xr:uid="{00000000-0005-0000-0000-00007B310000}"/>
    <cellStyle name="40% - Accent2 3 3 2 3" xfId="11005" xr:uid="{00000000-0005-0000-0000-00007C310000}"/>
    <cellStyle name="40% - Accent2 3 3 2 3 2" xfId="24947" xr:uid="{00000000-0005-0000-0000-00007D310000}"/>
    <cellStyle name="40% - Accent2 3 3 2 4" xfId="20538" xr:uid="{00000000-0005-0000-0000-00007E310000}"/>
    <cellStyle name="40% - Accent2 3 3 3" xfId="3215" xr:uid="{00000000-0005-0000-0000-00007F310000}"/>
    <cellStyle name="40% - Accent2 3 3 3 2" xfId="12186" xr:uid="{00000000-0005-0000-0000-000080310000}"/>
    <cellStyle name="40% - Accent2 3 3 3 2 2" xfId="25898" xr:uid="{00000000-0005-0000-0000-000081310000}"/>
    <cellStyle name="40% - Accent2 3 3 3 3" xfId="20540" xr:uid="{00000000-0005-0000-0000-000082310000}"/>
    <cellStyle name="40% - Accent2 3 3 4" xfId="3216" xr:uid="{00000000-0005-0000-0000-000083310000}"/>
    <cellStyle name="40% - Accent2 3 3 4 2" xfId="13750" xr:uid="{00000000-0005-0000-0000-000084310000}"/>
    <cellStyle name="40% - Accent2 3 3 4 2 2" xfId="27299" xr:uid="{00000000-0005-0000-0000-000085310000}"/>
    <cellStyle name="40% - Accent2 3 3 4 3" xfId="20541" xr:uid="{00000000-0005-0000-0000-000086310000}"/>
    <cellStyle name="40% - Accent2 3 3 5" xfId="3217" xr:uid="{00000000-0005-0000-0000-000087310000}"/>
    <cellStyle name="40% - Accent2 3 3 5 2" xfId="14331" xr:uid="{00000000-0005-0000-0000-000088310000}"/>
    <cellStyle name="40% - Accent2 3 3 5 2 2" xfId="27880" xr:uid="{00000000-0005-0000-0000-000089310000}"/>
    <cellStyle name="40% - Accent2 3 3 5 3" xfId="20542" xr:uid="{00000000-0005-0000-0000-00008A310000}"/>
    <cellStyle name="40% - Accent2 3 3 6" xfId="3218" xr:uid="{00000000-0005-0000-0000-00008B310000}"/>
    <cellStyle name="40% - Accent2 3 3 6 2" xfId="16217" xr:uid="{00000000-0005-0000-0000-00008C310000}"/>
    <cellStyle name="40% - Accent2 3 3 6 2 2" xfId="29624" xr:uid="{00000000-0005-0000-0000-00008D310000}"/>
    <cellStyle name="40% - Accent2 3 3 6 3" xfId="20543" xr:uid="{00000000-0005-0000-0000-00008E310000}"/>
    <cellStyle name="40% - Accent2 3 3 7" xfId="9278" xr:uid="{00000000-0005-0000-0000-00008F310000}"/>
    <cellStyle name="40% - Accent2 3 3 7 2" xfId="23753" xr:uid="{00000000-0005-0000-0000-000090310000}"/>
    <cellStyle name="40% - Accent2 3 3 8" xfId="20537" xr:uid="{00000000-0005-0000-0000-000091310000}"/>
    <cellStyle name="40% - Accent2 3 4" xfId="3219" xr:uid="{00000000-0005-0000-0000-000092310000}"/>
    <cellStyle name="40% - Accent2 3 4 2" xfId="3220" xr:uid="{00000000-0005-0000-0000-000093310000}"/>
    <cellStyle name="40% - Accent2 3 4 2 2" xfId="17145" xr:uid="{00000000-0005-0000-0000-000094310000}"/>
    <cellStyle name="40% - Accent2 3 4 2 2 2" xfId="30504" xr:uid="{00000000-0005-0000-0000-000095310000}"/>
    <cellStyle name="40% - Accent2 3 4 2 3" xfId="20545" xr:uid="{00000000-0005-0000-0000-000096310000}"/>
    <cellStyle name="40% - Accent2 3 4 3" xfId="11002" xr:uid="{00000000-0005-0000-0000-000097310000}"/>
    <cellStyle name="40% - Accent2 3 4 3 2" xfId="24944" xr:uid="{00000000-0005-0000-0000-000098310000}"/>
    <cellStyle name="40% - Accent2 3 4 4" xfId="20544" xr:uid="{00000000-0005-0000-0000-000099310000}"/>
    <cellStyle name="40% - Accent2 3 5" xfId="3221" xr:uid="{00000000-0005-0000-0000-00009A310000}"/>
    <cellStyle name="40% - Accent2 3 5 2" xfId="3222" xr:uid="{00000000-0005-0000-0000-00009B310000}"/>
    <cellStyle name="40% - Accent2 3 5 2 2" xfId="17234" xr:uid="{00000000-0005-0000-0000-00009C310000}"/>
    <cellStyle name="40% - Accent2 3 5 2 2 2" xfId="30593" xr:uid="{00000000-0005-0000-0000-00009D310000}"/>
    <cellStyle name="40% - Accent2 3 5 2 3" xfId="20547" xr:uid="{00000000-0005-0000-0000-00009E310000}"/>
    <cellStyle name="40% - Accent2 3 5 3" xfId="11881" xr:uid="{00000000-0005-0000-0000-00009F310000}"/>
    <cellStyle name="40% - Accent2 3 5 3 2" xfId="25596" xr:uid="{00000000-0005-0000-0000-0000A0310000}"/>
    <cellStyle name="40% - Accent2 3 5 4" xfId="20546" xr:uid="{00000000-0005-0000-0000-0000A1310000}"/>
    <cellStyle name="40% - Accent2 3 6" xfId="3223" xr:uid="{00000000-0005-0000-0000-0000A2310000}"/>
    <cellStyle name="40% - Accent2 3 6 2" xfId="3224" xr:uid="{00000000-0005-0000-0000-0000A3310000}"/>
    <cellStyle name="40% - Accent2 3 6 2 2" xfId="16509" xr:uid="{00000000-0005-0000-0000-0000A4310000}"/>
    <cellStyle name="40% - Accent2 3 6 2 2 2" xfId="29916" xr:uid="{00000000-0005-0000-0000-0000A5310000}"/>
    <cellStyle name="40% - Accent2 3 6 2 3" xfId="20549" xr:uid="{00000000-0005-0000-0000-0000A6310000}"/>
    <cellStyle name="40% - Accent2 3 6 3" xfId="13461" xr:uid="{00000000-0005-0000-0000-0000A7310000}"/>
    <cellStyle name="40% - Accent2 3 6 3 2" xfId="27010" xr:uid="{00000000-0005-0000-0000-0000A8310000}"/>
    <cellStyle name="40% - Accent2 3 6 4" xfId="20548" xr:uid="{00000000-0005-0000-0000-0000A9310000}"/>
    <cellStyle name="40% - Accent2 3 7" xfId="3225" xr:uid="{00000000-0005-0000-0000-0000AA310000}"/>
    <cellStyle name="40% - Accent2 3 7 2" xfId="14042" xr:uid="{00000000-0005-0000-0000-0000AB310000}"/>
    <cellStyle name="40% - Accent2 3 7 2 2" xfId="27591" xr:uid="{00000000-0005-0000-0000-0000AC310000}"/>
    <cellStyle name="40% - Accent2 3 7 3" xfId="20550" xr:uid="{00000000-0005-0000-0000-0000AD310000}"/>
    <cellStyle name="40% - Accent2 3 8" xfId="3226" xr:uid="{00000000-0005-0000-0000-0000AE310000}"/>
    <cellStyle name="40% - Accent2 3 8 2" xfId="15928" xr:uid="{00000000-0005-0000-0000-0000AF310000}"/>
    <cellStyle name="40% - Accent2 3 8 2 2" xfId="29335" xr:uid="{00000000-0005-0000-0000-0000B0310000}"/>
    <cellStyle name="40% - Accent2 3 8 3" xfId="20551" xr:uid="{00000000-0005-0000-0000-0000B1310000}"/>
    <cellStyle name="40% - Accent2 3 9" xfId="9275" xr:uid="{00000000-0005-0000-0000-0000B2310000}"/>
    <cellStyle name="40% - Accent2 3 9 2" xfId="23750" xr:uid="{00000000-0005-0000-0000-0000B3310000}"/>
    <cellStyle name="40% - Accent2 4" xfId="3227" xr:uid="{00000000-0005-0000-0000-0000B4310000}"/>
    <cellStyle name="40% - Accent2 4 10" xfId="20552" xr:uid="{00000000-0005-0000-0000-0000B5310000}"/>
    <cellStyle name="40% - Accent2 4 2" xfId="3228" xr:uid="{00000000-0005-0000-0000-0000B6310000}"/>
    <cellStyle name="40% - Accent2 4 2 2" xfId="3229" xr:uid="{00000000-0005-0000-0000-0000B7310000}"/>
    <cellStyle name="40% - Accent2 4 2 2 2" xfId="3230" xr:uid="{00000000-0005-0000-0000-0000B8310000}"/>
    <cellStyle name="40% - Accent2 4 2 2 2 2" xfId="3231" xr:uid="{00000000-0005-0000-0000-0000B9310000}"/>
    <cellStyle name="40% - Accent2 4 2 2 2 2 2" xfId="16899" xr:uid="{00000000-0005-0000-0000-0000BA310000}"/>
    <cellStyle name="40% - Accent2 4 2 2 2 2 2 2" xfId="30306" xr:uid="{00000000-0005-0000-0000-0000BB310000}"/>
    <cellStyle name="40% - Accent2 4 2 2 2 2 3" xfId="20556" xr:uid="{00000000-0005-0000-0000-0000BC310000}"/>
    <cellStyle name="40% - Accent2 4 2 2 2 3" xfId="11008" xr:uid="{00000000-0005-0000-0000-0000BD310000}"/>
    <cellStyle name="40% - Accent2 4 2 2 2 3 2" xfId="24950" xr:uid="{00000000-0005-0000-0000-0000BE310000}"/>
    <cellStyle name="40% - Accent2 4 2 2 2 4" xfId="20555" xr:uid="{00000000-0005-0000-0000-0000BF310000}"/>
    <cellStyle name="40% - Accent2 4 2 2 3" xfId="3232" xr:uid="{00000000-0005-0000-0000-0000C0310000}"/>
    <cellStyle name="40% - Accent2 4 2 2 3 2" xfId="12287" xr:uid="{00000000-0005-0000-0000-0000C1310000}"/>
    <cellStyle name="40% - Accent2 4 2 2 3 2 2" xfId="25999" xr:uid="{00000000-0005-0000-0000-0000C2310000}"/>
    <cellStyle name="40% - Accent2 4 2 2 3 3" xfId="20557" xr:uid="{00000000-0005-0000-0000-0000C3310000}"/>
    <cellStyle name="40% - Accent2 4 2 2 4" xfId="3233" xr:uid="{00000000-0005-0000-0000-0000C4310000}"/>
    <cellStyle name="40% - Accent2 4 2 2 4 2" xfId="13851" xr:uid="{00000000-0005-0000-0000-0000C5310000}"/>
    <cellStyle name="40% - Accent2 4 2 2 4 2 2" xfId="27400" xr:uid="{00000000-0005-0000-0000-0000C6310000}"/>
    <cellStyle name="40% - Accent2 4 2 2 4 3" xfId="20558" xr:uid="{00000000-0005-0000-0000-0000C7310000}"/>
    <cellStyle name="40% - Accent2 4 2 2 5" xfId="3234" xr:uid="{00000000-0005-0000-0000-0000C8310000}"/>
    <cellStyle name="40% - Accent2 4 2 2 5 2" xfId="14432" xr:uid="{00000000-0005-0000-0000-0000C9310000}"/>
    <cellStyle name="40% - Accent2 4 2 2 5 2 2" xfId="27981" xr:uid="{00000000-0005-0000-0000-0000CA310000}"/>
    <cellStyle name="40% - Accent2 4 2 2 5 3" xfId="20559" xr:uid="{00000000-0005-0000-0000-0000CB310000}"/>
    <cellStyle name="40% - Accent2 4 2 2 6" xfId="3235" xr:uid="{00000000-0005-0000-0000-0000CC310000}"/>
    <cellStyle name="40% - Accent2 4 2 2 6 2" xfId="16318" xr:uid="{00000000-0005-0000-0000-0000CD310000}"/>
    <cellStyle name="40% - Accent2 4 2 2 6 2 2" xfId="29725" xr:uid="{00000000-0005-0000-0000-0000CE310000}"/>
    <cellStyle name="40% - Accent2 4 2 2 6 3" xfId="20560" xr:uid="{00000000-0005-0000-0000-0000CF310000}"/>
    <cellStyle name="40% - Accent2 4 2 2 7" xfId="9281" xr:uid="{00000000-0005-0000-0000-0000D0310000}"/>
    <cellStyle name="40% - Accent2 4 2 2 7 2" xfId="23756" xr:uid="{00000000-0005-0000-0000-0000D1310000}"/>
    <cellStyle name="40% - Accent2 4 2 2 8" xfId="20554" xr:uid="{00000000-0005-0000-0000-0000D2310000}"/>
    <cellStyle name="40% - Accent2 4 2 3" xfId="3236" xr:uid="{00000000-0005-0000-0000-0000D3310000}"/>
    <cellStyle name="40% - Accent2 4 2 3 2" xfId="3237" xr:uid="{00000000-0005-0000-0000-0000D4310000}"/>
    <cellStyle name="40% - Accent2 4 2 3 2 2" xfId="16610" xr:uid="{00000000-0005-0000-0000-0000D5310000}"/>
    <cellStyle name="40% - Accent2 4 2 3 2 2 2" xfId="30017" xr:uid="{00000000-0005-0000-0000-0000D6310000}"/>
    <cellStyle name="40% - Accent2 4 2 3 2 3" xfId="20562" xr:uid="{00000000-0005-0000-0000-0000D7310000}"/>
    <cellStyle name="40% - Accent2 4 2 3 3" xfId="11007" xr:uid="{00000000-0005-0000-0000-0000D8310000}"/>
    <cellStyle name="40% - Accent2 4 2 3 3 2" xfId="24949" xr:uid="{00000000-0005-0000-0000-0000D9310000}"/>
    <cellStyle name="40% - Accent2 4 2 3 4" xfId="20561" xr:uid="{00000000-0005-0000-0000-0000DA310000}"/>
    <cellStyle name="40% - Accent2 4 2 4" xfId="3238" xr:uid="{00000000-0005-0000-0000-0000DB310000}"/>
    <cellStyle name="40% - Accent2 4 2 4 2" xfId="11987" xr:uid="{00000000-0005-0000-0000-0000DC310000}"/>
    <cellStyle name="40% - Accent2 4 2 4 2 2" xfId="25702" xr:uid="{00000000-0005-0000-0000-0000DD310000}"/>
    <cellStyle name="40% - Accent2 4 2 4 3" xfId="20563" xr:uid="{00000000-0005-0000-0000-0000DE310000}"/>
    <cellStyle name="40% - Accent2 4 2 5" xfId="3239" xr:uid="{00000000-0005-0000-0000-0000DF310000}"/>
    <cellStyle name="40% - Accent2 4 2 5 2" xfId="13562" xr:uid="{00000000-0005-0000-0000-0000E0310000}"/>
    <cellStyle name="40% - Accent2 4 2 5 2 2" xfId="27111" xr:uid="{00000000-0005-0000-0000-0000E1310000}"/>
    <cellStyle name="40% - Accent2 4 2 5 3" xfId="20564" xr:uid="{00000000-0005-0000-0000-0000E2310000}"/>
    <cellStyle name="40% - Accent2 4 2 6" xfId="3240" xr:uid="{00000000-0005-0000-0000-0000E3310000}"/>
    <cellStyle name="40% - Accent2 4 2 6 2" xfId="14143" xr:uid="{00000000-0005-0000-0000-0000E4310000}"/>
    <cellStyle name="40% - Accent2 4 2 6 2 2" xfId="27692" xr:uid="{00000000-0005-0000-0000-0000E5310000}"/>
    <cellStyle name="40% - Accent2 4 2 6 3" xfId="20565" xr:uid="{00000000-0005-0000-0000-0000E6310000}"/>
    <cellStyle name="40% - Accent2 4 2 7" xfId="3241" xr:uid="{00000000-0005-0000-0000-0000E7310000}"/>
    <cellStyle name="40% - Accent2 4 2 7 2" xfId="16029" xr:uid="{00000000-0005-0000-0000-0000E8310000}"/>
    <cellStyle name="40% - Accent2 4 2 7 2 2" xfId="29436" xr:uid="{00000000-0005-0000-0000-0000E9310000}"/>
    <cellStyle name="40% - Accent2 4 2 7 3" xfId="20566" xr:uid="{00000000-0005-0000-0000-0000EA310000}"/>
    <cellStyle name="40% - Accent2 4 2 8" xfId="9280" xr:uid="{00000000-0005-0000-0000-0000EB310000}"/>
    <cellStyle name="40% - Accent2 4 2 8 2" xfId="23755" xr:uid="{00000000-0005-0000-0000-0000EC310000}"/>
    <cellStyle name="40% - Accent2 4 2 9" xfId="20553" xr:uid="{00000000-0005-0000-0000-0000ED310000}"/>
    <cellStyle name="40% - Accent2 4 3" xfId="3242" xr:uid="{00000000-0005-0000-0000-0000EE310000}"/>
    <cellStyle name="40% - Accent2 4 3 2" xfId="3243" xr:uid="{00000000-0005-0000-0000-0000EF310000}"/>
    <cellStyle name="40% - Accent2 4 3 2 2" xfId="3244" xr:uid="{00000000-0005-0000-0000-0000F0310000}"/>
    <cellStyle name="40% - Accent2 4 3 2 2 2" xfId="16759" xr:uid="{00000000-0005-0000-0000-0000F1310000}"/>
    <cellStyle name="40% - Accent2 4 3 2 2 2 2" xfId="30166" xr:uid="{00000000-0005-0000-0000-0000F2310000}"/>
    <cellStyle name="40% - Accent2 4 3 2 2 3" xfId="20569" xr:uid="{00000000-0005-0000-0000-0000F3310000}"/>
    <cellStyle name="40% - Accent2 4 3 2 3" xfId="11009" xr:uid="{00000000-0005-0000-0000-0000F4310000}"/>
    <cellStyle name="40% - Accent2 4 3 2 3 2" xfId="24951" xr:uid="{00000000-0005-0000-0000-0000F5310000}"/>
    <cellStyle name="40% - Accent2 4 3 2 4" xfId="20568" xr:uid="{00000000-0005-0000-0000-0000F6310000}"/>
    <cellStyle name="40% - Accent2 4 3 3" xfId="3245" xr:uid="{00000000-0005-0000-0000-0000F7310000}"/>
    <cellStyle name="40% - Accent2 4 3 3 2" xfId="12147" xr:uid="{00000000-0005-0000-0000-0000F8310000}"/>
    <cellStyle name="40% - Accent2 4 3 3 2 2" xfId="25859" xr:uid="{00000000-0005-0000-0000-0000F9310000}"/>
    <cellStyle name="40% - Accent2 4 3 3 3" xfId="20570" xr:uid="{00000000-0005-0000-0000-0000FA310000}"/>
    <cellStyle name="40% - Accent2 4 3 4" xfId="3246" xr:uid="{00000000-0005-0000-0000-0000FB310000}"/>
    <cellStyle name="40% - Accent2 4 3 4 2" xfId="13711" xr:uid="{00000000-0005-0000-0000-0000FC310000}"/>
    <cellStyle name="40% - Accent2 4 3 4 2 2" xfId="27260" xr:uid="{00000000-0005-0000-0000-0000FD310000}"/>
    <cellStyle name="40% - Accent2 4 3 4 3" xfId="20571" xr:uid="{00000000-0005-0000-0000-0000FE310000}"/>
    <cellStyle name="40% - Accent2 4 3 5" xfId="3247" xr:uid="{00000000-0005-0000-0000-0000FF310000}"/>
    <cellStyle name="40% - Accent2 4 3 5 2" xfId="14292" xr:uid="{00000000-0005-0000-0000-000000320000}"/>
    <cellStyle name="40% - Accent2 4 3 5 2 2" xfId="27841" xr:uid="{00000000-0005-0000-0000-000001320000}"/>
    <cellStyle name="40% - Accent2 4 3 5 3" xfId="20572" xr:uid="{00000000-0005-0000-0000-000002320000}"/>
    <cellStyle name="40% - Accent2 4 3 6" xfId="3248" xr:uid="{00000000-0005-0000-0000-000003320000}"/>
    <cellStyle name="40% - Accent2 4 3 6 2" xfId="16178" xr:uid="{00000000-0005-0000-0000-000004320000}"/>
    <cellStyle name="40% - Accent2 4 3 6 2 2" xfId="29585" xr:uid="{00000000-0005-0000-0000-000005320000}"/>
    <cellStyle name="40% - Accent2 4 3 6 3" xfId="20573" xr:uid="{00000000-0005-0000-0000-000006320000}"/>
    <cellStyle name="40% - Accent2 4 3 7" xfId="9282" xr:uid="{00000000-0005-0000-0000-000007320000}"/>
    <cellStyle name="40% - Accent2 4 3 7 2" xfId="23757" xr:uid="{00000000-0005-0000-0000-000008320000}"/>
    <cellStyle name="40% - Accent2 4 3 8" xfId="20567" xr:uid="{00000000-0005-0000-0000-000009320000}"/>
    <cellStyle name="40% - Accent2 4 4" xfId="3249" xr:uid="{00000000-0005-0000-0000-00000A320000}"/>
    <cellStyle name="40% - Accent2 4 4 2" xfId="3250" xr:uid="{00000000-0005-0000-0000-00000B320000}"/>
    <cellStyle name="40% - Accent2 4 4 2 2" xfId="16467" xr:uid="{00000000-0005-0000-0000-00000C320000}"/>
    <cellStyle name="40% - Accent2 4 4 2 2 2" xfId="29874" xr:uid="{00000000-0005-0000-0000-00000D320000}"/>
    <cellStyle name="40% - Accent2 4 4 2 3" xfId="20575" xr:uid="{00000000-0005-0000-0000-00000E320000}"/>
    <cellStyle name="40% - Accent2 4 4 3" xfId="11006" xr:uid="{00000000-0005-0000-0000-00000F320000}"/>
    <cellStyle name="40% - Accent2 4 4 3 2" xfId="24948" xr:uid="{00000000-0005-0000-0000-000010320000}"/>
    <cellStyle name="40% - Accent2 4 4 4" xfId="20574" xr:uid="{00000000-0005-0000-0000-000011320000}"/>
    <cellStyle name="40% - Accent2 4 5" xfId="3251" xr:uid="{00000000-0005-0000-0000-000012320000}"/>
    <cellStyle name="40% - Accent2 4 5 2" xfId="11818" xr:uid="{00000000-0005-0000-0000-000013320000}"/>
    <cellStyle name="40% - Accent2 4 5 2 2" xfId="25533" xr:uid="{00000000-0005-0000-0000-000014320000}"/>
    <cellStyle name="40% - Accent2 4 5 3" xfId="20576" xr:uid="{00000000-0005-0000-0000-000015320000}"/>
    <cellStyle name="40% - Accent2 4 6" xfId="3252" xr:uid="{00000000-0005-0000-0000-000016320000}"/>
    <cellStyle name="40% - Accent2 4 6 2" xfId="13419" xr:uid="{00000000-0005-0000-0000-000017320000}"/>
    <cellStyle name="40% - Accent2 4 6 2 2" xfId="26968" xr:uid="{00000000-0005-0000-0000-000018320000}"/>
    <cellStyle name="40% - Accent2 4 6 3" xfId="20577" xr:uid="{00000000-0005-0000-0000-000019320000}"/>
    <cellStyle name="40% - Accent2 4 7" xfId="3253" xr:uid="{00000000-0005-0000-0000-00001A320000}"/>
    <cellStyle name="40% - Accent2 4 7 2" xfId="14000" xr:uid="{00000000-0005-0000-0000-00001B320000}"/>
    <cellStyle name="40% - Accent2 4 7 2 2" xfId="27549" xr:uid="{00000000-0005-0000-0000-00001C320000}"/>
    <cellStyle name="40% - Accent2 4 7 3" xfId="20578" xr:uid="{00000000-0005-0000-0000-00001D320000}"/>
    <cellStyle name="40% - Accent2 4 8" xfId="3254" xr:uid="{00000000-0005-0000-0000-00001E320000}"/>
    <cellStyle name="40% - Accent2 4 8 2" xfId="15886" xr:uid="{00000000-0005-0000-0000-00001F320000}"/>
    <cellStyle name="40% - Accent2 4 8 2 2" xfId="29293" xr:uid="{00000000-0005-0000-0000-000020320000}"/>
    <cellStyle name="40% - Accent2 4 8 3" xfId="20579" xr:uid="{00000000-0005-0000-0000-000021320000}"/>
    <cellStyle name="40% - Accent2 4 9" xfId="9279" xr:uid="{00000000-0005-0000-0000-000022320000}"/>
    <cellStyle name="40% - Accent2 4 9 2" xfId="23754" xr:uid="{00000000-0005-0000-0000-000023320000}"/>
    <cellStyle name="40% - Accent2 5" xfId="3255" xr:uid="{00000000-0005-0000-0000-000024320000}"/>
    <cellStyle name="40% - Accent2 5 10" xfId="20580" xr:uid="{00000000-0005-0000-0000-000025320000}"/>
    <cellStyle name="40% - Accent2 5 2" xfId="3256" xr:uid="{00000000-0005-0000-0000-000026320000}"/>
    <cellStyle name="40% - Accent2 5 2 2" xfId="3257" xr:uid="{00000000-0005-0000-0000-000027320000}"/>
    <cellStyle name="40% - Accent2 5 2 2 2" xfId="3258" xr:uid="{00000000-0005-0000-0000-000028320000}"/>
    <cellStyle name="40% - Accent2 5 2 2 2 2" xfId="3259" xr:uid="{00000000-0005-0000-0000-000029320000}"/>
    <cellStyle name="40% - Accent2 5 2 2 2 2 2" xfId="16882" xr:uid="{00000000-0005-0000-0000-00002A320000}"/>
    <cellStyle name="40% - Accent2 5 2 2 2 2 2 2" xfId="30289" xr:uid="{00000000-0005-0000-0000-00002B320000}"/>
    <cellStyle name="40% - Accent2 5 2 2 2 2 3" xfId="20584" xr:uid="{00000000-0005-0000-0000-00002C320000}"/>
    <cellStyle name="40% - Accent2 5 2 2 2 3" xfId="11012" xr:uid="{00000000-0005-0000-0000-00002D320000}"/>
    <cellStyle name="40% - Accent2 5 2 2 2 3 2" xfId="24954" xr:uid="{00000000-0005-0000-0000-00002E320000}"/>
    <cellStyle name="40% - Accent2 5 2 2 2 4" xfId="20583" xr:uid="{00000000-0005-0000-0000-00002F320000}"/>
    <cellStyle name="40% - Accent2 5 2 2 3" xfId="3260" xr:uid="{00000000-0005-0000-0000-000030320000}"/>
    <cellStyle name="40% - Accent2 5 2 2 3 2" xfId="12270" xr:uid="{00000000-0005-0000-0000-000031320000}"/>
    <cellStyle name="40% - Accent2 5 2 2 3 2 2" xfId="25982" xr:uid="{00000000-0005-0000-0000-000032320000}"/>
    <cellStyle name="40% - Accent2 5 2 2 3 3" xfId="20585" xr:uid="{00000000-0005-0000-0000-000033320000}"/>
    <cellStyle name="40% - Accent2 5 2 2 4" xfId="3261" xr:uid="{00000000-0005-0000-0000-000034320000}"/>
    <cellStyle name="40% - Accent2 5 2 2 4 2" xfId="13834" xr:uid="{00000000-0005-0000-0000-000035320000}"/>
    <cellStyle name="40% - Accent2 5 2 2 4 2 2" xfId="27383" xr:uid="{00000000-0005-0000-0000-000036320000}"/>
    <cellStyle name="40% - Accent2 5 2 2 4 3" xfId="20586" xr:uid="{00000000-0005-0000-0000-000037320000}"/>
    <cellStyle name="40% - Accent2 5 2 2 5" xfId="3262" xr:uid="{00000000-0005-0000-0000-000038320000}"/>
    <cellStyle name="40% - Accent2 5 2 2 5 2" xfId="14415" xr:uid="{00000000-0005-0000-0000-000039320000}"/>
    <cellStyle name="40% - Accent2 5 2 2 5 2 2" xfId="27964" xr:uid="{00000000-0005-0000-0000-00003A320000}"/>
    <cellStyle name="40% - Accent2 5 2 2 5 3" xfId="20587" xr:uid="{00000000-0005-0000-0000-00003B320000}"/>
    <cellStyle name="40% - Accent2 5 2 2 6" xfId="3263" xr:uid="{00000000-0005-0000-0000-00003C320000}"/>
    <cellStyle name="40% - Accent2 5 2 2 6 2" xfId="16301" xr:uid="{00000000-0005-0000-0000-00003D320000}"/>
    <cellStyle name="40% - Accent2 5 2 2 6 2 2" xfId="29708" xr:uid="{00000000-0005-0000-0000-00003E320000}"/>
    <cellStyle name="40% - Accent2 5 2 2 6 3" xfId="20588" xr:uid="{00000000-0005-0000-0000-00003F320000}"/>
    <cellStyle name="40% - Accent2 5 2 2 7" xfId="9285" xr:uid="{00000000-0005-0000-0000-000040320000}"/>
    <cellStyle name="40% - Accent2 5 2 2 7 2" xfId="23760" xr:uid="{00000000-0005-0000-0000-000041320000}"/>
    <cellStyle name="40% - Accent2 5 2 2 8" xfId="20582" xr:uid="{00000000-0005-0000-0000-000042320000}"/>
    <cellStyle name="40% - Accent2 5 2 3" xfId="3264" xr:uid="{00000000-0005-0000-0000-000043320000}"/>
    <cellStyle name="40% - Accent2 5 2 3 2" xfId="3265" xr:uid="{00000000-0005-0000-0000-000044320000}"/>
    <cellStyle name="40% - Accent2 5 2 3 2 2" xfId="16593" xr:uid="{00000000-0005-0000-0000-000045320000}"/>
    <cellStyle name="40% - Accent2 5 2 3 2 2 2" xfId="30000" xr:uid="{00000000-0005-0000-0000-000046320000}"/>
    <cellStyle name="40% - Accent2 5 2 3 2 3" xfId="20590" xr:uid="{00000000-0005-0000-0000-000047320000}"/>
    <cellStyle name="40% - Accent2 5 2 3 3" xfId="11011" xr:uid="{00000000-0005-0000-0000-000048320000}"/>
    <cellStyle name="40% - Accent2 5 2 3 3 2" xfId="24953" xr:uid="{00000000-0005-0000-0000-000049320000}"/>
    <cellStyle name="40% - Accent2 5 2 3 4" xfId="20589" xr:uid="{00000000-0005-0000-0000-00004A320000}"/>
    <cellStyle name="40% - Accent2 5 2 4" xfId="3266" xr:uid="{00000000-0005-0000-0000-00004B320000}"/>
    <cellStyle name="40% - Accent2 5 2 4 2" xfId="11970" xr:uid="{00000000-0005-0000-0000-00004C320000}"/>
    <cellStyle name="40% - Accent2 5 2 4 2 2" xfId="25685" xr:uid="{00000000-0005-0000-0000-00004D320000}"/>
    <cellStyle name="40% - Accent2 5 2 4 3" xfId="20591" xr:uid="{00000000-0005-0000-0000-00004E320000}"/>
    <cellStyle name="40% - Accent2 5 2 5" xfId="3267" xr:uid="{00000000-0005-0000-0000-00004F320000}"/>
    <cellStyle name="40% - Accent2 5 2 5 2" xfId="13545" xr:uid="{00000000-0005-0000-0000-000050320000}"/>
    <cellStyle name="40% - Accent2 5 2 5 2 2" xfId="27094" xr:uid="{00000000-0005-0000-0000-000051320000}"/>
    <cellStyle name="40% - Accent2 5 2 5 3" xfId="20592" xr:uid="{00000000-0005-0000-0000-000052320000}"/>
    <cellStyle name="40% - Accent2 5 2 6" xfId="3268" xr:uid="{00000000-0005-0000-0000-000053320000}"/>
    <cellStyle name="40% - Accent2 5 2 6 2" xfId="14126" xr:uid="{00000000-0005-0000-0000-000054320000}"/>
    <cellStyle name="40% - Accent2 5 2 6 2 2" xfId="27675" xr:uid="{00000000-0005-0000-0000-000055320000}"/>
    <cellStyle name="40% - Accent2 5 2 6 3" xfId="20593" xr:uid="{00000000-0005-0000-0000-000056320000}"/>
    <cellStyle name="40% - Accent2 5 2 7" xfId="3269" xr:uid="{00000000-0005-0000-0000-000057320000}"/>
    <cellStyle name="40% - Accent2 5 2 7 2" xfId="16012" xr:uid="{00000000-0005-0000-0000-000058320000}"/>
    <cellStyle name="40% - Accent2 5 2 7 2 2" xfId="29419" xr:uid="{00000000-0005-0000-0000-000059320000}"/>
    <cellStyle name="40% - Accent2 5 2 7 3" xfId="20594" xr:uid="{00000000-0005-0000-0000-00005A320000}"/>
    <cellStyle name="40% - Accent2 5 2 8" xfId="9284" xr:uid="{00000000-0005-0000-0000-00005B320000}"/>
    <cellStyle name="40% - Accent2 5 2 8 2" xfId="23759" xr:uid="{00000000-0005-0000-0000-00005C320000}"/>
    <cellStyle name="40% - Accent2 5 2 9" xfId="20581" xr:uid="{00000000-0005-0000-0000-00005D320000}"/>
    <cellStyle name="40% - Accent2 5 3" xfId="3270" xr:uid="{00000000-0005-0000-0000-00005E320000}"/>
    <cellStyle name="40% - Accent2 5 3 2" xfId="3271" xr:uid="{00000000-0005-0000-0000-00005F320000}"/>
    <cellStyle name="40% - Accent2 5 3 2 2" xfId="3272" xr:uid="{00000000-0005-0000-0000-000060320000}"/>
    <cellStyle name="40% - Accent2 5 3 2 2 2" xfId="16742" xr:uid="{00000000-0005-0000-0000-000061320000}"/>
    <cellStyle name="40% - Accent2 5 3 2 2 2 2" xfId="30149" xr:uid="{00000000-0005-0000-0000-000062320000}"/>
    <cellStyle name="40% - Accent2 5 3 2 2 3" xfId="20597" xr:uid="{00000000-0005-0000-0000-000063320000}"/>
    <cellStyle name="40% - Accent2 5 3 2 3" xfId="11013" xr:uid="{00000000-0005-0000-0000-000064320000}"/>
    <cellStyle name="40% - Accent2 5 3 2 3 2" xfId="24955" xr:uid="{00000000-0005-0000-0000-000065320000}"/>
    <cellStyle name="40% - Accent2 5 3 2 4" xfId="20596" xr:uid="{00000000-0005-0000-0000-000066320000}"/>
    <cellStyle name="40% - Accent2 5 3 3" xfId="3273" xr:uid="{00000000-0005-0000-0000-000067320000}"/>
    <cellStyle name="40% - Accent2 5 3 3 2" xfId="12130" xr:uid="{00000000-0005-0000-0000-000068320000}"/>
    <cellStyle name="40% - Accent2 5 3 3 2 2" xfId="25842" xr:uid="{00000000-0005-0000-0000-000069320000}"/>
    <cellStyle name="40% - Accent2 5 3 3 3" xfId="20598" xr:uid="{00000000-0005-0000-0000-00006A320000}"/>
    <cellStyle name="40% - Accent2 5 3 4" xfId="3274" xr:uid="{00000000-0005-0000-0000-00006B320000}"/>
    <cellStyle name="40% - Accent2 5 3 4 2" xfId="13694" xr:uid="{00000000-0005-0000-0000-00006C320000}"/>
    <cellStyle name="40% - Accent2 5 3 4 2 2" xfId="27243" xr:uid="{00000000-0005-0000-0000-00006D320000}"/>
    <cellStyle name="40% - Accent2 5 3 4 3" xfId="20599" xr:uid="{00000000-0005-0000-0000-00006E320000}"/>
    <cellStyle name="40% - Accent2 5 3 5" xfId="3275" xr:uid="{00000000-0005-0000-0000-00006F320000}"/>
    <cellStyle name="40% - Accent2 5 3 5 2" xfId="14275" xr:uid="{00000000-0005-0000-0000-000070320000}"/>
    <cellStyle name="40% - Accent2 5 3 5 2 2" xfId="27824" xr:uid="{00000000-0005-0000-0000-000071320000}"/>
    <cellStyle name="40% - Accent2 5 3 5 3" xfId="20600" xr:uid="{00000000-0005-0000-0000-000072320000}"/>
    <cellStyle name="40% - Accent2 5 3 6" xfId="3276" xr:uid="{00000000-0005-0000-0000-000073320000}"/>
    <cellStyle name="40% - Accent2 5 3 6 2" xfId="16161" xr:uid="{00000000-0005-0000-0000-000074320000}"/>
    <cellStyle name="40% - Accent2 5 3 6 2 2" xfId="29568" xr:uid="{00000000-0005-0000-0000-000075320000}"/>
    <cellStyle name="40% - Accent2 5 3 6 3" xfId="20601" xr:uid="{00000000-0005-0000-0000-000076320000}"/>
    <cellStyle name="40% - Accent2 5 3 7" xfId="9286" xr:uid="{00000000-0005-0000-0000-000077320000}"/>
    <cellStyle name="40% - Accent2 5 3 7 2" xfId="23761" xr:uid="{00000000-0005-0000-0000-000078320000}"/>
    <cellStyle name="40% - Accent2 5 3 8" xfId="20595" xr:uid="{00000000-0005-0000-0000-000079320000}"/>
    <cellStyle name="40% - Accent2 5 4" xfId="3277" xr:uid="{00000000-0005-0000-0000-00007A320000}"/>
    <cellStyle name="40% - Accent2 5 4 2" xfId="3278" xr:uid="{00000000-0005-0000-0000-00007B320000}"/>
    <cellStyle name="40% - Accent2 5 4 2 2" xfId="16450" xr:uid="{00000000-0005-0000-0000-00007C320000}"/>
    <cellStyle name="40% - Accent2 5 4 2 2 2" xfId="29857" xr:uid="{00000000-0005-0000-0000-00007D320000}"/>
    <cellStyle name="40% - Accent2 5 4 2 3" xfId="20603" xr:uid="{00000000-0005-0000-0000-00007E320000}"/>
    <cellStyle name="40% - Accent2 5 4 3" xfId="11010" xr:uid="{00000000-0005-0000-0000-00007F320000}"/>
    <cellStyle name="40% - Accent2 5 4 3 2" xfId="24952" xr:uid="{00000000-0005-0000-0000-000080320000}"/>
    <cellStyle name="40% - Accent2 5 4 4" xfId="20602" xr:uid="{00000000-0005-0000-0000-000081320000}"/>
    <cellStyle name="40% - Accent2 5 5" xfId="3279" xr:uid="{00000000-0005-0000-0000-000082320000}"/>
    <cellStyle name="40% - Accent2 5 5 2" xfId="11801" xr:uid="{00000000-0005-0000-0000-000083320000}"/>
    <cellStyle name="40% - Accent2 5 5 2 2" xfId="25516" xr:uid="{00000000-0005-0000-0000-000084320000}"/>
    <cellStyle name="40% - Accent2 5 5 3" xfId="20604" xr:uid="{00000000-0005-0000-0000-000085320000}"/>
    <cellStyle name="40% - Accent2 5 6" xfId="3280" xr:uid="{00000000-0005-0000-0000-000086320000}"/>
    <cellStyle name="40% - Accent2 5 6 2" xfId="13402" xr:uid="{00000000-0005-0000-0000-000087320000}"/>
    <cellStyle name="40% - Accent2 5 6 2 2" xfId="26951" xr:uid="{00000000-0005-0000-0000-000088320000}"/>
    <cellStyle name="40% - Accent2 5 6 3" xfId="20605" xr:uid="{00000000-0005-0000-0000-000089320000}"/>
    <cellStyle name="40% - Accent2 5 7" xfId="3281" xr:uid="{00000000-0005-0000-0000-00008A320000}"/>
    <cellStyle name="40% - Accent2 5 7 2" xfId="13983" xr:uid="{00000000-0005-0000-0000-00008B320000}"/>
    <cellStyle name="40% - Accent2 5 7 2 2" xfId="27532" xr:uid="{00000000-0005-0000-0000-00008C320000}"/>
    <cellStyle name="40% - Accent2 5 7 3" xfId="20606" xr:uid="{00000000-0005-0000-0000-00008D320000}"/>
    <cellStyle name="40% - Accent2 5 8" xfId="3282" xr:uid="{00000000-0005-0000-0000-00008E320000}"/>
    <cellStyle name="40% - Accent2 5 8 2" xfId="15869" xr:uid="{00000000-0005-0000-0000-00008F320000}"/>
    <cellStyle name="40% - Accent2 5 8 2 2" xfId="29276" xr:uid="{00000000-0005-0000-0000-000090320000}"/>
    <cellStyle name="40% - Accent2 5 8 3" xfId="20607" xr:uid="{00000000-0005-0000-0000-000091320000}"/>
    <cellStyle name="40% - Accent2 5 9" xfId="9283" xr:uid="{00000000-0005-0000-0000-000092320000}"/>
    <cellStyle name="40% - Accent2 5 9 2" xfId="23758" xr:uid="{00000000-0005-0000-0000-000093320000}"/>
    <cellStyle name="40% - Accent2 6" xfId="3283" xr:uid="{00000000-0005-0000-0000-000094320000}"/>
    <cellStyle name="40% - Accent2 6 10" xfId="20608" xr:uid="{00000000-0005-0000-0000-000095320000}"/>
    <cellStyle name="40% - Accent2 6 2" xfId="3284" xr:uid="{00000000-0005-0000-0000-000096320000}"/>
    <cellStyle name="40% - Accent2 6 2 2" xfId="3285" xr:uid="{00000000-0005-0000-0000-000097320000}"/>
    <cellStyle name="40% - Accent2 6 2 2 2" xfId="3286" xr:uid="{00000000-0005-0000-0000-000098320000}"/>
    <cellStyle name="40% - Accent2 6 2 2 2 2" xfId="3287" xr:uid="{00000000-0005-0000-0000-000099320000}"/>
    <cellStyle name="40% - Accent2 6 2 2 2 2 2" xfId="16988" xr:uid="{00000000-0005-0000-0000-00009A320000}"/>
    <cellStyle name="40% - Accent2 6 2 2 2 2 2 2" xfId="30395" xr:uid="{00000000-0005-0000-0000-00009B320000}"/>
    <cellStyle name="40% - Accent2 6 2 2 2 2 3" xfId="20612" xr:uid="{00000000-0005-0000-0000-00009C320000}"/>
    <cellStyle name="40% - Accent2 6 2 2 2 3" xfId="11016" xr:uid="{00000000-0005-0000-0000-00009D320000}"/>
    <cellStyle name="40% - Accent2 6 2 2 2 3 2" xfId="24958" xr:uid="{00000000-0005-0000-0000-00009E320000}"/>
    <cellStyle name="40% - Accent2 6 2 2 2 4" xfId="20611" xr:uid="{00000000-0005-0000-0000-00009F320000}"/>
    <cellStyle name="40% - Accent2 6 2 2 3" xfId="3288" xr:uid="{00000000-0005-0000-0000-0000A0320000}"/>
    <cellStyle name="40% - Accent2 6 2 2 3 2" xfId="12376" xr:uid="{00000000-0005-0000-0000-0000A1320000}"/>
    <cellStyle name="40% - Accent2 6 2 2 3 2 2" xfId="26088" xr:uid="{00000000-0005-0000-0000-0000A2320000}"/>
    <cellStyle name="40% - Accent2 6 2 2 3 3" xfId="20613" xr:uid="{00000000-0005-0000-0000-0000A3320000}"/>
    <cellStyle name="40% - Accent2 6 2 2 4" xfId="3289" xr:uid="{00000000-0005-0000-0000-0000A4320000}"/>
    <cellStyle name="40% - Accent2 6 2 2 4 2" xfId="13940" xr:uid="{00000000-0005-0000-0000-0000A5320000}"/>
    <cellStyle name="40% - Accent2 6 2 2 4 2 2" xfId="27489" xr:uid="{00000000-0005-0000-0000-0000A6320000}"/>
    <cellStyle name="40% - Accent2 6 2 2 4 3" xfId="20614" xr:uid="{00000000-0005-0000-0000-0000A7320000}"/>
    <cellStyle name="40% - Accent2 6 2 2 5" xfId="3290" xr:uid="{00000000-0005-0000-0000-0000A8320000}"/>
    <cellStyle name="40% - Accent2 6 2 2 5 2" xfId="14521" xr:uid="{00000000-0005-0000-0000-0000A9320000}"/>
    <cellStyle name="40% - Accent2 6 2 2 5 2 2" xfId="28070" xr:uid="{00000000-0005-0000-0000-0000AA320000}"/>
    <cellStyle name="40% - Accent2 6 2 2 5 3" xfId="20615" xr:uid="{00000000-0005-0000-0000-0000AB320000}"/>
    <cellStyle name="40% - Accent2 6 2 2 6" xfId="3291" xr:uid="{00000000-0005-0000-0000-0000AC320000}"/>
    <cellStyle name="40% - Accent2 6 2 2 6 2" xfId="16407" xr:uid="{00000000-0005-0000-0000-0000AD320000}"/>
    <cellStyle name="40% - Accent2 6 2 2 6 2 2" xfId="29814" xr:uid="{00000000-0005-0000-0000-0000AE320000}"/>
    <cellStyle name="40% - Accent2 6 2 2 6 3" xfId="20616" xr:uid="{00000000-0005-0000-0000-0000AF320000}"/>
    <cellStyle name="40% - Accent2 6 2 2 7" xfId="9289" xr:uid="{00000000-0005-0000-0000-0000B0320000}"/>
    <cellStyle name="40% - Accent2 6 2 2 7 2" xfId="23764" xr:uid="{00000000-0005-0000-0000-0000B1320000}"/>
    <cellStyle name="40% - Accent2 6 2 2 8" xfId="20610" xr:uid="{00000000-0005-0000-0000-0000B2320000}"/>
    <cellStyle name="40% - Accent2 6 2 3" xfId="3292" xr:uid="{00000000-0005-0000-0000-0000B3320000}"/>
    <cellStyle name="40% - Accent2 6 2 3 2" xfId="3293" xr:uid="{00000000-0005-0000-0000-0000B4320000}"/>
    <cellStyle name="40% - Accent2 6 2 3 2 2" xfId="16699" xr:uid="{00000000-0005-0000-0000-0000B5320000}"/>
    <cellStyle name="40% - Accent2 6 2 3 2 2 2" xfId="30106" xr:uid="{00000000-0005-0000-0000-0000B6320000}"/>
    <cellStyle name="40% - Accent2 6 2 3 2 3" xfId="20618" xr:uid="{00000000-0005-0000-0000-0000B7320000}"/>
    <cellStyle name="40% - Accent2 6 2 3 3" xfId="11015" xr:uid="{00000000-0005-0000-0000-0000B8320000}"/>
    <cellStyle name="40% - Accent2 6 2 3 3 2" xfId="24957" xr:uid="{00000000-0005-0000-0000-0000B9320000}"/>
    <cellStyle name="40% - Accent2 6 2 3 4" xfId="20617" xr:uid="{00000000-0005-0000-0000-0000BA320000}"/>
    <cellStyle name="40% - Accent2 6 2 4" xfId="3294" xr:uid="{00000000-0005-0000-0000-0000BB320000}"/>
    <cellStyle name="40% - Accent2 6 2 4 2" xfId="12076" xr:uid="{00000000-0005-0000-0000-0000BC320000}"/>
    <cellStyle name="40% - Accent2 6 2 4 2 2" xfId="25791" xr:uid="{00000000-0005-0000-0000-0000BD320000}"/>
    <cellStyle name="40% - Accent2 6 2 4 3" xfId="20619" xr:uid="{00000000-0005-0000-0000-0000BE320000}"/>
    <cellStyle name="40% - Accent2 6 2 5" xfId="3295" xr:uid="{00000000-0005-0000-0000-0000BF320000}"/>
    <cellStyle name="40% - Accent2 6 2 5 2" xfId="13651" xr:uid="{00000000-0005-0000-0000-0000C0320000}"/>
    <cellStyle name="40% - Accent2 6 2 5 2 2" xfId="27200" xr:uid="{00000000-0005-0000-0000-0000C1320000}"/>
    <cellStyle name="40% - Accent2 6 2 5 3" xfId="20620" xr:uid="{00000000-0005-0000-0000-0000C2320000}"/>
    <cellStyle name="40% - Accent2 6 2 6" xfId="3296" xr:uid="{00000000-0005-0000-0000-0000C3320000}"/>
    <cellStyle name="40% - Accent2 6 2 6 2" xfId="14232" xr:uid="{00000000-0005-0000-0000-0000C4320000}"/>
    <cellStyle name="40% - Accent2 6 2 6 2 2" xfId="27781" xr:uid="{00000000-0005-0000-0000-0000C5320000}"/>
    <cellStyle name="40% - Accent2 6 2 6 3" xfId="20621" xr:uid="{00000000-0005-0000-0000-0000C6320000}"/>
    <cellStyle name="40% - Accent2 6 2 7" xfId="3297" xr:uid="{00000000-0005-0000-0000-0000C7320000}"/>
    <cellStyle name="40% - Accent2 6 2 7 2" xfId="16118" xr:uid="{00000000-0005-0000-0000-0000C8320000}"/>
    <cellStyle name="40% - Accent2 6 2 7 2 2" xfId="29525" xr:uid="{00000000-0005-0000-0000-0000C9320000}"/>
    <cellStyle name="40% - Accent2 6 2 7 3" xfId="20622" xr:uid="{00000000-0005-0000-0000-0000CA320000}"/>
    <cellStyle name="40% - Accent2 6 2 8" xfId="9288" xr:uid="{00000000-0005-0000-0000-0000CB320000}"/>
    <cellStyle name="40% - Accent2 6 2 8 2" xfId="23763" xr:uid="{00000000-0005-0000-0000-0000CC320000}"/>
    <cellStyle name="40% - Accent2 6 2 9" xfId="20609" xr:uid="{00000000-0005-0000-0000-0000CD320000}"/>
    <cellStyle name="40% - Accent2 6 3" xfId="3298" xr:uid="{00000000-0005-0000-0000-0000CE320000}"/>
    <cellStyle name="40% - Accent2 6 3 2" xfId="3299" xr:uid="{00000000-0005-0000-0000-0000CF320000}"/>
    <cellStyle name="40% - Accent2 6 3 2 2" xfId="3300" xr:uid="{00000000-0005-0000-0000-0000D0320000}"/>
    <cellStyle name="40% - Accent2 6 3 2 2 2" xfId="16845" xr:uid="{00000000-0005-0000-0000-0000D1320000}"/>
    <cellStyle name="40% - Accent2 6 3 2 2 2 2" xfId="30252" xr:uid="{00000000-0005-0000-0000-0000D2320000}"/>
    <cellStyle name="40% - Accent2 6 3 2 2 3" xfId="20625" xr:uid="{00000000-0005-0000-0000-0000D3320000}"/>
    <cellStyle name="40% - Accent2 6 3 2 3" xfId="11017" xr:uid="{00000000-0005-0000-0000-0000D4320000}"/>
    <cellStyle name="40% - Accent2 6 3 2 3 2" xfId="24959" xr:uid="{00000000-0005-0000-0000-0000D5320000}"/>
    <cellStyle name="40% - Accent2 6 3 2 4" xfId="20624" xr:uid="{00000000-0005-0000-0000-0000D6320000}"/>
    <cellStyle name="40% - Accent2 6 3 3" xfId="3301" xr:uid="{00000000-0005-0000-0000-0000D7320000}"/>
    <cellStyle name="40% - Accent2 6 3 3 2" xfId="12233" xr:uid="{00000000-0005-0000-0000-0000D8320000}"/>
    <cellStyle name="40% - Accent2 6 3 3 2 2" xfId="25945" xr:uid="{00000000-0005-0000-0000-0000D9320000}"/>
    <cellStyle name="40% - Accent2 6 3 3 3" xfId="20626" xr:uid="{00000000-0005-0000-0000-0000DA320000}"/>
    <cellStyle name="40% - Accent2 6 3 4" xfId="3302" xr:uid="{00000000-0005-0000-0000-0000DB320000}"/>
    <cellStyle name="40% - Accent2 6 3 4 2" xfId="13797" xr:uid="{00000000-0005-0000-0000-0000DC320000}"/>
    <cellStyle name="40% - Accent2 6 3 4 2 2" xfId="27346" xr:uid="{00000000-0005-0000-0000-0000DD320000}"/>
    <cellStyle name="40% - Accent2 6 3 4 3" xfId="20627" xr:uid="{00000000-0005-0000-0000-0000DE320000}"/>
    <cellStyle name="40% - Accent2 6 3 5" xfId="3303" xr:uid="{00000000-0005-0000-0000-0000DF320000}"/>
    <cellStyle name="40% - Accent2 6 3 5 2" xfId="14378" xr:uid="{00000000-0005-0000-0000-0000E0320000}"/>
    <cellStyle name="40% - Accent2 6 3 5 2 2" xfId="27927" xr:uid="{00000000-0005-0000-0000-0000E1320000}"/>
    <cellStyle name="40% - Accent2 6 3 5 3" xfId="20628" xr:uid="{00000000-0005-0000-0000-0000E2320000}"/>
    <cellStyle name="40% - Accent2 6 3 6" xfId="3304" xr:uid="{00000000-0005-0000-0000-0000E3320000}"/>
    <cellStyle name="40% - Accent2 6 3 6 2" xfId="16264" xr:uid="{00000000-0005-0000-0000-0000E4320000}"/>
    <cellStyle name="40% - Accent2 6 3 6 2 2" xfId="29671" xr:uid="{00000000-0005-0000-0000-0000E5320000}"/>
    <cellStyle name="40% - Accent2 6 3 6 3" xfId="20629" xr:uid="{00000000-0005-0000-0000-0000E6320000}"/>
    <cellStyle name="40% - Accent2 6 3 7" xfId="9290" xr:uid="{00000000-0005-0000-0000-0000E7320000}"/>
    <cellStyle name="40% - Accent2 6 3 7 2" xfId="23765" xr:uid="{00000000-0005-0000-0000-0000E8320000}"/>
    <cellStyle name="40% - Accent2 6 3 8" xfId="20623" xr:uid="{00000000-0005-0000-0000-0000E9320000}"/>
    <cellStyle name="40% - Accent2 6 4" xfId="3305" xr:uid="{00000000-0005-0000-0000-0000EA320000}"/>
    <cellStyle name="40% - Accent2 6 4 2" xfId="3306" xr:uid="{00000000-0005-0000-0000-0000EB320000}"/>
    <cellStyle name="40% - Accent2 6 4 2 2" xfId="16556" xr:uid="{00000000-0005-0000-0000-0000EC320000}"/>
    <cellStyle name="40% - Accent2 6 4 2 2 2" xfId="29963" xr:uid="{00000000-0005-0000-0000-0000ED320000}"/>
    <cellStyle name="40% - Accent2 6 4 2 3" xfId="20631" xr:uid="{00000000-0005-0000-0000-0000EE320000}"/>
    <cellStyle name="40% - Accent2 6 4 3" xfId="11014" xr:uid="{00000000-0005-0000-0000-0000EF320000}"/>
    <cellStyle name="40% - Accent2 6 4 3 2" xfId="24956" xr:uid="{00000000-0005-0000-0000-0000F0320000}"/>
    <cellStyle name="40% - Accent2 6 4 4" xfId="20630" xr:uid="{00000000-0005-0000-0000-0000F1320000}"/>
    <cellStyle name="40% - Accent2 6 5" xfId="3307" xr:uid="{00000000-0005-0000-0000-0000F2320000}"/>
    <cellStyle name="40% - Accent2 6 5 2" xfId="11931" xr:uid="{00000000-0005-0000-0000-0000F3320000}"/>
    <cellStyle name="40% - Accent2 6 5 2 2" xfId="25646" xr:uid="{00000000-0005-0000-0000-0000F4320000}"/>
    <cellStyle name="40% - Accent2 6 5 3" xfId="20632" xr:uid="{00000000-0005-0000-0000-0000F5320000}"/>
    <cellStyle name="40% - Accent2 6 6" xfId="3308" xr:uid="{00000000-0005-0000-0000-0000F6320000}"/>
    <cellStyle name="40% - Accent2 6 6 2" xfId="13508" xr:uid="{00000000-0005-0000-0000-0000F7320000}"/>
    <cellStyle name="40% - Accent2 6 6 2 2" xfId="27057" xr:uid="{00000000-0005-0000-0000-0000F8320000}"/>
    <cellStyle name="40% - Accent2 6 6 3" xfId="20633" xr:uid="{00000000-0005-0000-0000-0000F9320000}"/>
    <cellStyle name="40% - Accent2 6 7" xfId="3309" xr:uid="{00000000-0005-0000-0000-0000FA320000}"/>
    <cellStyle name="40% - Accent2 6 7 2" xfId="14089" xr:uid="{00000000-0005-0000-0000-0000FB320000}"/>
    <cellStyle name="40% - Accent2 6 7 2 2" xfId="27638" xr:uid="{00000000-0005-0000-0000-0000FC320000}"/>
    <cellStyle name="40% - Accent2 6 7 3" xfId="20634" xr:uid="{00000000-0005-0000-0000-0000FD320000}"/>
    <cellStyle name="40% - Accent2 6 8" xfId="3310" xr:uid="{00000000-0005-0000-0000-0000FE320000}"/>
    <cellStyle name="40% - Accent2 6 8 2" xfId="15975" xr:uid="{00000000-0005-0000-0000-0000FF320000}"/>
    <cellStyle name="40% - Accent2 6 8 2 2" xfId="29382" xr:uid="{00000000-0005-0000-0000-000000330000}"/>
    <cellStyle name="40% - Accent2 6 8 3" xfId="20635" xr:uid="{00000000-0005-0000-0000-000001330000}"/>
    <cellStyle name="40% - Accent2 6 9" xfId="9287" xr:uid="{00000000-0005-0000-0000-000002330000}"/>
    <cellStyle name="40% - Accent2 6 9 2" xfId="23762" xr:uid="{00000000-0005-0000-0000-000003330000}"/>
    <cellStyle name="40% - Accent2 7" xfId="3311" xr:uid="{00000000-0005-0000-0000-000004330000}"/>
    <cellStyle name="40% - Accent2 7 2" xfId="3312" xr:uid="{00000000-0005-0000-0000-000005330000}"/>
    <cellStyle name="40% - Accent2 7 2 2" xfId="3313" xr:uid="{00000000-0005-0000-0000-000006330000}"/>
    <cellStyle name="40% - Accent2 7 2 2 2" xfId="3314" xr:uid="{00000000-0005-0000-0000-000007330000}"/>
    <cellStyle name="40% - Accent2 7 2 2 2 2" xfId="16861" xr:uid="{00000000-0005-0000-0000-000008330000}"/>
    <cellStyle name="40% - Accent2 7 2 2 2 2 2" xfId="30268" xr:uid="{00000000-0005-0000-0000-000009330000}"/>
    <cellStyle name="40% - Accent2 7 2 2 2 3" xfId="20639" xr:uid="{00000000-0005-0000-0000-00000A330000}"/>
    <cellStyle name="40% - Accent2 7 2 2 3" xfId="11019" xr:uid="{00000000-0005-0000-0000-00000B330000}"/>
    <cellStyle name="40% - Accent2 7 2 2 3 2" xfId="24961" xr:uid="{00000000-0005-0000-0000-00000C330000}"/>
    <cellStyle name="40% - Accent2 7 2 2 4" xfId="20638" xr:uid="{00000000-0005-0000-0000-00000D330000}"/>
    <cellStyle name="40% - Accent2 7 2 3" xfId="3315" xr:uid="{00000000-0005-0000-0000-00000E330000}"/>
    <cellStyle name="40% - Accent2 7 2 3 2" xfId="12249" xr:uid="{00000000-0005-0000-0000-00000F330000}"/>
    <cellStyle name="40% - Accent2 7 2 3 2 2" xfId="25961" xr:uid="{00000000-0005-0000-0000-000010330000}"/>
    <cellStyle name="40% - Accent2 7 2 3 3" xfId="20640" xr:uid="{00000000-0005-0000-0000-000011330000}"/>
    <cellStyle name="40% - Accent2 7 2 4" xfId="3316" xr:uid="{00000000-0005-0000-0000-000012330000}"/>
    <cellStyle name="40% - Accent2 7 2 4 2" xfId="13813" xr:uid="{00000000-0005-0000-0000-000013330000}"/>
    <cellStyle name="40% - Accent2 7 2 4 2 2" xfId="27362" xr:uid="{00000000-0005-0000-0000-000014330000}"/>
    <cellStyle name="40% - Accent2 7 2 4 3" xfId="20641" xr:uid="{00000000-0005-0000-0000-000015330000}"/>
    <cellStyle name="40% - Accent2 7 2 5" xfId="3317" xr:uid="{00000000-0005-0000-0000-000016330000}"/>
    <cellStyle name="40% - Accent2 7 2 5 2" xfId="14394" xr:uid="{00000000-0005-0000-0000-000017330000}"/>
    <cellStyle name="40% - Accent2 7 2 5 2 2" xfId="27943" xr:uid="{00000000-0005-0000-0000-000018330000}"/>
    <cellStyle name="40% - Accent2 7 2 5 3" xfId="20642" xr:uid="{00000000-0005-0000-0000-000019330000}"/>
    <cellStyle name="40% - Accent2 7 2 6" xfId="3318" xr:uid="{00000000-0005-0000-0000-00001A330000}"/>
    <cellStyle name="40% - Accent2 7 2 6 2" xfId="16280" xr:uid="{00000000-0005-0000-0000-00001B330000}"/>
    <cellStyle name="40% - Accent2 7 2 6 2 2" xfId="29687" xr:uid="{00000000-0005-0000-0000-00001C330000}"/>
    <cellStyle name="40% - Accent2 7 2 6 3" xfId="20643" xr:uid="{00000000-0005-0000-0000-00001D330000}"/>
    <cellStyle name="40% - Accent2 7 2 7" xfId="9292" xr:uid="{00000000-0005-0000-0000-00001E330000}"/>
    <cellStyle name="40% - Accent2 7 2 7 2" xfId="23767" xr:uid="{00000000-0005-0000-0000-00001F330000}"/>
    <cellStyle name="40% - Accent2 7 2 8" xfId="20637" xr:uid="{00000000-0005-0000-0000-000020330000}"/>
    <cellStyle name="40% - Accent2 7 3" xfId="3319" xr:uid="{00000000-0005-0000-0000-000021330000}"/>
    <cellStyle name="40% - Accent2 7 3 2" xfId="3320" xr:uid="{00000000-0005-0000-0000-000022330000}"/>
    <cellStyle name="40% - Accent2 7 3 2 2" xfId="16572" xr:uid="{00000000-0005-0000-0000-000023330000}"/>
    <cellStyle name="40% - Accent2 7 3 2 2 2" xfId="29979" xr:uid="{00000000-0005-0000-0000-000024330000}"/>
    <cellStyle name="40% - Accent2 7 3 2 3" xfId="20645" xr:uid="{00000000-0005-0000-0000-000025330000}"/>
    <cellStyle name="40% - Accent2 7 3 3" xfId="11018" xr:uid="{00000000-0005-0000-0000-000026330000}"/>
    <cellStyle name="40% - Accent2 7 3 3 2" xfId="24960" xr:uid="{00000000-0005-0000-0000-000027330000}"/>
    <cellStyle name="40% - Accent2 7 3 4" xfId="20644" xr:uid="{00000000-0005-0000-0000-000028330000}"/>
    <cellStyle name="40% - Accent2 7 4" xfId="3321" xr:uid="{00000000-0005-0000-0000-000029330000}"/>
    <cellStyle name="40% - Accent2 7 4 2" xfId="11947" xr:uid="{00000000-0005-0000-0000-00002A330000}"/>
    <cellStyle name="40% - Accent2 7 4 2 2" xfId="25662" xr:uid="{00000000-0005-0000-0000-00002B330000}"/>
    <cellStyle name="40% - Accent2 7 4 3" xfId="20646" xr:uid="{00000000-0005-0000-0000-00002C330000}"/>
    <cellStyle name="40% - Accent2 7 5" xfId="3322" xr:uid="{00000000-0005-0000-0000-00002D330000}"/>
    <cellStyle name="40% - Accent2 7 5 2" xfId="13524" xr:uid="{00000000-0005-0000-0000-00002E330000}"/>
    <cellStyle name="40% - Accent2 7 5 2 2" xfId="27073" xr:uid="{00000000-0005-0000-0000-00002F330000}"/>
    <cellStyle name="40% - Accent2 7 5 3" xfId="20647" xr:uid="{00000000-0005-0000-0000-000030330000}"/>
    <cellStyle name="40% - Accent2 7 6" xfId="3323" xr:uid="{00000000-0005-0000-0000-000031330000}"/>
    <cellStyle name="40% - Accent2 7 6 2" xfId="14105" xr:uid="{00000000-0005-0000-0000-000032330000}"/>
    <cellStyle name="40% - Accent2 7 6 2 2" xfId="27654" xr:uid="{00000000-0005-0000-0000-000033330000}"/>
    <cellStyle name="40% - Accent2 7 6 3" xfId="20648" xr:uid="{00000000-0005-0000-0000-000034330000}"/>
    <cellStyle name="40% - Accent2 7 7" xfId="3324" xr:uid="{00000000-0005-0000-0000-000035330000}"/>
    <cellStyle name="40% - Accent2 7 7 2" xfId="15991" xr:uid="{00000000-0005-0000-0000-000036330000}"/>
    <cellStyle name="40% - Accent2 7 7 2 2" xfId="29398" xr:uid="{00000000-0005-0000-0000-000037330000}"/>
    <cellStyle name="40% - Accent2 7 7 3" xfId="20649" xr:uid="{00000000-0005-0000-0000-000038330000}"/>
    <cellStyle name="40% - Accent2 7 8" xfId="9291" xr:uid="{00000000-0005-0000-0000-000039330000}"/>
    <cellStyle name="40% - Accent2 7 8 2" xfId="23766" xr:uid="{00000000-0005-0000-0000-00003A330000}"/>
    <cellStyle name="40% - Accent2 7 9" xfId="20636" xr:uid="{00000000-0005-0000-0000-00003B330000}"/>
    <cellStyle name="40% - Accent2 8" xfId="3325" xr:uid="{00000000-0005-0000-0000-00003C330000}"/>
    <cellStyle name="40% - Accent2 8 2" xfId="3326" xr:uid="{00000000-0005-0000-0000-00003D330000}"/>
    <cellStyle name="40% - Accent2 8 2 2" xfId="3327" xr:uid="{00000000-0005-0000-0000-00003E330000}"/>
    <cellStyle name="40% - Accent2 8 2 2 2" xfId="16719" xr:uid="{00000000-0005-0000-0000-00003F330000}"/>
    <cellStyle name="40% - Accent2 8 2 2 2 2" xfId="30126" xr:uid="{00000000-0005-0000-0000-000040330000}"/>
    <cellStyle name="40% - Accent2 8 2 2 3" xfId="20652" xr:uid="{00000000-0005-0000-0000-000041330000}"/>
    <cellStyle name="40% - Accent2 8 2 3" xfId="11020" xr:uid="{00000000-0005-0000-0000-000042330000}"/>
    <cellStyle name="40% - Accent2 8 2 3 2" xfId="24962" xr:uid="{00000000-0005-0000-0000-000043330000}"/>
    <cellStyle name="40% - Accent2 8 2 4" xfId="20651" xr:uid="{00000000-0005-0000-0000-000044330000}"/>
    <cellStyle name="40% - Accent2 8 3" xfId="3328" xr:uid="{00000000-0005-0000-0000-000045330000}"/>
    <cellStyle name="40% - Accent2 8 3 2" xfId="12097" xr:uid="{00000000-0005-0000-0000-000046330000}"/>
    <cellStyle name="40% - Accent2 8 3 2 2" xfId="25811" xr:uid="{00000000-0005-0000-0000-000047330000}"/>
    <cellStyle name="40% - Accent2 8 3 3" xfId="20653" xr:uid="{00000000-0005-0000-0000-000048330000}"/>
    <cellStyle name="40% - Accent2 8 4" xfId="3329" xr:uid="{00000000-0005-0000-0000-000049330000}"/>
    <cellStyle name="40% - Accent2 8 4 2" xfId="13671" xr:uid="{00000000-0005-0000-0000-00004A330000}"/>
    <cellStyle name="40% - Accent2 8 4 2 2" xfId="27220" xr:uid="{00000000-0005-0000-0000-00004B330000}"/>
    <cellStyle name="40% - Accent2 8 4 3" xfId="20654" xr:uid="{00000000-0005-0000-0000-00004C330000}"/>
    <cellStyle name="40% - Accent2 8 5" xfId="3330" xr:uid="{00000000-0005-0000-0000-00004D330000}"/>
    <cellStyle name="40% - Accent2 8 5 2" xfId="14252" xr:uid="{00000000-0005-0000-0000-00004E330000}"/>
    <cellStyle name="40% - Accent2 8 5 2 2" xfId="27801" xr:uid="{00000000-0005-0000-0000-00004F330000}"/>
    <cellStyle name="40% - Accent2 8 5 3" xfId="20655" xr:uid="{00000000-0005-0000-0000-000050330000}"/>
    <cellStyle name="40% - Accent2 8 6" xfId="3331" xr:uid="{00000000-0005-0000-0000-000051330000}"/>
    <cellStyle name="40% - Accent2 8 6 2" xfId="16138" xr:uid="{00000000-0005-0000-0000-000052330000}"/>
    <cellStyle name="40% - Accent2 8 6 2 2" xfId="29545" xr:uid="{00000000-0005-0000-0000-000053330000}"/>
    <cellStyle name="40% - Accent2 8 6 3" xfId="20656" xr:uid="{00000000-0005-0000-0000-000054330000}"/>
    <cellStyle name="40% - Accent2 8 7" xfId="9293" xr:uid="{00000000-0005-0000-0000-000055330000}"/>
    <cellStyle name="40% - Accent2 8 7 2" xfId="23768" xr:uid="{00000000-0005-0000-0000-000056330000}"/>
    <cellStyle name="40% - Accent2 8 8" xfId="20650" xr:uid="{00000000-0005-0000-0000-000057330000}"/>
    <cellStyle name="40% - Accent2 9" xfId="3332" xr:uid="{00000000-0005-0000-0000-000058330000}"/>
    <cellStyle name="40% - Accent2 9 2" xfId="3333" xr:uid="{00000000-0005-0000-0000-000059330000}"/>
    <cellStyle name="40% - Accent2 9 2 2" xfId="11717" xr:uid="{00000000-0005-0000-0000-00005A330000}"/>
    <cellStyle name="40% - Accent2 9 2 2 2" xfId="25437" xr:uid="{00000000-0005-0000-0000-00005B330000}"/>
    <cellStyle name="40% - Accent2 9 2 3" xfId="20658" xr:uid="{00000000-0005-0000-0000-00005C330000}"/>
    <cellStyle name="40% - Accent2 9 3" xfId="3334" xr:uid="{00000000-0005-0000-0000-00005D330000}"/>
    <cellStyle name="40% - Accent2 9 3 2" xfId="12534" xr:uid="{00000000-0005-0000-0000-00005E330000}"/>
    <cellStyle name="40% - Accent2 9 3 2 2" xfId="26246" xr:uid="{00000000-0005-0000-0000-00005F330000}"/>
    <cellStyle name="40% - Accent2 9 3 3" xfId="20659" xr:uid="{00000000-0005-0000-0000-000060330000}"/>
    <cellStyle name="40% - Accent2 9 4" xfId="3335" xr:uid="{00000000-0005-0000-0000-000061330000}"/>
    <cellStyle name="40% - Accent2 9 4 2" xfId="15167" xr:uid="{00000000-0005-0000-0000-000062330000}"/>
    <cellStyle name="40% - Accent2 9 4 2 2" xfId="28716" xr:uid="{00000000-0005-0000-0000-000063330000}"/>
    <cellStyle name="40% - Accent2 9 4 3" xfId="20660" xr:uid="{00000000-0005-0000-0000-000064330000}"/>
    <cellStyle name="40% - Accent2 9 5" xfId="3336" xr:uid="{00000000-0005-0000-0000-000065330000}"/>
    <cellStyle name="40% - Accent2 9 5 2" xfId="17103" xr:uid="{00000000-0005-0000-0000-000066330000}"/>
    <cellStyle name="40% - Accent2 9 5 2 2" xfId="30462" xr:uid="{00000000-0005-0000-0000-000067330000}"/>
    <cellStyle name="40% - Accent2 9 5 3" xfId="20661" xr:uid="{00000000-0005-0000-0000-000068330000}"/>
    <cellStyle name="40% - Accent2 9 6" xfId="10469" xr:uid="{00000000-0005-0000-0000-000069330000}"/>
    <cellStyle name="40% - Accent2 9 6 2" xfId="24428" xr:uid="{00000000-0005-0000-0000-00006A330000}"/>
    <cellStyle name="40% - Accent2 9 7" xfId="20657" xr:uid="{00000000-0005-0000-0000-00006B330000}"/>
    <cellStyle name="40% - Accent3" xfId="37" builtinId="39" customBuiltin="1"/>
    <cellStyle name="40% - Accent3 10" xfId="3337" xr:uid="{00000000-0005-0000-0000-00006D330000}"/>
    <cellStyle name="40% - Accent3 10 2" xfId="3338" xr:uid="{00000000-0005-0000-0000-00006E330000}"/>
    <cellStyle name="40% - Accent3 10 2 2" xfId="3339" xr:uid="{00000000-0005-0000-0000-00006F330000}"/>
    <cellStyle name="40% - Accent3 10 2 2 2" xfId="12792" xr:uid="{00000000-0005-0000-0000-000070330000}"/>
    <cellStyle name="40% - Accent3 10 2 2 2 2" xfId="26504" xr:uid="{00000000-0005-0000-0000-000071330000}"/>
    <cellStyle name="40% - Accent3 10 2 2 3" xfId="20664" xr:uid="{00000000-0005-0000-0000-000072330000}"/>
    <cellStyle name="40% - Accent3 10 2 3" xfId="3340" xr:uid="{00000000-0005-0000-0000-000073330000}"/>
    <cellStyle name="40% - Accent3 10 2 3 2" xfId="15170" xr:uid="{00000000-0005-0000-0000-000074330000}"/>
    <cellStyle name="40% - Accent3 10 2 3 2 2" xfId="28719" xr:uid="{00000000-0005-0000-0000-000075330000}"/>
    <cellStyle name="40% - Accent3 10 2 3 3" xfId="20665" xr:uid="{00000000-0005-0000-0000-000076330000}"/>
    <cellStyle name="40% - Accent3 10 2 4" xfId="11022" xr:uid="{00000000-0005-0000-0000-000077330000}"/>
    <cellStyle name="40% - Accent3 10 2 4 2" xfId="24964" xr:uid="{00000000-0005-0000-0000-000078330000}"/>
    <cellStyle name="40% - Accent3 10 2 5" xfId="20663" xr:uid="{00000000-0005-0000-0000-000079330000}"/>
    <cellStyle name="40% - Accent3 10 3" xfId="3341" xr:uid="{00000000-0005-0000-0000-00007A330000}"/>
    <cellStyle name="40% - Accent3 10 3 2" xfId="12706" xr:uid="{00000000-0005-0000-0000-00007B330000}"/>
    <cellStyle name="40% - Accent3 10 3 2 2" xfId="26418" xr:uid="{00000000-0005-0000-0000-00007C330000}"/>
    <cellStyle name="40% - Accent3 10 3 3" xfId="20666" xr:uid="{00000000-0005-0000-0000-00007D330000}"/>
    <cellStyle name="40% - Accent3 10 4" xfId="3342" xr:uid="{00000000-0005-0000-0000-00007E330000}"/>
    <cellStyle name="40% - Accent3 10 4 2" xfId="15169" xr:uid="{00000000-0005-0000-0000-00007F330000}"/>
    <cellStyle name="40% - Accent3 10 4 2 2" xfId="28718" xr:uid="{00000000-0005-0000-0000-000080330000}"/>
    <cellStyle name="40% - Accent3 10 4 3" xfId="20667" xr:uid="{00000000-0005-0000-0000-000081330000}"/>
    <cellStyle name="40% - Accent3 10 5" xfId="3343" xr:uid="{00000000-0005-0000-0000-000082330000}"/>
    <cellStyle name="40% - Accent3 10 5 2" xfId="17193" xr:uid="{00000000-0005-0000-0000-000083330000}"/>
    <cellStyle name="40% - Accent3 10 5 2 2" xfId="30552" xr:uid="{00000000-0005-0000-0000-000084330000}"/>
    <cellStyle name="40% - Accent3 10 5 3" xfId="20668" xr:uid="{00000000-0005-0000-0000-000085330000}"/>
    <cellStyle name="40% - Accent3 10 6" xfId="9295" xr:uid="{00000000-0005-0000-0000-000086330000}"/>
    <cellStyle name="40% - Accent3 10 6 2" xfId="23770" xr:uid="{00000000-0005-0000-0000-000087330000}"/>
    <cellStyle name="40% - Accent3 10 7" xfId="20662" xr:uid="{00000000-0005-0000-0000-000088330000}"/>
    <cellStyle name="40% - Accent3 11" xfId="3344" xr:uid="{00000000-0005-0000-0000-000089330000}"/>
    <cellStyle name="40% - Accent3 11 2" xfId="3345" xr:uid="{00000000-0005-0000-0000-00008A330000}"/>
    <cellStyle name="40% - Accent3 11 2 2" xfId="11023" xr:uid="{00000000-0005-0000-0000-00008B330000}"/>
    <cellStyle name="40% - Accent3 11 2 2 2" xfId="24965" xr:uid="{00000000-0005-0000-0000-00008C330000}"/>
    <cellStyle name="40% - Accent3 11 2 3" xfId="20670" xr:uid="{00000000-0005-0000-0000-00008D330000}"/>
    <cellStyle name="40% - Accent3 11 3" xfId="3346" xr:uid="{00000000-0005-0000-0000-00008E330000}"/>
    <cellStyle name="40% - Accent3 11 3 2" xfId="12625" xr:uid="{00000000-0005-0000-0000-00008F330000}"/>
    <cellStyle name="40% - Accent3 11 3 2 2" xfId="26337" xr:uid="{00000000-0005-0000-0000-000090330000}"/>
    <cellStyle name="40% - Accent3 11 3 3" xfId="20671" xr:uid="{00000000-0005-0000-0000-000091330000}"/>
    <cellStyle name="40% - Accent3 11 4" xfId="3347" xr:uid="{00000000-0005-0000-0000-000092330000}"/>
    <cellStyle name="40% - Accent3 11 4 2" xfId="15171" xr:uid="{00000000-0005-0000-0000-000093330000}"/>
    <cellStyle name="40% - Accent3 11 4 2 2" xfId="28720" xr:uid="{00000000-0005-0000-0000-000094330000}"/>
    <cellStyle name="40% - Accent3 11 4 3" xfId="20672" xr:uid="{00000000-0005-0000-0000-000095330000}"/>
    <cellStyle name="40% - Accent3 11 5" xfId="3348" xr:uid="{00000000-0005-0000-0000-000096330000}"/>
    <cellStyle name="40% - Accent3 11 5 2" xfId="17282" xr:uid="{00000000-0005-0000-0000-000097330000}"/>
    <cellStyle name="40% - Accent3 11 5 2 2" xfId="30641" xr:uid="{00000000-0005-0000-0000-000098330000}"/>
    <cellStyle name="40% - Accent3 11 5 3" xfId="20673" xr:uid="{00000000-0005-0000-0000-000099330000}"/>
    <cellStyle name="40% - Accent3 11 6" xfId="9296" xr:uid="{00000000-0005-0000-0000-00009A330000}"/>
    <cellStyle name="40% - Accent3 11 6 2" xfId="23771" xr:uid="{00000000-0005-0000-0000-00009B330000}"/>
    <cellStyle name="40% - Accent3 11 7" xfId="20669" xr:uid="{00000000-0005-0000-0000-00009C330000}"/>
    <cellStyle name="40% - Accent3 12" xfId="3349" xr:uid="{00000000-0005-0000-0000-00009D330000}"/>
    <cellStyle name="40% - Accent3 12 2" xfId="3350" xr:uid="{00000000-0005-0000-0000-00009E330000}"/>
    <cellStyle name="40% - Accent3 12 2 2" xfId="3351" xr:uid="{00000000-0005-0000-0000-00009F330000}"/>
    <cellStyle name="40% - Accent3 12 2 2 2" xfId="11025" xr:uid="{00000000-0005-0000-0000-0000A0330000}"/>
    <cellStyle name="40% - Accent3 12 2 2 2 2" xfId="24967" xr:uid="{00000000-0005-0000-0000-0000A1330000}"/>
    <cellStyle name="40% - Accent3 12 2 2 3" xfId="20676" xr:uid="{00000000-0005-0000-0000-0000A2330000}"/>
    <cellStyle name="40% - Accent3 12 2 3" xfId="3352" xr:uid="{00000000-0005-0000-0000-0000A3330000}"/>
    <cellStyle name="40% - Accent3 12 2 3 2" xfId="12637" xr:uid="{00000000-0005-0000-0000-0000A4330000}"/>
    <cellStyle name="40% - Accent3 12 2 3 2 2" xfId="26349" xr:uid="{00000000-0005-0000-0000-0000A5330000}"/>
    <cellStyle name="40% - Accent3 12 2 3 3" xfId="20677" xr:uid="{00000000-0005-0000-0000-0000A6330000}"/>
    <cellStyle name="40% - Accent3 12 2 4" xfId="3353" xr:uid="{00000000-0005-0000-0000-0000A7330000}"/>
    <cellStyle name="40% - Accent3 12 2 4 2" xfId="15173" xr:uid="{00000000-0005-0000-0000-0000A8330000}"/>
    <cellStyle name="40% - Accent3 12 2 4 2 2" xfId="28722" xr:uid="{00000000-0005-0000-0000-0000A9330000}"/>
    <cellStyle name="40% - Accent3 12 2 4 3" xfId="20678" xr:uid="{00000000-0005-0000-0000-0000AA330000}"/>
    <cellStyle name="40% - Accent3 12 2 5" xfId="9298" xr:uid="{00000000-0005-0000-0000-0000AB330000}"/>
    <cellStyle name="40% - Accent3 12 2 5 2" xfId="23773" xr:uid="{00000000-0005-0000-0000-0000AC330000}"/>
    <cellStyle name="40% - Accent3 12 2 6" xfId="20675" xr:uid="{00000000-0005-0000-0000-0000AD330000}"/>
    <cellStyle name="40% - Accent3 12 3" xfId="3354" xr:uid="{00000000-0005-0000-0000-0000AE330000}"/>
    <cellStyle name="40% - Accent3 12 3 2" xfId="11024" xr:uid="{00000000-0005-0000-0000-0000AF330000}"/>
    <cellStyle name="40% - Accent3 12 3 2 2" xfId="24966" xr:uid="{00000000-0005-0000-0000-0000B0330000}"/>
    <cellStyle name="40% - Accent3 12 3 3" xfId="20679" xr:uid="{00000000-0005-0000-0000-0000B1330000}"/>
    <cellStyle name="40% - Accent3 12 4" xfId="3355" xr:uid="{00000000-0005-0000-0000-0000B2330000}"/>
    <cellStyle name="40% - Accent3 12 4 2" xfId="11894" xr:uid="{00000000-0005-0000-0000-0000B3330000}"/>
    <cellStyle name="40% - Accent3 12 4 2 2" xfId="25609" xr:uid="{00000000-0005-0000-0000-0000B4330000}"/>
    <cellStyle name="40% - Accent3 12 4 3" xfId="20680" xr:uid="{00000000-0005-0000-0000-0000B5330000}"/>
    <cellStyle name="40% - Accent3 12 5" xfId="3356" xr:uid="{00000000-0005-0000-0000-0000B6330000}"/>
    <cellStyle name="40% - Accent3 12 5 2" xfId="15172" xr:uid="{00000000-0005-0000-0000-0000B7330000}"/>
    <cellStyle name="40% - Accent3 12 5 2 2" xfId="28721" xr:uid="{00000000-0005-0000-0000-0000B8330000}"/>
    <cellStyle name="40% - Accent3 12 5 3" xfId="20681" xr:uid="{00000000-0005-0000-0000-0000B9330000}"/>
    <cellStyle name="40% - Accent3 12 6" xfId="3357" xr:uid="{00000000-0005-0000-0000-0000BA330000}"/>
    <cellStyle name="40% - Accent3 12 6 2" xfId="16434" xr:uid="{00000000-0005-0000-0000-0000BB330000}"/>
    <cellStyle name="40% - Accent3 12 6 2 2" xfId="29841" xr:uid="{00000000-0005-0000-0000-0000BC330000}"/>
    <cellStyle name="40% - Accent3 12 6 3" xfId="20682" xr:uid="{00000000-0005-0000-0000-0000BD330000}"/>
    <cellStyle name="40% - Accent3 12 7" xfId="9297" xr:uid="{00000000-0005-0000-0000-0000BE330000}"/>
    <cellStyle name="40% - Accent3 12 7 2" xfId="23772" xr:uid="{00000000-0005-0000-0000-0000BF330000}"/>
    <cellStyle name="40% - Accent3 12 8" xfId="20674" xr:uid="{00000000-0005-0000-0000-0000C0330000}"/>
    <cellStyle name="40% - Accent3 13" xfId="3358" xr:uid="{00000000-0005-0000-0000-0000C1330000}"/>
    <cellStyle name="40% - Accent3 13 2" xfId="3359" xr:uid="{00000000-0005-0000-0000-0000C2330000}"/>
    <cellStyle name="40% - Accent3 13 2 2" xfId="11026" xr:uid="{00000000-0005-0000-0000-0000C3330000}"/>
    <cellStyle name="40% - Accent3 13 2 2 2" xfId="24968" xr:uid="{00000000-0005-0000-0000-0000C4330000}"/>
    <cellStyle name="40% - Accent3 13 2 3" xfId="20684" xr:uid="{00000000-0005-0000-0000-0000C5330000}"/>
    <cellStyle name="40% - Accent3 13 3" xfId="3360" xr:uid="{00000000-0005-0000-0000-0000C6330000}"/>
    <cellStyle name="40% - Accent3 13 3 2" xfId="11890" xr:uid="{00000000-0005-0000-0000-0000C7330000}"/>
    <cellStyle name="40% - Accent3 13 3 2 2" xfId="25605" xr:uid="{00000000-0005-0000-0000-0000C8330000}"/>
    <cellStyle name="40% - Accent3 13 3 3" xfId="20685" xr:uid="{00000000-0005-0000-0000-0000C9330000}"/>
    <cellStyle name="40% - Accent3 13 4" xfId="3361" xr:uid="{00000000-0005-0000-0000-0000CA330000}"/>
    <cellStyle name="40% - Accent3 13 4 2" xfId="15174" xr:uid="{00000000-0005-0000-0000-0000CB330000}"/>
    <cellStyle name="40% - Accent3 13 4 2 2" xfId="28723" xr:uid="{00000000-0005-0000-0000-0000CC330000}"/>
    <cellStyle name="40% - Accent3 13 4 3" xfId="20686" xr:uid="{00000000-0005-0000-0000-0000CD330000}"/>
    <cellStyle name="40% - Accent3 13 5" xfId="9299" xr:uid="{00000000-0005-0000-0000-0000CE330000}"/>
    <cellStyle name="40% - Accent3 13 5 2" xfId="23774" xr:uid="{00000000-0005-0000-0000-0000CF330000}"/>
    <cellStyle name="40% - Accent3 13 6" xfId="20683" xr:uid="{00000000-0005-0000-0000-0000D0330000}"/>
    <cellStyle name="40% - Accent3 14" xfId="3362" xr:uid="{00000000-0005-0000-0000-0000D1330000}"/>
    <cellStyle name="40% - Accent3 14 2" xfId="3363" xr:uid="{00000000-0005-0000-0000-0000D2330000}"/>
    <cellStyle name="40% - Accent3 14 2 2" xfId="11027" xr:uid="{00000000-0005-0000-0000-0000D3330000}"/>
    <cellStyle name="40% - Accent3 14 2 2 2" xfId="24969" xr:uid="{00000000-0005-0000-0000-0000D4330000}"/>
    <cellStyle name="40% - Accent3 14 2 3" xfId="20688" xr:uid="{00000000-0005-0000-0000-0000D5330000}"/>
    <cellStyle name="40% - Accent3 14 3" xfId="3364" xr:uid="{00000000-0005-0000-0000-0000D6330000}"/>
    <cellStyle name="40% - Accent3 14 3 2" xfId="12629" xr:uid="{00000000-0005-0000-0000-0000D7330000}"/>
    <cellStyle name="40% - Accent3 14 3 2 2" xfId="26341" xr:uid="{00000000-0005-0000-0000-0000D8330000}"/>
    <cellStyle name="40% - Accent3 14 3 3" xfId="20689" xr:uid="{00000000-0005-0000-0000-0000D9330000}"/>
    <cellStyle name="40% - Accent3 14 4" xfId="3365" xr:uid="{00000000-0005-0000-0000-0000DA330000}"/>
    <cellStyle name="40% - Accent3 14 4 2" xfId="15175" xr:uid="{00000000-0005-0000-0000-0000DB330000}"/>
    <cellStyle name="40% - Accent3 14 4 2 2" xfId="28724" xr:uid="{00000000-0005-0000-0000-0000DC330000}"/>
    <cellStyle name="40% - Accent3 14 4 3" xfId="20690" xr:uid="{00000000-0005-0000-0000-0000DD330000}"/>
    <cellStyle name="40% - Accent3 14 5" xfId="9300" xr:uid="{00000000-0005-0000-0000-0000DE330000}"/>
    <cellStyle name="40% - Accent3 14 5 2" xfId="23775" xr:uid="{00000000-0005-0000-0000-0000DF330000}"/>
    <cellStyle name="40% - Accent3 14 6" xfId="20687" xr:uid="{00000000-0005-0000-0000-0000E0330000}"/>
    <cellStyle name="40% - Accent3 15" xfId="3366" xr:uid="{00000000-0005-0000-0000-0000E1330000}"/>
    <cellStyle name="40% - Accent3 15 2" xfId="3367" xr:uid="{00000000-0005-0000-0000-0000E2330000}"/>
    <cellStyle name="40% - Accent3 15 2 2" xfId="11028" xr:uid="{00000000-0005-0000-0000-0000E3330000}"/>
    <cellStyle name="40% - Accent3 15 2 2 2" xfId="24970" xr:uid="{00000000-0005-0000-0000-0000E4330000}"/>
    <cellStyle name="40% - Accent3 15 2 3" xfId="20692" xr:uid="{00000000-0005-0000-0000-0000E5330000}"/>
    <cellStyle name="40% - Accent3 15 3" xfId="3368" xr:uid="{00000000-0005-0000-0000-0000E6330000}"/>
    <cellStyle name="40% - Accent3 15 3 2" xfId="12571" xr:uid="{00000000-0005-0000-0000-0000E7330000}"/>
    <cellStyle name="40% - Accent3 15 3 2 2" xfId="26283" xr:uid="{00000000-0005-0000-0000-0000E8330000}"/>
    <cellStyle name="40% - Accent3 15 3 3" xfId="20693" xr:uid="{00000000-0005-0000-0000-0000E9330000}"/>
    <cellStyle name="40% - Accent3 15 4" xfId="3369" xr:uid="{00000000-0005-0000-0000-0000EA330000}"/>
    <cellStyle name="40% - Accent3 15 4 2" xfId="15176" xr:uid="{00000000-0005-0000-0000-0000EB330000}"/>
    <cellStyle name="40% - Accent3 15 4 2 2" xfId="28725" xr:uid="{00000000-0005-0000-0000-0000EC330000}"/>
    <cellStyle name="40% - Accent3 15 4 3" xfId="20694" xr:uid="{00000000-0005-0000-0000-0000ED330000}"/>
    <cellStyle name="40% - Accent3 15 5" xfId="9301" xr:uid="{00000000-0005-0000-0000-0000EE330000}"/>
    <cellStyle name="40% - Accent3 15 5 2" xfId="23776" xr:uid="{00000000-0005-0000-0000-0000EF330000}"/>
    <cellStyle name="40% - Accent3 15 6" xfId="20691" xr:uid="{00000000-0005-0000-0000-0000F0330000}"/>
    <cellStyle name="40% - Accent3 16" xfId="3370" xr:uid="{00000000-0005-0000-0000-0000F1330000}"/>
    <cellStyle name="40% - Accent3 16 2" xfId="3371" xr:uid="{00000000-0005-0000-0000-0000F2330000}"/>
    <cellStyle name="40% - Accent3 16 2 2" xfId="11029" xr:uid="{00000000-0005-0000-0000-0000F3330000}"/>
    <cellStyle name="40% - Accent3 16 2 2 2" xfId="24971" xr:uid="{00000000-0005-0000-0000-0000F4330000}"/>
    <cellStyle name="40% - Accent3 16 2 3" xfId="20696" xr:uid="{00000000-0005-0000-0000-0000F5330000}"/>
    <cellStyle name="40% - Accent3 16 3" xfId="3372" xr:uid="{00000000-0005-0000-0000-0000F6330000}"/>
    <cellStyle name="40% - Accent3 16 3 2" xfId="11862" xr:uid="{00000000-0005-0000-0000-0000F7330000}"/>
    <cellStyle name="40% - Accent3 16 3 2 2" xfId="25577" xr:uid="{00000000-0005-0000-0000-0000F8330000}"/>
    <cellStyle name="40% - Accent3 16 3 3" xfId="20697" xr:uid="{00000000-0005-0000-0000-0000F9330000}"/>
    <cellStyle name="40% - Accent3 16 4" xfId="3373" xr:uid="{00000000-0005-0000-0000-0000FA330000}"/>
    <cellStyle name="40% - Accent3 16 4 2" xfId="15177" xr:uid="{00000000-0005-0000-0000-0000FB330000}"/>
    <cellStyle name="40% - Accent3 16 4 2 2" xfId="28726" xr:uid="{00000000-0005-0000-0000-0000FC330000}"/>
    <cellStyle name="40% - Accent3 16 4 3" xfId="20698" xr:uid="{00000000-0005-0000-0000-0000FD330000}"/>
    <cellStyle name="40% - Accent3 16 5" xfId="9302" xr:uid="{00000000-0005-0000-0000-0000FE330000}"/>
    <cellStyle name="40% - Accent3 16 5 2" xfId="23777" xr:uid="{00000000-0005-0000-0000-0000FF330000}"/>
    <cellStyle name="40% - Accent3 16 6" xfId="20695" xr:uid="{00000000-0005-0000-0000-000000340000}"/>
    <cellStyle name="40% - Accent3 17" xfId="3374" xr:uid="{00000000-0005-0000-0000-000001340000}"/>
    <cellStyle name="40% - Accent3 17 2" xfId="3375" xr:uid="{00000000-0005-0000-0000-000002340000}"/>
    <cellStyle name="40% - Accent3 17 2 2" xfId="11030" xr:uid="{00000000-0005-0000-0000-000003340000}"/>
    <cellStyle name="40% - Accent3 17 2 2 2" xfId="24972" xr:uid="{00000000-0005-0000-0000-000004340000}"/>
    <cellStyle name="40% - Accent3 17 2 3" xfId="20700" xr:uid="{00000000-0005-0000-0000-000005340000}"/>
    <cellStyle name="40% - Accent3 17 3" xfId="3376" xr:uid="{00000000-0005-0000-0000-000006340000}"/>
    <cellStyle name="40% - Accent3 17 3 2" xfId="11793" xr:uid="{00000000-0005-0000-0000-000007340000}"/>
    <cellStyle name="40% - Accent3 17 3 2 2" xfId="25508" xr:uid="{00000000-0005-0000-0000-000008340000}"/>
    <cellStyle name="40% - Accent3 17 3 3" xfId="20701" xr:uid="{00000000-0005-0000-0000-000009340000}"/>
    <cellStyle name="40% - Accent3 17 4" xfId="3377" xr:uid="{00000000-0005-0000-0000-00000A340000}"/>
    <cellStyle name="40% - Accent3 17 4 2" xfId="15178" xr:uid="{00000000-0005-0000-0000-00000B340000}"/>
    <cellStyle name="40% - Accent3 17 4 2 2" xfId="28727" xr:uid="{00000000-0005-0000-0000-00000C340000}"/>
    <cellStyle name="40% - Accent3 17 4 3" xfId="20702" xr:uid="{00000000-0005-0000-0000-00000D340000}"/>
    <cellStyle name="40% - Accent3 17 5" xfId="9303" xr:uid="{00000000-0005-0000-0000-00000E340000}"/>
    <cellStyle name="40% - Accent3 17 5 2" xfId="23778" xr:uid="{00000000-0005-0000-0000-00000F340000}"/>
    <cellStyle name="40% - Accent3 17 6" xfId="20699" xr:uid="{00000000-0005-0000-0000-000010340000}"/>
    <cellStyle name="40% - Accent3 18" xfId="3378" xr:uid="{00000000-0005-0000-0000-000011340000}"/>
    <cellStyle name="40% - Accent3 18 2" xfId="3379" xr:uid="{00000000-0005-0000-0000-000012340000}"/>
    <cellStyle name="40% - Accent3 18 2 2" xfId="11031" xr:uid="{00000000-0005-0000-0000-000013340000}"/>
    <cellStyle name="40% - Accent3 18 2 2 2" xfId="24973" xr:uid="{00000000-0005-0000-0000-000014340000}"/>
    <cellStyle name="40% - Accent3 18 2 3" xfId="20704" xr:uid="{00000000-0005-0000-0000-000015340000}"/>
    <cellStyle name="40% - Accent3 18 3" xfId="3380" xr:uid="{00000000-0005-0000-0000-000016340000}"/>
    <cellStyle name="40% - Accent3 18 3 2" xfId="12617" xr:uid="{00000000-0005-0000-0000-000017340000}"/>
    <cellStyle name="40% - Accent3 18 3 2 2" xfId="26329" xr:uid="{00000000-0005-0000-0000-000018340000}"/>
    <cellStyle name="40% - Accent3 18 3 3" xfId="20705" xr:uid="{00000000-0005-0000-0000-000019340000}"/>
    <cellStyle name="40% - Accent3 18 4" xfId="3381" xr:uid="{00000000-0005-0000-0000-00001A340000}"/>
    <cellStyle name="40% - Accent3 18 4 2" xfId="15179" xr:uid="{00000000-0005-0000-0000-00001B340000}"/>
    <cellStyle name="40% - Accent3 18 4 2 2" xfId="28728" xr:uid="{00000000-0005-0000-0000-00001C340000}"/>
    <cellStyle name="40% - Accent3 18 4 3" xfId="20706" xr:uid="{00000000-0005-0000-0000-00001D340000}"/>
    <cellStyle name="40% - Accent3 18 5" xfId="9304" xr:uid="{00000000-0005-0000-0000-00001E340000}"/>
    <cellStyle name="40% - Accent3 18 5 2" xfId="23779" xr:uid="{00000000-0005-0000-0000-00001F340000}"/>
    <cellStyle name="40% - Accent3 18 6" xfId="20703" xr:uid="{00000000-0005-0000-0000-000020340000}"/>
    <cellStyle name="40% - Accent3 19" xfId="3382" xr:uid="{00000000-0005-0000-0000-000021340000}"/>
    <cellStyle name="40% - Accent3 19 2" xfId="3383" xr:uid="{00000000-0005-0000-0000-000022340000}"/>
    <cellStyle name="40% - Accent3 19 2 2" xfId="11718" xr:uid="{00000000-0005-0000-0000-000023340000}"/>
    <cellStyle name="40% - Accent3 19 2 2 2" xfId="25438" xr:uid="{00000000-0005-0000-0000-000024340000}"/>
    <cellStyle name="40% - Accent3 19 2 3" xfId="20708" xr:uid="{00000000-0005-0000-0000-000025340000}"/>
    <cellStyle name="40% - Accent3 19 3" xfId="3384" xr:uid="{00000000-0005-0000-0000-000026340000}"/>
    <cellStyle name="40% - Accent3 19 3 2" xfId="12807" xr:uid="{00000000-0005-0000-0000-000027340000}"/>
    <cellStyle name="40% - Accent3 19 3 2 2" xfId="26519" xr:uid="{00000000-0005-0000-0000-000028340000}"/>
    <cellStyle name="40% - Accent3 19 3 3" xfId="20709" xr:uid="{00000000-0005-0000-0000-000029340000}"/>
    <cellStyle name="40% - Accent3 19 4" xfId="3385" xr:uid="{00000000-0005-0000-0000-00002A340000}"/>
    <cellStyle name="40% - Accent3 19 4 2" xfId="15180" xr:uid="{00000000-0005-0000-0000-00002B340000}"/>
    <cellStyle name="40% - Accent3 19 4 2 2" xfId="28729" xr:uid="{00000000-0005-0000-0000-00002C340000}"/>
    <cellStyle name="40% - Accent3 19 4 3" xfId="20710" xr:uid="{00000000-0005-0000-0000-00002D340000}"/>
    <cellStyle name="40% - Accent3 19 5" xfId="10470" xr:uid="{00000000-0005-0000-0000-00002E340000}"/>
    <cellStyle name="40% - Accent3 19 5 2" xfId="24429" xr:uid="{00000000-0005-0000-0000-00002F340000}"/>
    <cellStyle name="40% - Accent3 19 6" xfId="20707" xr:uid="{00000000-0005-0000-0000-000030340000}"/>
    <cellStyle name="40% - Accent3 2" xfId="3386" xr:uid="{00000000-0005-0000-0000-000031340000}"/>
    <cellStyle name="40% - Accent3 2 10" xfId="3387" xr:uid="{00000000-0005-0000-0000-000032340000}"/>
    <cellStyle name="40% - Accent3 2 10 2" xfId="3388" xr:uid="{00000000-0005-0000-0000-000033340000}"/>
    <cellStyle name="40% - Accent3 2 10 2 2" xfId="15182" xr:uid="{00000000-0005-0000-0000-000034340000}"/>
    <cellStyle name="40% - Accent3 2 10 2 2 2" xfId="28731" xr:uid="{00000000-0005-0000-0000-000035340000}"/>
    <cellStyle name="40% - Accent3 2 10 2 3" xfId="20713" xr:uid="{00000000-0005-0000-0000-000036340000}"/>
    <cellStyle name="40% - Accent3 2 10 3" xfId="11841" xr:uid="{00000000-0005-0000-0000-000037340000}"/>
    <cellStyle name="40% - Accent3 2 10 3 2" xfId="25556" xr:uid="{00000000-0005-0000-0000-000038340000}"/>
    <cellStyle name="40% - Accent3 2 10 4" xfId="20712" xr:uid="{00000000-0005-0000-0000-000039340000}"/>
    <cellStyle name="40% - Accent3 2 11" xfId="3389" xr:uid="{00000000-0005-0000-0000-00003A340000}"/>
    <cellStyle name="40% - Accent3 2 11 2" xfId="11751" xr:uid="{00000000-0005-0000-0000-00003B340000}"/>
    <cellStyle name="40% - Accent3 2 11 2 2" xfId="25466" xr:uid="{00000000-0005-0000-0000-00003C340000}"/>
    <cellStyle name="40% - Accent3 2 11 3" xfId="20714" xr:uid="{00000000-0005-0000-0000-00003D340000}"/>
    <cellStyle name="40% - Accent3 2 12" xfId="3390" xr:uid="{00000000-0005-0000-0000-00003E340000}"/>
    <cellStyle name="40% - Accent3 2 12 2" xfId="13440" xr:uid="{00000000-0005-0000-0000-00003F340000}"/>
    <cellStyle name="40% - Accent3 2 12 2 2" xfId="26989" xr:uid="{00000000-0005-0000-0000-000040340000}"/>
    <cellStyle name="40% - Accent3 2 12 3" xfId="20715" xr:uid="{00000000-0005-0000-0000-000041340000}"/>
    <cellStyle name="40% - Accent3 2 13" xfId="3391" xr:uid="{00000000-0005-0000-0000-000042340000}"/>
    <cellStyle name="40% - Accent3 2 13 2" xfId="14021" xr:uid="{00000000-0005-0000-0000-000043340000}"/>
    <cellStyle name="40% - Accent3 2 13 2 2" xfId="27570" xr:uid="{00000000-0005-0000-0000-000044340000}"/>
    <cellStyle name="40% - Accent3 2 13 3" xfId="20716" xr:uid="{00000000-0005-0000-0000-000045340000}"/>
    <cellStyle name="40% - Accent3 2 14" xfId="3392" xr:uid="{00000000-0005-0000-0000-000046340000}"/>
    <cellStyle name="40% - Accent3 2 14 2" xfId="15181" xr:uid="{00000000-0005-0000-0000-000047340000}"/>
    <cellStyle name="40% - Accent3 2 14 2 2" xfId="28730" xr:uid="{00000000-0005-0000-0000-000048340000}"/>
    <cellStyle name="40% - Accent3 2 14 3" xfId="20717" xr:uid="{00000000-0005-0000-0000-000049340000}"/>
    <cellStyle name="40% - Accent3 2 15" xfId="3393" xr:uid="{00000000-0005-0000-0000-00004A340000}"/>
    <cellStyle name="40% - Accent3 2 15 2" xfId="15907" xr:uid="{00000000-0005-0000-0000-00004B340000}"/>
    <cellStyle name="40% - Accent3 2 15 2 2" xfId="29314" xr:uid="{00000000-0005-0000-0000-00004C340000}"/>
    <cellStyle name="40% - Accent3 2 15 3" xfId="20718" xr:uid="{00000000-0005-0000-0000-00004D340000}"/>
    <cellStyle name="40% - Accent3 2 16" xfId="9305" xr:uid="{00000000-0005-0000-0000-00004E340000}"/>
    <cellStyle name="40% - Accent3 2 16 2" xfId="23780" xr:uid="{00000000-0005-0000-0000-00004F340000}"/>
    <cellStyle name="40% - Accent3 2 17" xfId="20711" xr:uid="{00000000-0005-0000-0000-000050340000}"/>
    <cellStyle name="40% - Accent3 2 18" xfId="33071" xr:uid="{00000000-0005-0000-0000-000051340000}"/>
    <cellStyle name="40% - Accent3 2 2" xfId="3394" xr:uid="{00000000-0005-0000-0000-000052340000}"/>
    <cellStyle name="40% - Accent3 2 2 10" xfId="3395" xr:uid="{00000000-0005-0000-0000-000053340000}"/>
    <cellStyle name="40% - Accent3 2 2 10 2" xfId="15183" xr:uid="{00000000-0005-0000-0000-000054340000}"/>
    <cellStyle name="40% - Accent3 2 2 10 2 2" xfId="28732" xr:uid="{00000000-0005-0000-0000-000055340000}"/>
    <cellStyle name="40% - Accent3 2 2 10 3" xfId="20720" xr:uid="{00000000-0005-0000-0000-000056340000}"/>
    <cellStyle name="40% - Accent3 2 2 11" xfId="3396" xr:uid="{00000000-0005-0000-0000-000057340000}"/>
    <cellStyle name="40% - Accent3 2 2 11 2" xfId="15953" xr:uid="{00000000-0005-0000-0000-000058340000}"/>
    <cellStyle name="40% - Accent3 2 2 11 2 2" xfId="29360" xr:uid="{00000000-0005-0000-0000-000059340000}"/>
    <cellStyle name="40% - Accent3 2 2 11 3" xfId="20721" xr:uid="{00000000-0005-0000-0000-00005A340000}"/>
    <cellStyle name="40% - Accent3 2 2 12" xfId="9306" xr:uid="{00000000-0005-0000-0000-00005B340000}"/>
    <cellStyle name="40% - Accent3 2 2 12 2" xfId="23781" xr:uid="{00000000-0005-0000-0000-00005C340000}"/>
    <cellStyle name="40% - Accent3 2 2 13" xfId="20719" xr:uid="{00000000-0005-0000-0000-00005D340000}"/>
    <cellStyle name="40% - Accent3 2 2 2" xfId="3397" xr:uid="{00000000-0005-0000-0000-00005E340000}"/>
    <cellStyle name="40% - Accent3 2 2 2 10" xfId="3398" xr:uid="{00000000-0005-0000-0000-00005F340000}"/>
    <cellStyle name="40% - Accent3 2 2 2 10 2" xfId="16096" xr:uid="{00000000-0005-0000-0000-000060340000}"/>
    <cellStyle name="40% - Accent3 2 2 2 10 2 2" xfId="29503" xr:uid="{00000000-0005-0000-0000-000061340000}"/>
    <cellStyle name="40% - Accent3 2 2 2 10 3" xfId="20723" xr:uid="{00000000-0005-0000-0000-000062340000}"/>
    <cellStyle name="40% - Accent3 2 2 2 11" xfId="9307" xr:uid="{00000000-0005-0000-0000-000063340000}"/>
    <cellStyle name="40% - Accent3 2 2 2 11 2" xfId="23782" xr:uid="{00000000-0005-0000-0000-000064340000}"/>
    <cellStyle name="40% - Accent3 2 2 2 12" xfId="20722" xr:uid="{00000000-0005-0000-0000-000065340000}"/>
    <cellStyle name="40% - Accent3 2 2 2 2" xfId="3399" xr:uid="{00000000-0005-0000-0000-000066340000}"/>
    <cellStyle name="40% - Accent3 2 2 2 2 10" xfId="9308" xr:uid="{00000000-0005-0000-0000-000067340000}"/>
    <cellStyle name="40% - Accent3 2 2 2 2 10 2" xfId="23783" xr:uid="{00000000-0005-0000-0000-000068340000}"/>
    <cellStyle name="40% - Accent3 2 2 2 2 11" xfId="20724" xr:uid="{00000000-0005-0000-0000-000069340000}"/>
    <cellStyle name="40% - Accent3 2 2 2 2 2" xfId="3400" xr:uid="{00000000-0005-0000-0000-00006A340000}"/>
    <cellStyle name="40% - Accent3 2 2 2 2 2 2" xfId="3401" xr:uid="{00000000-0005-0000-0000-00006B340000}"/>
    <cellStyle name="40% - Accent3 2 2 2 2 2 2 2" xfId="11036" xr:uid="{00000000-0005-0000-0000-00006C340000}"/>
    <cellStyle name="40% - Accent3 2 2 2 2 2 2 2 2" xfId="24978" xr:uid="{00000000-0005-0000-0000-00006D340000}"/>
    <cellStyle name="40% - Accent3 2 2 2 2 2 2 3" xfId="20726" xr:uid="{00000000-0005-0000-0000-00006E340000}"/>
    <cellStyle name="40% - Accent3 2 2 2 2 2 3" xfId="3402" xr:uid="{00000000-0005-0000-0000-00006F340000}"/>
    <cellStyle name="40% - Accent3 2 2 2 2 2 3 2" xfId="12670" xr:uid="{00000000-0005-0000-0000-000070340000}"/>
    <cellStyle name="40% - Accent3 2 2 2 2 2 3 2 2" xfId="26382" xr:uid="{00000000-0005-0000-0000-000071340000}"/>
    <cellStyle name="40% - Accent3 2 2 2 2 2 3 3" xfId="20727" xr:uid="{00000000-0005-0000-0000-000072340000}"/>
    <cellStyle name="40% - Accent3 2 2 2 2 2 4" xfId="3403" xr:uid="{00000000-0005-0000-0000-000073340000}"/>
    <cellStyle name="40% - Accent3 2 2 2 2 2 4 2" xfId="15186" xr:uid="{00000000-0005-0000-0000-000074340000}"/>
    <cellStyle name="40% - Accent3 2 2 2 2 2 4 2 2" xfId="28735" xr:uid="{00000000-0005-0000-0000-000075340000}"/>
    <cellStyle name="40% - Accent3 2 2 2 2 2 4 3" xfId="20728" xr:uid="{00000000-0005-0000-0000-000076340000}"/>
    <cellStyle name="40% - Accent3 2 2 2 2 2 5" xfId="3404" xr:uid="{00000000-0005-0000-0000-000077340000}"/>
    <cellStyle name="40% - Accent3 2 2 2 2 2 5 2" xfId="16966" xr:uid="{00000000-0005-0000-0000-000078340000}"/>
    <cellStyle name="40% - Accent3 2 2 2 2 2 5 2 2" xfId="30373" xr:uid="{00000000-0005-0000-0000-000079340000}"/>
    <cellStyle name="40% - Accent3 2 2 2 2 2 5 3" xfId="20729" xr:uid="{00000000-0005-0000-0000-00007A340000}"/>
    <cellStyle name="40% - Accent3 2 2 2 2 2 6" xfId="9309" xr:uid="{00000000-0005-0000-0000-00007B340000}"/>
    <cellStyle name="40% - Accent3 2 2 2 2 2 6 2" xfId="23784" xr:uid="{00000000-0005-0000-0000-00007C340000}"/>
    <cellStyle name="40% - Accent3 2 2 2 2 2 7" xfId="20725" xr:uid="{00000000-0005-0000-0000-00007D340000}"/>
    <cellStyle name="40% - Accent3 2 2 2 2 3" xfId="3405" xr:uid="{00000000-0005-0000-0000-00007E340000}"/>
    <cellStyle name="40% - Accent3 2 2 2 2 3 2" xfId="3406" xr:uid="{00000000-0005-0000-0000-00007F340000}"/>
    <cellStyle name="40% - Accent3 2 2 2 2 3 2 2" xfId="15187" xr:uid="{00000000-0005-0000-0000-000080340000}"/>
    <cellStyle name="40% - Accent3 2 2 2 2 3 2 2 2" xfId="28736" xr:uid="{00000000-0005-0000-0000-000081340000}"/>
    <cellStyle name="40% - Accent3 2 2 2 2 3 2 3" xfId="20731" xr:uid="{00000000-0005-0000-0000-000082340000}"/>
    <cellStyle name="40% - Accent3 2 2 2 2 3 3" xfId="11035" xr:uid="{00000000-0005-0000-0000-000083340000}"/>
    <cellStyle name="40% - Accent3 2 2 2 2 3 3 2" xfId="24977" xr:uid="{00000000-0005-0000-0000-000084340000}"/>
    <cellStyle name="40% - Accent3 2 2 2 2 3 4" xfId="20730" xr:uid="{00000000-0005-0000-0000-000085340000}"/>
    <cellStyle name="40% - Accent3 2 2 2 2 4" xfId="3407" xr:uid="{00000000-0005-0000-0000-000086340000}"/>
    <cellStyle name="40% - Accent3 2 2 2 2 4 2" xfId="12354" xr:uid="{00000000-0005-0000-0000-000087340000}"/>
    <cellStyle name="40% - Accent3 2 2 2 2 4 2 2" xfId="26066" xr:uid="{00000000-0005-0000-0000-000088340000}"/>
    <cellStyle name="40% - Accent3 2 2 2 2 4 3" xfId="20732" xr:uid="{00000000-0005-0000-0000-000089340000}"/>
    <cellStyle name="40% - Accent3 2 2 2 2 5" xfId="3408" xr:uid="{00000000-0005-0000-0000-00008A340000}"/>
    <cellStyle name="40% - Accent3 2 2 2 2 5 2" xfId="12633" xr:uid="{00000000-0005-0000-0000-00008B340000}"/>
    <cellStyle name="40% - Accent3 2 2 2 2 5 2 2" xfId="26345" xr:uid="{00000000-0005-0000-0000-00008C340000}"/>
    <cellStyle name="40% - Accent3 2 2 2 2 5 3" xfId="20733" xr:uid="{00000000-0005-0000-0000-00008D340000}"/>
    <cellStyle name="40% - Accent3 2 2 2 2 6" xfId="3409" xr:uid="{00000000-0005-0000-0000-00008E340000}"/>
    <cellStyle name="40% - Accent3 2 2 2 2 6 2" xfId="13918" xr:uid="{00000000-0005-0000-0000-00008F340000}"/>
    <cellStyle name="40% - Accent3 2 2 2 2 6 2 2" xfId="27467" xr:uid="{00000000-0005-0000-0000-000090340000}"/>
    <cellStyle name="40% - Accent3 2 2 2 2 6 3" xfId="20734" xr:uid="{00000000-0005-0000-0000-000091340000}"/>
    <cellStyle name="40% - Accent3 2 2 2 2 7" xfId="3410" xr:uid="{00000000-0005-0000-0000-000092340000}"/>
    <cellStyle name="40% - Accent3 2 2 2 2 7 2" xfId="14499" xr:uid="{00000000-0005-0000-0000-000093340000}"/>
    <cellStyle name="40% - Accent3 2 2 2 2 7 2 2" xfId="28048" xr:uid="{00000000-0005-0000-0000-000094340000}"/>
    <cellStyle name="40% - Accent3 2 2 2 2 7 3" xfId="20735" xr:uid="{00000000-0005-0000-0000-000095340000}"/>
    <cellStyle name="40% - Accent3 2 2 2 2 8" xfId="3411" xr:uid="{00000000-0005-0000-0000-000096340000}"/>
    <cellStyle name="40% - Accent3 2 2 2 2 8 2" xfId="15185" xr:uid="{00000000-0005-0000-0000-000097340000}"/>
    <cellStyle name="40% - Accent3 2 2 2 2 8 2 2" xfId="28734" xr:uid="{00000000-0005-0000-0000-000098340000}"/>
    <cellStyle name="40% - Accent3 2 2 2 2 8 3" xfId="20736" xr:uid="{00000000-0005-0000-0000-000099340000}"/>
    <cellStyle name="40% - Accent3 2 2 2 2 9" xfId="3412" xr:uid="{00000000-0005-0000-0000-00009A340000}"/>
    <cellStyle name="40% - Accent3 2 2 2 2 9 2" xfId="16385" xr:uid="{00000000-0005-0000-0000-00009B340000}"/>
    <cellStyle name="40% - Accent3 2 2 2 2 9 2 2" xfId="29792" xr:uid="{00000000-0005-0000-0000-00009C340000}"/>
    <cellStyle name="40% - Accent3 2 2 2 2 9 3" xfId="20737" xr:uid="{00000000-0005-0000-0000-00009D340000}"/>
    <cellStyle name="40% - Accent3 2 2 2 3" xfId="3413" xr:uid="{00000000-0005-0000-0000-00009E340000}"/>
    <cellStyle name="40% - Accent3 2 2 2 3 2" xfId="3414" xr:uid="{00000000-0005-0000-0000-00009F340000}"/>
    <cellStyle name="40% - Accent3 2 2 2 3 2 2" xfId="11037" xr:uid="{00000000-0005-0000-0000-0000A0340000}"/>
    <cellStyle name="40% - Accent3 2 2 2 3 2 2 2" xfId="24979" xr:uid="{00000000-0005-0000-0000-0000A1340000}"/>
    <cellStyle name="40% - Accent3 2 2 2 3 2 3" xfId="20739" xr:uid="{00000000-0005-0000-0000-0000A2340000}"/>
    <cellStyle name="40% - Accent3 2 2 2 3 3" xfId="3415" xr:uid="{00000000-0005-0000-0000-0000A3340000}"/>
    <cellStyle name="40% - Accent3 2 2 2 3 3 2" xfId="12492" xr:uid="{00000000-0005-0000-0000-0000A4340000}"/>
    <cellStyle name="40% - Accent3 2 2 2 3 3 2 2" xfId="26204" xr:uid="{00000000-0005-0000-0000-0000A5340000}"/>
    <cellStyle name="40% - Accent3 2 2 2 3 3 3" xfId="20740" xr:uid="{00000000-0005-0000-0000-0000A6340000}"/>
    <cellStyle name="40% - Accent3 2 2 2 3 4" xfId="3416" xr:uid="{00000000-0005-0000-0000-0000A7340000}"/>
    <cellStyle name="40% - Accent3 2 2 2 3 4 2" xfId="15188" xr:uid="{00000000-0005-0000-0000-0000A8340000}"/>
    <cellStyle name="40% - Accent3 2 2 2 3 4 2 2" xfId="28737" xr:uid="{00000000-0005-0000-0000-0000A9340000}"/>
    <cellStyle name="40% - Accent3 2 2 2 3 4 3" xfId="20741" xr:uid="{00000000-0005-0000-0000-0000AA340000}"/>
    <cellStyle name="40% - Accent3 2 2 2 3 5" xfId="3417" xr:uid="{00000000-0005-0000-0000-0000AB340000}"/>
    <cellStyle name="40% - Accent3 2 2 2 3 5 2" xfId="16677" xr:uid="{00000000-0005-0000-0000-0000AC340000}"/>
    <cellStyle name="40% - Accent3 2 2 2 3 5 2 2" xfId="30084" xr:uid="{00000000-0005-0000-0000-0000AD340000}"/>
    <cellStyle name="40% - Accent3 2 2 2 3 5 3" xfId="20742" xr:uid="{00000000-0005-0000-0000-0000AE340000}"/>
    <cellStyle name="40% - Accent3 2 2 2 3 6" xfId="9310" xr:uid="{00000000-0005-0000-0000-0000AF340000}"/>
    <cellStyle name="40% - Accent3 2 2 2 3 6 2" xfId="23785" xr:uid="{00000000-0005-0000-0000-0000B0340000}"/>
    <cellStyle name="40% - Accent3 2 2 2 3 7" xfId="20738" xr:uid="{00000000-0005-0000-0000-0000B1340000}"/>
    <cellStyle name="40% - Accent3 2 2 2 4" xfId="3418" xr:uid="{00000000-0005-0000-0000-0000B2340000}"/>
    <cellStyle name="40% - Accent3 2 2 2 4 2" xfId="3419" xr:uid="{00000000-0005-0000-0000-0000B3340000}"/>
    <cellStyle name="40% - Accent3 2 2 2 4 2 2" xfId="15189" xr:uid="{00000000-0005-0000-0000-0000B4340000}"/>
    <cellStyle name="40% - Accent3 2 2 2 4 2 2 2" xfId="28738" xr:uid="{00000000-0005-0000-0000-0000B5340000}"/>
    <cellStyle name="40% - Accent3 2 2 2 4 2 3" xfId="20744" xr:uid="{00000000-0005-0000-0000-0000B6340000}"/>
    <cellStyle name="40% - Accent3 2 2 2 4 3" xfId="11034" xr:uid="{00000000-0005-0000-0000-0000B7340000}"/>
    <cellStyle name="40% - Accent3 2 2 2 4 3 2" xfId="24976" xr:uid="{00000000-0005-0000-0000-0000B8340000}"/>
    <cellStyle name="40% - Accent3 2 2 2 4 4" xfId="20743" xr:uid="{00000000-0005-0000-0000-0000B9340000}"/>
    <cellStyle name="40% - Accent3 2 2 2 5" xfId="3420" xr:uid="{00000000-0005-0000-0000-0000BA340000}"/>
    <cellStyle name="40% - Accent3 2 2 2 5 2" xfId="12054" xr:uid="{00000000-0005-0000-0000-0000BB340000}"/>
    <cellStyle name="40% - Accent3 2 2 2 5 2 2" xfId="25769" xr:uid="{00000000-0005-0000-0000-0000BC340000}"/>
    <cellStyle name="40% - Accent3 2 2 2 5 3" xfId="20745" xr:uid="{00000000-0005-0000-0000-0000BD340000}"/>
    <cellStyle name="40% - Accent3 2 2 2 6" xfId="3421" xr:uid="{00000000-0005-0000-0000-0000BE340000}"/>
    <cellStyle name="40% - Accent3 2 2 2 6 2" xfId="12468" xr:uid="{00000000-0005-0000-0000-0000BF340000}"/>
    <cellStyle name="40% - Accent3 2 2 2 6 2 2" xfId="26180" xr:uid="{00000000-0005-0000-0000-0000C0340000}"/>
    <cellStyle name="40% - Accent3 2 2 2 6 3" xfId="20746" xr:uid="{00000000-0005-0000-0000-0000C1340000}"/>
    <cellStyle name="40% - Accent3 2 2 2 7" xfId="3422" xr:uid="{00000000-0005-0000-0000-0000C2340000}"/>
    <cellStyle name="40% - Accent3 2 2 2 7 2" xfId="13629" xr:uid="{00000000-0005-0000-0000-0000C3340000}"/>
    <cellStyle name="40% - Accent3 2 2 2 7 2 2" xfId="27178" xr:uid="{00000000-0005-0000-0000-0000C4340000}"/>
    <cellStyle name="40% - Accent3 2 2 2 7 3" xfId="20747" xr:uid="{00000000-0005-0000-0000-0000C5340000}"/>
    <cellStyle name="40% - Accent3 2 2 2 8" xfId="3423" xr:uid="{00000000-0005-0000-0000-0000C6340000}"/>
    <cellStyle name="40% - Accent3 2 2 2 8 2" xfId="14210" xr:uid="{00000000-0005-0000-0000-0000C7340000}"/>
    <cellStyle name="40% - Accent3 2 2 2 8 2 2" xfId="27759" xr:uid="{00000000-0005-0000-0000-0000C8340000}"/>
    <cellStyle name="40% - Accent3 2 2 2 8 3" xfId="20748" xr:uid="{00000000-0005-0000-0000-0000C9340000}"/>
    <cellStyle name="40% - Accent3 2 2 2 9" xfId="3424" xr:uid="{00000000-0005-0000-0000-0000CA340000}"/>
    <cellStyle name="40% - Accent3 2 2 2 9 2" xfId="15184" xr:uid="{00000000-0005-0000-0000-0000CB340000}"/>
    <cellStyle name="40% - Accent3 2 2 2 9 2 2" xfId="28733" xr:uid="{00000000-0005-0000-0000-0000CC340000}"/>
    <cellStyle name="40% - Accent3 2 2 2 9 3" xfId="20749" xr:uid="{00000000-0005-0000-0000-0000CD340000}"/>
    <cellStyle name="40% - Accent3 2 2 3" xfId="3425" xr:uid="{00000000-0005-0000-0000-0000CE340000}"/>
    <cellStyle name="40% - Accent3 2 2 3 10" xfId="9311" xr:uid="{00000000-0005-0000-0000-0000CF340000}"/>
    <cellStyle name="40% - Accent3 2 2 3 10 2" xfId="23786" xr:uid="{00000000-0005-0000-0000-0000D0340000}"/>
    <cellStyle name="40% - Accent3 2 2 3 11" xfId="20750" xr:uid="{00000000-0005-0000-0000-0000D1340000}"/>
    <cellStyle name="40% - Accent3 2 2 3 2" xfId="3426" xr:uid="{00000000-0005-0000-0000-0000D2340000}"/>
    <cellStyle name="40% - Accent3 2 2 3 2 2" xfId="3427" xr:uid="{00000000-0005-0000-0000-0000D3340000}"/>
    <cellStyle name="40% - Accent3 2 2 3 2 2 2" xfId="11039" xr:uid="{00000000-0005-0000-0000-0000D4340000}"/>
    <cellStyle name="40% - Accent3 2 2 3 2 2 2 2" xfId="24981" xr:uid="{00000000-0005-0000-0000-0000D5340000}"/>
    <cellStyle name="40% - Accent3 2 2 3 2 2 3" xfId="20752" xr:uid="{00000000-0005-0000-0000-0000D6340000}"/>
    <cellStyle name="40% - Accent3 2 2 3 2 3" xfId="3428" xr:uid="{00000000-0005-0000-0000-0000D7340000}"/>
    <cellStyle name="40% - Accent3 2 2 3 2 3 2" xfId="12725" xr:uid="{00000000-0005-0000-0000-0000D8340000}"/>
    <cellStyle name="40% - Accent3 2 2 3 2 3 2 2" xfId="26437" xr:uid="{00000000-0005-0000-0000-0000D9340000}"/>
    <cellStyle name="40% - Accent3 2 2 3 2 3 3" xfId="20753" xr:uid="{00000000-0005-0000-0000-0000DA340000}"/>
    <cellStyle name="40% - Accent3 2 2 3 2 4" xfId="3429" xr:uid="{00000000-0005-0000-0000-0000DB340000}"/>
    <cellStyle name="40% - Accent3 2 2 3 2 4 2" xfId="15191" xr:uid="{00000000-0005-0000-0000-0000DC340000}"/>
    <cellStyle name="40% - Accent3 2 2 3 2 4 2 2" xfId="28740" xr:uid="{00000000-0005-0000-0000-0000DD340000}"/>
    <cellStyle name="40% - Accent3 2 2 3 2 4 3" xfId="20754" xr:uid="{00000000-0005-0000-0000-0000DE340000}"/>
    <cellStyle name="40% - Accent3 2 2 3 2 5" xfId="3430" xr:uid="{00000000-0005-0000-0000-0000DF340000}"/>
    <cellStyle name="40% - Accent3 2 2 3 2 5 2" xfId="16823" xr:uid="{00000000-0005-0000-0000-0000E0340000}"/>
    <cellStyle name="40% - Accent3 2 2 3 2 5 2 2" xfId="30230" xr:uid="{00000000-0005-0000-0000-0000E1340000}"/>
    <cellStyle name="40% - Accent3 2 2 3 2 5 3" xfId="20755" xr:uid="{00000000-0005-0000-0000-0000E2340000}"/>
    <cellStyle name="40% - Accent3 2 2 3 2 6" xfId="9312" xr:uid="{00000000-0005-0000-0000-0000E3340000}"/>
    <cellStyle name="40% - Accent3 2 2 3 2 6 2" xfId="23787" xr:uid="{00000000-0005-0000-0000-0000E4340000}"/>
    <cellStyle name="40% - Accent3 2 2 3 2 7" xfId="20751" xr:uid="{00000000-0005-0000-0000-0000E5340000}"/>
    <cellStyle name="40% - Accent3 2 2 3 3" xfId="3431" xr:uid="{00000000-0005-0000-0000-0000E6340000}"/>
    <cellStyle name="40% - Accent3 2 2 3 3 2" xfId="3432" xr:uid="{00000000-0005-0000-0000-0000E7340000}"/>
    <cellStyle name="40% - Accent3 2 2 3 3 2 2" xfId="15192" xr:uid="{00000000-0005-0000-0000-0000E8340000}"/>
    <cellStyle name="40% - Accent3 2 2 3 3 2 2 2" xfId="28741" xr:uid="{00000000-0005-0000-0000-0000E9340000}"/>
    <cellStyle name="40% - Accent3 2 2 3 3 2 3" xfId="20757" xr:uid="{00000000-0005-0000-0000-0000EA340000}"/>
    <cellStyle name="40% - Accent3 2 2 3 3 3" xfId="11038" xr:uid="{00000000-0005-0000-0000-0000EB340000}"/>
    <cellStyle name="40% - Accent3 2 2 3 3 3 2" xfId="24980" xr:uid="{00000000-0005-0000-0000-0000EC340000}"/>
    <cellStyle name="40% - Accent3 2 2 3 3 4" xfId="20756" xr:uid="{00000000-0005-0000-0000-0000ED340000}"/>
    <cellStyle name="40% - Accent3 2 2 3 4" xfId="3433" xr:uid="{00000000-0005-0000-0000-0000EE340000}"/>
    <cellStyle name="40% - Accent3 2 2 3 4 2" xfId="12211" xr:uid="{00000000-0005-0000-0000-0000EF340000}"/>
    <cellStyle name="40% - Accent3 2 2 3 4 2 2" xfId="25923" xr:uid="{00000000-0005-0000-0000-0000F0340000}"/>
    <cellStyle name="40% - Accent3 2 2 3 4 3" xfId="20758" xr:uid="{00000000-0005-0000-0000-0000F1340000}"/>
    <cellStyle name="40% - Accent3 2 2 3 5" xfId="3434" xr:uid="{00000000-0005-0000-0000-0000F2340000}"/>
    <cellStyle name="40% - Accent3 2 2 3 5 2" xfId="12501" xr:uid="{00000000-0005-0000-0000-0000F3340000}"/>
    <cellStyle name="40% - Accent3 2 2 3 5 2 2" xfId="26213" xr:uid="{00000000-0005-0000-0000-0000F4340000}"/>
    <cellStyle name="40% - Accent3 2 2 3 5 3" xfId="20759" xr:uid="{00000000-0005-0000-0000-0000F5340000}"/>
    <cellStyle name="40% - Accent3 2 2 3 6" xfId="3435" xr:uid="{00000000-0005-0000-0000-0000F6340000}"/>
    <cellStyle name="40% - Accent3 2 2 3 6 2" xfId="13775" xr:uid="{00000000-0005-0000-0000-0000F7340000}"/>
    <cellStyle name="40% - Accent3 2 2 3 6 2 2" xfId="27324" xr:uid="{00000000-0005-0000-0000-0000F8340000}"/>
    <cellStyle name="40% - Accent3 2 2 3 6 3" xfId="20760" xr:uid="{00000000-0005-0000-0000-0000F9340000}"/>
    <cellStyle name="40% - Accent3 2 2 3 7" xfId="3436" xr:uid="{00000000-0005-0000-0000-0000FA340000}"/>
    <cellStyle name="40% - Accent3 2 2 3 7 2" xfId="14356" xr:uid="{00000000-0005-0000-0000-0000FB340000}"/>
    <cellStyle name="40% - Accent3 2 2 3 7 2 2" xfId="27905" xr:uid="{00000000-0005-0000-0000-0000FC340000}"/>
    <cellStyle name="40% - Accent3 2 2 3 7 3" xfId="20761" xr:uid="{00000000-0005-0000-0000-0000FD340000}"/>
    <cellStyle name="40% - Accent3 2 2 3 8" xfId="3437" xr:uid="{00000000-0005-0000-0000-0000FE340000}"/>
    <cellStyle name="40% - Accent3 2 2 3 8 2" xfId="15190" xr:uid="{00000000-0005-0000-0000-0000FF340000}"/>
    <cellStyle name="40% - Accent3 2 2 3 8 2 2" xfId="28739" xr:uid="{00000000-0005-0000-0000-000000350000}"/>
    <cellStyle name="40% - Accent3 2 2 3 8 3" xfId="20762" xr:uid="{00000000-0005-0000-0000-000001350000}"/>
    <cellStyle name="40% - Accent3 2 2 3 9" xfId="3438" xr:uid="{00000000-0005-0000-0000-000002350000}"/>
    <cellStyle name="40% - Accent3 2 2 3 9 2" xfId="16242" xr:uid="{00000000-0005-0000-0000-000003350000}"/>
    <cellStyle name="40% - Accent3 2 2 3 9 2 2" xfId="29649" xr:uid="{00000000-0005-0000-0000-000004350000}"/>
    <cellStyle name="40% - Accent3 2 2 3 9 3" xfId="20763" xr:uid="{00000000-0005-0000-0000-000005350000}"/>
    <cellStyle name="40% - Accent3 2 2 4" xfId="3439" xr:uid="{00000000-0005-0000-0000-000006350000}"/>
    <cellStyle name="40% - Accent3 2 2 4 2" xfId="3440" xr:uid="{00000000-0005-0000-0000-000007350000}"/>
    <cellStyle name="40% - Accent3 2 2 4 2 2" xfId="11040" xr:uid="{00000000-0005-0000-0000-000008350000}"/>
    <cellStyle name="40% - Accent3 2 2 4 2 2 2" xfId="24982" xr:uid="{00000000-0005-0000-0000-000009350000}"/>
    <cellStyle name="40% - Accent3 2 2 4 2 3" xfId="20765" xr:uid="{00000000-0005-0000-0000-00000A350000}"/>
    <cellStyle name="40% - Accent3 2 2 4 3" xfId="3441" xr:uid="{00000000-0005-0000-0000-00000B350000}"/>
    <cellStyle name="40% - Accent3 2 2 4 3 2" xfId="12391" xr:uid="{00000000-0005-0000-0000-00000C350000}"/>
    <cellStyle name="40% - Accent3 2 2 4 3 2 2" xfId="26103" xr:uid="{00000000-0005-0000-0000-00000D350000}"/>
    <cellStyle name="40% - Accent3 2 2 4 3 3" xfId="20766" xr:uid="{00000000-0005-0000-0000-00000E350000}"/>
    <cellStyle name="40% - Accent3 2 2 4 4" xfId="3442" xr:uid="{00000000-0005-0000-0000-00000F350000}"/>
    <cellStyle name="40% - Accent3 2 2 4 4 2" xfId="15193" xr:uid="{00000000-0005-0000-0000-000010350000}"/>
    <cellStyle name="40% - Accent3 2 2 4 4 2 2" xfId="28742" xr:uid="{00000000-0005-0000-0000-000011350000}"/>
    <cellStyle name="40% - Accent3 2 2 4 4 3" xfId="20767" xr:uid="{00000000-0005-0000-0000-000012350000}"/>
    <cellStyle name="40% - Accent3 2 2 4 5" xfId="3443" xr:uid="{00000000-0005-0000-0000-000013350000}"/>
    <cellStyle name="40% - Accent3 2 2 4 5 2" xfId="17170" xr:uid="{00000000-0005-0000-0000-000014350000}"/>
    <cellStyle name="40% - Accent3 2 2 4 5 2 2" xfId="30529" xr:uid="{00000000-0005-0000-0000-000015350000}"/>
    <cellStyle name="40% - Accent3 2 2 4 5 3" xfId="20768" xr:uid="{00000000-0005-0000-0000-000016350000}"/>
    <cellStyle name="40% - Accent3 2 2 4 6" xfId="9313" xr:uid="{00000000-0005-0000-0000-000017350000}"/>
    <cellStyle name="40% - Accent3 2 2 4 6 2" xfId="23788" xr:uid="{00000000-0005-0000-0000-000018350000}"/>
    <cellStyle name="40% - Accent3 2 2 4 7" xfId="20764" xr:uid="{00000000-0005-0000-0000-000019350000}"/>
    <cellStyle name="40% - Accent3 2 2 5" xfId="3444" xr:uid="{00000000-0005-0000-0000-00001A350000}"/>
    <cellStyle name="40% - Accent3 2 2 5 2" xfId="3445" xr:uid="{00000000-0005-0000-0000-00001B350000}"/>
    <cellStyle name="40% - Accent3 2 2 5 2 2" xfId="15194" xr:uid="{00000000-0005-0000-0000-00001C350000}"/>
    <cellStyle name="40% - Accent3 2 2 5 2 2 2" xfId="28743" xr:uid="{00000000-0005-0000-0000-00001D350000}"/>
    <cellStyle name="40% - Accent3 2 2 5 2 3" xfId="20770" xr:uid="{00000000-0005-0000-0000-00001E350000}"/>
    <cellStyle name="40% - Accent3 2 2 5 3" xfId="3446" xr:uid="{00000000-0005-0000-0000-00001F350000}"/>
    <cellStyle name="40% - Accent3 2 2 5 3 2" xfId="17259" xr:uid="{00000000-0005-0000-0000-000020350000}"/>
    <cellStyle name="40% - Accent3 2 2 5 3 2 2" xfId="30618" xr:uid="{00000000-0005-0000-0000-000021350000}"/>
    <cellStyle name="40% - Accent3 2 2 5 3 3" xfId="20771" xr:uid="{00000000-0005-0000-0000-000022350000}"/>
    <cellStyle name="40% - Accent3 2 2 5 4" xfId="11033" xr:uid="{00000000-0005-0000-0000-000023350000}"/>
    <cellStyle name="40% - Accent3 2 2 5 4 2" xfId="24975" xr:uid="{00000000-0005-0000-0000-000024350000}"/>
    <cellStyle name="40% - Accent3 2 2 5 5" xfId="20769" xr:uid="{00000000-0005-0000-0000-000025350000}"/>
    <cellStyle name="40% - Accent3 2 2 6" xfId="3447" xr:uid="{00000000-0005-0000-0000-000026350000}"/>
    <cellStyle name="40% - Accent3 2 2 6 2" xfId="3448" xr:uid="{00000000-0005-0000-0000-000027350000}"/>
    <cellStyle name="40% - Accent3 2 2 6 2 2" xfId="16534" xr:uid="{00000000-0005-0000-0000-000028350000}"/>
    <cellStyle name="40% - Accent3 2 2 6 2 2 2" xfId="29941" xr:uid="{00000000-0005-0000-0000-000029350000}"/>
    <cellStyle name="40% - Accent3 2 2 6 2 3" xfId="20773" xr:uid="{00000000-0005-0000-0000-00002A350000}"/>
    <cellStyle name="40% - Accent3 2 2 6 3" xfId="11909" xr:uid="{00000000-0005-0000-0000-00002B350000}"/>
    <cellStyle name="40% - Accent3 2 2 6 3 2" xfId="25624" xr:uid="{00000000-0005-0000-0000-00002C350000}"/>
    <cellStyle name="40% - Accent3 2 2 6 4" xfId="20772" xr:uid="{00000000-0005-0000-0000-00002D350000}"/>
    <cellStyle name="40% - Accent3 2 2 7" xfId="3449" xr:uid="{00000000-0005-0000-0000-00002E350000}"/>
    <cellStyle name="40% - Accent3 2 2 7 2" xfId="12399" xr:uid="{00000000-0005-0000-0000-00002F350000}"/>
    <cellStyle name="40% - Accent3 2 2 7 2 2" xfId="26111" xr:uid="{00000000-0005-0000-0000-000030350000}"/>
    <cellStyle name="40% - Accent3 2 2 7 3" xfId="20774" xr:uid="{00000000-0005-0000-0000-000031350000}"/>
    <cellStyle name="40% - Accent3 2 2 8" xfId="3450" xr:uid="{00000000-0005-0000-0000-000032350000}"/>
    <cellStyle name="40% - Accent3 2 2 8 2" xfId="13486" xr:uid="{00000000-0005-0000-0000-000033350000}"/>
    <cellStyle name="40% - Accent3 2 2 8 2 2" xfId="27035" xr:uid="{00000000-0005-0000-0000-000034350000}"/>
    <cellStyle name="40% - Accent3 2 2 8 3" xfId="20775" xr:uid="{00000000-0005-0000-0000-000035350000}"/>
    <cellStyle name="40% - Accent3 2 2 9" xfId="3451" xr:uid="{00000000-0005-0000-0000-000036350000}"/>
    <cellStyle name="40% - Accent3 2 2 9 2" xfId="14067" xr:uid="{00000000-0005-0000-0000-000037350000}"/>
    <cellStyle name="40% - Accent3 2 2 9 2 2" xfId="27616" xr:uid="{00000000-0005-0000-0000-000038350000}"/>
    <cellStyle name="40% - Accent3 2 2 9 3" xfId="20776" xr:uid="{00000000-0005-0000-0000-000039350000}"/>
    <cellStyle name="40% - Accent3 2 3" xfId="3452" xr:uid="{00000000-0005-0000-0000-00003A350000}"/>
    <cellStyle name="40% - Accent3 2 3 10" xfId="3453" xr:uid="{00000000-0005-0000-0000-00003B350000}"/>
    <cellStyle name="40% - Accent3 2 3 10 2" xfId="16050" xr:uid="{00000000-0005-0000-0000-00003C350000}"/>
    <cellStyle name="40% - Accent3 2 3 10 2 2" xfId="29457" xr:uid="{00000000-0005-0000-0000-00003D350000}"/>
    <cellStyle name="40% - Accent3 2 3 10 3" xfId="20778" xr:uid="{00000000-0005-0000-0000-00003E350000}"/>
    <cellStyle name="40% - Accent3 2 3 11" xfId="9314" xr:uid="{00000000-0005-0000-0000-00003F350000}"/>
    <cellStyle name="40% - Accent3 2 3 11 2" xfId="23789" xr:uid="{00000000-0005-0000-0000-000040350000}"/>
    <cellStyle name="40% - Accent3 2 3 12" xfId="20777" xr:uid="{00000000-0005-0000-0000-000041350000}"/>
    <cellStyle name="40% - Accent3 2 3 2" xfId="3454" xr:uid="{00000000-0005-0000-0000-000042350000}"/>
    <cellStyle name="40% - Accent3 2 3 2 10" xfId="9315" xr:uid="{00000000-0005-0000-0000-000043350000}"/>
    <cellStyle name="40% - Accent3 2 3 2 10 2" xfId="23790" xr:uid="{00000000-0005-0000-0000-000044350000}"/>
    <cellStyle name="40% - Accent3 2 3 2 11" xfId="20779" xr:uid="{00000000-0005-0000-0000-000045350000}"/>
    <cellStyle name="40% - Accent3 2 3 2 2" xfId="3455" xr:uid="{00000000-0005-0000-0000-000046350000}"/>
    <cellStyle name="40% - Accent3 2 3 2 2 2" xfId="3456" xr:uid="{00000000-0005-0000-0000-000047350000}"/>
    <cellStyle name="40% - Accent3 2 3 2 2 2 2" xfId="11043" xr:uid="{00000000-0005-0000-0000-000048350000}"/>
    <cellStyle name="40% - Accent3 2 3 2 2 2 2 2" xfId="24985" xr:uid="{00000000-0005-0000-0000-000049350000}"/>
    <cellStyle name="40% - Accent3 2 3 2 2 2 3" xfId="20781" xr:uid="{00000000-0005-0000-0000-00004A350000}"/>
    <cellStyle name="40% - Accent3 2 3 2 2 3" xfId="3457" xr:uid="{00000000-0005-0000-0000-00004B350000}"/>
    <cellStyle name="40% - Accent3 2 3 2 2 3 2" xfId="12430" xr:uid="{00000000-0005-0000-0000-00004C350000}"/>
    <cellStyle name="40% - Accent3 2 3 2 2 3 2 2" xfId="26142" xr:uid="{00000000-0005-0000-0000-00004D350000}"/>
    <cellStyle name="40% - Accent3 2 3 2 2 3 3" xfId="20782" xr:uid="{00000000-0005-0000-0000-00004E350000}"/>
    <cellStyle name="40% - Accent3 2 3 2 2 4" xfId="3458" xr:uid="{00000000-0005-0000-0000-00004F350000}"/>
    <cellStyle name="40% - Accent3 2 3 2 2 4 2" xfId="15197" xr:uid="{00000000-0005-0000-0000-000050350000}"/>
    <cellStyle name="40% - Accent3 2 3 2 2 4 2 2" xfId="28746" xr:uid="{00000000-0005-0000-0000-000051350000}"/>
    <cellStyle name="40% - Accent3 2 3 2 2 4 3" xfId="20783" xr:uid="{00000000-0005-0000-0000-000052350000}"/>
    <cellStyle name="40% - Accent3 2 3 2 2 5" xfId="3459" xr:uid="{00000000-0005-0000-0000-000053350000}"/>
    <cellStyle name="40% - Accent3 2 3 2 2 5 2" xfId="16920" xr:uid="{00000000-0005-0000-0000-000054350000}"/>
    <cellStyle name="40% - Accent3 2 3 2 2 5 2 2" xfId="30327" xr:uid="{00000000-0005-0000-0000-000055350000}"/>
    <cellStyle name="40% - Accent3 2 3 2 2 5 3" xfId="20784" xr:uid="{00000000-0005-0000-0000-000056350000}"/>
    <cellStyle name="40% - Accent3 2 3 2 2 6" xfId="9316" xr:uid="{00000000-0005-0000-0000-000057350000}"/>
    <cellStyle name="40% - Accent3 2 3 2 2 6 2" xfId="23791" xr:uid="{00000000-0005-0000-0000-000058350000}"/>
    <cellStyle name="40% - Accent3 2 3 2 2 7" xfId="20780" xr:uid="{00000000-0005-0000-0000-000059350000}"/>
    <cellStyle name="40% - Accent3 2 3 2 3" xfId="3460" xr:uid="{00000000-0005-0000-0000-00005A350000}"/>
    <cellStyle name="40% - Accent3 2 3 2 3 2" xfId="3461" xr:uid="{00000000-0005-0000-0000-00005B350000}"/>
    <cellStyle name="40% - Accent3 2 3 2 3 2 2" xfId="15198" xr:uid="{00000000-0005-0000-0000-00005C350000}"/>
    <cellStyle name="40% - Accent3 2 3 2 3 2 2 2" xfId="28747" xr:uid="{00000000-0005-0000-0000-00005D350000}"/>
    <cellStyle name="40% - Accent3 2 3 2 3 2 3" xfId="20786" xr:uid="{00000000-0005-0000-0000-00005E350000}"/>
    <cellStyle name="40% - Accent3 2 3 2 3 3" xfId="11042" xr:uid="{00000000-0005-0000-0000-00005F350000}"/>
    <cellStyle name="40% - Accent3 2 3 2 3 3 2" xfId="24984" xr:uid="{00000000-0005-0000-0000-000060350000}"/>
    <cellStyle name="40% - Accent3 2 3 2 3 4" xfId="20785" xr:uid="{00000000-0005-0000-0000-000061350000}"/>
    <cellStyle name="40% - Accent3 2 3 2 4" xfId="3462" xr:uid="{00000000-0005-0000-0000-000062350000}"/>
    <cellStyle name="40% - Accent3 2 3 2 4 2" xfId="12308" xr:uid="{00000000-0005-0000-0000-000063350000}"/>
    <cellStyle name="40% - Accent3 2 3 2 4 2 2" xfId="26020" xr:uid="{00000000-0005-0000-0000-000064350000}"/>
    <cellStyle name="40% - Accent3 2 3 2 4 3" xfId="20787" xr:uid="{00000000-0005-0000-0000-000065350000}"/>
    <cellStyle name="40% - Accent3 2 3 2 5" xfId="3463" xr:uid="{00000000-0005-0000-0000-000066350000}"/>
    <cellStyle name="40% - Accent3 2 3 2 5 2" xfId="12574" xr:uid="{00000000-0005-0000-0000-000067350000}"/>
    <cellStyle name="40% - Accent3 2 3 2 5 2 2" xfId="26286" xr:uid="{00000000-0005-0000-0000-000068350000}"/>
    <cellStyle name="40% - Accent3 2 3 2 5 3" xfId="20788" xr:uid="{00000000-0005-0000-0000-000069350000}"/>
    <cellStyle name="40% - Accent3 2 3 2 6" xfId="3464" xr:uid="{00000000-0005-0000-0000-00006A350000}"/>
    <cellStyle name="40% - Accent3 2 3 2 6 2" xfId="13872" xr:uid="{00000000-0005-0000-0000-00006B350000}"/>
    <cellStyle name="40% - Accent3 2 3 2 6 2 2" xfId="27421" xr:uid="{00000000-0005-0000-0000-00006C350000}"/>
    <cellStyle name="40% - Accent3 2 3 2 6 3" xfId="20789" xr:uid="{00000000-0005-0000-0000-00006D350000}"/>
    <cellStyle name="40% - Accent3 2 3 2 7" xfId="3465" xr:uid="{00000000-0005-0000-0000-00006E350000}"/>
    <cellStyle name="40% - Accent3 2 3 2 7 2" xfId="14453" xr:uid="{00000000-0005-0000-0000-00006F350000}"/>
    <cellStyle name="40% - Accent3 2 3 2 7 2 2" xfId="28002" xr:uid="{00000000-0005-0000-0000-000070350000}"/>
    <cellStyle name="40% - Accent3 2 3 2 7 3" xfId="20790" xr:uid="{00000000-0005-0000-0000-000071350000}"/>
    <cellStyle name="40% - Accent3 2 3 2 8" xfId="3466" xr:uid="{00000000-0005-0000-0000-000072350000}"/>
    <cellStyle name="40% - Accent3 2 3 2 8 2" xfId="15196" xr:uid="{00000000-0005-0000-0000-000073350000}"/>
    <cellStyle name="40% - Accent3 2 3 2 8 2 2" xfId="28745" xr:uid="{00000000-0005-0000-0000-000074350000}"/>
    <cellStyle name="40% - Accent3 2 3 2 8 3" xfId="20791" xr:uid="{00000000-0005-0000-0000-000075350000}"/>
    <cellStyle name="40% - Accent3 2 3 2 9" xfId="3467" xr:uid="{00000000-0005-0000-0000-000076350000}"/>
    <cellStyle name="40% - Accent3 2 3 2 9 2" xfId="16339" xr:uid="{00000000-0005-0000-0000-000077350000}"/>
    <cellStyle name="40% - Accent3 2 3 2 9 2 2" xfId="29746" xr:uid="{00000000-0005-0000-0000-000078350000}"/>
    <cellStyle name="40% - Accent3 2 3 2 9 3" xfId="20792" xr:uid="{00000000-0005-0000-0000-000079350000}"/>
    <cellStyle name="40% - Accent3 2 3 3" xfId="3468" xr:uid="{00000000-0005-0000-0000-00007A350000}"/>
    <cellStyle name="40% - Accent3 2 3 3 2" xfId="3469" xr:uid="{00000000-0005-0000-0000-00007B350000}"/>
    <cellStyle name="40% - Accent3 2 3 3 2 2" xfId="11044" xr:uid="{00000000-0005-0000-0000-00007C350000}"/>
    <cellStyle name="40% - Accent3 2 3 3 2 2 2" xfId="24986" xr:uid="{00000000-0005-0000-0000-00007D350000}"/>
    <cellStyle name="40% - Accent3 2 3 3 2 3" xfId="20794" xr:uid="{00000000-0005-0000-0000-00007E350000}"/>
    <cellStyle name="40% - Accent3 2 3 3 3" xfId="3470" xr:uid="{00000000-0005-0000-0000-00007F350000}"/>
    <cellStyle name="40% - Accent3 2 3 3 3 2" xfId="12813" xr:uid="{00000000-0005-0000-0000-000080350000}"/>
    <cellStyle name="40% - Accent3 2 3 3 3 2 2" xfId="26525" xr:uid="{00000000-0005-0000-0000-000081350000}"/>
    <cellStyle name="40% - Accent3 2 3 3 3 3" xfId="20795" xr:uid="{00000000-0005-0000-0000-000082350000}"/>
    <cellStyle name="40% - Accent3 2 3 3 4" xfId="3471" xr:uid="{00000000-0005-0000-0000-000083350000}"/>
    <cellStyle name="40% - Accent3 2 3 3 4 2" xfId="15199" xr:uid="{00000000-0005-0000-0000-000084350000}"/>
    <cellStyle name="40% - Accent3 2 3 3 4 2 2" xfId="28748" xr:uid="{00000000-0005-0000-0000-000085350000}"/>
    <cellStyle name="40% - Accent3 2 3 3 4 3" xfId="20796" xr:uid="{00000000-0005-0000-0000-000086350000}"/>
    <cellStyle name="40% - Accent3 2 3 3 5" xfId="3472" xr:uid="{00000000-0005-0000-0000-000087350000}"/>
    <cellStyle name="40% - Accent3 2 3 3 5 2" xfId="16631" xr:uid="{00000000-0005-0000-0000-000088350000}"/>
    <cellStyle name="40% - Accent3 2 3 3 5 2 2" xfId="30038" xr:uid="{00000000-0005-0000-0000-000089350000}"/>
    <cellStyle name="40% - Accent3 2 3 3 5 3" xfId="20797" xr:uid="{00000000-0005-0000-0000-00008A350000}"/>
    <cellStyle name="40% - Accent3 2 3 3 6" xfId="9317" xr:uid="{00000000-0005-0000-0000-00008B350000}"/>
    <cellStyle name="40% - Accent3 2 3 3 6 2" xfId="23792" xr:uid="{00000000-0005-0000-0000-00008C350000}"/>
    <cellStyle name="40% - Accent3 2 3 3 7" xfId="20793" xr:uid="{00000000-0005-0000-0000-00008D350000}"/>
    <cellStyle name="40% - Accent3 2 3 4" xfId="3473" xr:uid="{00000000-0005-0000-0000-00008E350000}"/>
    <cellStyle name="40% - Accent3 2 3 4 2" xfId="3474" xr:uid="{00000000-0005-0000-0000-00008F350000}"/>
    <cellStyle name="40% - Accent3 2 3 4 2 2" xfId="15200" xr:uid="{00000000-0005-0000-0000-000090350000}"/>
    <cellStyle name="40% - Accent3 2 3 4 2 2 2" xfId="28749" xr:uid="{00000000-0005-0000-0000-000091350000}"/>
    <cellStyle name="40% - Accent3 2 3 4 2 3" xfId="20799" xr:uid="{00000000-0005-0000-0000-000092350000}"/>
    <cellStyle name="40% - Accent3 2 3 4 3" xfId="11041" xr:uid="{00000000-0005-0000-0000-000093350000}"/>
    <cellStyle name="40% - Accent3 2 3 4 3 2" xfId="24983" xr:uid="{00000000-0005-0000-0000-000094350000}"/>
    <cellStyle name="40% - Accent3 2 3 4 4" xfId="20798" xr:uid="{00000000-0005-0000-0000-000095350000}"/>
    <cellStyle name="40% - Accent3 2 3 5" xfId="3475" xr:uid="{00000000-0005-0000-0000-000096350000}"/>
    <cellStyle name="40% - Accent3 2 3 5 2" xfId="12008" xr:uid="{00000000-0005-0000-0000-000097350000}"/>
    <cellStyle name="40% - Accent3 2 3 5 2 2" xfId="25723" xr:uid="{00000000-0005-0000-0000-000098350000}"/>
    <cellStyle name="40% - Accent3 2 3 5 3" xfId="20800" xr:uid="{00000000-0005-0000-0000-000099350000}"/>
    <cellStyle name="40% - Accent3 2 3 6" xfId="3476" xr:uid="{00000000-0005-0000-0000-00009A350000}"/>
    <cellStyle name="40% - Accent3 2 3 6 2" xfId="12618" xr:uid="{00000000-0005-0000-0000-00009B350000}"/>
    <cellStyle name="40% - Accent3 2 3 6 2 2" xfId="26330" xr:uid="{00000000-0005-0000-0000-00009C350000}"/>
    <cellStyle name="40% - Accent3 2 3 6 3" xfId="20801" xr:uid="{00000000-0005-0000-0000-00009D350000}"/>
    <cellStyle name="40% - Accent3 2 3 7" xfId="3477" xr:uid="{00000000-0005-0000-0000-00009E350000}"/>
    <cellStyle name="40% - Accent3 2 3 7 2" xfId="13583" xr:uid="{00000000-0005-0000-0000-00009F350000}"/>
    <cellStyle name="40% - Accent3 2 3 7 2 2" xfId="27132" xr:uid="{00000000-0005-0000-0000-0000A0350000}"/>
    <cellStyle name="40% - Accent3 2 3 7 3" xfId="20802" xr:uid="{00000000-0005-0000-0000-0000A1350000}"/>
    <cellStyle name="40% - Accent3 2 3 8" xfId="3478" xr:uid="{00000000-0005-0000-0000-0000A2350000}"/>
    <cellStyle name="40% - Accent3 2 3 8 2" xfId="14164" xr:uid="{00000000-0005-0000-0000-0000A3350000}"/>
    <cellStyle name="40% - Accent3 2 3 8 2 2" xfId="27713" xr:uid="{00000000-0005-0000-0000-0000A4350000}"/>
    <cellStyle name="40% - Accent3 2 3 8 3" xfId="20803" xr:uid="{00000000-0005-0000-0000-0000A5350000}"/>
    <cellStyle name="40% - Accent3 2 3 9" xfId="3479" xr:uid="{00000000-0005-0000-0000-0000A6350000}"/>
    <cellStyle name="40% - Accent3 2 3 9 2" xfId="15195" xr:uid="{00000000-0005-0000-0000-0000A7350000}"/>
    <cellStyle name="40% - Accent3 2 3 9 2 2" xfId="28744" xr:uid="{00000000-0005-0000-0000-0000A8350000}"/>
    <cellStyle name="40% - Accent3 2 3 9 3" xfId="20804" xr:uid="{00000000-0005-0000-0000-0000A9350000}"/>
    <cellStyle name="40% - Accent3 2 4" xfId="3480" xr:uid="{00000000-0005-0000-0000-0000AA350000}"/>
    <cellStyle name="40% - Accent3 2 4 10" xfId="9318" xr:uid="{00000000-0005-0000-0000-0000AB350000}"/>
    <cellStyle name="40% - Accent3 2 4 10 2" xfId="23793" xr:uid="{00000000-0005-0000-0000-0000AC350000}"/>
    <cellStyle name="40% - Accent3 2 4 11" xfId="20805" xr:uid="{00000000-0005-0000-0000-0000AD350000}"/>
    <cellStyle name="40% - Accent3 2 4 2" xfId="3481" xr:uid="{00000000-0005-0000-0000-0000AE350000}"/>
    <cellStyle name="40% - Accent3 2 4 2 2" xfId="3482" xr:uid="{00000000-0005-0000-0000-0000AF350000}"/>
    <cellStyle name="40% - Accent3 2 4 2 2 2" xfId="11046" xr:uid="{00000000-0005-0000-0000-0000B0350000}"/>
    <cellStyle name="40% - Accent3 2 4 2 2 2 2" xfId="24988" xr:uid="{00000000-0005-0000-0000-0000B1350000}"/>
    <cellStyle name="40% - Accent3 2 4 2 2 3" xfId="20807" xr:uid="{00000000-0005-0000-0000-0000B2350000}"/>
    <cellStyle name="40% - Accent3 2 4 2 3" xfId="3483" xr:uid="{00000000-0005-0000-0000-0000B3350000}"/>
    <cellStyle name="40% - Accent3 2 4 2 3 2" xfId="12815" xr:uid="{00000000-0005-0000-0000-0000B4350000}"/>
    <cellStyle name="40% - Accent3 2 4 2 3 2 2" xfId="26527" xr:uid="{00000000-0005-0000-0000-0000B5350000}"/>
    <cellStyle name="40% - Accent3 2 4 2 3 3" xfId="20808" xr:uid="{00000000-0005-0000-0000-0000B6350000}"/>
    <cellStyle name="40% - Accent3 2 4 2 4" xfId="3484" xr:uid="{00000000-0005-0000-0000-0000B7350000}"/>
    <cellStyle name="40% - Accent3 2 4 2 4 2" xfId="15202" xr:uid="{00000000-0005-0000-0000-0000B8350000}"/>
    <cellStyle name="40% - Accent3 2 4 2 4 2 2" xfId="28751" xr:uid="{00000000-0005-0000-0000-0000B9350000}"/>
    <cellStyle name="40% - Accent3 2 4 2 4 3" xfId="20809" xr:uid="{00000000-0005-0000-0000-0000BA350000}"/>
    <cellStyle name="40% - Accent3 2 4 2 5" xfId="3485" xr:uid="{00000000-0005-0000-0000-0000BB350000}"/>
    <cellStyle name="40% - Accent3 2 4 2 5 2" xfId="16777" xr:uid="{00000000-0005-0000-0000-0000BC350000}"/>
    <cellStyle name="40% - Accent3 2 4 2 5 2 2" xfId="30184" xr:uid="{00000000-0005-0000-0000-0000BD350000}"/>
    <cellStyle name="40% - Accent3 2 4 2 5 3" xfId="20810" xr:uid="{00000000-0005-0000-0000-0000BE350000}"/>
    <cellStyle name="40% - Accent3 2 4 2 6" xfId="9319" xr:uid="{00000000-0005-0000-0000-0000BF350000}"/>
    <cellStyle name="40% - Accent3 2 4 2 6 2" xfId="23794" xr:uid="{00000000-0005-0000-0000-0000C0350000}"/>
    <cellStyle name="40% - Accent3 2 4 2 7" xfId="20806" xr:uid="{00000000-0005-0000-0000-0000C1350000}"/>
    <cellStyle name="40% - Accent3 2 4 3" xfId="3486" xr:uid="{00000000-0005-0000-0000-0000C2350000}"/>
    <cellStyle name="40% - Accent3 2 4 3 2" xfId="3487" xr:uid="{00000000-0005-0000-0000-0000C3350000}"/>
    <cellStyle name="40% - Accent3 2 4 3 2 2" xfId="15203" xr:uid="{00000000-0005-0000-0000-0000C4350000}"/>
    <cellStyle name="40% - Accent3 2 4 3 2 2 2" xfId="28752" xr:uid="{00000000-0005-0000-0000-0000C5350000}"/>
    <cellStyle name="40% - Accent3 2 4 3 2 3" xfId="20812" xr:uid="{00000000-0005-0000-0000-0000C6350000}"/>
    <cellStyle name="40% - Accent3 2 4 3 3" xfId="11045" xr:uid="{00000000-0005-0000-0000-0000C7350000}"/>
    <cellStyle name="40% - Accent3 2 4 3 3 2" xfId="24987" xr:uid="{00000000-0005-0000-0000-0000C8350000}"/>
    <cellStyle name="40% - Accent3 2 4 3 4" xfId="20811" xr:uid="{00000000-0005-0000-0000-0000C9350000}"/>
    <cellStyle name="40% - Accent3 2 4 4" xfId="3488" xr:uid="{00000000-0005-0000-0000-0000CA350000}"/>
    <cellStyle name="40% - Accent3 2 4 4 2" xfId="12165" xr:uid="{00000000-0005-0000-0000-0000CB350000}"/>
    <cellStyle name="40% - Accent3 2 4 4 2 2" xfId="25877" xr:uid="{00000000-0005-0000-0000-0000CC350000}"/>
    <cellStyle name="40% - Accent3 2 4 4 3" xfId="20813" xr:uid="{00000000-0005-0000-0000-0000CD350000}"/>
    <cellStyle name="40% - Accent3 2 4 5" xfId="3489" xr:uid="{00000000-0005-0000-0000-0000CE350000}"/>
    <cellStyle name="40% - Accent3 2 4 5 2" xfId="12814" xr:uid="{00000000-0005-0000-0000-0000CF350000}"/>
    <cellStyle name="40% - Accent3 2 4 5 2 2" xfId="26526" xr:uid="{00000000-0005-0000-0000-0000D0350000}"/>
    <cellStyle name="40% - Accent3 2 4 5 3" xfId="20814" xr:uid="{00000000-0005-0000-0000-0000D1350000}"/>
    <cellStyle name="40% - Accent3 2 4 6" xfId="3490" xr:uid="{00000000-0005-0000-0000-0000D2350000}"/>
    <cellStyle name="40% - Accent3 2 4 6 2" xfId="13729" xr:uid="{00000000-0005-0000-0000-0000D3350000}"/>
    <cellStyle name="40% - Accent3 2 4 6 2 2" xfId="27278" xr:uid="{00000000-0005-0000-0000-0000D4350000}"/>
    <cellStyle name="40% - Accent3 2 4 6 3" xfId="20815" xr:uid="{00000000-0005-0000-0000-0000D5350000}"/>
    <cellStyle name="40% - Accent3 2 4 7" xfId="3491" xr:uid="{00000000-0005-0000-0000-0000D6350000}"/>
    <cellStyle name="40% - Accent3 2 4 7 2" xfId="14310" xr:uid="{00000000-0005-0000-0000-0000D7350000}"/>
    <cellStyle name="40% - Accent3 2 4 7 2 2" xfId="27859" xr:uid="{00000000-0005-0000-0000-0000D8350000}"/>
    <cellStyle name="40% - Accent3 2 4 7 3" xfId="20816" xr:uid="{00000000-0005-0000-0000-0000D9350000}"/>
    <cellStyle name="40% - Accent3 2 4 8" xfId="3492" xr:uid="{00000000-0005-0000-0000-0000DA350000}"/>
    <cellStyle name="40% - Accent3 2 4 8 2" xfId="15201" xr:uid="{00000000-0005-0000-0000-0000DB350000}"/>
    <cellStyle name="40% - Accent3 2 4 8 2 2" xfId="28750" xr:uid="{00000000-0005-0000-0000-0000DC350000}"/>
    <cellStyle name="40% - Accent3 2 4 8 3" xfId="20817" xr:uid="{00000000-0005-0000-0000-0000DD350000}"/>
    <cellStyle name="40% - Accent3 2 4 9" xfId="3493" xr:uid="{00000000-0005-0000-0000-0000DE350000}"/>
    <cellStyle name="40% - Accent3 2 4 9 2" xfId="16196" xr:uid="{00000000-0005-0000-0000-0000DF350000}"/>
    <cellStyle name="40% - Accent3 2 4 9 2 2" xfId="29603" xr:uid="{00000000-0005-0000-0000-0000E0350000}"/>
    <cellStyle name="40% - Accent3 2 4 9 3" xfId="20818" xr:uid="{00000000-0005-0000-0000-0000E1350000}"/>
    <cellStyle name="40% - Accent3 2 5" xfId="3494" xr:uid="{00000000-0005-0000-0000-0000E2350000}"/>
    <cellStyle name="40% - Accent3 2 5 2" xfId="3495" xr:uid="{00000000-0005-0000-0000-0000E3350000}"/>
    <cellStyle name="40% - Accent3 2 5 2 2" xfId="3496" xr:uid="{00000000-0005-0000-0000-0000E4350000}"/>
    <cellStyle name="40% - Accent3 2 5 2 2 2" xfId="11048" xr:uid="{00000000-0005-0000-0000-0000E5350000}"/>
    <cellStyle name="40% - Accent3 2 5 2 2 2 2" xfId="24990" xr:uid="{00000000-0005-0000-0000-0000E6350000}"/>
    <cellStyle name="40% - Accent3 2 5 2 2 3" xfId="20821" xr:uid="{00000000-0005-0000-0000-0000E7350000}"/>
    <cellStyle name="40% - Accent3 2 5 2 3" xfId="3497" xr:uid="{00000000-0005-0000-0000-0000E8350000}"/>
    <cellStyle name="40% - Accent3 2 5 2 3 2" xfId="12817" xr:uid="{00000000-0005-0000-0000-0000E9350000}"/>
    <cellStyle name="40% - Accent3 2 5 2 3 2 2" xfId="26529" xr:uid="{00000000-0005-0000-0000-0000EA350000}"/>
    <cellStyle name="40% - Accent3 2 5 2 3 3" xfId="20822" xr:uid="{00000000-0005-0000-0000-0000EB350000}"/>
    <cellStyle name="40% - Accent3 2 5 2 4" xfId="3498" xr:uid="{00000000-0005-0000-0000-0000EC350000}"/>
    <cellStyle name="40% - Accent3 2 5 2 4 2" xfId="15205" xr:uid="{00000000-0005-0000-0000-0000ED350000}"/>
    <cellStyle name="40% - Accent3 2 5 2 4 2 2" xfId="28754" xr:uid="{00000000-0005-0000-0000-0000EE350000}"/>
    <cellStyle name="40% - Accent3 2 5 2 4 3" xfId="20823" xr:uid="{00000000-0005-0000-0000-0000EF350000}"/>
    <cellStyle name="40% - Accent3 2 5 2 5" xfId="9321" xr:uid="{00000000-0005-0000-0000-0000F0350000}"/>
    <cellStyle name="40% - Accent3 2 5 2 5 2" xfId="23796" xr:uid="{00000000-0005-0000-0000-0000F1350000}"/>
    <cellStyle name="40% - Accent3 2 5 2 6" xfId="20820" xr:uid="{00000000-0005-0000-0000-0000F2350000}"/>
    <cellStyle name="40% - Accent3 2 5 3" xfId="3499" xr:uid="{00000000-0005-0000-0000-0000F3350000}"/>
    <cellStyle name="40% - Accent3 2 5 3 2" xfId="11047" xr:uid="{00000000-0005-0000-0000-0000F4350000}"/>
    <cellStyle name="40% - Accent3 2 5 3 2 2" xfId="24989" xr:uid="{00000000-0005-0000-0000-0000F5350000}"/>
    <cellStyle name="40% - Accent3 2 5 3 3" xfId="20824" xr:uid="{00000000-0005-0000-0000-0000F6350000}"/>
    <cellStyle name="40% - Accent3 2 5 4" xfId="3500" xr:uid="{00000000-0005-0000-0000-0000F7350000}"/>
    <cellStyle name="40% - Accent3 2 5 4 2" xfId="12816" xr:uid="{00000000-0005-0000-0000-0000F8350000}"/>
    <cellStyle name="40% - Accent3 2 5 4 2 2" xfId="26528" xr:uid="{00000000-0005-0000-0000-0000F9350000}"/>
    <cellStyle name="40% - Accent3 2 5 4 3" xfId="20825" xr:uid="{00000000-0005-0000-0000-0000FA350000}"/>
    <cellStyle name="40% - Accent3 2 5 5" xfId="3501" xr:uid="{00000000-0005-0000-0000-0000FB350000}"/>
    <cellStyle name="40% - Accent3 2 5 5 2" xfId="15204" xr:uid="{00000000-0005-0000-0000-0000FC350000}"/>
    <cellStyle name="40% - Accent3 2 5 5 2 2" xfId="28753" xr:uid="{00000000-0005-0000-0000-0000FD350000}"/>
    <cellStyle name="40% - Accent3 2 5 5 3" xfId="20826" xr:uid="{00000000-0005-0000-0000-0000FE350000}"/>
    <cellStyle name="40% - Accent3 2 5 6" xfId="3502" xr:uid="{00000000-0005-0000-0000-0000FF350000}"/>
    <cellStyle name="40% - Accent3 2 5 6 2" xfId="17015" xr:uid="{00000000-0005-0000-0000-000000360000}"/>
    <cellStyle name="40% - Accent3 2 5 6 2 2" xfId="30422" xr:uid="{00000000-0005-0000-0000-000001360000}"/>
    <cellStyle name="40% - Accent3 2 5 6 3" xfId="20827" xr:uid="{00000000-0005-0000-0000-000002360000}"/>
    <cellStyle name="40% - Accent3 2 5 7" xfId="9320" xr:uid="{00000000-0005-0000-0000-000003360000}"/>
    <cellStyle name="40% - Accent3 2 5 7 2" xfId="23795" xr:uid="{00000000-0005-0000-0000-000004360000}"/>
    <cellStyle name="40% - Accent3 2 5 8" xfId="20819" xr:uid="{00000000-0005-0000-0000-000005360000}"/>
    <cellStyle name="40% - Accent3 2 6" xfId="3503" xr:uid="{00000000-0005-0000-0000-000006360000}"/>
    <cellStyle name="40% - Accent3 2 6 2" xfId="3504" xr:uid="{00000000-0005-0000-0000-000007360000}"/>
    <cellStyle name="40% - Accent3 2 6 2 2" xfId="11049" xr:uid="{00000000-0005-0000-0000-000008360000}"/>
    <cellStyle name="40% - Accent3 2 6 2 2 2" xfId="24991" xr:uid="{00000000-0005-0000-0000-000009360000}"/>
    <cellStyle name="40% - Accent3 2 6 2 3" xfId="20829" xr:uid="{00000000-0005-0000-0000-00000A360000}"/>
    <cellStyle name="40% - Accent3 2 6 3" xfId="3505" xr:uid="{00000000-0005-0000-0000-00000B360000}"/>
    <cellStyle name="40% - Accent3 2 6 3 2" xfId="12818" xr:uid="{00000000-0005-0000-0000-00000C360000}"/>
    <cellStyle name="40% - Accent3 2 6 3 2 2" xfId="26530" xr:uid="{00000000-0005-0000-0000-00000D360000}"/>
    <cellStyle name="40% - Accent3 2 6 3 3" xfId="20830" xr:uid="{00000000-0005-0000-0000-00000E360000}"/>
    <cellStyle name="40% - Accent3 2 6 4" xfId="3506" xr:uid="{00000000-0005-0000-0000-00000F360000}"/>
    <cellStyle name="40% - Accent3 2 6 4 2" xfId="15206" xr:uid="{00000000-0005-0000-0000-000010360000}"/>
    <cellStyle name="40% - Accent3 2 6 4 2 2" xfId="28755" xr:uid="{00000000-0005-0000-0000-000011360000}"/>
    <cellStyle name="40% - Accent3 2 6 4 3" xfId="20831" xr:uid="{00000000-0005-0000-0000-000012360000}"/>
    <cellStyle name="40% - Accent3 2 6 5" xfId="3507" xr:uid="{00000000-0005-0000-0000-000013360000}"/>
    <cellStyle name="40% - Accent3 2 6 5 2" xfId="17124" xr:uid="{00000000-0005-0000-0000-000014360000}"/>
    <cellStyle name="40% - Accent3 2 6 5 2 2" xfId="30483" xr:uid="{00000000-0005-0000-0000-000015360000}"/>
    <cellStyle name="40% - Accent3 2 6 5 3" xfId="20832" xr:uid="{00000000-0005-0000-0000-000016360000}"/>
    <cellStyle name="40% - Accent3 2 6 6" xfId="9322" xr:uid="{00000000-0005-0000-0000-000017360000}"/>
    <cellStyle name="40% - Accent3 2 6 6 2" xfId="23797" xr:uid="{00000000-0005-0000-0000-000018360000}"/>
    <cellStyle name="40% - Accent3 2 6 7" xfId="20828" xr:uid="{00000000-0005-0000-0000-000019360000}"/>
    <cellStyle name="40% - Accent3 2 7" xfId="3508" xr:uid="{00000000-0005-0000-0000-00001A360000}"/>
    <cellStyle name="40% - Accent3 2 7 2" xfId="3509" xr:uid="{00000000-0005-0000-0000-00001B360000}"/>
    <cellStyle name="40% - Accent3 2 7 2 2" xfId="11050" xr:uid="{00000000-0005-0000-0000-00001C360000}"/>
    <cellStyle name="40% - Accent3 2 7 2 2 2" xfId="24992" xr:uid="{00000000-0005-0000-0000-00001D360000}"/>
    <cellStyle name="40% - Accent3 2 7 2 3" xfId="20834" xr:uid="{00000000-0005-0000-0000-00001E360000}"/>
    <cellStyle name="40% - Accent3 2 7 3" xfId="3510" xr:uid="{00000000-0005-0000-0000-00001F360000}"/>
    <cellStyle name="40% - Accent3 2 7 3 2" xfId="12819" xr:uid="{00000000-0005-0000-0000-000020360000}"/>
    <cellStyle name="40% - Accent3 2 7 3 2 2" xfId="26531" xr:uid="{00000000-0005-0000-0000-000021360000}"/>
    <cellStyle name="40% - Accent3 2 7 3 3" xfId="20835" xr:uid="{00000000-0005-0000-0000-000022360000}"/>
    <cellStyle name="40% - Accent3 2 7 4" xfId="3511" xr:uid="{00000000-0005-0000-0000-000023360000}"/>
    <cellStyle name="40% - Accent3 2 7 4 2" xfId="15207" xr:uid="{00000000-0005-0000-0000-000024360000}"/>
    <cellStyle name="40% - Accent3 2 7 4 2 2" xfId="28756" xr:uid="{00000000-0005-0000-0000-000025360000}"/>
    <cellStyle name="40% - Accent3 2 7 4 3" xfId="20836" xr:uid="{00000000-0005-0000-0000-000026360000}"/>
    <cellStyle name="40% - Accent3 2 7 5" xfId="3512" xr:uid="{00000000-0005-0000-0000-000027360000}"/>
    <cellStyle name="40% - Accent3 2 7 5 2" xfId="17213" xr:uid="{00000000-0005-0000-0000-000028360000}"/>
    <cellStyle name="40% - Accent3 2 7 5 2 2" xfId="30572" xr:uid="{00000000-0005-0000-0000-000029360000}"/>
    <cellStyle name="40% - Accent3 2 7 5 3" xfId="20837" xr:uid="{00000000-0005-0000-0000-00002A360000}"/>
    <cellStyle name="40% - Accent3 2 7 6" xfId="9323" xr:uid="{00000000-0005-0000-0000-00002B360000}"/>
    <cellStyle name="40% - Accent3 2 7 6 2" xfId="23798" xr:uid="{00000000-0005-0000-0000-00002C360000}"/>
    <cellStyle name="40% - Accent3 2 7 7" xfId="20833" xr:uid="{00000000-0005-0000-0000-00002D360000}"/>
    <cellStyle name="40% - Accent3 2 8" xfId="3513" xr:uid="{00000000-0005-0000-0000-00002E360000}"/>
    <cellStyle name="40% - Accent3 2 8 2" xfId="3514" xr:uid="{00000000-0005-0000-0000-00002F360000}"/>
    <cellStyle name="40% - Accent3 2 8 2 2" xfId="12820" xr:uid="{00000000-0005-0000-0000-000030360000}"/>
    <cellStyle name="40% - Accent3 2 8 2 2 2" xfId="26532" xr:uid="{00000000-0005-0000-0000-000031360000}"/>
    <cellStyle name="40% - Accent3 2 8 2 3" xfId="20839" xr:uid="{00000000-0005-0000-0000-000032360000}"/>
    <cellStyle name="40% - Accent3 2 8 3" xfId="3515" xr:uid="{00000000-0005-0000-0000-000033360000}"/>
    <cellStyle name="40% - Accent3 2 8 3 2" xfId="15208" xr:uid="{00000000-0005-0000-0000-000034360000}"/>
    <cellStyle name="40% - Accent3 2 8 3 2 2" xfId="28757" xr:uid="{00000000-0005-0000-0000-000035360000}"/>
    <cellStyle name="40% - Accent3 2 8 3 3" xfId="20840" xr:uid="{00000000-0005-0000-0000-000036360000}"/>
    <cellStyle name="40% - Accent3 2 8 4" xfId="3516" xr:uid="{00000000-0005-0000-0000-000037360000}"/>
    <cellStyle name="40% - Accent3 2 8 4 2" xfId="16488" xr:uid="{00000000-0005-0000-0000-000038360000}"/>
    <cellStyle name="40% - Accent3 2 8 4 2 2" xfId="29895" xr:uid="{00000000-0005-0000-0000-000039360000}"/>
    <cellStyle name="40% - Accent3 2 8 4 3" xfId="20841" xr:uid="{00000000-0005-0000-0000-00003A360000}"/>
    <cellStyle name="40% - Accent3 2 8 5" xfId="10536" xr:uid="{00000000-0005-0000-0000-00003B360000}"/>
    <cellStyle name="40% - Accent3 2 8 5 2" xfId="24478" xr:uid="{00000000-0005-0000-0000-00003C360000}"/>
    <cellStyle name="40% - Accent3 2 8 6" xfId="20838" xr:uid="{00000000-0005-0000-0000-00003D360000}"/>
    <cellStyle name="40% - Accent3 2 9" xfId="3517" xr:uid="{00000000-0005-0000-0000-00003E360000}"/>
    <cellStyle name="40% - Accent3 2 9 2" xfId="3518" xr:uid="{00000000-0005-0000-0000-00003F360000}"/>
    <cellStyle name="40% - Accent3 2 9 2 2" xfId="12821" xr:uid="{00000000-0005-0000-0000-000040360000}"/>
    <cellStyle name="40% - Accent3 2 9 2 2 2" xfId="26533" xr:uid="{00000000-0005-0000-0000-000041360000}"/>
    <cellStyle name="40% - Accent3 2 9 2 3" xfId="20843" xr:uid="{00000000-0005-0000-0000-000042360000}"/>
    <cellStyle name="40% - Accent3 2 9 3" xfId="3519" xr:uid="{00000000-0005-0000-0000-000043360000}"/>
    <cellStyle name="40% - Accent3 2 9 3 2" xfId="15209" xr:uid="{00000000-0005-0000-0000-000044360000}"/>
    <cellStyle name="40% - Accent3 2 9 3 2 2" xfId="28758" xr:uid="{00000000-0005-0000-0000-000045360000}"/>
    <cellStyle name="40% - Accent3 2 9 3 3" xfId="20844" xr:uid="{00000000-0005-0000-0000-000046360000}"/>
    <cellStyle name="40% - Accent3 2 9 4" xfId="11032" xr:uid="{00000000-0005-0000-0000-000047360000}"/>
    <cellStyle name="40% - Accent3 2 9 4 2" xfId="24974" xr:uid="{00000000-0005-0000-0000-000048360000}"/>
    <cellStyle name="40% - Accent3 2 9 5" xfId="20842" xr:uid="{00000000-0005-0000-0000-000049360000}"/>
    <cellStyle name="40% - Accent3 20" xfId="3520" xr:uid="{00000000-0005-0000-0000-00004A360000}"/>
    <cellStyle name="40% - Accent3 20 2" xfId="3521" xr:uid="{00000000-0005-0000-0000-00004B360000}"/>
    <cellStyle name="40% - Accent3 20 2 2" xfId="12822" xr:uid="{00000000-0005-0000-0000-00004C360000}"/>
    <cellStyle name="40% - Accent3 20 2 2 2" xfId="26534" xr:uid="{00000000-0005-0000-0000-00004D360000}"/>
    <cellStyle name="40% - Accent3 20 2 3" xfId="20846" xr:uid="{00000000-0005-0000-0000-00004E360000}"/>
    <cellStyle name="40% - Accent3 20 3" xfId="3522" xr:uid="{00000000-0005-0000-0000-00004F360000}"/>
    <cellStyle name="40% - Accent3 20 3 2" xfId="15210" xr:uid="{00000000-0005-0000-0000-000050360000}"/>
    <cellStyle name="40% - Accent3 20 3 2 2" xfId="28759" xr:uid="{00000000-0005-0000-0000-000051360000}"/>
    <cellStyle name="40% - Accent3 20 3 3" xfId="20847" xr:uid="{00000000-0005-0000-0000-000052360000}"/>
    <cellStyle name="40% - Accent3 20 4" xfId="10511" xr:uid="{00000000-0005-0000-0000-000053360000}"/>
    <cellStyle name="40% - Accent3 20 4 2" xfId="24459" xr:uid="{00000000-0005-0000-0000-000054360000}"/>
    <cellStyle name="40% - Accent3 20 5" xfId="20845" xr:uid="{00000000-0005-0000-0000-000055360000}"/>
    <cellStyle name="40% - Accent3 21" xfId="3523" xr:uid="{00000000-0005-0000-0000-000056360000}"/>
    <cellStyle name="40% - Accent3 21 2" xfId="3524" xr:uid="{00000000-0005-0000-0000-000057360000}"/>
    <cellStyle name="40% - Accent3 21 2 2" xfId="12823" xr:uid="{00000000-0005-0000-0000-000058360000}"/>
    <cellStyle name="40% - Accent3 21 2 2 2" xfId="26535" xr:uid="{00000000-0005-0000-0000-000059360000}"/>
    <cellStyle name="40% - Accent3 21 2 3" xfId="20849" xr:uid="{00000000-0005-0000-0000-00005A360000}"/>
    <cellStyle name="40% - Accent3 21 3" xfId="3525" xr:uid="{00000000-0005-0000-0000-00005B360000}"/>
    <cellStyle name="40% - Accent3 21 3 2" xfId="15211" xr:uid="{00000000-0005-0000-0000-00005C360000}"/>
    <cellStyle name="40% - Accent3 21 3 2 2" xfId="28760" xr:uid="{00000000-0005-0000-0000-00005D360000}"/>
    <cellStyle name="40% - Accent3 21 3 3" xfId="20850" xr:uid="{00000000-0005-0000-0000-00005E360000}"/>
    <cellStyle name="40% - Accent3 21 4" xfId="11021" xr:uid="{00000000-0005-0000-0000-00005F360000}"/>
    <cellStyle name="40% - Accent3 21 4 2" xfId="24963" xr:uid="{00000000-0005-0000-0000-000060360000}"/>
    <cellStyle name="40% - Accent3 21 5" xfId="20848" xr:uid="{00000000-0005-0000-0000-000061360000}"/>
    <cellStyle name="40% - Accent3 22" xfId="3526" xr:uid="{00000000-0005-0000-0000-000062360000}"/>
    <cellStyle name="40% - Accent3 22 2" xfId="11747" xr:uid="{00000000-0005-0000-0000-000063360000}"/>
    <cellStyle name="40% - Accent3 22 2 2" xfId="25462" xr:uid="{00000000-0005-0000-0000-000064360000}"/>
    <cellStyle name="40% - Accent3 22 3" xfId="20851" xr:uid="{00000000-0005-0000-0000-000065360000}"/>
    <cellStyle name="40% - Accent3 23" xfId="3527" xr:uid="{00000000-0005-0000-0000-000066360000}"/>
    <cellStyle name="40% - Accent3 23 2" xfId="12494" xr:uid="{00000000-0005-0000-0000-000067360000}"/>
    <cellStyle name="40% - Accent3 23 2 2" xfId="26206" xr:uid="{00000000-0005-0000-0000-000068360000}"/>
    <cellStyle name="40% - Accent3 23 3" xfId="20852" xr:uid="{00000000-0005-0000-0000-000069360000}"/>
    <cellStyle name="40% - Accent3 24" xfId="3528" xr:uid="{00000000-0005-0000-0000-00006A360000}"/>
    <cellStyle name="40% - Accent3 24 2" xfId="13386" xr:uid="{00000000-0005-0000-0000-00006B360000}"/>
    <cellStyle name="40% - Accent3 24 2 2" xfId="26935" xr:uid="{00000000-0005-0000-0000-00006C360000}"/>
    <cellStyle name="40% - Accent3 24 3" xfId="20853" xr:uid="{00000000-0005-0000-0000-00006D360000}"/>
    <cellStyle name="40% - Accent3 25" xfId="3529" xr:uid="{00000000-0005-0000-0000-00006E360000}"/>
    <cellStyle name="40% - Accent3 25 2" xfId="13967" xr:uid="{00000000-0005-0000-0000-00006F360000}"/>
    <cellStyle name="40% - Accent3 25 2 2" xfId="27516" xr:uid="{00000000-0005-0000-0000-000070360000}"/>
    <cellStyle name="40% - Accent3 25 3" xfId="20854" xr:uid="{00000000-0005-0000-0000-000071360000}"/>
    <cellStyle name="40% - Accent3 26" xfId="3530" xr:uid="{00000000-0005-0000-0000-000072360000}"/>
    <cellStyle name="40% - Accent3 26 2" xfId="15168" xr:uid="{00000000-0005-0000-0000-000073360000}"/>
    <cellStyle name="40% - Accent3 26 2 2" xfId="28717" xr:uid="{00000000-0005-0000-0000-000074360000}"/>
    <cellStyle name="40% - Accent3 26 3" xfId="20855" xr:uid="{00000000-0005-0000-0000-000075360000}"/>
    <cellStyle name="40% - Accent3 27" xfId="3531" xr:uid="{00000000-0005-0000-0000-000076360000}"/>
    <cellStyle name="40% - Accent3 27 2" xfId="15833" xr:uid="{00000000-0005-0000-0000-000077360000}"/>
    <cellStyle name="40% - Accent3 27 2 2" xfId="29240" xr:uid="{00000000-0005-0000-0000-000078360000}"/>
    <cellStyle name="40% - Accent3 27 3" xfId="20856" xr:uid="{00000000-0005-0000-0000-000079360000}"/>
    <cellStyle name="40% - Accent3 28" xfId="3532" xr:uid="{00000000-0005-0000-0000-00007A360000}"/>
    <cellStyle name="40% - Accent3 28 2" xfId="15853" xr:uid="{00000000-0005-0000-0000-00007B360000}"/>
    <cellStyle name="40% - Accent3 28 2 2" xfId="29260" xr:uid="{00000000-0005-0000-0000-00007C360000}"/>
    <cellStyle name="40% - Accent3 28 3" xfId="20857" xr:uid="{00000000-0005-0000-0000-00007D360000}"/>
    <cellStyle name="40% - Accent3 29" xfId="3533" xr:uid="{00000000-0005-0000-0000-00007E360000}"/>
    <cellStyle name="40% - Accent3 29 2" xfId="9294" xr:uid="{00000000-0005-0000-0000-00007F360000}"/>
    <cellStyle name="40% - Accent3 29 2 2" xfId="23769" xr:uid="{00000000-0005-0000-0000-000080360000}"/>
    <cellStyle name="40% - Accent3 29 3" xfId="20858" xr:uid="{00000000-0005-0000-0000-000081360000}"/>
    <cellStyle name="40% - Accent3 3" xfId="3534" xr:uid="{00000000-0005-0000-0000-000082360000}"/>
    <cellStyle name="40% - Accent3 3 10" xfId="3535" xr:uid="{00000000-0005-0000-0000-000083360000}"/>
    <cellStyle name="40% - Accent3 3 10 2" xfId="14044" xr:uid="{00000000-0005-0000-0000-000084360000}"/>
    <cellStyle name="40% - Accent3 3 10 2 2" xfId="27593" xr:uid="{00000000-0005-0000-0000-000085360000}"/>
    <cellStyle name="40% - Accent3 3 10 3" xfId="20860" xr:uid="{00000000-0005-0000-0000-000086360000}"/>
    <cellStyle name="40% - Accent3 3 11" xfId="3536" xr:uid="{00000000-0005-0000-0000-000087360000}"/>
    <cellStyle name="40% - Accent3 3 11 2" xfId="15212" xr:uid="{00000000-0005-0000-0000-000088360000}"/>
    <cellStyle name="40% - Accent3 3 11 2 2" xfId="28761" xr:uid="{00000000-0005-0000-0000-000089360000}"/>
    <cellStyle name="40% - Accent3 3 11 3" xfId="20861" xr:uid="{00000000-0005-0000-0000-00008A360000}"/>
    <cellStyle name="40% - Accent3 3 12" xfId="3537" xr:uid="{00000000-0005-0000-0000-00008B360000}"/>
    <cellStyle name="40% - Accent3 3 12 2" xfId="15930" xr:uid="{00000000-0005-0000-0000-00008C360000}"/>
    <cellStyle name="40% - Accent3 3 12 2 2" xfId="29337" xr:uid="{00000000-0005-0000-0000-00008D360000}"/>
    <cellStyle name="40% - Accent3 3 12 3" xfId="20862" xr:uid="{00000000-0005-0000-0000-00008E360000}"/>
    <cellStyle name="40% - Accent3 3 13" xfId="9324" xr:uid="{00000000-0005-0000-0000-00008F360000}"/>
    <cellStyle name="40% - Accent3 3 13 2" xfId="23799" xr:uid="{00000000-0005-0000-0000-000090360000}"/>
    <cellStyle name="40% - Accent3 3 14" xfId="20859" xr:uid="{00000000-0005-0000-0000-000091360000}"/>
    <cellStyle name="40% - Accent3 3 2" xfId="3538" xr:uid="{00000000-0005-0000-0000-000092360000}"/>
    <cellStyle name="40% - Accent3 3 2 10" xfId="3539" xr:uid="{00000000-0005-0000-0000-000093360000}"/>
    <cellStyle name="40% - Accent3 3 2 10 2" xfId="16073" xr:uid="{00000000-0005-0000-0000-000094360000}"/>
    <cellStyle name="40% - Accent3 3 2 10 2 2" xfId="29480" xr:uid="{00000000-0005-0000-0000-000095360000}"/>
    <cellStyle name="40% - Accent3 3 2 10 3" xfId="20864" xr:uid="{00000000-0005-0000-0000-000096360000}"/>
    <cellStyle name="40% - Accent3 3 2 11" xfId="9325" xr:uid="{00000000-0005-0000-0000-000097360000}"/>
    <cellStyle name="40% - Accent3 3 2 11 2" xfId="23800" xr:uid="{00000000-0005-0000-0000-000098360000}"/>
    <cellStyle name="40% - Accent3 3 2 12" xfId="20863" xr:uid="{00000000-0005-0000-0000-000099360000}"/>
    <cellStyle name="40% - Accent3 3 2 2" xfId="3540" xr:uid="{00000000-0005-0000-0000-00009A360000}"/>
    <cellStyle name="40% - Accent3 3 2 2 10" xfId="9326" xr:uid="{00000000-0005-0000-0000-00009B360000}"/>
    <cellStyle name="40% - Accent3 3 2 2 10 2" xfId="23801" xr:uid="{00000000-0005-0000-0000-00009C360000}"/>
    <cellStyle name="40% - Accent3 3 2 2 11" xfId="20865" xr:uid="{00000000-0005-0000-0000-00009D360000}"/>
    <cellStyle name="40% - Accent3 3 2 2 2" xfId="3541" xr:uid="{00000000-0005-0000-0000-00009E360000}"/>
    <cellStyle name="40% - Accent3 3 2 2 2 2" xfId="3542" xr:uid="{00000000-0005-0000-0000-00009F360000}"/>
    <cellStyle name="40% - Accent3 3 2 2 2 2 2" xfId="11054" xr:uid="{00000000-0005-0000-0000-0000A0360000}"/>
    <cellStyle name="40% - Accent3 3 2 2 2 2 2 2" xfId="24996" xr:uid="{00000000-0005-0000-0000-0000A1360000}"/>
    <cellStyle name="40% - Accent3 3 2 2 2 2 3" xfId="20867" xr:uid="{00000000-0005-0000-0000-0000A2360000}"/>
    <cellStyle name="40% - Accent3 3 2 2 2 3" xfId="3543" xr:uid="{00000000-0005-0000-0000-0000A3360000}"/>
    <cellStyle name="40% - Accent3 3 2 2 2 3 2" xfId="12827" xr:uid="{00000000-0005-0000-0000-0000A4360000}"/>
    <cellStyle name="40% - Accent3 3 2 2 2 3 2 2" xfId="26539" xr:uid="{00000000-0005-0000-0000-0000A5360000}"/>
    <cellStyle name="40% - Accent3 3 2 2 2 3 3" xfId="20868" xr:uid="{00000000-0005-0000-0000-0000A6360000}"/>
    <cellStyle name="40% - Accent3 3 2 2 2 4" xfId="3544" xr:uid="{00000000-0005-0000-0000-0000A7360000}"/>
    <cellStyle name="40% - Accent3 3 2 2 2 4 2" xfId="15215" xr:uid="{00000000-0005-0000-0000-0000A8360000}"/>
    <cellStyle name="40% - Accent3 3 2 2 2 4 2 2" xfId="28764" xr:uid="{00000000-0005-0000-0000-0000A9360000}"/>
    <cellStyle name="40% - Accent3 3 2 2 2 4 3" xfId="20869" xr:uid="{00000000-0005-0000-0000-0000AA360000}"/>
    <cellStyle name="40% - Accent3 3 2 2 2 5" xfId="3545" xr:uid="{00000000-0005-0000-0000-0000AB360000}"/>
    <cellStyle name="40% - Accent3 3 2 2 2 5 2" xfId="16943" xr:uid="{00000000-0005-0000-0000-0000AC360000}"/>
    <cellStyle name="40% - Accent3 3 2 2 2 5 2 2" xfId="30350" xr:uid="{00000000-0005-0000-0000-0000AD360000}"/>
    <cellStyle name="40% - Accent3 3 2 2 2 5 3" xfId="20870" xr:uid="{00000000-0005-0000-0000-0000AE360000}"/>
    <cellStyle name="40% - Accent3 3 2 2 2 6" xfId="9327" xr:uid="{00000000-0005-0000-0000-0000AF360000}"/>
    <cellStyle name="40% - Accent3 3 2 2 2 6 2" xfId="23802" xr:uid="{00000000-0005-0000-0000-0000B0360000}"/>
    <cellStyle name="40% - Accent3 3 2 2 2 7" xfId="20866" xr:uid="{00000000-0005-0000-0000-0000B1360000}"/>
    <cellStyle name="40% - Accent3 3 2 2 3" xfId="3546" xr:uid="{00000000-0005-0000-0000-0000B2360000}"/>
    <cellStyle name="40% - Accent3 3 2 2 3 2" xfId="3547" xr:uid="{00000000-0005-0000-0000-0000B3360000}"/>
    <cellStyle name="40% - Accent3 3 2 2 3 2 2" xfId="15216" xr:uid="{00000000-0005-0000-0000-0000B4360000}"/>
    <cellStyle name="40% - Accent3 3 2 2 3 2 2 2" xfId="28765" xr:uid="{00000000-0005-0000-0000-0000B5360000}"/>
    <cellStyle name="40% - Accent3 3 2 2 3 2 3" xfId="20872" xr:uid="{00000000-0005-0000-0000-0000B6360000}"/>
    <cellStyle name="40% - Accent3 3 2 2 3 3" xfId="11053" xr:uid="{00000000-0005-0000-0000-0000B7360000}"/>
    <cellStyle name="40% - Accent3 3 2 2 3 3 2" xfId="24995" xr:uid="{00000000-0005-0000-0000-0000B8360000}"/>
    <cellStyle name="40% - Accent3 3 2 2 3 4" xfId="20871" xr:uid="{00000000-0005-0000-0000-0000B9360000}"/>
    <cellStyle name="40% - Accent3 3 2 2 4" xfId="3548" xr:uid="{00000000-0005-0000-0000-0000BA360000}"/>
    <cellStyle name="40% - Accent3 3 2 2 4 2" xfId="12331" xr:uid="{00000000-0005-0000-0000-0000BB360000}"/>
    <cellStyle name="40% - Accent3 3 2 2 4 2 2" xfId="26043" xr:uid="{00000000-0005-0000-0000-0000BC360000}"/>
    <cellStyle name="40% - Accent3 3 2 2 4 3" xfId="20873" xr:uid="{00000000-0005-0000-0000-0000BD360000}"/>
    <cellStyle name="40% - Accent3 3 2 2 5" xfId="3549" xr:uid="{00000000-0005-0000-0000-0000BE360000}"/>
    <cellStyle name="40% - Accent3 3 2 2 5 2" xfId="12826" xr:uid="{00000000-0005-0000-0000-0000BF360000}"/>
    <cellStyle name="40% - Accent3 3 2 2 5 2 2" xfId="26538" xr:uid="{00000000-0005-0000-0000-0000C0360000}"/>
    <cellStyle name="40% - Accent3 3 2 2 5 3" xfId="20874" xr:uid="{00000000-0005-0000-0000-0000C1360000}"/>
    <cellStyle name="40% - Accent3 3 2 2 6" xfId="3550" xr:uid="{00000000-0005-0000-0000-0000C2360000}"/>
    <cellStyle name="40% - Accent3 3 2 2 6 2" xfId="13895" xr:uid="{00000000-0005-0000-0000-0000C3360000}"/>
    <cellStyle name="40% - Accent3 3 2 2 6 2 2" xfId="27444" xr:uid="{00000000-0005-0000-0000-0000C4360000}"/>
    <cellStyle name="40% - Accent3 3 2 2 6 3" xfId="20875" xr:uid="{00000000-0005-0000-0000-0000C5360000}"/>
    <cellStyle name="40% - Accent3 3 2 2 7" xfId="3551" xr:uid="{00000000-0005-0000-0000-0000C6360000}"/>
    <cellStyle name="40% - Accent3 3 2 2 7 2" xfId="14476" xr:uid="{00000000-0005-0000-0000-0000C7360000}"/>
    <cellStyle name="40% - Accent3 3 2 2 7 2 2" xfId="28025" xr:uid="{00000000-0005-0000-0000-0000C8360000}"/>
    <cellStyle name="40% - Accent3 3 2 2 7 3" xfId="20876" xr:uid="{00000000-0005-0000-0000-0000C9360000}"/>
    <cellStyle name="40% - Accent3 3 2 2 8" xfId="3552" xr:uid="{00000000-0005-0000-0000-0000CA360000}"/>
    <cellStyle name="40% - Accent3 3 2 2 8 2" xfId="15214" xr:uid="{00000000-0005-0000-0000-0000CB360000}"/>
    <cellStyle name="40% - Accent3 3 2 2 8 2 2" xfId="28763" xr:uid="{00000000-0005-0000-0000-0000CC360000}"/>
    <cellStyle name="40% - Accent3 3 2 2 8 3" xfId="20877" xr:uid="{00000000-0005-0000-0000-0000CD360000}"/>
    <cellStyle name="40% - Accent3 3 2 2 9" xfId="3553" xr:uid="{00000000-0005-0000-0000-0000CE360000}"/>
    <cellStyle name="40% - Accent3 3 2 2 9 2" xfId="16362" xr:uid="{00000000-0005-0000-0000-0000CF360000}"/>
    <cellStyle name="40% - Accent3 3 2 2 9 2 2" xfId="29769" xr:uid="{00000000-0005-0000-0000-0000D0360000}"/>
    <cellStyle name="40% - Accent3 3 2 2 9 3" xfId="20878" xr:uid="{00000000-0005-0000-0000-0000D1360000}"/>
    <cellStyle name="40% - Accent3 3 2 3" xfId="3554" xr:uid="{00000000-0005-0000-0000-0000D2360000}"/>
    <cellStyle name="40% - Accent3 3 2 3 2" xfId="3555" xr:uid="{00000000-0005-0000-0000-0000D3360000}"/>
    <cellStyle name="40% - Accent3 3 2 3 2 2" xfId="11055" xr:uid="{00000000-0005-0000-0000-0000D4360000}"/>
    <cellStyle name="40% - Accent3 3 2 3 2 2 2" xfId="24997" xr:uid="{00000000-0005-0000-0000-0000D5360000}"/>
    <cellStyle name="40% - Accent3 3 2 3 2 3" xfId="20880" xr:uid="{00000000-0005-0000-0000-0000D6360000}"/>
    <cellStyle name="40% - Accent3 3 2 3 3" xfId="3556" xr:uid="{00000000-0005-0000-0000-0000D7360000}"/>
    <cellStyle name="40% - Accent3 3 2 3 3 2" xfId="12828" xr:uid="{00000000-0005-0000-0000-0000D8360000}"/>
    <cellStyle name="40% - Accent3 3 2 3 3 2 2" xfId="26540" xr:uid="{00000000-0005-0000-0000-0000D9360000}"/>
    <cellStyle name="40% - Accent3 3 2 3 3 3" xfId="20881" xr:uid="{00000000-0005-0000-0000-0000DA360000}"/>
    <cellStyle name="40% - Accent3 3 2 3 4" xfId="3557" xr:uid="{00000000-0005-0000-0000-0000DB360000}"/>
    <cellStyle name="40% - Accent3 3 2 3 4 2" xfId="15217" xr:uid="{00000000-0005-0000-0000-0000DC360000}"/>
    <cellStyle name="40% - Accent3 3 2 3 4 2 2" xfId="28766" xr:uid="{00000000-0005-0000-0000-0000DD360000}"/>
    <cellStyle name="40% - Accent3 3 2 3 4 3" xfId="20882" xr:uid="{00000000-0005-0000-0000-0000DE360000}"/>
    <cellStyle name="40% - Accent3 3 2 3 5" xfId="3558" xr:uid="{00000000-0005-0000-0000-0000DF360000}"/>
    <cellStyle name="40% - Accent3 3 2 3 5 2" xfId="16654" xr:uid="{00000000-0005-0000-0000-0000E0360000}"/>
    <cellStyle name="40% - Accent3 3 2 3 5 2 2" xfId="30061" xr:uid="{00000000-0005-0000-0000-0000E1360000}"/>
    <cellStyle name="40% - Accent3 3 2 3 5 3" xfId="20883" xr:uid="{00000000-0005-0000-0000-0000E2360000}"/>
    <cellStyle name="40% - Accent3 3 2 3 6" xfId="9328" xr:uid="{00000000-0005-0000-0000-0000E3360000}"/>
    <cellStyle name="40% - Accent3 3 2 3 6 2" xfId="23803" xr:uid="{00000000-0005-0000-0000-0000E4360000}"/>
    <cellStyle name="40% - Accent3 3 2 3 7" xfId="20879" xr:uid="{00000000-0005-0000-0000-0000E5360000}"/>
    <cellStyle name="40% - Accent3 3 2 4" xfId="3559" xr:uid="{00000000-0005-0000-0000-0000E6360000}"/>
    <cellStyle name="40% - Accent3 3 2 4 2" xfId="3560" xr:uid="{00000000-0005-0000-0000-0000E7360000}"/>
    <cellStyle name="40% - Accent3 3 2 4 2 2" xfId="15218" xr:uid="{00000000-0005-0000-0000-0000E8360000}"/>
    <cellStyle name="40% - Accent3 3 2 4 2 2 2" xfId="28767" xr:uid="{00000000-0005-0000-0000-0000E9360000}"/>
    <cellStyle name="40% - Accent3 3 2 4 2 3" xfId="20885" xr:uid="{00000000-0005-0000-0000-0000EA360000}"/>
    <cellStyle name="40% - Accent3 3 2 4 3" xfId="11052" xr:uid="{00000000-0005-0000-0000-0000EB360000}"/>
    <cellStyle name="40% - Accent3 3 2 4 3 2" xfId="24994" xr:uid="{00000000-0005-0000-0000-0000EC360000}"/>
    <cellStyle name="40% - Accent3 3 2 4 4" xfId="20884" xr:uid="{00000000-0005-0000-0000-0000ED360000}"/>
    <cellStyle name="40% - Accent3 3 2 5" xfId="3561" xr:uid="{00000000-0005-0000-0000-0000EE360000}"/>
    <cellStyle name="40% - Accent3 3 2 5 2" xfId="12031" xr:uid="{00000000-0005-0000-0000-0000EF360000}"/>
    <cellStyle name="40% - Accent3 3 2 5 2 2" xfId="25746" xr:uid="{00000000-0005-0000-0000-0000F0360000}"/>
    <cellStyle name="40% - Accent3 3 2 5 3" xfId="20886" xr:uid="{00000000-0005-0000-0000-0000F1360000}"/>
    <cellStyle name="40% - Accent3 3 2 6" xfId="3562" xr:uid="{00000000-0005-0000-0000-0000F2360000}"/>
    <cellStyle name="40% - Accent3 3 2 6 2" xfId="12825" xr:uid="{00000000-0005-0000-0000-0000F3360000}"/>
    <cellStyle name="40% - Accent3 3 2 6 2 2" xfId="26537" xr:uid="{00000000-0005-0000-0000-0000F4360000}"/>
    <cellStyle name="40% - Accent3 3 2 6 3" xfId="20887" xr:uid="{00000000-0005-0000-0000-0000F5360000}"/>
    <cellStyle name="40% - Accent3 3 2 7" xfId="3563" xr:uid="{00000000-0005-0000-0000-0000F6360000}"/>
    <cellStyle name="40% - Accent3 3 2 7 2" xfId="13606" xr:uid="{00000000-0005-0000-0000-0000F7360000}"/>
    <cellStyle name="40% - Accent3 3 2 7 2 2" xfId="27155" xr:uid="{00000000-0005-0000-0000-0000F8360000}"/>
    <cellStyle name="40% - Accent3 3 2 7 3" xfId="20888" xr:uid="{00000000-0005-0000-0000-0000F9360000}"/>
    <cellStyle name="40% - Accent3 3 2 8" xfId="3564" xr:uid="{00000000-0005-0000-0000-0000FA360000}"/>
    <cellStyle name="40% - Accent3 3 2 8 2" xfId="14187" xr:uid="{00000000-0005-0000-0000-0000FB360000}"/>
    <cellStyle name="40% - Accent3 3 2 8 2 2" xfId="27736" xr:uid="{00000000-0005-0000-0000-0000FC360000}"/>
    <cellStyle name="40% - Accent3 3 2 8 3" xfId="20889" xr:uid="{00000000-0005-0000-0000-0000FD360000}"/>
    <cellStyle name="40% - Accent3 3 2 9" xfId="3565" xr:uid="{00000000-0005-0000-0000-0000FE360000}"/>
    <cellStyle name="40% - Accent3 3 2 9 2" xfId="15213" xr:uid="{00000000-0005-0000-0000-0000FF360000}"/>
    <cellStyle name="40% - Accent3 3 2 9 2 2" xfId="28762" xr:uid="{00000000-0005-0000-0000-000000370000}"/>
    <cellStyle name="40% - Accent3 3 2 9 3" xfId="20890" xr:uid="{00000000-0005-0000-0000-000001370000}"/>
    <cellStyle name="40% - Accent3 3 3" xfId="3566" xr:uid="{00000000-0005-0000-0000-000002370000}"/>
    <cellStyle name="40% - Accent3 3 3 10" xfId="9329" xr:uid="{00000000-0005-0000-0000-000003370000}"/>
    <cellStyle name="40% - Accent3 3 3 10 2" xfId="23804" xr:uid="{00000000-0005-0000-0000-000004370000}"/>
    <cellStyle name="40% - Accent3 3 3 11" xfId="20891" xr:uid="{00000000-0005-0000-0000-000005370000}"/>
    <cellStyle name="40% - Accent3 3 3 2" xfId="3567" xr:uid="{00000000-0005-0000-0000-000006370000}"/>
    <cellStyle name="40% - Accent3 3 3 2 2" xfId="3568" xr:uid="{00000000-0005-0000-0000-000007370000}"/>
    <cellStyle name="40% - Accent3 3 3 2 2 2" xfId="11057" xr:uid="{00000000-0005-0000-0000-000008370000}"/>
    <cellStyle name="40% - Accent3 3 3 2 2 2 2" xfId="24999" xr:uid="{00000000-0005-0000-0000-000009370000}"/>
    <cellStyle name="40% - Accent3 3 3 2 2 3" xfId="20893" xr:uid="{00000000-0005-0000-0000-00000A370000}"/>
    <cellStyle name="40% - Accent3 3 3 2 3" xfId="3569" xr:uid="{00000000-0005-0000-0000-00000B370000}"/>
    <cellStyle name="40% - Accent3 3 3 2 3 2" xfId="12830" xr:uid="{00000000-0005-0000-0000-00000C370000}"/>
    <cellStyle name="40% - Accent3 3 3 2 3 2 2" xfId="26542" xr:uid="{00000000-0005-0000-0000-00000D370000}"/>
    <cellStyle name="40% - Accent3 3 3 2 3 3" xfId="20894" xr:uid="{00000000-0005-0000-0000-00000E370000}"/>
    <cellStyle name="40% - Accent3 3 3 2 4" xfId="3570" xr:uid="{00000000-0005-0000-0000-00000F370000}"/>
    <cellStyle name="40% - Accent3 3 3 2 4 2" xfId="15220" xr:uid="{00000000-0005-0000-0000-000010370000}"/>
    <cellStyle name="40% - Accent3 3 3 2 4 2 2" xfId="28769" xr:uid="{00000000-0005-0000-0000-000011370000}"/>
    <cellStyle name="40% - Accent3 3 3 2 4 3" xfId="20895" xr:uid="{00000000-0005-0000-0000-000012370000}"/>
    <cellStyle name="40% - Accent3 3 3 2 5" xfId="3571" xr:uid="{00000000-0005-0000-0000-000013370000}"/>
    <cellStyle name="40% - Accent3 3 3 2 5 2" xfId="16800" xr:uid="{00000000-0005-0000-0000-000014370000}"/>
    <cellStyle name="40% - Accent3 3 3 2 5 2 2" xfId="30207" xr:uid="{00000000-0005-0000-0000-000015370000}"/>
    <cellStyle name="40% - Accent3 3 3 2 5 3" xfId="20896" xr:uid="{00000000-0005-0000-0000-000016370000}"/>
    <cellStyle name="40% - Accent3 3 3 2 6" xfId="9330" xr:uid="{00000000-0005-0000-0000-000017370000}"/>
    <cellStyle name="40% - Accent3 3 3 2 6 2" xfId="23805" xr:uid="{00000000-0005-0000-0000-000018370000}"/>
    <cellStyle name="40% - Accent3 3 3 2 7" xfId="20892" xr:uid="{00000000-0005-0000-0000-000019370000}"/>
    <cellStyle name="40% - Accent3 3 3 3" xfId="3572" xr:uid="{00000000-0005-0000-0000-00001A370000}"/>
    <cellStyle name="40% - Accent3 3 3 3 2" xfId="3573" xr:uid="{00000000-0005-0000-0000-00001B370000}"/>
    <cellStyle name="40% - Accent3 3 3 3 2 2" xfId="15221" xr:uid="{00000000-0005-0000-0000-00001C370000}"/>
    <cellStyle name="40% - Accent3 3 3 3 2 2 2" xfId="28770" xr:uid="{00000000-0005-0000-0000-00001D370000}"/>
    <cellStyle name="40% - Accent3 3 3 3 2 3" xfId="20898" xr:uid="{00000000-0005-0000-0000-00001E370000}"/>
    <cellStyle name="40% - Accent3 3 3 3 3" xfId="11056" xr:uid="{00000000-0005-0000-0000-00001F370000}"/>
    <cellStyle name="40% - Accent3 3 3 3 3 2" xfId="24998" xr:uid="{00000000-0005-0000-0000-000020370000}"/>
    <cellStyle name="40% - Accent3 3 3 3 4" xfId="20897" xr:uid="{00000000-0005-0000-0000-000021370000}"/>
    <cellStyle name="40% - Accent3 3 3 4" xfId="3574" xr:uid="{00000000-0005-0000-0000-000022370000}"/>
    <cellStyle name="40% - Accent3 3 3 4 2" xfId="12188" xr:uid="{00000000-0005-0000-0000-000023370000}"/>
    <cellStyle name="40% - Accent3 3 3 4 2 2" xfId="25900" xr:uid="{00000000-0005-0000-0000-000024370000}"/>
    <cellStyle name="40% - Accent3 3 3 4 3" xfId="20899" xr:uid="{00000000-0005-0000-0000-000025370000}"/>
    <cellStyle name="40% - Accent3 3 3 5" xfId="3575" xr:uid="{00000000-0005-0000-0000-000026370000}"/>
    <cellStyle name="40% - Accent3 3 3 5 2" xfId="12829" xr:uid="{00000000-0005-0000-0000-000027370000}"/>
    <cellStyle name="40% - Accent3 3 3 5 2 2" xfId="26541" xr:uid="{00000000-0005-0000-0000-000028370000}"/>
    <cellStyle name="40% - Accent3 3 3 5 3" xfId="20900" xr:uid="{00000000-0005-0000-0000-000029370000}"/>
    <cellStyle name="40% - Accent3 3 3 6" xfId="3576" xr:uid="{00000000-0005-0000-0000-00002A370000}"/>
    <cellStyle name="40% - Accent3 3 3 6 2" xfId="13752" xr:uid="{00000000-0005-0000-0000-00002B370000}"/>
    <cellStyle name="40% - Accent3 3 3 6 2 2" xfId="27301" xr:uid="{00000000-0005-0000-0000-00002C370000}"/>
    <cellStyle name="40% - Accent3 3 3 6 3" xfId="20901" xr:uid="{00000000-0005-0000-0000-00002D370000}"/>
    <cellStyle name="40% - Accent3 3 3 7" xfId="3577" xr:uid="{00000000-0005-0000-0000-00002E370000}"/>
    <cellStyle name="40% - Accent3 3 3 7 2" xfId="14333" xr:uid="{00000000-0005-0000-0000-00002F370000}"/>
    <cellStyle name="40% - Accent3 3 3 7 2 2" xfId="27882" xr:uid="{00000000-0005-0000-0000-000030370000}"/>
    <cellStyle name="40% - Accent3 3 3 7 3" xfId="20902" xr:uid="{00000000-0005-0000-0000-000031370000}"/>
    <cellStyle name="40% - Accent3 3 3 8" xfId="3578" xr:uid="{00000000-0005-0000-0000-000032370000}"/>
    <cellStyle name="40% - Accent3 3 3 8 2" xfId="15219" xr:uid="{00000000-0005-0000-0000-000033370000}"/>
    <cellStyle name="40% - Accent3 3 3 8 2 2" xfId="28768" xr:uid="{00000000-0005-0000-0000-000034370000}"/>
    <cellStyle name="40% - Accent3 3 3 8 3" xfId="20903" xr:uid="{00000000-0005-0000-0000-000035370000}"/>
    <cellStyle name="40% - Accent3 3 3 9" xfId="3579" xr:uid="{00000000-0005-0000-0000-000036370000}"/>
    <cellStyle name="40% - Accent3 3 3 9 2" xfId="16219" xr:uid="{00000000-0005-0000-0000-000037370000}"/>
    <cellStyle name="40% - Accent3 3 3 9 2 2" xfId="29626" xr:uid="{00000000-0005-0000-0000-000038370000}"/>
    <cellStyle name="40% - Accent3 3 3 9 3" xfId="20904" xr:uid="{00000000-0005-0000-0000-000039370000}"/>
    <cellStyle name="40% - Accent3 3 4" xfId="3580" xr:uid="{00000000-0005-0000-0000-00003A370000}"/>
    <cellStyle name="40% - Accent3 3 4 2" xfId="3581" xr:uid="{00000000-0005-0000-0000-00003B370000}"/>
    <cellStyle name="40% - Accent3 3 4 2 2" xfId="11058" xr:uid="{00000000-0005-0000-0000-00003C370000}"/>
    <cellStyle name="40% - Accent3 3 4 2 2 2" xfId="25000" xr:uid="{00000000-0005-0000-0000-00003D370000}"/>
    <cellStyle name="40% - Accent3 3 4 2 3" xfId="20906" xr:uid="{00000000-0005-0000-0000-00003E370000}"/>
    <cellStyle name="40% - Accent3 3 4 3" xfId="3582" xr:uid="{00000000-0005-0000-0000-00003F370000}"/>
    <cellStyle name="40% - Accent3 3 4 3 2" xfId="12831" xr:uid="{00000000-0005-0000-0000-000040370000}"/>
    <cellStyle name="40% - Accent3 3 4 3 2 2" xfId="26543" xr:uid="{00000000-0005-0000-0000-000041370000}"/>
    <cellStyle name="40% - Accent3 3 4 3 3" xfId="20907" xr:uid="{00000000-0005-0000-0000-000042370000}"/>
    <cellStyle name="40% - Accent3 3 4 4" xfId="3583" xr:uid="{00000000-0005-0000-0000-000043370000}"/>
    <cellStyle name="40% - Accent3 3 4 4 2" xfId="15222" xr:uid="{00000000-0005-0000-0000-000044370000}"/>
    <cellStyle name="40% - Accent3 3 4 4 2 2" xfId="28771" xr:uid="{00000000-0005-0000-0000-000045370000}"/>
    <cellStyle name="40% - Accent3 3 4 4 3" xfId="20908" xr:uid="{00000000-0005-0000-0000-000046370000}"/>
    <cellStyle name="40% - Accent3 3 4 5" xfId="3584" xr:uid="{00000000-0005-0000-0000-000047370000}"/>
    <cellStyle name="40% - Accent3 3 4 5 2" xfId="17147" xr:uid="{00000000-0005-0000-0000-000048370000}"/>
    <cellStyle name="40% - Accent3 3 4 5 2 2" xfId="30506" xr:uid="{00000000-0005-0000-0000-000049370000}"/>
    <cellStyle name="40% - Accent3 3 4 5 3" xfId="20909" xr:uid="{00000000-0005-0000-0000-00004A370000}"/>
    <cellStyle name="40% - Accent3 3 4 6" xfId="9331" xr:uid="{00000000-0005-0000-0000-00004B370000}"/>
    <cellStyle name="40% - Accent3 3 4 6 2" xfId="23806" xr:uid="{00000000-0005-0000-0000-00004C370000}"/>
    <cellStyle name="40% - Accent3 3 4 7" xfId="20905" xr:uid="{00000000-0005-0000-0000-00004D370000}"/>
    <cellStyle name="40% - Accent3 3 5" xfId="3585" xr:uid="{00000000-0005-0000-0000-00004E370000}"/>
    <cellStyle name="40% - Accent3 3 5 2" xfId="3586" xr:uid="{00000000-0005-0000-0000-00004F370000}"/>
    <cellStyle name="40% - Accent3 3 5 2 2" xfId="11059" xr:uid="{00000000-0005-0000-0000-000050370000}"/>
    <cellStyle name="40% - Accent3 3 5 2 2 2" xfId="25001" xr:uid="{00000000-0005-0000-0000-000051370000}"/>
    <cellStyle name="40% - Accent3 3 5 2 3" xfId="20911" xr:uid="{00000000-0005-0000-0000-000052370000}"/>
    <cellStyle name="40% - Accent3 3 5 3" xfId="3587" xr:uid="{00000000-0005-0000-0000-000053370000}"/>
    <cellStyle name="40% - Accent3 3 5 3 2" xfId="12832" xr:uid="{00000000-0005-0000-0000-000054370000}"/>
    <cellStyle name="40% - Accent3 3 5 3 2 2" xfId="26544" xr:uid="{00000000-0005-0000-0000-000055370000}"/>
    <cellStyle name="40% - Accent3 3 5 3 3" xfId="20912" xr:uid="{00000000-0005-0000-0000-000056370000}"/>
    <cellStyle name="40% - Accent3 3 5 4" xfId="3588" xr:uid="{00000000-0005-0000-0000-000057370000}"/>
    <cellStyle name="40% - Accent3 3 5 4 2" xfId="15223" xr:uid="{00000000-0005-0000-0000-000058370000}"/>
    <cellStyle name="40% - Accent3 3 5 4 2 2" xfId="28772" xr:uid="{00000000-0005-0000-0000-000059370000}"/>
    <cellStyle name="40% - Accent3 3 5 4 3" xfId="20913" xr:uid="{00000000-0005-0000-0000-00005A370000}"/>
    <cellStyle name="40% - Accent3 3 5 5" xfId="3589" xr:uid="{00000000-0005-0000-0000-00005B370000}"/>
    <cellStyle name="40% - Accent3 3 5 5 2" xfId="17236" xr:uid="{00000000-0005-0000-0000-00005C370000}"/>
    <cellStyle name="40% - Accent3 3 5 5 2 2" xfId="30595" xr:uid="{00000000-0005-0000-0000-00005D370000}"/>
    <cellStyle name="40% - Accent3 3 5 5 3" xfId="20914" xr:uid="{00000000-0005-0000-0000-00005E370000}"/>
    <cellStyle name="40% - Accent3 3 5 6" xfId="9332" xr:uid="{00000000-0005-0000-0000-00005F370000}"/>
    <cellStyle name="40% - Accent3 3 5 6 2" xfId="23807" xr:uid="{00000000-0005-0000-0000-000060370000}"/>
    <cellStyle name="40% - Accent3 3 5 7" xfId="20910" xr:uid="{00000000-0005-0000-0000-000061370000}"/>
    <cellStyle name="40% - Accent3 3 6" xfId="3590" xr:uid="{00000000-0005-0000-0000-000062370000}"/>
    <cellStyle name="40% - Accent3 3 6 2" xfId="3591" xr:uid="{00000000-0005-0000-0000-000063370000}"/>
    <cellStyle name="40% - Accent3 3 6 2 2" xfId="15224" xr:uid="{00000000-0005-0000-0000-000064370000}"/>
    <cellStyle name="40% - Accent3 3 6 2 2 2" xfId="28773" xr:uid="{00000000-0005-0000-0000-000065370000}"/>
    <cellStyle name="40% - Accent3 3 6 2 3" xfId="20916" xr:uid="{00000000-0005-0000-0000-000066370000}"/>
    <cellStyle name="40% - Accent3 3 6 3" xfId="3592" xr:uid="{00000000-0005-0000-0000-000067370000}"/>
    <cellStyle name="40% - Accent3 3 6 3 2" xfId="16511" xr:uid="{00000000-0005-0000-0000-000068370000}"/>
    <cellStyle name="40% - Accent3 3 6 3 2 2" xfId="29918" xr:uid="{00000000-0005-0000-0000-000069370000}"/>
    <cellStyle name="40% - Accent3 3 6 3 3" xfId="20917" xr:uid="{00000000-0005-0000-0000-00006A370000}"/>
    <cellStyle name="40% - Accent3 3 6 4" xfId="11051" xr:uid="{00000000-0005-0000-0000-00006B370000}"/>
    <cellStyle name="40% - Accent3 3 6 4 2" xfId="24993" xr:uid="{00000000-0005-0000-0000-00006C370000}"/>
    <cellStyle name="40% - Accent3 3 6 5" xfId="20915" xr:uid="{00000000-0005-0000-0000-00006D370000}"/>
    <cellStyle name="40% - Accent3 3 7" xfId="3593" xr:uid="{00000000-0005-0000-0000-00006E370000}"/>
    <cellStyle name="40% - Accent3 3 7 2" xfId="11883" xr:uid="{00000000-0005-0000-0000-00006F370000}"/>
    <cellStyle name="40% - Accent3 3 7 2 2" xfId="25598" xr:uid="{00000000-0005-0000-0000-000070370000}"/>
    <cellStyle name="40% - Accent3 3 7 3" xfId="20918" xr:uid="{00000000-0005-0000-0000-000071370000}"/>
    <cellStyle name="40% - Accent3 3 8" xfId="3594" xr:uid="{00000000-0005-0000-0000-000072370000}"/>
    <cellStyle name="40% - Accent3 3 8 2" xfId="12824" xr:uid="{00000000-0005-0000-0000-000073370000}"/>
    <cellStyle name="40% - Accent3 3 8 2 2" xfId="26536" xr:uid="{00000000-0005-0000-0000-000074370000}"/>
    <cellStyle name="40% - Accent3 3 8 3" xfId="20919" xr:uid="{00000000-0005-0000-0000-000075370000}"/>
    <cellStyle name="40% - Accent3 3 9" xfId="3595" xr:uid="{00000000-0005-0000-0000-000076370000}"/>
    <cellStyle name="40% - Accent3 3 9 2" xfId="13463" xr:uid="{00000000-0005-0000-0000-000077370000}"/>
    <cellStyle name="40% - Accent3 3 9 2 2" xfId="27012" xr:uid="{00000000-0005-0000-0000-000078370000}"/>
    <cellStyle name="40% - Accent3 3 9 3" xfId="20920" xr:uid="{00000000-0005-0000-0000-000079370000}"/>
    <cellStyle name="40% - Accent3 30" xfId="23254" xr:uid="{00000000-0005-0000-0000-00007A370000}"/>
    <cellStyle name="40% - Accent3 4" xfId="3596" xr:uid="{00000000-0005-0000-0000-00007B370000}"/>
    <cellStyle name="40% - Accent3 4 10" xfId="3597" xr:uid="{00000000-0005-0000-0000-00007C370000}"/>
    <cellStyle name="40% - Accent3 4 10 2" xfId="15225" xr:uid="{00000000-0005-0000-0000-00007D370000}"/>
    <cellStyle name="40% - Accent3 4 10 2 2" xfId="28774" xr:uid="{00000000-0005-0000-0000-00007E370000}"/>
    <cellStyle name="40% - Accent3 4 10 3" xfId="20922" xr:uid="{00000000-0005-0000-0000-00007F370000}"/>
    <cellStyle name="40% - Accent3 4 11" xfId="3598" xr:uid="{00000000-0005-0000-0000-000080370000}"/>
    <cellStyle name="40% - Accent3 4 11 2" xfId="15887" xr:uid="{00000000-0005-0000-0000-000081370000}"/>
    <cellStyle name="40% - Accent3 4 11 2 2" xfId="29294" xr:uid="{00000000-0005-0000-0000-000082370000}"/>
    <cellStyle name="40% - Accent3 4 11 3" xfId="20923" xr:uid="{00000000-0005-0000-0000-000083370000}"/>
    <cellStyle name="40% - Accent3 4 12" xfId="9333" xr:uid="{00000000-0005-0000-0000-000084370000}"/>
    <cellStyle name="40% - Accent3 4 12 2" xfId="23808" xr:uid="{00000000-0005-0000-0000-000085370000}"/>
    <cellStyle name="40% - Accent3 4 13" xfId="20921" xr:uid="{00000000-0005-0000-0000-000086370000}"/>
    <cellStyle name="40% - Accent3 4 2" xfId="3599" xr:uid="{00000000-0005-0000-0000-000087370000}"/>
    <cellStyle name="40% - Accent3 4 2 10" xfId="3600" xr:uid="{00000000-0005-0000-0000-000088370000}"/>
    <cellStyle name="40% - Accent3 4 2 10 2" xfId="16030" xr:uid="{00000000-0005-0000-0000-000089370000}"/>
    <cellStyle name="40% - Accent3 4 2 10 2 2" xfId="29437" xr:uid="{00000000-0005-0000-0000-00008A370000}"/>
    <cellStyle name="40% - Accent3 4 2 10 3" xfId="20925" xr:uid="{00000000-0005-0000-0000-00008B370000}"/>
    <cellStyle name="40% - Accent3 4 2 11" xfId="9334" xr:uid="{00000000-0005-0000-0000-00008C370000}"/>
    <cellStyle name="40% - Accent3 4 2 11 2" xfId="23809" xr:uid="{00000000-0005-0000-0000-00008D370000}"/>
    <cellStyle name="40% - Accent3 4 2 12" xfId="20924" xr:uid="{00000000-0005-0000-0000-00008E370000}"/>
    <cellStyle name="40% - Accent3 4 2 2" xfId="3601" xr:uid="{00000000-0005-0000-0000-00008F370000}"/>
    <cellStyle name="40% - Accent3 4 2 2 10" xfId="9335" xr:uid="{00000000-0005-0000-0000-000090370000}"/>
    <cellStyle name="40% - Accent3 4 2 2 10 2" xfId="23810" xr:uid="{00000000-0005-0000-0000-000091370000}"/>
    <cellStyle name="40% - Accent3 4 2 2 11" xfId="20926" xr:uid="{00000000-0005-0000-0000-000092370000}"/>
    <cellStyle name="40% - Accent3 4 2 2 2" xfId="3602" xr:uid="{00000000-0005-0000-0000-000093370000}"/>
    <cellStyle name="40% - Accent3 4 2 2 2 2" xfId="3603" xr:uid="{00000000-0005-0000-0000-000094370000}"/>
    <cellStyle name="40% - Accent3 4 2 2 2 2 2" xfId="11063" xr:uid="{00000000-0005-0000-0000-000095370000}"/>
    <cellStyle name="40% - Accent3 4 2 2 2 2 2 2" xfId="25005" xr:uid="{00000000-0005-0000-0000-000096370000}"/>
    <cellStyle name="40% - Accent3 4 2 2 2 2 3" xfId="20928" xr:uid="{00000000-0005-0000-0000-000097370000}"/>
    <cellStyle name="40% - Accent3 4 2 2 2 3" xfId="3604" xr:uid="{00000000-0005-0000-0000-000098370000}"/>
    <cellStyle name="40% - Accent3 4 2 2 2 3 2" xfId="12836" xr:uid="{00000000-0005-0000-0000-000099370000}"/>
    <cellStyle name="40% - Accent3 4 2 2 2 3 2 2" xfId="26548" xr:uid="{00000000-0005-0000-0000-00009A370000}"/>
    <cellStyle name="40% - Accent3 4 2 2 2 3 3" xfId="20929" xr:uid="{00000000-0005-0000-0000-00009B370000}"/>
    <cellStyle name="40% - Accent3 4 2 2 2 4" xfId="3605" xr:uid="{00000000-0005-0000-0000-00009C370000}"/>
    <cellStyle name="40% - Accent3 4 2 2 2 4 2" xfId="15228" xr:uid="{00000000-0005-0000-0000-00009D370000}"/>
    <cellStyle name="40% - Accent3 4 2 2 2 4 2 2" xfId="28777" xr:uid="{00000000-0005-0000-0000-00009E370000}"/>
    <cellStyle name="40% - Accent3 4 2 2 2 4 3" xfId="20930" xr:uid="{00000000-0005-0000-0000-00009F370000}"/>
    <cellStyle name="40% - Accent3 4 2 2 2 5" xfId="3606" xr:uid="{00000000-0005-0000-0000-0000A0370000}"/>
    <cellStyle name="40% - Accent3 4 2 2 2 5 2" xfId="16900" xr:uid="{00000000-0005-0000-0000-0000A1370000}"/>
    <cellStyle name="40% - Accent3 4 2 2 2 5 2 2" xfId="30307" xr:uid="{00000000-0005-0000-0000-0000A2370000}"/>
    <cellStyle name="40% - Accent3 4 2 2 2 5 3" xfId="20931" xr:uid="{00000000-0005-0000-0000-0000A3370000}"/>
    <cellStyle name="40% - Accent3 4 2 2 2 6" xfId="9336" xr:uid="{00000000-0005-0000-0000-0000A4370000}"/>
    <cellStyle name="40% - Accent3 4 2 2 2 6 2" xfId="23811" xr:uid="{00000000-0005-0000-0000-0000A5370000}"/>
    <cellStyle name="40% - Accent3 4 2 2 2 7" xfId="20927" xr:uid="{00000000-0005-0000-0000-0000A6370000}"/>
    <cellStyle name="40% - Accent3 4 2 2 3" xfId="3607" xr:uid="{00000000-0005-0000-0000-0000A7370000}"/>
    <cellStyle name="40% - Accent3 4 2 2 3 2" xfId="3608" xr:uid="{00000000-0005-0000-0000-0000A8370000}"/>
    <cellStyle name="40% - Accent3 4 2 2 3 2 2" xfId="15229" xr:uid="{00000000-0005-0000-0000-0000A9370000}"/>
    <cellStyle name="40% - Accent3 4 2 2 3 2 2 2" xfId="28778" xr:uid="{00000000-0005-0000-0000-0000AA370000}"/>
    <cellStyle name="40% - Accent3 4 2 2 3 2 3" xfId="20933" xr:uid="{00000000-0005-0000-0000-0000AB370000}"/>
    <cellStyle name="40% - Accent3 4 2 2 3 3" xfId="11062" xr:uid="{00000000-0005-0000-0000-0000AC370000}"/>
    <cellStyle name="40% - Accent3 4 2 2 3 3 2" xfId="25004" xr:uid="{00000000-0005-0000-0000-0000AD370000}"/>
    <cellStyle name="40% - Accent3 4 2 2 3 4" xfId="20932" xr:uid="{00000000-0005-0000-0000-0000AE370000}"/>
    <cellStyle name="40% - Accent3 4 2 2 4" xfId="3609" xr:uid="{00000000-0005-0000-0000-0000AF370000}"/>
    <cellStyle name="40% - Accent3 4 2 2 4 2" xfId="12288" xr:uid="{00000000-0005-0000-0000-0000B0370000}"/>
    <cellStyle name="40% - Accent3 4 2 2 4 2 2" xfId="26000" xr:uid="{00000000-0005-0000-0000-0000B1370000}"/>
    <cellStyle name="40% - Accent3 4 2 2 4 3" xfId="20934" xr:uid="{00000000-0005-0000-0000-0000B2370000}"/>
    <cellStyle name="40% - Accent3 4 2 2 5" xfId="3610" xr:uid="{00000000-0005-0000-0000-0000B3370000}"/>
    <cellStyle name="40% - Accent3 4 2 2 5 2" xfId="12835" xr:uid="{00000000-0005-0000-0000-0000B4370000}"/>
    <cellStyle name="40% - Accent3 4 2 2 5 2 2" xfId="26547" xr:uid="{00000000-0005-0000-0000-0000B5370000}"/>
    <cellStyle name="40% - Accent3 4 2 2 5 3" xfId="20935" xr:uid="{00000000-0005-0000-0000-0000B6370000}"/>
    <cellStyle name="40% - Accent3 4 2 2 6" xfId="3611" xr:uid="{00000000-0005-0000-0000-0000B7370000}"/>
    <cellStyle name="40% - Accent3 4 2 2 6 2" xfId="13852" xr:uid="{00000000-0005-0000-0000-0000B8370000}"/>
    <cellStyle name="40% - Accent3 4 2 2 6 2 2" xfId="27401" xr:uid="{00000000-0005-0000-0000-0000B9370000}"/>
    <cellStyle name="40% - Accent3 4 2 2 6 3" xfId="20936" xr:uid="{00000000-0005-0000-0000-0000BA370000}"/>
    <cellStyle name="40% - Accent3 4 2 2 7" xfId="3612" xr:uid="{00000000-0005-0000-0000-0000BB370000}"/>
    <cellStyle name="40% - Accent3 4 2 2 7 2" xfId="14433" xr:uid="{00000000-0005-0000-0000-0000BC370000}"/>
    <cellStyle name="40% - Accent3 4 2 2 7 2 2" xfId="27982" xr:uid="{00000000-0005-0000-0000-0000BD370000}"/>
    <cellStyle name="40% - Accent3 4 2 2 7 3" xfId="20937" xr:uid="{00000000-0005-0000-0000-0000BE370000}"/>
    <cellStyle name="40% - Accent3 4 2 2 8" xfId="3613" xr:uid="{00000000-0005-0000-0000-0000BF370000}"/>
    <cellStyle name="40% - Accent3 4 2 2 8 2" xfId="15227" xr:uid="{00000000-0005-0000-0000-0000C0370000}"/>
    <cellStyle name="40% - Accent3 4 2 2 8 2 2" xfId="28776" xr:uid="{00000000-0005-0000-0000-0000C1370000}"/>
    <cellStyle name="40% - Accent3 4 2 2 8 3" xfId="20938" xr:uid="{00000000-0005-0000-0000-0000C2370000}"/>
    <cellStyle name="40% - Accent3 4 2 2 9" xfId="3614" xr:uid="{00000000-0005-0000-0000-0000C3370000}"/>
    <cellStyle name="40% - Accent3 4 2 2 9 2" xfId="16319" xr:uid="{00000000-0005-0000-0000-0000C4370000}"/>
    <cellStyle name="40% - Accent3 4 2 2 9 2 2" xfId="29726" xr:uid="{00000000-0005-0000-0000-0000C5370000}"/>
    <cellStyle name="40% - Accent3 4 2 2 9 3" xfId="20939" xr:uid="{00000000-0005-0000-0000-0000C6370000}"/>
    <cellStyle name="40% - Accent3 4 2 3" xfId="3615" xr:uid="{00000000-0005-0000-0000-0000C7370000}"/>
    <cellStyle name="40% - Accent3 4 2 3 2" xfId="3616" xr:uid="{00000000-0005-0000-0000-0000C8370000}"/>
    <cellStyle name="40% - Accent3 4 2 3 2 2" xfId="11064" xr:uid="{00000000-0005-0000-0000-0000C9370000}"/>
    <cellStyle name="40% - Accent3 4 2 3 2 2 2" xfId="25006" xr:uid="{00000000-0005-0000-0000-0000CA370000}"/>
    <cellStyle name="40% - Accent3 4 2 3 2 3" xfId="20941" xr:uid="{00000000-0005-0000-0000-0000CB370000}"/>
    <cellStyle name="40% - Accent3 4 2 3 3" xfId="3617" xr:uid="{00000000-0005-0000-0000-0000CC370000}"/>
    <cellStyle name="40% - Accent3 4 2 3 3 2" xfId="12837" xr:uid="{00000000-0005-0000-0000-0000CD370000}"/>
    <cellStyle name="40% - Accent3 4 2 3 3 2 2" xfId="26549" xr:uid="{00000000-0005-0000-0000-0000CE370000}"/>
    <cellStyle name="40% - Accent3 4 2 3 3 3" xfId="20942" xr:uid="{00000000-0005-0000-0000-0000CF370000}"/>
    <cellStyle name="40% - Accent3 4 2 3 4" xfId="3618" xr:uid="{00000000-0005-0000-0000-0000D0370000}"/>
    <cellStyle name="40% - Accent3 4 2 3 4 2" xfId="15230" xr:uid="{00000000-0005-0000-0000-0000D1370000}"/>
    <cellStyle name="40% - Accent3 4 2 3 4 2 2" xfId="28779" xr:uid="{00000000-0005-0000-0000-0000D2370000}"/>
    <cellStyle name="40% - Accent3 4 2 3 4 3" xfId="20943" xr:uid="{00000000-0005-0000-0000-0000D3370000}"/>
    <cellStyle name="40% - Accent3 4 2 3 5" xfId="3619" xr:uid="{00000000-0005-0000-0000-0000D4370000}"/>
    <cellStyle name="40% - Accent3 4 2 3 5 2" xfId="16611" xr:uid="{00000000-0005-0000-0000-0000D5370000}"/>
    <cellStyle name="40% - Accent3 4 2 3 5 2 2" xfId="30018" xr:uid="{00000000-0005-0000-0000-0000D6370000}"/>
    <cellStyle name="40% - Accent3 4 2 3 5 3" xfId="20944" xr:uid="{00000000-0005-0000-0000-0000D7370000}"/>
    <cellStyle name="40% - Accent3 4 2 3 6" xfId="9337" xr:uid="{00000000-0005-0000-0000-0000D8370000}"/>
    <cellStyle name="40% - Accent3 4 2 3 6 2" xfId="23812" xr:uid="{00000000-0005-0000-0000-0000D9370000}"/>
    <cellStyle name="40% - Accent3 4 2 3 7" xfId="20940" xr:uid="{00000000-0005-0000-0000-0000DA370000}"/>
    <cellStyle name="40% - Accent3 4 2 4" xfId="3620" xr:uid="{00000000-0005-0000-0000-0000DB370000}"/>
    <cellStyle name="40% - Accent3 4 2 4 2" xfId="3621" xr:uid="{00000000-0005-0000-0000-0000DC370000}"/>
    <cellStyle name="40% - Accent3 4 2 4 2 2" xfId="15231" xr:uid="{00000000-0005-0000-0000-0000DD370000}"/>
    <cellStyle name="40% - Accent3 4 2 4 2 2 2" xfId="28780" xr:uid="{00000000-0005-0000-0000-0000DE370000}"/>
    <cellStyle name="40% - Accent3 4 2 4 2 3" xfId="20946" xr:uid="{00000000-0005-0000-0000-0000DF370000}"/>
    <cellStyle name="40% - Accent3 4 2 4 3" xfId="11061" xr:uid="{00000000-0005-0000-0000-0000E0370000}"/>
    <cellStyle name="40% - Accent3 4 2 4 3 2" xfId="25003" xr:uid="{00000000-0005-0000-0000-0000E1370000}"/>
    <cellStyle name="40% - Accent3 4 2 4 4" xfId="20945" xr:uid="{00000000-0005-0000-0000-0000E2370000}"/>
    <cellStyle name="40% - Accent3 4 2 5" xfId="3622" xr:uid="{00000000-0005-0000-0000-0000E3370000}"/>
    <cellStyle name="40% - Accent3 4 2 5 2" xfId="11988" xr:uid="{00000000-0005-0000-0000-0000E4370000}"/>
    <cellStyle name="40% - Accent3 4 2 5 2 2" xfId="25703" xr:uid="{00000000-0005-0000-0000-0000E5370000}"/>
    <cellStyle name="40% - Accent3 4 2 5 3" xfId="20947" xr:uid="{00000000-0005-0000-0000-0000E6370000}"/>
    <cellStyle name="40% - Accent3 4 2 6" xfId="3623" xr:uid="{00000000-0005-0000-0000-0000E7370000}"/>
    <cellStyle name="40% - Accent3 4 2 6 2" xfId="12834" xr:uid="{00000000-0005-0000-0000-0000E8370000}"/>
    <cellStyle name="40% - Accent3 4 2 6 2 2" xfId="26546" xr:uid="{00000000-0005-0000-0000-0000E9370000}"/>
    <cellStyle name="40% - Accent3 4 2 6 3" xfId="20948" xr:uid="{00000000-0005-0000-0000-0000EA370000}"/>
    <cellStyle name="40% - Accent3 4 2 7" xfId="3624" xr:uid="{00000000-0005-0000-0000-0000EB370000}"/>
    <cellStyle name="40% - Accent3 4 2 7 2" xfId="13563" xr:uid="{00000000-0005-0000-0000-0000EC370000}"/>
    <cellStyle name="40% - Accent3 4 2 7 2 2" xfId="27112" xr:uid="{00000000-0005-0000-0000-0000ED370000}"/>
    <cellStyle name="40% - Accent3 4 2 7 3" xfId="20949" xr:uid="{00000000-0005-0000-0000-0000EE370000}"/>
    <cellStyle name="40% - Accent3 4 2 8" xfId="3625" xr:uid="{00000000-0005-0000-0000-0000EF370000}"/>
    <cellStyle name="40% - Accent3 4 2 8 2" xfId="14144" xr:uid="{00000000-0005-0000-0000-0000F0370000}"/>
    <cellStyle name="40% - Accent3 4 2 8 2 2" xfId="27693" xr:uid="{00000000-0005-0000-0000-0000F1370000}"/>
    <cellStyle name="40% - Accent3 4 2 8 3" xfId="20950" xr:uid="{00000000-0005-0000-0000-0000F2370000}"/>
    <cellStyle name="40% - Accent3 4 2 9" xfId="3626" xr:uid="{00000000-0005-0000-0000-0000F3370000}"/>
    <cellStyle name="40% - Accent3 4 2 9 2" xfId="15226" xr:uid="{00000000-0005-0000-0000-0000F4370000}"/>
    <cellStyle name="40% - Accent3 4 2 9 2 2" xfId="28775" xr:uid="{00000000-0005-0000-0000-0000F5370000}"/>
    <cellStyle name="40% - Accent3 4 2 9 3" xfId="20951" xr:uid="{00000000-0005-0000-0000-0000F6370000}"/>
    <cellStyle name="40% - Accent3 4 3" xfId="3627" xr:uid="{00000000-0005-0000-0000-0000F7370000}"/>
    <cellStyle name="40% - Accent3 4 3 10" xfId="9338" xr:uid="{00000000-0005-0000-0000-0000F8370000}"/>
    <cellStyle name="40% - Accent3 4 3 10 2" xfId="23813" xr:uid="{00000000-0005-0000-0000-0000F9370000}"/>
    <cellStyle name="40% - Accent3 4 3 11" xfId="20952" xr:uid="{00000000-0005-0000-0000-0000FA370000}"/>
    <cellStyle name="40% - Accent3 4 3 2" xfId="3628" xr:uid="{00000000-0005-0000-0000-0000FB370000}"/>
    <cellStyle name="40% - Accent3 4 3 2 2" xfId="3629" xr:uid="{00000000-0005-0000-0000-0000FC370000}"/>
    <cellStyle name="40% - Accent3 4 3 2 2 2" xfId="11066" xr:uid="{00000000-0005-0000-0000-0000FD370000}"/>
    <cellStyle name="40% - Accent3 4 3 2 2 2 2" xfId="25008" xr:uid="{00000000-0005-0000-0000-0000FE370000}"/>
    <cellStyle name="40% - Accent3 4 3 2 2 3" xfId="20954" xr:uid="{00000000-0005-0000-0000-0000FF370000}"/>
    <cellStyle name="40% - Accent3 4 3 2 3" xfId="3630" xr:uid="{00000000-0005-0000-0000-000000380000}"/>
    <cellStyle name="40% - Accent3 4 3 2 3 2" xfId="12839" xr:uid="{00000000-0005-0000-0000-000001380000}"/>
    <cellStyle name="40% - Accent3 4 3 2 3 2 2" xfId="26551" xr:uid="{00000000-0005-0000-0000-000002380000}"/>
    <cellStyle name="40% - Accent3 4 3 2 3 3" xfId="20955" xr:uid="{00000000-0005-0000-0000-000003380000}"/>
    <cellStyle name="40% - Accent3 4 3 2 4" xfId="3631" xr:uid="{00000000-0005-0000-0000-000004380000}"/>
    <cellStyle name="40% - Accent3 4 3 2 4 2" xfId="15233" xr:uid="{00000000-0005-0000-0000-000005380000}"/>
    <cellStyle name="40% - Accent3 4 3 2 4 2 2" xfId="28782" xr:uid="{00000000-0005-0000-0000-000006380000}"/>
    <cellStyle name="40% - Accent3 4 3 2 4 3" xfId="20956" xr:uid="{00000000-0005-0000-0000-000007380000}"/>
    <cellStyle name="40% - Accent3 4 3 2 5" xfId="3632" xr:uid="{00000000-0005-0000-0000-000008380000}"/>
    <cellStyle name="40% - Accent3 4 3 2 5 2" xfId="16760" xr:uid="{00000000-0005-0000-0000-000009380000}"/>
    <cellStyle name="40% - Accent3 4 3 2 5 2 2" xfId="30167" xr:uid="{00000000-0005-0000-0000-00000A380000}"/>
    <cellStyle name="40% - Accent3 4 3 2 5 3" xfId="20957" xr:uid="{00000000-0005-0000-0000-00000B380000}"/>
    <cellStyle name="40% - Accent3 4 3 2 6" xfId="9339" xr:uid="{00000000-0005-0000-0000-00000C380000}"/>
    <cellStyle name="40% - Accent3 4 3 2 6 2" xfId="23814" xr:uid="{00000000-0005-0000-0000-00000D380000}"/>
    <cellStyle name="40% - Accent3 4 3 2 7" xfId="20953" xr:uid="{00000000-0005-0000-0000-00000E380000}"/>
    <cellStyle name="40% - Accent3 4 3 3" xfId="3633" xr:uid="{00000000-0005-0000-0000-00000F380000}"/>
    <cellStyle name="40% - Accent3 4 3 3 2" xfId="3634" xr:uid="{00000000-0005-0000-0000-000010380000}"/>
    <cellStyle name="40% - Accent3 4 3 3 2 2" xfId="15234" xr:uid="{00000000-0005-0000-0000-000011380000}"/>
    <cellStyle name="40% - Accent3 4 3 3 2 2 2" xfId="28783" xr:uid="{00000000-0005-0000-0000-000012380000}"/>
    <cellStyle name="40% - Accent3 4 3 3 2 3" xfId="20959" xr:uid="{00000000-0005-0000-0000-000013380000}"/>
    <cellStyle name="40% - Accent3 4 3 3 3" xfId="11065" xr:uid="{00000000-0005-0000-0000-000014380000}"/>
    <cellStyle name="40% - Accent3 4 3 3 3 2" xfId="25007" xr:uid="{00000000-0005-0000-0000-000015380000}"/>
    <cellStyle name="40% - Accent3 4 3 3 4" xfId="20958" xr:uid="{00000000-0005-0000-0000-000016380000}"/>
    <cellStyle name="40% - Accent3 4 3 4" xfId="3635" xr:uid="{00000000-0005-0000-0000-000017380000}"/>
    <cellStyle name="40% - Accent3 4 3 4 2" xfId="12148" xr:uid="{00000000-0005-0000-0000-000018380000}"/>
    <cellStyle name="40% - Accent3 4 3 4 2 2" xfId="25860" xr:uid="{00000000-0005-0000-0000-000019380000}"/>
    <cellStyle name="40% - Accent3 4 3 4 3" xfId="20960" xr:uid="{00000000-0005-0000-0000-00001A380000}"/>
    <cellStyle name="40% - Accent3 4 3 5" xfId="3636" xr:uid="{00000000-0005-0000-0000-00001B380000}"/>
    <cellStyle name="40% - Accent3 4 3 5 2" xfId="12838" xr:uid="{00000000-0005-0000-0000-00001C380000}"/>
    <cellStyle name="40% - Accent3 4 3 5 2 2" xfId="26550" xr:uid="{00000000-0005-0000-0000-00001D380000}"/>
    <cellStyle name="40% - Accent3 4 3 5 3" xfId="20961" xr:uid="{00000000-0005-0000-0000-00001E380000}"/>
    <cellStyle name="40% - Accent3 4 3 6" xfId="3637" xr:uid="{00000000-0005-0000-0000-00001F380000}"/>
    <cellStyle name="40% - Accent3 4 3 6 2" xfId="13712" xr:uid="{00000000-0005-0000-0000-000020380000}"/>
    <cellStyle name="40% - Accent3 4 3 6 2 2" xfId="27261" xr:uid="{00000000-0005-0000-0000-000021380000}"/>
    <cellStyle name="40% - Accent3 4 3 6 3" xfId="20962" xr:uid="{00000000-0005-0000-0000-000022380000}"/>
    <cellStyle name="40% - Accent3 4 3 7" xfId="3638" xr:uid="{00000000-0005-0000-0000-000023380000}"/>
    <cellStyle name="40% - Accent3 4 3 7 2" xfId="14293" xr:uid="{00000000-0005-0000-0000-000024380000}"/>
    <cellStyle name="40% - Accent3 4 3 7 2 2" xfId="27842" xr:uid="{00000000-0005-0000-0000-000025380000}"/>
    <cellStyle name="40% - Accent3 4 3 7 3" xfId="20963" xr:uid="{00000000-0005-0000-0000-000026380000}"/>
    <cellStyle name="40% - Accent3 4 3 8" xfId="3639" xr:uid="{00000000-0005-0000-0000-000027380000}"/>
    <cellStyle name="40% - Accent3 4 3 8 2" xfId="15232" xr:uid="{00000000-0005-0000-0000-000028380000}"/>
    <cellStyle name="40% - Accent3 4 3 8 2 2" xfId="28781" xr:uid="{00000000-0005-0000-0000-000029380000}"/>
    <cellStyle name="40% - Accent3 4 3 8 3" xfId="20964" xr:uid="{00000000-0005-0000-0000-00002A380000}"/>
    <cellStyle name="40% - Accent3 4 3 9" xfId="3640" xr:uid="{00000000-0005-0000-0000-00002B380000}"/>
    <cellStyle name="40% - Accent3 4 3 9 2" xfId="16179" xr:uid="{00000000-0005-0000-0000-00002C380000}"/>
    <cellStyle name="40% - Accent3 4 3 9 2 2" xfId="29586" xr:uid="{00000000-0005-0000-0000-00002D380000}"/>
    <cellStyle name="40% - Accent3 4 3 9 3" xfId="20965" xr:uid="{00000000-0005-0000-0000-00002E380000}"/>
    <cellStyle name="40% - Accent3 4 4" xfId="3641" xr:uid="{00000000-0005-0000-0000-00002F380000}"/>
    <cellStyle name="40% - Accent3 4 4 2" xfId="3642" xr:uid="{00000000-0005-0000-0000-000030380000}"/>
    <cellStyle name="40% - Accent3 4 4 2 2" xfId="11067" xr:uid="{00000000-0005-0000-0000-000031380000}"/>
    <cellStyle name="40% - Accent3 4 4 2 2 2" xfId="25009" xr:uid="{00000000-0005-0000-0000-000032380000}"/>
    <cellStyle name="40% - Accent3 4 4 2 3" xfId="20967" xr:uid="{00000000-0005-0000-0000-000033380000}"/>
    <cellStyle name="40% - Accent3 4 4 3" xfId="3643" xr:uid="{00000000-0005-0000-0000-000034380000}"/>
    <cellStyle name="40% - Accent3 4 4 3 2" xfId="12840" xr:uid="{00000000-0005-0000-0000-000035380000}"/>
    <cellStyle name="40% - Accent3 4 4 3 2 2" xfId="26552" xr:uid="{00000000-0005-0000-0000-000036380000}"/>
    <cellStyle name="40% - Accent3 4 4 3 3" xfId="20968" xr:uid="{00000000-0005-0000-0000-000037380000}"/>
    <cellStyle name="40% - Accent3 4 4 4" xfId="3644" xr:uid="{00000000-0005-0000-0000-000038380000}"/>
    <cellStyle name="40% - Accent3 4 4 4 2" xfId="15235" xr:uid="{00000000-0005-0000-0000-000039380000}"/>
    <cellStyle name="40% - Accent3 4 4 4 2 2" xfId="28784" xr:uid="{00000000-0005-0000-0000-00003A380000}"/>
    <cellStyle name="40% - Accent3 4 4 4 3" xfId="20969" xr:uid="{00000000-0005-0000-0000-00003B380000}"/>
    <cellStyle name="40% - Accent3 4 4 5" xfId="3645" xr:uid="{00000000-0005-0000-0000-00003C380000}"/>
    <cellStyle name="40% - Accent3 4 4 5 2" xfId="16468" xr:uid="{00000000-0005-0000-0000-00003D380000}"/>
    <cellStyle name="40% - Accent3 4 4 5 2 2" xfId="29875" xr:uid="{00000000-0005-0000-0000-00003E380000}"/>
    <cellStyle name="40% - Accent3 4 4 5 3" xfId="20970" xr:uid="{00000000-0005-0000-0000-00003F380000}"/>
    <cellStyle name="40% - Accent3 4 4 6" xfId="9340" xr:uid="{00000000-0005-0000-0000-000040380000}"/>
    <cellStyle name="40% - Accent3 4 4 6 2" xfId="23815" xr:uid="{00000000-0005-0000-0000-000041380000}"/>
    <cellStyle name="40% - Accent3 4 4 7" xfId="20966" xr:uid="{00000000-0005-0000-0000-000042380000}"/>
    <cellStyle name="40% - Accent3 4 5" xfId="3646" xr:uid="{00000000-0005-0000-0000-000043380000}"/>
    <cellStyle name="40% - Accent3 4 5 2" xfId="3647" xr:uid="{00000000-0005-0000-0000-000044380000}"/>
    <cellStyle name="40% - Accent3 4 5 2 2" xfId="15236" xr:uid="{00000000-0005-0000-0000-000045380000}"/>
    <cellStyle name="40% - Accent3 4 5 2 2 2" xfId="28785" xr:uid="{00000000-0005-0000-0000-000046380000}"/>
    <cellStyle name="40% - Accent3 4 5 2 3" xfId="20972" xr:uid="{00000000-0005-0000-0000-000047380000}"/>
    <cellStyle name="40% - Accent3 4 5 3" xfId="11060" xr:uid="{00000000-0005-0000-0000-000048380000}"/>
    <cellStyle name="40% - Accent3 4 5 3 2" xfId="25002" xr:uid="{00000000-0005-0000-0000-000049380000}"/>
    <cellStyle name="40% - Accent3 4 5 4" xfId="20971" xr:uid="{00000000-0005-0000-0000-00004A380000}"/>
    <cellStyle name="40% - Accent3 4 6" xfId="3648" xr:uid="{00000000-0005-0000-0000-00004B380000}"/>
    <cellStyle name="40% - Accent3 4 6 2" xfId="11819" xr:uid="{00000000-0005-0000-0000-00004C380000}"/>
    <cellStyle name="40% - Accent3 4 6 2 2" xfId="25534" xr:uid="{00000000-0005-0000-0000-00004D380000}"/>
    <cellStyle name="40% - Accent3 4 6 3" xfId="20973" xr:uid="{00000000-0005-0000-0000-00004E380000}"/>
    <cellStyle name="40% - Accent3 4 7" xfId="3649" xr:uid="{00000000-0005-0000-0000-00004F380000}"/>
    <cellStyle name="40% - Accent3 4 7 2" xfId="12833" xr:uid="{00000000-0005-0000-0000-000050380000}"/>
    <cellStyle name="40% - Accent3 4 7 2 2" xfId="26545" xr:uid="{00000000-0005-0000-0000-000051380000}"/>
    <cellStyle name="40% - Accent3 4 7 3" xfId="20974" xr:uid="{00000000-0005-0000-0000-000052380000}"/>
    <cellStyle name="40% - Accent3 4 8" xfId="3650" xr:uid="{00000000-0005-0000-0000-000053380000}"/>
    <cellStyle name="40% - Accent3 4 8 2" xfId="13420" xr:uid="{00000000-0005-0000-0000-000054380000}"/>
    <cellStyle name="40% - Accent3 4 8 2 2" xfId="26969" xr:uid="{00000000-0005-0000-0000-000055380000}"/>
    <cellStyle name="40% - Accent3 4 8 3" xfId="20975" xr:uid="{00000000-0005-0000-0000-000056380000}"/>
    <cellStyle name="40% - Accent3 4 9" xfId="3651" xr:uid="{00000000-0005-0000-0000-000057380000}"/>
    <cellStyle name="40% - Accent3 4 9 2" xfId="14001" xr:uid="{00000000-0005-0000-0000-000058380000}"/>
    <cellStyle name="40% - Accent3 4 9 2 2" xfId="27550" xr:uid="{00000000-0005-0000-0000-000059380000}"/>
    <cellStyle name="40% - Accent3 4 9 3" xfId="20976" xr:uid="{00000000-0005-0000-0000-00005A380000}"/>
    <cellStyle name="40% - Accent3 5" xfId="3652" xr:uid="{00000000-0005-0000-0000-00005B380000}"/>
    <cellStyle name="40% - Accent3 5 10" xfId="3653" xr:uid="{00000000-0005-0000-0000-00005C380000}"/>
    <cellStyle name="40% - Accent3 5 10 2" xfId="15237" xr:uid="{00000000-0005-0000-0000-00005D380000}"/>
    <cellStyle name="40% - Accent3 5 10 2 2" xfId="28786" xr:uid="{00000000-0005-0000-0000-00005E380000}"/>
    <cellStyle name="40% - Accent3 5 10 3" xfId="20978" xr:uid="{00000000-0005-0000-0000-00005F380000}"/>
    <cellStyle name="40% - Accent3 5 11" xfId="3654" xr:uid="{00000000-0005-0000-0000-000060380000}"/>
    <cellStyle name="40% - Accent3 5 11 2" xfId="15870" xr:uid="{00000000-0005-0000-0000-000061380000}"/>
    <cellStyle name="40% - Accent3 5 11 2 2" xfId="29277" xr:uid="{00000000-0005-0000-0000-000062380000}"/>
    <cellStyle name="40% - Accent3 5 11 3" xfId="20979" xr:uid="{00000000-0005-0000-0000-000063380000}"/>
    <cellStyle name="40% - Accent3 5 12" xfId="9341" xr:uid="{00000000-0005-0000-0000-000064380000}"/>
    <cellStyle name="40% - Accent3 5 12 2" xfId="23816" xr:uid="{00000000-0005-0000-0000-000065380000}"/>
    <cellStyle name="40% - Accent3 5 13" xfId="20977" xr:uid="{00000000-0005-0000-0000-000066380000}"/>
    <cellStyle name="40% - Accent3 5 2" xfId="3655" xr:uid="{00000000-0005-0000-0000-000067380000}"/>
    <cellStyle name="40% - Accent3 5 2 10" xfId="3656" xr:uid="{00000000-0005-0000-0000-000068380000}"/>
    <cellStyle name="40% - Accent3 5 2 10 2" xfId="16013" xr:uid="{00000000-0005-0000-0000-000069380000}"/>
    <cellStyle name="40% - Accent3 5 2 10 2 2" xfId="29420" xr:uid="{00000000-0005-0000-0000-00006A380000}"/>
    <cellStyle name="40% - Accent3 5 2 10 3" xfId="20981" xr:uid="{00000000-0005-0000-0000-00006B380000}"/>
    <cellStyle name="40% - Accent3 5 2 11" xfId="9342" xr:uid="{00000000-0005-0000-0000-00006C380000}"/>
    <cellStyle name="40% - Accent3 5 2 11 2" xfId="23817" xr:uid="{00000000-0005-0000-0000-00006D380000}"/>
    <cellStyle name="40% - Accent3 5 2 12" xfId="20980" xr:uid="{00000000-0005-0000-0000-00006E380000}"/>
    <cellStyle name="40% - Accent3 5 2 2" xfId="3657" xr:uid="{00000000-0005-0000-0000-00006F380000}"/>
    <cellStyle name="40% - Accent3 5 2 2 10" xfId="9343" xr:uid="{00000000-0005-0000-0000-000070380000}"/>
    <cellStyle name="40% - Accent3 5 2 2 10 2" xfId="23818" xr:uid="{00000000-0005-0000-0000-000071380000}"/>
    <cellStyle name="40% - Accent3 5 2 2 11" xfId="20982" xr:uid="{00000000-0005-0000-0000-000072380000}"/>
    <cellStyle name="40% - Accent3 5 2 2 2" xfId="3658" xr:uid="{00000000-0005-0000-0000-000073380000}"/>
    <cellStyle name="40% - Accent3 5 2 2 2 2" xfId="3659" xr:uid="{00000000-0005-0000-0000-000074380000}"/>
    <cellStyle name="40% - Accent3 5 2 2 2 2 2" xfId="11071" xr:uid="{00000000-0005-0000-0000-000075380000}"/>
    <cellStyle name="40% - Accent3 5 2 2 2 2 2 2" xfId="25013" xr:uid="{00000000-0005-0000-0000-000076380000}"/>
    <cellStyle name="40% - Accent3 5 2 2 2 2 3" xfId="20984" xr:uid="{00000000-0005-0000-0000-000077380000}"/>
    <cellStyle name="40% - Accent3 5 2 2 2 3" xfId="3660" xr:uid="{00000000-0005-0000-0000-000078380000}"/>
    <cellStyle name="40% - Accent3 5 2 2 2 3 2" xfId="12844" xr:uid="{00000000-0005-0000-0000-000079380000}"/>
    <cellStyle name="40% - Accent3 5 2 2 2 3 2 2" xfId="26556" xr:uid="{00000000-0005-0000-0000-00007A380000}"/>
    <cellStyle name="40% - Accent3 5 2 2 2 3 3" xfId="20985" xr:uid="{00000000-0005-0000-0000-00007B380000}"/>
    <cellStyle name="40% - Accent3 5 2 2 2 4" xfId="3661" xr:uid="{00000000-0005-0000-0000-00007C380000}"/>
    <cellStyle name="40% - Accent3 5 2 2 2 4 2" xfId="15240" xr:uid="{00000000-0005-0000-0000-00007D380000}"/>
    <cellStyle name="40% - Accent3 5 2 2 2 4 2 2" xfId="28789" xr:uid="{00000000-0005-0000-0000-00007E380000}"/>
    <cellStyle name="40% - Accent3 5 2 2 2 4 3" xfId="20986" xr:uid="{00000000-0005-0000-0000-00007F380000}"/>
    <cellStyle name="40% - Accent3 5 2 2 2 5" xfId="3662" xr:uid="{00000000-0005-0000-0000-000080380000}"/>
    <cellStyle name="40% - Accent3 5 2 2 2 5 2" xfId="16883" xr:uid="{00000000-0005-0000-0000-000081380000}"/>
    <cellStyle name="40% - Accent3 5 2 2 2 5 2 2" xfId="30290" xr:uid="{00000000-0005-0000-0000-000082380000}"/>
    <cellStyle name="40% - Accent3 5 2 2 2 5 3" xfId="20987" xr:uid="{00000000-0005-0000-0000-000083380000}"/>
    <cellStyle name="40% - Accent3 5 2 2 2 6" xfId="9344" xr:uid="{00000000-0005-0000-0000-000084380000}"/>
    <cellStyle name="40% - Accent3 5 2 2 2 6 2" xfId="23819" xr:uid="{00000000-0005-0000-0000-000085380000}"/>
    <cellStyle name="40% - Accent3 5 2 2 2 7" xfId="20983" xr:uid="{00000000-0005-0000-0000-000086380000}"/>
    <cellStyle name="40% - Accent3 5 2 2 3" xfId="3663" xr:uid="{00000000-0005-0000-0000-000087380000}"/>
    <cellStyle name="40% - Accent3 5 2 2 3 2" xfId="3664" xr:uid="{00000000-0005-0000-0000-000088380000}"/>
    <cellStyle name="40% - Accent3 5 2 2 3 2 2" xfId="15241" xr:uid="{00000000-0005-0000-0000-000089380000}"/>
    <cellStyle name="40% - Accent3 5 2 2 3 2 2 2" xfId="28790" xr:uid="{00000000-0005-0000-0000-00008A380000}"/>
    <cellStyle name="40% - Accent3 5 2 2 3 2 3" xfId="20989" xr:uid="{00000000-0005-0000-0000-00008B380000}"/>
    <cellStyle name="40% - Accent3 5 2 2 3 3" xfId="11070" xr:uid="{00000000-0005-0000-0000-00008C380000}"/>
    <cellStyle name="40% - Accent3 5 2 2 3 3 2" xfId="25012" xr:uid="{00000000-0005-0000-0000-00008D380000}"/>
    <cellStyle name="40% - Accent3 5 2 2 3 4" xfId="20988" xr:uid="{00000000-0005-0000-0000-00008E380000}"/>
    <cellStyle name="40% - Accent3 5 2 2 4" xfId="3665" xr:uid="{00000000-0005-0000-0000-00008F380000}"/>
    <cellStyle name="40% - Accent3 5 2 2 4 2" xfId="12271" xr:uid="{00000000-0005-0000-0000-000090380000}"/>
    <cellStyle name="40% - Accent3 5 2 2 4 2 2" xfId="25983" xr:uid="{00000000-0005-0000-0000-000091380000}"/>
    <cellStyle name="40% - Accent3 5 2 2 4 3" xfId="20990" xr:uid="{00000000-0005-0000-0000-000092380000}"/>
    <cellStyle name="40% - Accent3 5 2 2 5" xfId="3666" xr:uid="{00000000-0005-0000-0000-000093380000}"/>
    <cellStyle name="40% - Accent3 5 2 2 5 2" xfId="12843" xr:uid="{00000000-0005-0000-0000-000094380000}"/>
    <cellStyle name="40% - Accent3 5 2 2 5 2 2" xfId="26555" xr:uid="{00000000-0005-0000-0000-000095380000}"/>
    <cellStyle name="40% - Accent3 5 2 2 5 3" xfId="20991" xr:uid="{00000000-0005-0000-0000-000096380000}"/>
    <cellStyle name="40% - Accent3 5 2 2 6" xfId="3667" xr:uid="{00000000-0005-0000-0000-000097380000}"/>
    <cellStyle name="40% - Accent3 5 2 2 6 2" xfId="13835" xr:uid="{00000000-0005-0000-0000-000098380000}"/>
    <cellStyle name="40% - Accent3 5 2 2 6 2 2" xfId="27384" xr:uid="{00000000-0005-0000-0000-000099380000}"/>
    <cellStyle name="40% - Accent3 5 2 2 6 3" xfId="20992" xr:uid="{00000000-0005-0000-0000-00009A380000}"/>
    <cellStyle name="40% - Accent3 5 2 2 7" xfId="3668" xr:uid="{00000000-0005-0000-0000-00009B380000}"/>
    <cellStyle name="40% - Accent3 5 2 2 7 2" xfId="14416" xr:uid="{00000000-0005-0000-0000-00009C380000}"/>
    <cellStyle name="40% - Accent3 5 2 2 7 2 2" xfId="27965" xr:uid="{00000000-0005-0000-0000-00009D380000}"/>
    <cellStyle name="40% - Accent3 5 2 2 7 3" xfId="20993" xr:uid="{00000000-0005-0000-0000-00009E380000}"/>
    <cellStyle name="40% - Accent3 5 2 2 8" xfId="3669" xr:uid="{00000000-0005-0000-0000-00009F380000}"/>
    <cellStyle name="40% - Accent3 5 2 2 8 2" xfId="15239" xr:uid="{00000000-0005-0000-0000-0000A0380000}"/>
    <cellStyle name="40% - Accent3 5 2 2 8 2 2" xfId="28788" xr:uid="{00000000-0005-0000-0000-0000A1380000}"/>
    <cellStyle name="40% - Accent3 5 2 2 8 3" xfId="20994" xr:uid="{00000000-0005-0000-0000-0000A2380000}"/>
    <cellStyle name="40% - Accent3 5 2 2 9" xfId="3670" xr:uid="{00000000-0005-0000-0000-0000A3380000}"/>
    <cellStyle name="40% - Accent3 5 2 2 9 2" xfId="16302" xr:uid="{00000000-0005-0000-0000-0000A4380000}"/>
    <cellStyle name="40% - Accent3 5 2 2 9 2 2" xfId="29709" xr:uid="{00000000-0005-0000-0000-0000A5380000}"/>
    <cellStyle name="40% - Accent3 5 2 2 9 3" xfId="20995" xr:uid="{00000000-0005-0000-0000-0000A6380000}"/>
    <cellStyle name="40% - Accent3 5 2 3" xfId="3671" xr:uid="{00000000-0005-0000-0000-0000A7380000}"/>
    <cellStyle name="40% - Accent3 5 2 3 2" xfId="3672" xr:uid="{00000000-0005-0000-0000-0000A8380000}"/>
    <cellStyle name="40% - Accent3 5 2 3 2 2" xfId="11072" xr:uid="{00000000-0005-0000-0000-0000A9380000}"/>
    <cellStyle name="40% - Accent3 5 2 3 2 2 2" xfId="25014" xr:uid="{00000000-0005-0000-0000-0000AA380000}"/>
    <cellStyle name="40% - Accent3 5 2 3 2 3" xfId="20997" xr:uid="{00000000-0005-0000-0000-0000AB380000}"/>
    <cellStyle name="40% - Accent3 5 2 3 3" xfId="3673" xr:uid="{00000000-0005-0000-0000-0000AC380000}"/>
    <cellStyle name="40% - Accent3 5 2 3 3 2" xfId="12845" xr:uid="{00000000-0005-0000-0000-0000AD380000}"/>
    <cellStyle name="40% - Accent3 5 2 3 3 2 2" xfId="26557" xr:uid="{00000000-0005-0000-0000-0000AE380000}"/>
    <cellStyle name="40% - Accent3 5 2 3 3 3" xfId="20998" xr:uid="{00000000-0005-0000-0000-0000AF380000}"/>
    <cellStyle name="40% - Accent3 5 2 3 4" xfId="3674" xr:uid="{00000000-0005-0000-0000-0000B0380000}"/>
    <cellStyle name="40% - Accent3 5 2 3 4 2" xfId="15242" xr:uid="{00000000-0005-0000-0000-0000B1380000}"/>
    <cellStyle name="40% - Accent3 5 2 3 4 2 2" xfId="28791" xr:uid="{00000000-0005-0000-0000-0000B2380000}"/>
    <cellStyle name="40% - Accent3 5 2 3 4 3" xfId="20999" xr:uid="{00000000-0005-0000-0000-0000B3380000}"/>
    <cellStyle name="40% - Accent3 5 2 3 5" xfId="3675" xr:uid="{00000000-0005-0000-0000-0000B4380000}"/>
    <cellStyle name="40% - Accent3 5 2 3 5 2" xfId="16594" xr:uid="{00000000-0005-0000-0000-0000B5380000}"/>
    <cellStyle name="40% - Accent3 5 2 3 5 2 2" xfId="30001" xr:uid="{00000000-0005-0000-0000-0000B6380000}"/>
    <cellStyle name="40% - Accent3 5 2 3 5 3" xfId="21000" xr:uid="{00000000-0005-0000-0000-0000B7380000}"/>
    <cellStyle name="40% - Accent3 5 2 3 6" xfId="9345" xr:uid="{00000000-0005-0000-0000-0000B8380000}"/>
    <cellStyle name="40% - Accent3 5 2 3 6 2" xfId="23820" xr:uid="{00000000-0005-0000-0000-0000B9380000}"/>
    <cellStyle name="40% - Accent3 5 2 3 7" xfId="20996" xr:uid="{00000000-0005-0000-0000-0000BA380000}"/>
    <cellStyle name="40% - Accent3 5 2 4" xfId="3676" xr:uid="{00000000-0005-0000-0000-0000BB380000}"/>
    <cellStyle name="40% - Accent3 5 2 4 2" xfId="3677" xr:uid="{00000000-0005-0000-0000-0000BC380000}"/>
    <cellStyle name="40% - Accent3 5 2 4 2 2" xfId="15243" xr:uid="{00000000-0005-0000-0000-0000BD380000}"/>
    <cellStyle name="40% - Accent3 5 2 4 2 2 2" xfId="28792" xr:uid="{00000000-0005-0000-0000-0000BE380000}"/>
    <cellStyle name="40% - Accent3 5 2 4 2 3" xfId="21002" xr:uid="{00000000-0005-0000-0000-0000BF380000}"/>
    <cellStyle name="40% - Accent3 5 2 4 3" xfId="11069" xr:uid="{00000000-0005-0000-0000-0000C0380000}"/>
    <cellStyle name="40% - Accent3 5 2 4 3 2" xfId="25011" xr:uid="{00000000-0005-0000-0000-0000C1380000}"/>
    <cellStyle name="40% - Accent3 5 2 4 4" xfId="21001" xr:uid="{00000000-0005-0000-0000-0000C2380000}"/>
    <cellStyle name="40% - Accent3 5 2 5" xfId="3678" xr:uid="{00000000-0005-0000-0000-0000C3380000}"/>
    <cellStyle name="40% - Accent3 5 2 5 2" xfId="11971" xr:uid="{00000000-0005-0000-0000-0000C4380000}"/>
    <cellStyle name="40% - Accent3 5 2 5 2 2" xfId="25686" xr:uid="{00000000-0005-0000-0000-0000C5380000}"/>
    <cellStyle name="40% - Accent3 5 2 5 3" xfId="21003" xr:uid="{00000000-0005-0000-0000-0000C6380000}"/>
    <cellStyle name="40% - Accent3 5 2 6" xfId="3679" xr:uid="{00000000-0005-0000-0000-0000C7380000}"/>
    <cellStyle name="40% - Accent3 5 2 6 2" xfId="12842" xr:uid="{00000000-0005-0000-0000-0000C8380000}"/>
    <cellStyle name="40% - Accent3 5 2 6 2 2" xfId="26554" xr:uid="{00000000-0005-0000-0000-0000C9380000}"/>
    <cellStyle name="40% - Accent3 5 2 6 3" xfId="21004" xr:uid="{00000000-0005-0000-0000-0000CA380000}"/>
    <cellStyle name="40% - Accent3 5 2 7" xfId="3680" xr:uid="{00000000-0005-0000-0000-0000CB380000}"/>
    <cellStyle name="40% - Accent3 5 2 7 2" xfId="13546" xr:uid="{00000000-0005-0000-0000-0000CC380000}"/>
    <cellStyle name="40% - Accent3 5 2 7 2 2" xfId="27095" xr:uid="{00000000-0005-0000-0000-0000CD380000}"/>
    <cellStyle name="40% - Accent3 5 2 7 3" xfId="21005" xr:uid="{00000000-0005-0000-0000-0000CE380000}"/>
    <cellStyle name="40% - Accent3 5 2 8" xfId="3681" xr:uid="{00000000-0005-0000-0000-0000CF380000}"/>
    <cellStyle name="40% - Accent3 5 2 8 2" xfId="14127" xr:uid="{00000000-0005-0000-0000-0000D0380000}"/>
    <cellStyle name="40% - Accent3 5 2 8 2 2" xfId="27676" xr:uid="{00000000-0005-0000-0000-0000D1380000}"/>
    <cellStyle name="40% - Accent3 5 2 8 3" xfId="21006" xr:uid="{00000000-0005-0000-0000-0000D2380000}"/>
    <cellStyle name="40% - Accent3 5 2 9" xfId="3682" xr:uid="{00000000-0005-0000-0000-0000D3380000}"/>
    <cellStyle name="40% - Accent3 5 2 9 2" xfId="15238" xr:uid="{00000000-0005-0000-0000-0000D4380000}"/>
    <cellStyle name="40% - Accent3 5 2 9 2 2" xfId="28787" xr:uid="{00000000-0005-0000-0000-0000D5380000}"/>
    <cellStyle name="40% - Accent3 5 2 9 3" xfId="21007" xr:uid="{00000000-0005-0000-0000-0000D6380000}"/>
    <cellStyle name="40% - Accent3 5 3" xfId="3683" xr:uid="{00000000-0005-0000-0000-0000D7380000}"/>
    <cellStyle name="40% - Accent3 5 3 10" xfId="9346" xr:uid="{00000000-0005-0000-0000-0000D8380000}"/>
    <cellStyle name="40% - Accent3 5 3 10 2" xfId="23821" xr:uid="{00000000-0005-0000-0000-0000D9380000}"/>
    <cellStyle name="40% - Accent3 5 3 11" xfId="21008" xr:uid="{00000000-0005-0000-0000-0000DA380000}"/>
    <cellStyle name="40% - Accent3 5 3 2" xfId="3684" xr:uid="{00000000-0005-0000-0000-0000DB380000}"/>
    <cellStyle name="40% - Accent3 5 3 2 2" xfId="3685" xr:uid="{00000000-0005-0000-0000-0000DC380000}"/>
    <cellStyle name="40% - Accent3 5 3 2 2 2" xfId="11074" xr:uid="{00000000-0005-0000-0000-0000DD380000}"/>
    <cellStyle name="40% - Accent3 5 3 2 2 2 2" xfId="25016" xr:uid="{00000000-0005-0000-0000-0000DE380000}"/>
    <cellStyle name="40% - Accent3 5 3 2 2 3" xfId="21010" xr:uid="{00000000-0005-0000-0000-0000DF380000}"/>
    <cellStyle name="40% - Accent3 5 3 2 3" xfId="3686" xr:uid="{00000000-0005-0000-0000-0000E0380000}"/>
    <cellStyle name="40% - Accent3 5 3 2 3 2" xfId="12847" xr:uid="{00000000-0005-0000-0000-0000E1380000}"/>
    <cellStyle name="40% - Accent3 5 3 2 3 2 2" xfId="26559" xr:uid="{00000000-0005-0000-0000-0000E2380000}"/>
    <cellStyle name="40% - Accent3 5 3 2 3 3" xfId="21011" xr:uid="{00000000-0005-0000-0000-0000E3380000}"/>
    <cellStyle name="40% - Accent3 5 3 2 4" xfId="3687" xr:uid="{00000000-0005-0000-0000-0000E4380000}"/>
    <cellStyle name="40% - Accent3 5 3 2 4 2" xfId="15245" xr:uid="{00000000-0005-0000-0000-0000E5380000}"/>
    <cellStyle name="40% - Accent3 5 3 2 4 2 2" xfId="28794" xr:uid="{00000000-0005-0000-0000-0000E6380000}"/>
    <cellStyle name="40% - Accent3 5 3 2 4 3" xfId="21012" xr:uid="{00000000-0005-0000-0000-0000E7380000}"/>
    <cellStyle name="40% - Accent3 5 3 2 5" xfId="3688" xr:uid="{00000000-0005-0000-0000-0000E8380000}"/>
    <cellStyle name="40% - Accent3 5 3 2 5 2" xfId="16743" xr:uid="{00000000-0005-0000-0000-0000E9380000}"/>
    <cellStyle name="40% - Accent3 5 3 2 5 2 2" xfId="30150" xr:uid="{00000000-0005-0000-0000-0000EA380000}"/>
    <cellStyle name="40% - Accent3 5 3 2 5 3" xfId="21013" xr:uid="{00000000-0005-0000-0000-0000EB380000}"/>
    <cellStyle name="40% - Accent3 5 3 2 6" xfId="9347" xr:uid="{00000000-0005-0000-0000-0000EC380000}"/>
    <cellStyle name="40% - Accent3 5 3 2 6 2" xfId="23822" xr:uid="{00000000-0005-0000-0000-0000ED380000}"/>
    <cellStyle name="40% - Accent3 5 3 2 7" xfId="21009" xr:uid="{00000000-0005-0000-0000-0000EE380000}"/>
    <cellStyle name="40% - Accent3 5 3 3" xfId="3689" xr:uid="{00000000-0005-0000-0000-0000EF380000}"/>
    <cellStyle name="40% - Accent3 5 3 3 2" xfId="3690" xr:uid="{00000000-0005-0000-0000-0000F0380000}"/>
    <cellStyle name="40% - Accent3 5 3 3 2 2" xfId="15246" xr:uid="{00000000-0005-0000-0000-0000F1380000}"/>
    <cellStyle name="40% - Accent3 5 3 3 2 2 2" xfId="28795" xr:uid="{00000000-0005-0000-0000-0000F2380000}"/>
    <cellStyle name="40% - Accent3 5 3 3 2 3" xfId="21015" xr:uid="{00000000-0005-0000-0000-0000F3380000}"/>
    <cellStyle name="40% - Accent3 5 3 3 3" xfId="11073" xr:uid="{00000000-0005-0000-0000-0000F4380000}"/>
    <cellStyle name="40% - Accent3 5 3 3 3 2" xfId="25015" xr:uid="{00000000-0005-0000-0000-0000F5380000}"/>
    <cellStyle name="40% - Accent3 5 3 3 4" xfId="21014" xr:uid="{00000000-0005-0000-0000-0000F6380000}"/>
    <cellStyle name="40% - Accent3 5 3 4" xfId="3691" xr:uid="{00000000-0005-0000-0000-0000F7380000}"/>
    <cellStyle name="40% - Accent3 5 3 4 2" xfId="12131" xr:uid="{00000000-0005-0000-0000-0000F8380000}"/>
    <cellStyle name="40% - Accent3 5 3 4 2 2" xfId="25843" xr:uid="{00000000-0005-0000-0000-0000F9380000}"/>
    <cellStyle name="40% - Accent3 5 3 4 3" xfId="21016" xr:uid="{00000000-0005-0000-0000-0000FA380000}"/>
    <cellStyle name="40% - Accent3 5 3 5" xfId="3692" xr:uid="{00000000-0005-0000-0000-0000FB380000}"/>
    <cellStyle name="40% - Accent3 5 3 5 2" xfId="12846" xr:uid="{00000000-0005-0000-0000-0000FC380000}"/>
    <cellStyle name="40% - Accent3 5 3 5 2 2" xfId="26558" xr:uid="{00000000-0005-0000-0000-0000FD380000}"/>
    <cellStyle name="40% - Accent3 5 3 5 3" xfId="21017" xr:uid="{00000000-0005-0000-0000-0000FE380000}"/>
    <cellStyle name="40% - Accent3 5 3 6" xfId="3693" xr:uid="{00000000-0005-0000-0000-0000FF380000}"/>
    <cellStyle name="40% - Accent3 5 3 6 2" xfId="13695" xr:uid="{00000000-0005-0000-0000-000000390000}"/>
    <cellStyle name="40% - Accent3 5 3 6 2 2" xfId="27244" xr:uid="{00000000-0005-0000-0000-000001390000}"/>
    <cellStyle name="40% - Accent3 5 3 6 3" xfId="21018" xr:uid="{00000000-0005-0000-0000-000002390000}"/>
    <cellStyle name="40% - Accent3 5 3 7" xfId="3694" xr:uid="{00000000-0005-0000-0000-000003390000}"/>
    <cellStyle name="40% - Accent3 5 3 7 2" xfId="14276" xr:uid="{00000000-0005-0000-0000-000004390000}"/>
    <cellStyle name="40% - Accent3 5 3 7 2 2" xfId="27825" xr:uid="{00000000-0005-0000-0000-000005390000}"/>
    <cellStyle name="40% - Accent3 5 3 7 3" xfId="21019" xr:uid="{00000000-0005-0000-0000-000006390000}"/>
    <cellStyle name="40% - Accent3 5 3 8" xfId="3695" xr:uid="{00000000-0005-0000-0000-000007390000}"/>
    <cellStyle name="40% - Accent3 5 3 8 2" xfId="15244" xr:uid="{00000000-0005-0000-0000-000008390000}"/>
    <cellStyle name="40% - Accent3 5 3 8 2 2" xfId="28793" xr:uid="{00000000-0005-0000-0000-000009390000}"/>
    <cellStyle name="40% - Accent3 5 3 8 3" xfId="21020" xr:uid="{00000000-0005-0000-0000-00000A390000}"/>
    <cellStyle name="40% - Accent3 5 3 9" xfId="3696" xr:uid="{00000000-0005-0000-0000-00000B390000}"/>
    <cellStyle name="40% - Accent3 5 3 9 2" xfId="16162" xr:uid="{00000000-0005-0000-0000-00000C390000}"/>
    <cellStyle name="40% - Accent3 5 3 9 2 2" xfId="29569" xr:uid="{00000000-0005-0000-0000-00000D390000}"/>
    <cellStyle name="40% - Accent3 5 3 9 3" xfId="21021" xr:uid="{00000000-0005-0000-0000-00000E390000}"/>
    <cellStyle name="40% - Accent3 5 4" xfId="3697" xr:uid="{00000000-0005-0000-0000-00000F390000}"/>
    <cellStyle name="40% - Accent3 5 4 2" xfId="3698" xr:uid="{00000000-0005-0000-0000-000010390000}"/>
    <cellStyle name="40% - Accent3 5 4 2 2" xfId="11075" xr:uid="{00000000-0005-0000-0000-000011390000}"/>
    <cellStyle name="40% - Accent3 5 4 2 2 2" xfId="25017" xr:uid="{00000000-0005-0000-0000-000012390000}"/>
    <cellStyle name="40% - Accent3 5 4 2 3" xfId="21023" xr:uid="{00000000-0005-0000-0000-000013390000}"/>
    <cellStyle name="40% - Accent3 5 4 3" xfId="3699" xr:uid="{00000000-0005-0000-0000-000014390000}"/>
    <cellStyle name="40% - Accent3 5 4 3 2" xfId="12848" xr:uid="{00000000-0005-0000-0000-000015390000}"/>
    <cellStyle name="40% - Accent3 5 4 3 2 2" xfId="26560" xr:uid="{00000000-0005-0000-0000-000016390000}"/>
    <cellStyle name="40% - Accent3 5 4 3 3" xfId="21024" xr:uid="{00000000-0005-0000-0000-000017390000}"/>
    <cellStyle name="40% - Accent3 5 4 4" xfId="3700" xr:uid="{00000000-0005-0000-0000-000018390000}"/>
    <cellStyle name="40% - Accent3 5 4 4 2" xfId="15247" xr:uid="{00000000-0005-0000-0000-000019390000}"/>
    <cellStyle name="40% - Accent3 5 4 4 2 2" xfId="28796" xr:uid="{00000000-0005-0000-0000-00001A390000}"/>
    <cellStyle name="40% - Accent3 5 4 4 3" xfId="21025" xr:uid="{00000000-0005-0000-0000-00001B390000}"/>
    <cellStyle name="40% - Accent3 5 4 5" xfId="3701" xr:uid="{00000000-0005-0000-0000-00001C390000}"/>
    <cellStyle name="40% - Accent3 5 4 5 2" xfId="16451" xr:uid="{00000000-0005-0000-0000-00001D390000}"/>
    <cellStyle name="40% - Accent3 5 4 5 2 2" xfId="29858" xr:uid="{00000000-0005-0000-0000-00001E390000}"/>
    <cellStyle name="40% - Accent3 5 4 5 3" xfId="21026" xr:uid="{00000000-0005-0000-0000-00001F390000}"/>
    <cellStyle name="40% - Accent3 5 4 6" xfId="9348" xr:uid="{00000000-0005-0000-0000-000020390000}"/>
    <cellStyle name="40% - Accent3 5 4 6 2" xfId="23823" xr:uid="{00000000-0005-0000-0000-000021390000}"/>
    <cellStyle name="40% - Accent3 5 4 7" xfId="21022" xr:uid="{00000000-0005-0000-0000-000022390000}"/>
    <cellStyle name="40% - Accent3 5 5" xfId="3702" xr:uid="{00000000-0005-0000-0000-000023390000}"/>
    <cellStyle name="40% - Accent3 5 5 2" xfId="3703" xr:uid="{00000000-0005-0000-0000-000024390000}"/>
    <cellStyle name="40% - Accent3 5 5 2 2" xfId="15248" xr:uid="{00000000-0005-0000-0000-000025390000}"/>
    <cellStyle name="40% - Accent3 5 5 2 2 2" xfId="28797" xr:uid="{00000000-0005-0000-0000-000026390000}"/>
    <cellStyle name="40% - Accent3 5 5 2 3" xfId="21028" xr:uid="{00000000-0005-0000-0000-000027390000}"/>
    <cellStyle name="40% - Accent3 5 5 3" xfId="11068" xr:uid="{00000000-0005-0000-0000-000028390000}"/>
    <cellStyle name="40% - Accent3 5 5 3 2" xfId="25010" xr:uid="{00000000-0005-0000-0000-000029390000}"/>
    <cellStyle name="40% - Accent3 5 5 4" xfId="21027" xr:uid="{00000000-0005-0000-0000-00002A390000}"/>
    <cellStyle name="40% - Accent3 5 6" xfId="3704" xr:uid="{00000000-0005-0000-0000-00002B390000}"/>
    <cellStyle name="40% - Accent3 5 6 2" xfId="11802" xr:uid="{00000000-0005-0000-0000-00002C390000}"/>
    <cellStyle name="40% - Accent3 5 6 2 2" xfId="25517" xr:uid="{00000000-0005-0000-0000-00002D390000}"/>
    <cellStyle name="40% - Accent3 5 6 3" xfId="21029" xr:uid="{00000000-0005-0000-0000-00002E390000}"/>
    <cellStyle name="40% - Accent3 5 7" xfId="3705" xr:uid="{00000000-0005-0000-0000-00002F390000}"/>
    <cellStyle name="40% - Accent3 5 7 2" xfId="12841" xr:uid="{00000000-0005-0000-0000-000030390000}"/>
    <cellStyle name="40% - Accent3 5 7 2 2" xfId="26553" xr:uid="{00000000-0005-0000-0000-000031390000}"/>
    <cellStyle name="40% - Accent3 5 7 3" xfId="21030" xr:uid="{00000000-0005-0000-0000-000032390000}"/>
    <cellStyle name="40% - Accent3 5 8" xfId="3706" xr:uid="{00000000-0005-0000-0000-000033390000}"/>
    <cellStyle name="40% - Accent3 5 8 2" xfId="13403" xr:uid="{00000000-0005-0000-0000-000034390000}"/>
    <cellStyle name="40% - Accent3 5 8 2 2" xfId="26952" xr:uid="{00000000-0005-0000-0000-000035390000}"/>
    <cellStyle name="40% - Accent3 5 8 3" xfId="21031" xr:uid="{00000000-0005-0000-0000-000036390000}"/>
    <cellStyle name="40% - Accent3 5 9" xfId="3707" xr:uid="{00000000-0005-0000-0000-000037390000}"/>
    <cellStyle name="40% - Accent3 5 9 2" xfId="13984" xr:uid="{00000000-0005-0000-0000-000038390000}"/>
    <cellStyle name="40% - Accent3 5 9 2 2" xfId="27533" xr:uid="{00000000-0005-0000-0000-000039390000}"/>
    <cellStyle name="40% - Accent3 5 9 3" xfId="21032" xr:uid="{00000000-0005-0000-0000-00003A390000}"/>
    <cellStyle name="40% - Accent3 6" xfId="3708" xr:uid="{00000000-0005-0000-0000-00003B390000}"/>
    <cellStyle name="40% - Accent3 6 10" xfId="3709" xr:uid="{00000000-0005-0000-0000-00003C390000}"/>
    <cellStyle name="40% - Accent3 6 10 2" xfId="15249" xr:uid="{00000000-0005-0000-0000-00003D390000}"/>
    <cellStyle name="40% - Accent3 6 10 2 2" xfId="28798" xr:uid="{00000000-0005-0000-0000-00003E390000}"/>
    <cellStyle name="40% - Accent3 6 10 3" xfId="21034" xr:uid="{00000000-0005-0000-0000-00003F390000}"/>
    <cellStyle name="40% - Accent3 6 11" xfId="3710" xr:uid="{00000000-0005-0000-0000-000040390000}"/>
    <cellStyle name="40% - Accent3 6 11 2" xfId="15976" xr:uid="{00000000-0005-0000-0000-000041390000}"/>
    <cellStyle name="40% - Accent3 6 11 2 2" xfId="29383" xr:uid="{00000000-0005-0000-0000-000042390000}"/>
    <cellStyle name="40% - Accent3 6 11 3" xfId="21035" xr:uid="{00000000-0005-0000-0000-000043390000}"/>
    <cellStyle name="40% - Accent3 6 12" xfId="9349" xr:uid="{00000000-0005-0000-0000-000044390000}"/>
    <cellStyle name="40% - Accent3 6 12 2" xfId="23824" xr:uid="{00000000-0005-0000-0000-000045390000}"/>
    <cellStyle name="40% - Accent3 6 13" xfId="21033" xr:uid="{00000000-0005-0000-0000-000046390000}"/>
    <cellStyle name="40% - Accent3 6 2" xfId="3711" xr:uid="{00000000-0005-0000-0000-000047390000}"/>
    <cellStyle name="40% - Accent3 6 2 10" xfId="3712" xr:uid="{00000000-0005-0000-0000-000048390000}"/>
    <cellStyle name="40% - Accent3 6 2 10 2" xfId="16119" xr:uid="{00000000-0005-0000-0000-000049390000}"/>
    <cellStyle name="40% - Accent3 6 2 10 2 2" xfId="29526" xr:uid="{00000000-0005-0000-0000-00004A390000}"/>
    <cellStyle name="40% - Accent3 6 2 10 3" xfId="21037" xr:uid="{00000000-0005-0000-0000-00004B390000}"/>
    <cellStyle name="40% - Accent3 6 2 11" xfId="9350" xr:uid="{00000000-0005-0000-0000-00004C390000}"/>
    <cellStyle name="40% - Accent3 6 2 11 2" xfId="23825" xr:uid="{00000000-0005-0000-0000-00004D390000}"/>
    <cellStyle name="40% - Accent3 6 2 12" xfId="21036" xr:uid="{00000000-0005-0000-0000-00004E390000}"/>
    <cellStyle name="40% - Accent3 6 2 2" xfId="3713" xr:uid="{00000000-0005-0000-0000-00004F390000}"/>
    <cellStyle name="40% - Accent3 6 2 2 10" xfId="9351" xr:uid="{00000000-0005-0000-0000-000050390000}"/>
    <cellStyle name="40% - Accent3 6 2 2 10 2" xfId="23826" xr:uid="{00000000-0005-0000-0000-000051390000}"/>
    <cellStyle name="40% - Accent3 6 2 2 11" xfId="21038" xr:uid="{00000000-0005-0000-0000-000052390000}"/>
    <cellStyle name="40% - Accent3 6 2 2 2" xfId="3714" xr:uid="{00000000-0005-0000-0000-000053390000}"/>
    <cellStyle name="40% - Accent3 6 2 2 2 2" xfId="3715" xr:uid="{00000000-0005-0000-0000-000054390000}"/>
    <cellStyle name="40% - Accent3 6 2 2 2 2 2" xfId="11079" xr:uid="{00000000-0005-0000-0000-000055390000}"/>
    <cellStyle name="40% - Accent3 6 2 2 2 2 2 2" xfId="25021" xr:uid="{00000000-0005-0000-0000-000056390000}"/>
    <cellStyle name="40% - Accent3 6 2 2 2 2 3" xfId="21040" xr:uid="{00000000-0005-0000-0000-000057390000}"/>
    <cellStyle name="40% - Accent3 6 2 2 2 3" xfId="3716" xr:uid="{00000000-0005-0000-0000-000058390000}"/>
    <cellStyle name="40% - Accent3 6 2 2 2 3 2" xfId="12852" xr:uid="{00000000-0005-0000-0000-000059390000}"/>
    <cellStyle name="40% - Accent3 6 2 2 2 3 2 2" xfId="26564" xr:uid="{00000000-0005-0000-0000-00005A390000}"/>
    <cellStyle name="40% - Accent3 6 2 2 2 3 3" xfId="21041" xr:uid="{00000000-0005-0000-0000-00005B390000}"/>
    <cellStyle name="40% - Accent3 6 2 2 2 4" xfId="3717" xr:uid="{00000000-0005-0000-0000-00005C390000}"/>
    <cellStyle name="40% - Accent3 6 2 2 2 4 2" xfId="15252" xr:uid="{00000000-0005-0000-0000-00005D390000}"/>
    <cellStyle name="40% - Accent3 6 2 2 2 4 2 2" xfId="28801" xr:uid="{00000000-0005-0000-0000-00005E390000}"/>
    <cellStyle name="40% - Accent3 6 2 2 2 4 3" xfId="21042" xr:uid="{00000000-0005-0000-0000-00005F390000}"/>
    <cellStyle name="40% - Accent3 6 2 2 2 5" xfId="3718" xr:uid="{00000000-0005-0000-0000-000060390000}"/>
    <cellStyle name="40% - Accent3 6 2 2 2 5 2" xfId="16989" xr:uid="{00000000-0005-0000-0000-000061390000}"/>
    <cellStyle name="40% - Accent3 6 2 2 2 5 2 2" xfId="30396" xr:uid="{00000000-0005-0000-0000-000062390000}"/>
    <cellStyle name="40% - Accent3 6 2 2 2 5 3" xfId="21043" xr:uid="{00000000-0005-0000-0000-000063390000}"/>
    <cellStyle name="40% - Accent3 6 2 2 2 6" xfId="9352" xr:uid="{00000000-0005-0000-0000-000064390000}"/>
    <cellStyle name="40% - Accent3 6 2 2 2 6 2" xfId="23827" xr:uid="{00000000-0005-0000-0000-000065390000}"/>
    <cellStyle name="40% - Accent3 6 2 2 2 7" xfId="21039" xr:uid="{00000000-0005-0000-0000-000066390000}"/>
    <cellStyle name="40% - Accent3 6 2 2 3" xfId="3719" xr:uid="{00000000-0005-0000-0000-000067390000}"/>
    <cellStyle name="40% - Accent3 6 2 2 3 2" xfId="3720" xr:uid="{00000000-0005-0000-0000-000068390000}"/>
    <cellStyle name="40% - Accent3 6 2 2 3 2 2" xfId="15253" xr:uid="{00000000-0005-0000-0000-000069390000}"/>
    <cellStyle name="40% - Accent3 6 2 2 3 2 2 2" xfId="28802" xr:uid="{00000000-0005-0000-0000-00006A390000}"/>
    <cellStyle name="40% - Accent3 6 2 2 3 2 3" xfId="21045" xr:uid="{00000000-0005-0000-0000-00006B390000}"/>
    <cellStyle name="40% - Accent3 6 2 2 3 3" xfId="11078" xr:uid="{00000000-0005-0000-0000-00006C390000}"/>
    <cellStyle name="40% - Accent3 6 2 2 3 3 2" xfId="25020" xr:uid="{00000000-0005-0000-0000-00006D390000}"/>
    <cellStyle name="40% - Accent3 6 2 2 3 4" xfId="21044" xr:uid="{00000000-0005-0000-0000-00006E390000}"/>
    <cellStyle name="40% - Accent3 6 2 2 4" xfId="3721" xr:uid="{00000000-0005-0000-0000-00006F390000}"/>
    <cellStyle name="40% - Accent3 6 2 2 4 2" xfId="12377" xr:uid="{00000000-0005-0000-0000-000070390000}"/>
    <cellStyle name="40% - Accent3 6 2 2 4 2 2" xfId="26089" xr:uid="{00000000-0005-0000-0000-000071390000}"/>
    <cellStyle name="40% - Accent3 6 2 2 4 3" xfId="21046" xr:uid="{00000000-0005-0000-0000-000072390000}"/>
    <cellStyle name="40% - Accent3 6 2 2 5" xfId="3722" xr:uid="{00000000-0005-0000-0000-000073390000}"/>
    <cellStyle name="40% - Accent3 6 2 2 5 2" xfId="12851" xr:uid="{00000000-0005-0000-0000-000074390000}"/>
    <cellStyle name="40% - Accent3 6 2 2 5 2 2" xfId="26563" xr:uid="{00000000-0005-0000-0000-000075390000}"/>
    <cellStyle name="40% - Accent3 6 2 2 5 3" xfId="21047" xr:uid="{00000000-0005-0000-0000-000076390000}"/>
    <cellStyle name="40% - Accent3 6 2 2 6" xfId="3723" xr:uid="{00000000-0005-0000-0000-000077390000}"/>
    <cellStyle name="40% - Accent3 6 2 2 6 2" xfId="13941" xr:uid="{00000000-0005-0000-0000-000078390000}"/>
    <cellStyle name="40% - Accent3 6 2 2 6 2 2" xfId="27490" xr:uid="{00000000-0005-0000-0000-000079390000}"/>
    <cellStyle name="40% - Accent3 6 2 2 6 3" xfId="21048" xr:uid="{00000000-0005-0000-0000-00007A390000}"/>
    <cellStyle name="40% - Accent3 6 2 2 7" xfId="3724" xr:uid="{00000000-0005-0000-0000-00007B390000}"/>
    <cellStyle name="40% - Accent3 6 2 2 7 2" xfId="14522" xr:uid="{00000000-0005-0000-0000-00007C390000}"/>
    <cellStyle name="40% - Accent3 6 2 2 7 2 2" xfId="28071" xr:uid="{00000000-0005-0000-0000-00007D390000}"/>
    <cellStyle name="40% - Accent3 6 2 2 7 3" xfId="21049" xr:uid="{00000000-0005-0000-0000-00007E390000}"/>
    <cellStyle name="40% - Accent3 6 2 2 8" xfId="3725" xr:uid="{00000000-0005-0000-0000-00007F390000}"/>
    <cellStyle name="40% - Accent3 6 2 2 8 2" xfId="15251" xr:uid="{00000000-0005-0000-0000-000080390000}"/>
    <cellStyle name="40% - Accent3 6 2 2 8 2 2" xfId="28800" xr:uid="{00000000-0005-0000-0000-000081390000}"/>
    <cellStyle name="40% - Accent3 6 2 2 8 3" xfId="21050" xr:uid="{00000000-0005-0000-0000-000082390000}"/>
    <cellStyle name="40% - Accent3 6 2 2 9" xfId="3726" xr:uid="{00000000-0005-0000-0000-000083390000}"/>
    <cellStyle name="40% - Accent3 6 2 2 9 2" xfId="16408" xr:uid="{00000000-0005-0000-0000-000084390000}"/>
    <cellStyle name="40% - Accent3 6 2 2 9 2 2" xfId="29815" xr:uid="{00000000-0005-0000-0000-000085390000}"/>
    <cellStyle name="40% - Accent3 6 2 2 9 3" xfId="21051" xr:uid="{00000000-0005-0000-0000-000086390000}"/>
    <cellStyle name="40% - Accent3 6 2 3" xfId="3727" xr:uid="{00000000-0005-0000-0000-000087390000}"/>
    <cellStyle name="40% - Accent3 6 2 3 2" xfId="3728" xr:uid="{00000000-0005-0000-0000-000088390000}"/>
    <cellStyle name="40% - Accent3 6 2 3 2 2" xfId="11080" xr:uid="{00000000-0005-0000-0000-000089390000}"/>
    <cellStyle name="40% - Accent3 6 2 3 2 2 2" xfId="25022" xr:uid="{00000000-0005-0000-0000-00008A390000}"/>
    <cellStyle name="40% - Accent3 6 2 3 2 3" xfId="21053" xr:uid="{00000000-0005-0000-0000-00008B390000}"/>
    <cellStyle name="40% - Accent3 6 2 3 3" xfId="3729" xr:uid="{00000000-0005-0000-0000-00008C390000}"/>
    <cellStyle name="40% - Accent3 6 2 3 3 2" xfId="12853" xr:uid="{00000000-0005-0000-0000-00008D390000}"/>
    <cellStyle name="40% - Accent3 6 2 3 3 2 2" xfId="26565" xr:uid="{00000000-0005-0000-0000-00008E390000}"/>
    <cellStyle name="40% - Accent3 6 2 3 3 3" xfId="21054" xr:uid="{00000000-0005-0000-0000-00008F390000}"/>
    <cellStyle name="40% - Accent3 6 2 3 4" xfId="3730" xr:uid="{00000000-0005-0000-0000-000090390000}"/>
    <cellStyle name="40% - Accent3 6 2 3 4 2" xfId="15254" xr:uid="{00000000-0005-0000-0000-000091390000}"/>
    <cellStyle name="40% - Accent3 6 2 3 4 2 2" xfId="28803" xr:uid="{00000000-0005-0000-0000-000092390000}"/>
    <cellStyle name="40% - Accent3 6 2 3 4 3" xfId="21055" xr:uid="{00000000-0005-0000-0000-000093390000}"/>
    <cellStyle name="40% - Accent3 6 2 3 5" xfId="3731" xr:uid="{00000000-0005-0000-0000-000094390000}"/>
    <cellStyle name="40% - Accent3 6 2 3 5 2" xfId="16700" xr:uid="{00000000-0005-0000-0000-000095390000}"/>
    <cellStyle name="40% - Accent3 6 2 3 5 2 2" xfId="30107" xr:uid="{00000000-0005-0000-0000-000096390000}"/>
    <cellStyle name="40% - Accent3 6 2 3 5 3" xfId="21056" xr:uid="{00000000-0005-0000-0000-000097390000}"/>
    <cellStyle name="40% - Accent3 6 2 3 6" xfId="9353" xr:uid="{00000000-0005-0000-0000-000098390000}"/>
    <cellStyle name="40% - Accent3 6 2 3 6 2" xfId="23828" xr:uid="{00000000-0005-0000-0000-000099390000}"/>
    <cellStyle name="40% - Accent3 6 2 3 7" xfId="21052" xr:uid="{00000000-0005-0000-0000-00009A390000}"/>
    <cellStyle name="40% - Accent3 6 2 4" xfId="3732" xr:uid="{00000000-0005-0000-0000-00009B390000}"/>
    <cellStyle name="40% - Accent3 6 2 4 2" xfId="3733" xr:uid="{00000000-0005-0000-0000-00009C390000}"/>
    <cellStyle name="40% - Accent3 6 2 4 2 2" xfId="15255" xr:uid="{00000000-0005-0000-0000-00009D390000}"/>
    <cellStyle name="40% - Accent3 6 2 4 2 2 2" xfId="28804" xr:uid="{00000000-0005-0000-0000-00009E390000}"/>
    <cellStyle name="40% - Accent3 6 2 4 2 3" xfId="21058" xr:uid="{00000000-0005-0000-0000-00009F390000}"/>
    <cellStyle name="40% - Accent3 6 2 4 3" xfId="11077" xr:uid="{00000000-0005-0000-0000-0000A0390000}"/>
    <cellStyle name="40% - Accent3 6 2 4 3 2" xfId="25019" xr:uid="{00000000-0005-0000-0000-0000A1390000}"/>
    <cellStyle name="40% - Accent3 6 2 4 4" xfId="21057" xr:uid="{00000000-0005-0000-0000-0000A2390000}"/>
    <cellStyle name="40% - Accent3 6 2 5" xfId="3734" xr:uid="{00000000-0005-0000-0000-0000A3390000}"/>
    <cellStyle name="40% - Accent3 6 2 5 2" xfId="12077" xr:uid="{00000000-0005-0000-0000-0000A4390000}"/>
    <cellStyle name="40% - Accent3 6 2 5 2 2" xfId="25792" xr:uid="{00000000-0005-0000-0000-0000A5390000}"/>
    <cellStyle name="40% - Accent3 6 2 5 3" xfId="21059" xr:uid="{00000000-0005-0000-0000-0000A6390000}"/>
    <cellStyle name="40% - Accent3 6 2 6" xfId="3735" xr:uid="{00000000-0005-0000-0000-0000A7390000}"/>
    <cellStyle name="40% - Accent3 6 2 6 2" xfId="12850" xr:uid="{00000000-0005-0000-0000-0000A8390000}"/>
    <cellStyle name="40% - Accent3 6 2 6 2 2" xfId="26562" xr:uid="{00000000-0005-0000-0000-0000A9390000}"/>
    <cellStyle name="40% - Accent3 6 2 6 3" xfId="21060" xr:uid="{00000000-0005-0000-0000-0000AA390000}"/>
    <cellStyle name="40% - Accent3 6 2 7" xfId="3736" xr:uid="{00000000-0005-0000-0000-0000AB390000}"/>
    <cellStyle name="40% - Accent3 6 2 7 2" xfId="13652" xr:uid="{00000000-0005-0000-0000-0000AC390000}"/>
    <cellStyle name="40% - Accent3 6 2 7 2 2" xfId="27201" xr:uid="{00000000-0005-0000-0000-0000AD390000}"/>
    <cellStyle name="40% - Accent3 6 2 7 3" xfId="21061" xr:uid="{00000000-0005-0000-0000-0000AE390000}"/>
    <cellStyle name="40% - Accent3 6 2 8" xfId="3737" xr:uid="{00000000-0005-0000-0000-0000AF390000}"/>
    <cellStyle name="40% - Accent3 6 2 8 2" xfId="14233" xr:uid="{00000000-0005-0000-0000-0000B0390000}"/>
    <cellStyle name="40% - Accent3 6 2 8 2 2" xfId="27782" xr:uid="{00000000-0005-0000-0000-0000B1390000}"/>
    <cellStyle name="40% - Accent3 6 2 8 3" xfId="21062" xr:uid="{00000000-0005-0000-0000-0000B2390000}"/>
    <cellStyle name="40% - Accent3 6 2 9" xfId="3738" xr:uid="{00000000-0005-0000-0000-0000B3390000}"/>
    <cellStyle name="40% - Accent3 6 2 9 2" xfId="15250" xr:uid="{00000000-0005-0000-0000-0000B4390000}"/>
    <cellStyle name="40% - Accent3 6 2 9 2 2" xfId="28799" xr:uid="{00000000-0005-0000-0000-0000B5390000}"/>
    <cellStyle name="40% - Accent3 6 2 9 3" xfId="21063" xr:uid="{00000000-0005-0000-0000-0000B6390000}"/>
    <cellStyle name="40% - Accent3 6 3" xfId="3739" xr:uid="{00000000-0005-0000-0000-0000B7390000}"/>
    <cellStyle name="40% - Accent3 6 3 10" xfId="9354" xr:uid="{00000000-0005-0000-0000-0000B8390000}"/>
    <cellStyle name="40% - Accent3 6 3 10 2" xfId="23829" xr:uid="{00000000-0005-0000-0000-0000B9390000}"/>
    <cellStyle name="40% - Accent3 6 3 11" xfId="21064" xr:uid="{00000000-0005-0000-0000-0000BA390000}"/>
    <cellStyle name="40% - Accent3 6 3 2" xfId="3740" xr:uid="{00000000-0005-0000-0000-0000BB390000}"/>
    <cellStyle name="40% - Accent3 6 3 2 2" xfId="3741" xr:uid="{00000000-0005-0000-0000-0000BC390000}"/>
    <cellStyle name="40% - Accent3 6 3 2 2 2" xfId="11082" xr:uid="{00000000-0005-0000-0000-0000BD390000}"/>
    <cellStyle name="40% - Accent3 6 3 2 2 2 2" xfId="25024" xr:uid="{00000000-0005-0000-0000-0000BE390000}"/>
    <cellStyle name="40% - Accent3 6 3 2 2 3" xfId="21066" xr:uid="{00000000-0005-0000-0000-0000BF390000}"/>
    <cellStyle name="40% - Accent3 6 3 2 3" xfId="3742" xr:uid="{00000000-0005-0000-0000-0000C0390000}"/>
    <cellStyle name="40% - Accent3 6 3 2 3 2" xfId="12855" xr:uid="{00000000-0005-0000-0000-0000C1390000}"/>
    <cellStyle name="40% - Accent3 6 3 2 3 2 2" xfId="26567" xr:uid="{00000000-0005-0000-0000-0000C2390000}"/>
    <cellStyle name="40% - Accent3 6 3 2 3 3" xfId="21067" xr:uid="{00000000-0005-0000-0000-0000C3390000}"/>
    <cellStyle name="40% - Accent3 6 3 2 4" xfId="3743" xr:uid="{00000000-0005-0000-0000-0000C4390000}"/>
    <cellStyle name="40% - Accent3 6 3 2 4 2" xfId="15257" xr:uid="{00000000-0005-0000-0000-0000C5390000}"/>
    <cellStyle name="40% - Accent3 6 3 2 4 2 2" xfId="28806" xr:uid="{00000000-0005-0000-0000-0000C6390000}"/>
    <cellStyle name="40% - Accent3 6 3 2 4 3" xfId="21068" xr:uid="{00000000-0005-0000-0000-0000C7390000}"/>
    <cellStyle name="40% - Accent3 6 3 2 5" xfId="3744" xr:uid="{00000000-0005-0000-0000-0000C8390000}"/>
    <cellStyle name="40% - Accent3 6 3 2 5 2" xfId="16846" xr:uid="{00000000-0005-0000-0000-0000C9390000}"/>
    <cellStyle name="40% - Accent3 6 3 2 5 2 2" xfId="30253" xr:uid="{00000000-0005-0000-0000-0000CA390000}"/>
    <cellStyle name="40% - Accent3 6 3 2 5 3" xfId="21069" xr:uid="{00000000-0005-0000-0000-0000CB390000}"/>
    <cellStyle name="40% - Accent3 6 3 2 6" xfId="9355" xr:uid="{00000000-0005-0000-0000-0000CC390000}"/>
    <cellStyle name="40% - Accent3 6 3 2 6 2" xfId="23830" xr:uid="{00000000-0005-0000-0000-0000CD390000}"/>
    <cellStyle name="40% - Accent3 6 3 2 7" xfId="21065" xr:uid="{00000000-0005-0000-0000-0000CE390000}"/>
    <cellStyle name="40% - Accent3 6 3 3" xfId="3745" xr:uid="{00000000-0005-0000-0000-0000CF390000}"/>
    <cellStyle name="40% - Accent3 6 3 3 2" xfId="3746" xr:uid="{00000000-0005-0000-0000-0000D0390000}"/>
    <cellStyle name="40% - Accent3 6 3 3 2 2" xfId="15258" xr:uid="{00000000-0005-0000-0000-0000D1390000}"/>
    <cellStyle name="40% - Accent3 6 3 3 2 2 2" xfId="28807" xr:uid="{00000000-0005-0000-0000-0000D2390000}"/>
    <cellStyle name="40% - Accent3 6 3 3 2 3" xfId="21071" xr:uid="{00000000-0005-0000-0000-0000D3390000}"/>
    <cellStyle name="40% - Accent3 6 3 3 3" xfId="11081" xr:uid="{00000000-0005-0000-0000-0000D4390000}"/>
    <cellStyle name="40% - Accent3 6 3 3 3 2" xfId="25023" xr:uid="{00000000-0005-0000-0000-0000D5390000}"/>
    <cellStyle name="40% - Accent3 6 3 3 4" xfId="21070" xr:uid="{00000000-0005-0000-0000-0000D6390000}"/>
    <cellStyle name="40% - Accent3 6 3 4" xfId="3747" xr:uid="{00000000-0005-0000-0000-0000D7390000}"/>
    <cellStyle name="40% - Accent3 6 3 4 2" xfId="12234" xr:uid="{00000000-0005-0000-0000-0000D8390000}"/>
    <cellStyle name="40% - Accent3 6 3 4 2 2" xfId="25946" xr:uid="{00000000-0005-0000-0000-0000D9390000}"/>
    <cellStyle name="40% - Accent3 6 3 4 3" xfId="21072" xr:uid="{00000000-0005-0000-0000-0000DA390000}"/>
    <cellStyle name="40% - Accent3 6 3 5" xfId="3748" xr:uid="{00000000-0005-0000-0000-0000DB390000}"/>
    <cellStyle name="40% - Accent3 6 3 5 2" xfId="12854" xr:uid="{00000000-0005-0000-0000-0000DC390000}"/>
    <cellStyle name="40% - Accent3 6 3 5 2 2" xfId="26566" xr:uid="{00000000-0005-0000-0000-0000DD390000}"/>
    <cellStyle name="40% - Accent3 6 3 5 3" xfId="21073" xr:uid="{00000000-0005-0000-0000-0000DE390000}"/>
    <cellStyle name="40% - Accent3 6 3 6" xfId="3749" xr:uid="{00000000-0005-0000-0000-0000DF390000}"/>
    <cellStyle name="40% - Accent3 6 3 6 2" xfId="13798" xr:uid="{00000000-0005-0000-0000-0000E0390000}"/>
    <cellStyle name="40% - Accent3 6 3 6 2 2" xfId="27347" xr:uid="{00000000-0005-0000-0000-0000E1390000}"/>
    <cellStyle name="40% - Accent3 6 3 6 3" xfId="21074" xr:uid="{00000000-0005-0000-0000-0000E2390000}"/>
    <cellStyle name="40% - Accent3 6 3 7" xfId="3750" xr:uid="{00000000-0005-0000-0000-0000E3390000}"/>
    <cellStyle name="40% - Accent3 6 3 7 2" xfId="14379" xr:uid="{00000000-0005-0000-0000-0000E4390000}"/>
    <cellStyle name="40% - Accent3 6 3 7 2 2" xfId="27928" xr:uid="{00000000-0005-0000-0000-0000E5390000}"/>
    <cellStyle name="40% - Accent3 6 3 7 3" xfId="21075" xr:uid="{00000000-0005-0000-0000-0000E6390000}"/>
    <cellStyle name="40% - Accent3 6 3 8" xfId="3751" xr:uid="{00000000-0005-0000-0000-0000E7390000}"/>
    <cellStyle name="40% - Accent3 6 3 8 2" xfId="15256" xr:uid="{00000000-0005-0000-0000-0000E8390000}"/>
    <cellStyle name="40% - Accent3 6 3 8 2 2" xfId="28805" xr:uid="{00000000-0005-0000-0000-0000E9390000}"/>
    <cellStyle name="40% - Accent3 6 3 8 3" xfId="21076" xr:uid="{00000000-0005-0000-0000-0000EA390000}"/>
    <cellStyle name="40% - Accent3 6 3 9" xfId="3752" xr:uid="{00000000-0005-0000-0000-0000EB390000}"/>
    <cellStyle name="40% - Accent3 6 3 9 2" xfId="16265" xr:uid="{00000000-0005-0000-0000-0000EC390000}"/>
    <cellStyle name="40% - Accent3 6 3 9 2 2" xfId="29672" xr:uid="{00000000-0005-0000-0000-0000ED390000}"/>
    <cellStyle name="40% - Accent3 6 3 9 3" xfId="21077" xr:uid="{00000000-0005-0000-0000-0000EE390000}"/>
    <cellStyle name="40% - Accent3 6 4" xfId="3753" xr:uid="{00000000-0005-0000-0000-0000EF390000}"/>
    <cellStyle name="40% - Accent3 6 4 2" xfId="3754" xr:uid="{00000000-0005-0000-0000-0000F0390000}"/>
    <cellStyle name="40% - Accent3 6 4 2 2" xfId="11083" xr:uid="{00000000-0005-0000-0000-0000F1390000}"/>
    <cellStyle name="40% - Accent3 6 4 2 2 2" xfId="25025" xr:uid="{00000000-0005-0000-0000-0000F2390000}"/>
    <cellStyle name="40% - Accent3 6 4 2 3" xfId="21079" xr:uid="{00000000-0005-0000-0000-0000F3390000}"/>
    <cellStyle name="40% - Accent3 6 4 3" xfId="3755" xr:uid="{00000000-0005-0000-0000-0000F4390000}"/>
    <cellStyle name="40% - Accent3 6 4 3 2" xfId="12856" xr:uid="{00000000-0005-0000-0000-0000F5390000}"/>
    <cellStyle name="40% - Accent3 6 4 3 2 2" xfId="26568" xr:uid="{00000000-0005-0000-0000-0000F6390000}"/>
    <cellStyle name="40% - Accent3 6 4 3 3" xfId="21080" xr:uid="{00000000-0005-0000-0000-0000F7390000}"/>
    <cellStyle name="40% - Accent3 6 4 4" xfId="3756" xr:uid="{00000000-0005-0000-0000-0000F8390000}"/>
    <cellStyle name="40% - Accent3 6 4 4 2" xfId="15259" xr:uid="{00000000-0005-0000-0000-0000F9390000}"/>
    <cellStyle name="40% - Accent3 6 4 4 2 2" xfId="28808" xr:uid="{00000000-0005-0000-0000-0000FA390000}"/>
    <cellStyle name="40% - Accent3 6 4 4 3" xfId="21081" xr:uid="{00000000-0005-0000-0000-0000FB390000}"/>
    <cellStyle name="40% - Accent3 6 4 5" xfId="3757" xr:uid="{00000000-0005-0000-0000-0000FC390000}"/>
    <cellStyle name="40% - Accent3 6 4 5 2" xfId="16557" xr:uid="{00000000-0005-0000-0000-0000FD390000}"/>
    <cellStyle name="40% - Accent3 6 4 5 2 2" xfId="29964" xr:uid="{00000000-0005-0000-0000-0000FE390000}"/>
    <cellStyle name="40% - Accent3 6 4 5 3" xfId="21082" xr:uid="{00000000-0005-0000-0000-0000FF390000}"/>
    <cellStyle name="40% - Accent3 6 4 6" xfId="9356" xr:uid="{00000000-0005-0000-0000-0000003A0000}"/>
    <cellStyle name="40% - Accent3 6 4 6 2" xfId="23831" xr:uid="{00000000-0005-0000-0000-0000013A0000}"/>
    <cellStyle name="40% - Accent3 6 4 7" xfId="21078" xr:uid="{00000000-0005-0000-0000-0000023A0000}"/>
    <cellStyle name="40% - Accent3 6 5" xfId="3758" xr:uid="{00000000-0005-0000-0000-0000033A0000}"/>
    <cellStyle name="40% - Accent3 6 5 2" xfId="3759" xr:uid="{00000000-0005-0000-0000-0000043A0000}"/>
    <cellStyle name="40% - Accent3 6 5 2 2" xfId="15260" xr:uid="{00000000-0005-0000-0000-0000053A0000}"/>
    <cellStyle name="40% - Accent3 6 5 2 2 2" xfId="28809" xr:uid="{00000000-0005-0000-0000-0000063A0000}"/>
    <cellStyle name="40% - Accent3 6 5 2 3" xfId="21084" xr:uid="{00000000-0005-0000-0000-0000073A0000}"/>
    <cellStyle name="40% - Accent3 6 5 3" xfId="11076" xr:uid="{00000000-0005-0000-0000-0000083A0000}"/>
    <cellStyle name="40% - Accent3 6 5 3 2" xfId="25018" xr:uid="{00000000-0005-0000-0000-0000093A0000}"/>
    <cellStyle name="40% - Accent3 6 5 4" xfId="21083" xr:uid="{00000000-0005-0000-0000-00000A3A0000}"/>
    <cellStyle name="40% - Accent3 6 6" xfId="3760" xr:uid="{00000000-0005-0000-0000-00000B3A0000}"/>
    <cellStyle name="40% - Accent3 6 6 2" xfId="11932" xr:uid="{00000000-0005-0000-0000-00000C3A0000}"/>
    <cellStyle name="40% - Accent3 6 6 2 2" xfId="25647" xr:uid="{00000000-0005-0000-0000-00000D3A0000}"/>
    <cellStyle name="40% - Accent3 6 6 3" xfId="21085" xr:uid="{00000000-0005-0000-0000-00000E3A0000}"/>
    <cellStyle name="40% - Accent3 6 7" xfId="3761" xr:uid="{00000000-0005-0000-0000-00000F3A0000}"/>
    <cellStyle name="40% - Accent3 6 7 2" xfId="12849" xr:uid="{00000000-0005-0000-0000-0000103A0000}"/>
    <cellStyle name="40% - Accent3 6 7 2 2" xfId="26561" xr:uid="{00000000-0005-0000-0000-0000113A0000}"/>
    <cellStyle name="40% - Accent3 6 7 3" xfId="21086" xr:uid="{00000000-0005-0000-0000-0000123A0000}"/>
    <cellStyle name="40% - Accent3 6 8" xfId="3762" xr:uid="{00000000-0005-0000-0000-0000133A0000}"/>
    <cellStyle name="40% - Accent3 6 8 2" xfId="13509" xr:uid="{00000000-0005-0000-0000-0000143A0000}"/>
    <cellStyle name="40% - Accent3 6 8 2 2" xfId="27058" xr:uid="{00000000-0005-0000-0000-0000153A0000}"/>
    <cellStyle name="40% - Accent3 6 8 3" xfId="21087" xr:uid="{00000000-0005-0000-0000-0000163A0000}"/>
    <cellStyle name="40% - Accent3 6 9" xfId="3763" xr:uid="{00000000-0005-0000-0000-0000173A0000}"/>
    <cellStyle name="40% - Accent3 6 9 2" xfId="14090" xr:uid="{00000000-0005-0000-0000-0000183A0000}"/>
    <cellStyle name="40% - Accent3 6 9 2 2" xfId="27639" xr:uid="{00000000-0005-0000-0000-0000193A0000}"/>
    <cellStyle name="40% - Accent3 6 9 3" xfId="21088" xr:uid="{00000000-0005-0000-0000-00001A3A0000}"/>
    <cellStyle name="40% - Accent3 7" xfId="3764" xr:uid="{00000000-0005-0000-0000-00001B3A0000}"/>
    <cellStyle name="40% - Accent3 7 10" xfId="3765" xr:uid="{00000000-0005-0000-0000-00001C3A0000}"/>
    <cellStyle name="40% - Accent3 7 10 2" xfId="15993" xr:uid="{00000000-0005-0000-0000-00001D3A0000}"/>
    <cellStyle name="40% - Accent3 7 10 2 2" xfId="29400" xr:uid="{00000000-0005-0000-0000-00001E3A0000}"/>
    <cellStyle name="40% - Accent3 7 10 3" xfId="21090" xr:uid="{00000000-0005-0000-0000-00001F3A0000}"/>
    <cellStyle name="40% - Accent3 7 11" xfId="9357" xr:uid="{00000000-0005-0000-0000-0000203A0000}"/>
    <cellStyle name="40% - Accent3 7 11 2" xfId="23832" xr:uid="{00000000-0005-0000-0000-0000213A0000}"/>
    <cellStyle name="40% - Accent3 7 12" xfId="21089" xr:uid="{00000000-0005-0000-0000-0000223A0000}"/>
    <cellStyle name="40% - Accent3 7 2" xfId="3766" xr:uid="{00000000-0005-0000-0000-0000233A0000}"/>
    <cellStyle name="40% - Accent3 7 2 10" xfId="9358" xr:uid="{00000000-0005-0000-0000-0000243A0000}"/>
    <cellStyle name="40% - Accent3 7 2 10 2" xfId="23833" xr:uid="{00000000-0005-0000-0000-0000253A0000}"/>
    <cellStyle name="40% - Accent3 7 2 11" xfId="21091" xr:uid="{00000000-0005-0000-0000-0000263A0000}"/>
    <cellStyle name="40% - Accent3 7 2 2" xfId="3767" xr:uid="{00000000-0005-0000-0000-0000273A0000}"/>
    <cellStyle name="40% - Accent3 7 2 2 2" xfId="3768" xr:uid="{00000000-0005-0000-0000-0000283A0000}"/>
    <cellStyle name="40% - Accent3 7 2 2 2 2" xfId="11086" xr:uid="{00000000-0005-0000-0000-0000293A0000}"/>
    <cellStyle name="40% - Accent3 7 2 2 2 2 2" xfId="25028" xr:uid="{00000000-0005-0000-0000-00002A3A0000}"/>
    <cellStyle name="40% - Accent3 7 2 2 2 3" xfId="21093" xr:uid="{00000000-0005-0000-0000-00002B3A0000}"/>
    <cellStyle name="40% - Accent3 7 2 2 3" xfId="3769" xr:uid="{00000000-0005-0000-0000-00002C3A0000}"/>
    <cellStyle name="40% - Accent3 7 2 2 3 2" xfId="12859" xr:uid="{00000000-0005-0000-0000-00002D3A0000}"/>
    <cellStyle name="40% - Accent3 7 2 2 3 2 2" xfId="26571" xr:uid="{00000000-0005-0000-0000-00002E3A0000}"/>
    <cellStyle name="40% - Accent3 7 2 2 3 3" xfId="21094" xr:uid="{00000000-0005-0000-0000-00002F3A0000}"/>
    <cellStyle name="40% - Accent3 7 2 2 4" xfId="3770" xr:uid="{00000000-0005-0000-0000-0000303A0000}"/>
    <cellStyle name="40% - Accent3 7 2 2 4 2" xfId="15263" xr:uid="{00000000-0005-0000-0000-0000313A0000}"/>
    <cellStyle name="40% - Accent3 7 2 2 4 2 2" xfId="28812" xr:uid="{00000000-0005-0000-0000-0000323A0000}"/>
    <cellStyle name="40% - Accent3 7 2 2 4 3" xfId="21095" xr:uid="{00000000-0005-0000-0000-0000333A0000}"/>
    <cellStyle name="40% - Accent3 7 2 2 5" xfId="3771" xr:uid="{00000000-0005-0000-0000-0000343A0000}"/>
    <cellStyle name="40% - Accent3 7 2 2 5 2" xfId="16863" xr:uid="{00000000-0005-0000-0000-0000353A0000}"/>
    <cellStyle name="40% - Accent3 7 2 2 5 2 2" xfId="30270" xr:uid="{00000000-0005-0000-0000-0000363A0000}"/>
    <cellStyle name="40% - Accent3 7 2 2 5 3" xfId="21096" xr:uid="{00000000-0005-0000-0000-0000373A0000}"/>
    <cellStyle name="40% - Accent3 7 2 2 6" xfId="9359" xr:uid="{00000000-0005-0000-0000-0000383A0000}"/>
    <cellStyle name="40% - Accent3 7 2 2 6 2" xfId="23834" xr:uid="{00000000-0005-0000-0000-0000393A0000}"/>
    <cellStyle name="40% - Accent3 7 2 2 7" xfId="21092" xr:uid="{00000000-0005-0000-0000-00003A3A0000}"/>
    <cellStyle name="40% - Accent3 7 2 3" xfId="3772" xr:uid="{00000000-0005-0000-0000-00003B3A0000}"/>
    <cellStyle name="40% - Accent3 7 2 3 2" xfId="3773" xr:uid="{00000000-0005-0000-0000-00003C3A0000}"/>
    <cellStyle name="40% - Accent3 7 2 3 2 2" xfId="15264" xr:uid="{00000000-0005-0000-0000-00003D3A0000}"/>
    <cellStyle name="40% - Accent3 7 2 3 2 2 2" xfId="28813" xr:uid="{00000000-0005-0000-0000-00003E3A0000}"/>
    <cellStyle name="40% - Accent3 7 2 3 2 3" xfId="21098" xr:uid="{00000000-0005-0000-0000-00003F3A0000}"/>
    <cellStyle name="40% - Accent3 7 2 3 3" xfId="11085" xr:uid="{00000000-0005-0000-0000-0000403A0000}"/>
    <cellStyle name="40% - Accent3 7 2 3 3 2" xfId="25027" xr:uid="{00000000-0005-0000-0000-0000413A0000}"/>
    <cellStyle name="40% - Accent3 7 2 3 4" xfId="21097" xr:uid="{00000000-0005-0000-0000-0000423A0000}"/>
    <cellStyle name="40% - Accent3 7 2 4" xfId="3774" xr:uid="{00000000-0005-0000-0000-0000433A0000}"/>
    <cellStyle name="40% - Accent3 7 2 4 2" xfId="12251" xr:uid="{00000000-0005-0000-0000-0000443A0000}"/>
    <cellStyle name="40% - Accent3 7 2 4 2 2" xfId="25963" xr:uid="{00000000-0005-0000-0000-0000453A0000}"/>
    <cellStyle name="40% - Accent3 7 2 4 3" xfId="21099" xr:uid="{00000000-0005-0000-0000-0000463A0000}"/>
    <cellStyle name="40% - Accent3 7 2 5" xfId="3775" xr:uid="{00000000-0005-0000-0000-0000473A0000}"/>
    <cellStyle name="40% - Accent3 7 2 5 2" xfId="12858" xr:uid="{00000000-0005-0000-0000-0000483A0000}"/>
    <cellStyle name="40% - Accent3 7 2 5 2 2" xfId="26570" xr:uid="{00000000-0005-0000-0000-0000493A0000}"/>
    <cellStyle name="40% - Accent3 7 2 5 3" xfId="21100" xr:uid="{00000000-0005-0000-0000-00004A3A0000}"/>
    <cellStyle name="40% - Accent3 7 2 6" xfId="3776" xr:uid="{00000000-0005-0000-0000-00004B3A0000}"/>
    <cellStyle name="40% - Accent3 7 2 6 2" xfId="13815" xr:uid="{00000000-0005-0000-0000-00004C3A0000}"/>
    <cellStyle name="40% - Accent3 7 2 6 2 2" xfId="27364" xr:uid="{00000000-0005-0000-0000-00004D3A0000}"/>
    <cellStyle name="40% - Accent3 7 2 6 3" xfId="21101" xr:uid="{00000000-0005-0000-0000-00004E3A0000}"/>
    <cellStyle name="40% - Accent3 7 2 7" xfId="3777" xr:uid="{00000000-0005-0000-0000-00004F3A0000}"/>
    <cellStyle name="40% - Accent3 7 2 7 2" xfId="14396" xr:uid="{00000000-0005-0000-0000-0000503A0000}"/>
    <cellStyle name="40% - Accent3 7 2 7 2 2" xfId="27945" xr:uid="{00000000-0005-0000-0000-0000513A0000}"/>
    <cellStyle name="40% - Accent3 7 2 7 3" xfId="21102" xr:uid="{00000000-0005-0000-0000-0000523A0000}"/>
    <cellStyle name="40% - Accent3 7 2 8" xfId="3778" xr:uid="{00000000-0005-0000-0000-0000533A0000}"/>
    <cellStyle name="40% - Accent3 7 2 8 2" xfId="15262" xr:uid="{00000000-0005-0000-0000-0000543A0000}"/>
    <cellStyle name="40% - Accent3 7 2 8 2 2" xfId="28811" xr:uid="{00000000-0005-0000-0000-0000553A0000}"/>
    <cellStyle name="40% - Accent3 7 2 8 3" xfId="21103" xr:uid="{00000000-0005-0000-0000-0000563A0000}"/>
    <cellStyle name="40% - Accent3 7 2 9" xfId="3779" xr:uid="{00000000-0005-0000-0000-0000573A0000}"/>
    <cellStyle name="40% - Accent3 7 2 9 2" xfId="16282" xr:uid="{00000000-0005-0000-0000-0000583A0000}"/>
    <cellStyle name="40% - Accent3 7 2 9 2 2" xfId="29689" xr:uid="{00000000-0005-0000-0000-0000593A0000}"/>
    <cellStyle name="40% - Accent3 7 2 9 3" xfId="21104" xr:uid="{00000000-0005-0000-0000-00005A3A0000}"/>
    <cellStyle name="40% - Accent3 7 3" xfId="3780" xr:uid="{00000000-0005-0000-0000-00005B3A0000}"/>
    <cellStyle name="40% - Accent3 7 3 2" xfId="3781" xr:uid="{00000000-0005-0000-0000-00005C3A0000}"/>
    <cellStyle name="40% - Accent3 7 3 2 2" xfId="11087" xr:uid="{00000000-0005-0000-0000-00005D3A0000}"/>
    <cellStyle name="40% - Accent3 7 3 2 2 2" xfId="25029" xr:uid="{00000000-0005-0000-0000-00005E3A0000}"/>
    <cellStyle name="40% - Accent3 7 3 2 3" xfId="21106" xr:uid="{00000000-0005-0000-0000-00005F3A0000}"/>
    <cellStyle name="40% - Accent3 7 3 3" xfId="3782" xr:uid="{00000000-0005-0000-0000-0000603A0000}"/>
    <cellStyle name="40% - Accent3 7 3 3 2" xfId="12860" xr:uid="{00000000-0005-0000-0000-0000613A0000}"/>
    <cellStyle name="40% - Accent3 7 3 3 2 2" xfId="26572" xr:uid="{00000000-0005-0000-0000-0000623A0000}"/>
    <cellStyle name="40% - Accent3 7 3 3 3" xfId="21107" xr:uid="{00000000-0005-0000-0000-0000633A0000}"/>
    <cellStyle name="40% - Accent3 7 3 4" xfId="3783" xr:uid="{00000000-0005-0000-0000-0000643A0000}"/>
    <cellStyle name="40% - Accent3 7 3 4 2" xfId="15265" xr:uid="{00000000-0005-0000-0000-0000653A0000}"/>
    <cellStyle name="40% - Accent3 7 3 4 2 2" xfId="28814" xr:uid="{00000000-0005-0000-0000-0000663A0000}"/>
    <cellStyle name="40% - Accent3 7 3 4 3" xfId="21108" xr:uid="{00000000-0005-0000-0000-0000673A0000}"/>
    <cellStyle name="40% - Accent3 7 3 5" xfId="3784" xr:uid="{00000000-0005-0000-0000-0000683A0000}"/>
    <cellStyle name="40% - Accent3 7 3 5 2" xfId="16574" xr:uid="{00000000-0005-0000-0000-0000693A0000}"/>
    <cellStyle name="40% - Accent3 7 3 5 2 2" xfId="29981" xr:uid="{00000000-0005-0000-0000-00006A3A0000}"/>
    <cellStyle name="40% - Accent3 7 3 5 3" xfId="21109" xr:uid="{00000000-0005-0000-0000-00006B3A0000}"/>
    <cellStyle name="40% - Accent3 7 3 6" xfId="9360" xr:uid="{00000000-0005-0000-0000-00006C3A0000}"/>
    <cellStyle name="40% - Accent3 7 3 6 2" xfId="23835" xr:uid="{00000000-0005-0000-0000-00006D3A0000}"/>
    <cellStyle name="40% - Accent3 7 3 7" xfId="21105" xr:uid="{00000000-0005-0000-0000-00006E3A0000}"/>
    <cellStyle name="40% - Accent3 7 4" xfId="3785" xr:uid="{00000000-0005-0000-0000-00006F3A0000}"/>
    <cellStyle name="40% - Accent3 7 4 2" xfId="3786" xr:uid="{00000000-0005-0000-0000-0000703A0000}"/>
    <cellStyle name="40% - Accent3 7 4 2 2" xfId="15266" xr:uid="{00000000-0005-0000-0000-0000713A0000}"/>
    <cellStyle name="40% - Accent3 7 4 2 2 2" xfId="28815" xr:uid="{00000000-0005-0000-0000-0000723A0000}"/>
    <cellStyle name="40% - Accent3 7 4 2 3" xfId="21111" xr:uid="{00000000-0005-0000-0000-0000733A0000}"/>
    <cellStyle name="40% - Accent3 7 4 3" xfId="11084" xr:uid="{00000000-0005-0000-0000-0000743A0000}"/>
    <cellStyle name="40% - Accent3 7 4 3 2" xfId="25026" xr:uid="{00000000-0005-0000-0000-0000753A0000}"/>
    <cellStyle name="40% - Accent3 7 4 4" xfId="21110" xr:uid="{00000000-0005-0000-0000-0000763A0000}"/>
    <cellStyle name="40% - Accent3 7 5" xfId="3787" xr:uid="{00000000-0005-0000-0000-0000773A0000}"/>
    <cellStyle name="40% - Accent3 7 5 2" xfId="11949" xr:uid="{00000000-0005-0000-0000-0000783A0000}"/>
    <cellStyle name="40% - Accent3 7 5 2 2" xfId="25664" xr:uid="{00000000-0005-0000-0000-0000793A0000}"/>
    <cellStyle name="40% - Accent3 7 5 3" xfId="21112" xr:uid="{00000000-0005-0000-0000-00007A3A0000}"/>
    <cellStyle name="40% - Accent3 7 6" xfId="3788" xr:uid="{00000000-0005-0000-0000-00007B3A0000}"/>
    <cellStyle name="40% - Accent3 7 6 2" xfId="12857" xr:uid="{00000000-0005-0000-0000-00007C3A0000}"/>
    <cellStyle name="40% - Accent3 7 6 2 2" xfId="26569" xr:uid="{00000000-0005-0000-0000-00007D3A0000}"/>
    <cellStyle name="40% - Accent3 7 6 3" xfId="21113" xr:uid="{00000000-0005-0000-0000-00007E3A0000}"/>
    <cellStyle name="40% - Accent3 7 7" xfId="3789" xr:uid="{00000000-0005-0000-0000-00007F3A0000}"/>
    <cellStyle name="40% - Accent3 7 7 2" xfId="13526" xr:uid="{00000000-0005-0000-0000-0000803A0000}"/>
    <cellStyle name="40% - Accent3 7 7 2 2" xfId="27075" xr:uid="{00000000-0005-0000-0000-0000813A0000}"/>
    <cellStyle name="40% - Accent3 7 7 3" xfId="21114" xr:uid="{00000000-0005-0000-0000-0000823A0000}"/>
    <cellStyle name="40% - Accent3 7 8" xfId="3790" xr:uid="{00000000-0005-0000-0000-0000833A0000}"/>
    <cellStyle name="40% - Accent3 7 8 2" xfId="14107" xr:uid="{00000000-0005-0000-0000-0000843A0000}"/>
    <cellStyle name="40% - Accent3 7 8 2 2" xfId="27656" xr:uid="{00000000-0005-0000-0000-0000853A0000}"/>
    <cellStyle name="40% - Accent3 7 8 3" xfId="21115" xr:uid="{00000000-0005-0000-0000-0000863A0000}"/>
    <cellStyle name="40% - Accent3 7 9" xfId="3791" xr:uid="{00000000-0005-0000-0000-0000873A0000}"/>
    <cellStyle name="40% - Accent3 7 9 2" xfId="15261" xr:uid="{00000000-0005-0000-0000-0000883A0000}"/>
    <cellStyle name="40% - Accent3 7 9 2 2" xfId="28810" xr:uid="{00000000-0005-0000-0000-0000893A0000}"/>
    <cellStyle name="40% - Accent3 7 9 3" xfId="21116" xr:uid="{00000000-0005-0000-0000-00008A3A0000}"/>
    <cellStyle name="40% - Accent3 8" xfId="3792" xr:uid="{00000000-0005-0000-0000-00008B3A0000}"/>
    <cellStyle name="40% - Accent3 8 10" xfId="9361" xr:uid="{00000000-0005-0000-0000-00008C3A0000}"/>
    <cellStyle name="40% - Accent3 8 10 2" xfId="23836" xr:uid="{00000000-0005-0000-0000-00008D3A0000}"/>
    <cellStyle name="40% - Accent3 8 11" xfId="21117" xr:uid="{00000000-0005-0000-0000-00008E3A0000}"/>
    <cellStyle name="40% - Accent3 8 2" xfId="3793" xr:uid="{00000000-0005-0000-0000-00008F3A0000}"/>
    <cellStyle name="40% - Accent3 8 2 2" xfId="3794" xr:uid="{00000000-0005-0000-0000-0000903A0000}"/>
    <cellStyle name="40% - Accent3 8 2 2 2" xfId="11089" xr:uid="{00000000-0005-0000-0000-0000913A0000}"/>
    <cellStyle name="40% - Accent3 8 2 2 2 2" xfId="25031" xr:uid="{00000000-0005-0000-0000-0000923A0000}"/>
    <cellStyle name="40% - Accent3 8 2 2 3" xfId="21119" xr:uid="{00000000-0005-0000-0000-0000933A0000}"/>
    <cellStyle name="40% - Accent3 8 2 3" xfId="3795" xr:uid="{00000000-0005-0000-0000-0000943A0000}"/>
    <cellStyle name="40% - Accent3 8 2 3 2" xfId="12862" xr:uid="{00000000-0005-0000-0000-0000953A0000}"/>
    <cellStyle name="40% - Accent3 8 2 3 2 2" xfId="26574" xr:uid="{00000000-0005-0000-0000-0000963A0000}"/>
    <cellStyle name="40% - Accent3 8 2 3 3" xfId="21120" xr:uid="{00000000-0005-0000-0000-0000973A0000}"/>
    <cellStyle name="40% - Accent3 8 2 4" xfId="3796" xr:uid="{00000000-0005-0000-0000-0000983A0000}"/>
    <cellStyle name="40% - Accent3 8 2 4 2" xfId="15268" xr:uid="{00000000-0005-0000-0000-0000993A0000}"/>
    <cellStyle name="40% - Accent3 8 2 4 2 2" xfId="28817" xr:uid="{00000000-0005-0000-0000-00009A3A0000}"/>
    <cellStyle name="40% - Accent3 8 2 4 3" xfId="21121" xr:uid="{00000000-0005-0000-0000-00009B3A0000}"/>
    <cellStyle name="40% - Accent3 8 2 5" xfId="3797" xr:uid="{00000000-0005-0000-0000-00009C3A0000}"/>
    <cellStyle name="40% - Accent3 8 2 5 2" xfId="16720" xr:uid="{00000000-0005-0000-0000-00009D3A0000}"/>
    <cellStyle name="40% - Accent3 8 2 5 2 2" xfId="30127" xr:uid="{00000000-0005-0000-0000-00009E3A0000}"/>
    <cellStyle name="40% - Accent3 8 2 5 3" xfId="21122" xr:uid="{00000000-0005-0000-0000-00009F3A0000}"/>
    <cellStyle name="40% - Accent3 8 2 6" xfId="9362" xr:uid="{00000000-0005-0000-0000-0000A03A0000}"/>
    <cellStyle name="40% - Accent3 8 2 6 2" xfId="23837" xr:uid="{00000000-0005-0000-0000-0000A13A0000}"/>
    <cellStyle name="40% - Accent3 8 2 7" xfId="21118" xr:uid="{00000000-0005-0000-0000-0000A23A0000}"/>
    <cellStyle name="40% - Accent3 8 3" xfId="3798" xr:uid="{00000000-0005-0000-0000-0000A33A0000}"/>
    <cellStyle name="40% - Accent3 8 3 2" xfId="3799" xr:uid="{00000000-0005-0000-0000-0000A43A0000}"/>
    <cellStyle name="40% - Accent3 8 3 2 2" xfId="15269" xr:uid="{00000000-0005-0000-0000-0000A53A0000}"/>
    <cellStyle name="40% - Accent3 8 3 2 2 2" xfId="28818" xr:uid="{00000000-0005-0000-0000-0000A63A0000}"/>
    <cellStyle name="40% - Accent3 8 3 2 3" xfId="21124" xr:uid="{00000000-0005-0000-0000-0000A73A0000}"/>
    <cellStyle name="40% - Accent3 8 3 3" xfId="11088" xr:uid="{00000000-0005-0000-0000-0000A83A0000}"/>
    <cellStyle name="40% - Accent3 8 3 3 2" xfId="25030" xr:uid="{00000000-0005-0000-0000-0000A93A0000}"/>
    <cellStyle name="40% - Accent3 8 3 4" xfId="21123" xr:uid="{00000000-0005-0000-0000-0000AA3A0000}"/>
    <cellStyle name="40% - Accent3 8 4" xfId="3800" xr:uid="{00000000-0005-0000-0000-0000AB3A0000}"/>
    <cellStyle name="40% - Accent3 8 4 2" xfId="12098" xr:uid="{00000000-0005-0000-0000-0000AC3A0000}"/>
    <cellStyle name="40% - Accent3 8 4 2 2" xfId="25812" xr:uid="{00000000-0005-0000-0000-0000AD3A0000}"/>
    <cellStyle name="40% - Accent3 8 4 3" xfId="21125" xr:uid="{00000000-0005-0000-0000-0000AE3A0000}"/>
    <cellStyle name="40% - Accent3 8 5" xfId="3801" xr:uid="{00000000-0005-0000-0000-0000AF3A0000}"/>
    <cellStyle name="40% - Accent3 8 5 2" xfId="12861" xr:uid="{00000000-0005-0000-0000-0000B03A0000}"/>
    <cellStyle name="40% - Accent3 8 5 2 2" xfId="26573" xr:uid="{00000000-0005-0000-0000-0000B13A0000}"/>
    <cellStyle name="40% - Accent3 8 5 3" xfId="21126" xr:uid="{00000000-0005-0000-0000-0000B23A0000}"/>
    <cellStyle name="40% - Accent3 8 6" xfId="3802" xr:uid="{00000000-0005-0000-0000-0000B33A0000}"/>
    <cellStyle name="40% - Accent3 8 6 2" xfId="13672" xr:uid="{00000000-0005-0000-0000-0000B43A0000}"/>
    <cellStyle name="40% - Accent3 8 6 2 2" xfId="27221" xr:uid="{00000000-0005-0000-0000-0000B53A0000}"/>
    <cellStyle name="40% - Accent3 8 6 3" xfId="21127" xr:uid="{00000000-0005-0000-0000-0000B63A0000}"/>
    <cellStyle name="40% - Accent3 8 7" xfId="3803" xr:uid="{00000000-0005-0000-0000-0000B73A0000}"/>
    <cellStyle name="40% - Accent3 8 7 2" xfId="14253" xr:uid="{00000000-0005-0000-0000-0000B83A0000}"/>
    <cellStyle name="40% - Accent3 8 7 2 2" xfId="27802" xr:uid="{00000000-0005-0000-0000-0000B93A0000}"/>
    <cellStyle name="40% - Accent3 8 7 3" xfId="21128" xr:uid="{00000000-0005-0000-0000-0000BA3A0000}"/>
    <cellStyle name="40% - Accent3 8 8" xfId="3804" xr:uid="{00000000-0005-0000-0000-0000BB3A0000}"/>
    <cellStyle name="40% - Accent3 8 8 2" xfId="15267" xr:uid="{00000000-0005-0000-0000-0000BC3A0000}"/>
    <cellStyle name="40% - Accent3 8 8 2 2" xfId="28816" xr:uid="{00000000-0005-0000-0000-0000BD3A0000}"/>
    <cellStyle name="40% - Accent3 8 8 3" xfId="21129" xr:uid="{00000000-0005-0000-0000-0000BE3A0000}"/>
    <cellStyle name="40% - Accent3 8 9" xfId="3805" xr:uid="{00000000-0005-0000-0000-0000BF3A0000}"/>
    <cellStyle name="40% - Accent3 8 9 2" xfId="16139" xr:uid="{00000000-0005-0000-0000-0000C03A0000}"/>
    <cellStyle name="40% - Accent3 8 9 2 2" xfId="29546" xr:uid="{00000000-0005-0000-0000-0000C13A0000}"/>
    <cellStyle name="40% - Accent3 8 9 3" xfId="21130" xr:uid="{00000000-0005-0000-0000-0000C23A0000}"/>
    <cellStyle name="40% - Accent3 9" xfId="3806" xr:uid="{00000000-0005-0000-0000-0000C33A0000}"/>
    <cellStyle name="40% - Accent3 9 2" xfId="3807" xr:uid="{00000000-0005-0000-0000-0000C43A0000}"/>
    <cellStyle name="40% - Accent3 9 2 2" xfId="11090" xr:uid="{00000000-0005-0000-0000-0000C53A0000}"/>
    <cellStyle name="40% - Accent3 9 2 2 2" xfId="25032" xr:uid="{00000000-0005-0000-0000-0000C63A0000}"/>
    <cellStyle name="40% - Accent3 9 2 3" xfId="21132" xr:uid="{00000000-0005-0000-0000-0000C73A0000}"/>
    <cellStyle name="40% - Accent3 9 3" xfId="3808" xr:uid="{00000000-0005-0000-0000-0000C83A0000}"/>
    <cellStyle name="40% - Accent3 9 3 2" xfId="12863" xr:uid="{00000000-0005-0000-0000-0000C93A0000}"/>
    <cellStyle name="40% - Accent3 9 3 2 2" xfId="26575" xr:uid="{00000000-0005-0000-0000-0000CA3A0000}"/>
    <cellStyle name="40% - Accent3 9 3 3" xfId="21133" xr:uid="{00000000-0005-0000-0000-0000CB3A0000}"/>
    <cellStyle name="40% - Accent3 9 4" xfId="3809" xr:uid="{00000000-0005-0000-0000-0000CC3A0000}"/>
    <cellStyle name="40% - Accent3 9 4 2" xfId="15270" xr:uid="{00000000-0005-0000-0000-0000CD3A0000}"/>
    <cellStyle name="40% - Accent3 9 4 2 2" xfId="28819" xr:uid="{00000000-0005-0000-0000-0000CE3A0000}"/>
    <cellStyle name="40% - Accent3 9 4 3" xfId="21134" xr:uid="{00000000-0005-0000-0000-0000CF3A0000}"/>
    <cellStyle name="40% - Accent3 9 5" xfId="3810" xr:uid="{00000000-0005-0000-0000-0000D03A0000}"/>
    <cellStyle name="40% - Accent3 9 5 2" xfId="17104" xr:uid="{00000000-0005-0000-0000-0000D13A0000}"/>
    <cellStyle name="40% - Accent3 9 5 2 2" xfId="30463" xr:uid="{00000000-0005-0000-0000-0000D23A0000}"/>
    <cellStyle name="40% - Accent3 9 5 3" xfId="21135" xr:uid="{00000000-0005-0000-0000-0000D33A0000}"/>
    <cellStyle name="40% - Accent3 9 6" xfId="9363" xr:uid="{00000000-0005-0000-0000-0000D43A0000}"/>
    <cellStyle name="40% - Accent3 9 6 2" xfId="23838" xr:uid="{00000000-0005-0000-0000-0000D53A0000}"/>
    <cellStyle name="40% - Accent3 9 7" xfId="21131" xr:uid="{00000000-0005-0000-0000-0000D63A0000}"/>
    <cellStyle name="40% - Accent4" xfId="41" builtinId="43" customBuiltin="1"/>
    <cellStyle name="40% - Accent4 10" xfId="3811" xr:uid="{00000000-0005-0000-0000-0000D83A0000}"/>
    <cellStyle name="40% - Accent4 10 2" xfId="3812" xr:uid="{00000000-0005-0000-0000-0000D93A0000}"/>
    <cellStyle name="40% - Accent4 10 2 2" xfId="3813" xr:uid="{00000000-0005-0000-0000-0000DA3A0000}"/>
    <cellStyle name="40% - Accent4 10 2 2 2" xfId="12866" xr:uid="{00000000-0005-0000-0000-0000DB3A0000}"/>
    <cellStyle name="40% - Accent4 10 2 2 2 2" xfId="26578" xr:uid="{00000000-0005-0000-0000-0000DC3A0000}"/>
    <cellStyle name="40% - Accent4 10 2 2 3" xfId="21138" xr:uid="{00000000-0005-0000-0000-0000DD3A0000}"/>
    <cellStyle name="40% - Accent4 10 2 3" xfId="3814" xr:uid="{00000000-0005-0000-0000-0000DE3A0000}"/>
    <cellStyle name="40% - Accent4 10 2 3 2" xfId="15273" xr:uid="{00000000-0005-0000-0000-0000DF3A0000}"/>
    <cellStyle name="40% - Accent4 10 2 3 2 2" xfId="28822" xr:uid="{00000000-0005-0000-0000-0000E03A0000}"/>
    <cellStyle name="40% - Accent4 10 2 3 3" xfId="21139" xr:uid="{00000000-0005-0000-0000-0000E13A0000}"/>
    <cellStyle name="40% - Accent4 10 2 4" xfId="11092" xr:uid="{00000000-0005-0000-0000-0000E23A0000}"/>
    <cellStyle name="40% - Accent4 10 2 4 2" xfId="25034" xr:uid="{00000000-0005-0000-0000-0000E33A0000}"/>
    <cellStyle name="40% - Accent4 10 2 5" xfId="21137" xr:uid="{00000000-0005-0000-0000-0000E43A0000}"/>
    <cellStyle name="40% - Accent4 10 3" xfId="3815" xr:uid="{00000000-0005-0000-0000-0000E53A0000}"/>
    <cellStyle name="40% - Accent4 10 3 2" xfId="12865" xr:uid="{00000000-0005-0000-0000-0000E63A0000}"/>
    <cellStyle name="40% - Accent4 10 3 2 2" xfId="26577" xr:uid="{00000000-0005-0000-0000-0000E73A0000}"/>
    <cellStyle name="40% - Accent4 10 3 3" xfId="21140" xr:uid="{00000000-0005-0000-0000-0000E83A0000}"/>
    <cellStyle name="40% - Accent4 10 4" xfId="3816" xr:uid="{00000000-0005-0000-0000-0000E93A0000}"/>
    <cellStyle name="40% - Accent4 10 4 2" xfId="15272" xr:uid="{00000000-0005-0000-0000-0000EA3A0000}"/>
    <cellStyle name="40% - Accent4 10 4 2 2" xfId="28821" xr:uid="{00000000-0005-0000-0000-0000EB3A0000}"/>
    <cellStyle name="40% - Accent4 10 4 3" xfId="21141" xr:uid="{00000000-0005-0000-0000-0000EC3A0000}"/>
    <cellStyle name="40% - Accent4 10 5" xfId="3817" xr:uid="{00000000-0005-0000-0000-0000ED3A0000}"/>
    <cellStyle name="40% - Accent4 10 5 2" xfId="17194" xr:uid="{00000000-0005-0000-0000-0000EE3A0000}"/>
    <cellStyle name="40% - Accent4 10 5 2 2" xfId="30553" xr:uid="{00000000-0005-0000-0000-0000EF3A0000}"/>
    <cellStyle name="40% - Accent4 10 5 3" xfId="21142" xr:uid="{00000000-0005-0000-0000-0000F03A0000}"/>
    <cellStyle name="40% - Accent4 10 6" xfId="9365" xr:uid="{00000000-0005-0000-0000-0000F13A0000}"/>
    <cellStyle name="40% - Accent4 10 6 2" xfId="23840" xr:uid="{00000000-0005-0000-0000-0000F23A0000}"/>
    <cellStyle name="40% - Accent4 10 7" xfId="21136" xr:uid="{00000000-0005-0000-0000-0000F33A0000}"/>
    <cellStyle name="40% - Accent4 11" xfId="3818" xr:uid="{00000000-0005-0000-0000-0000F43A0000}"/>
    <cellStyle name="40% - Accent4 11 2" xfId="3819" xr:uid="{00000000-0005-0000-0000-0000F53A0000}"/>
    <cellStyle name="40% - Accent4 11 2 2" xfId="11093" xr:uid="{00000000-0005-0000-0000-0000F63A0000}"/>
    <cellStyle name="40% - Accent4 11 2 2 2" xfId="25035" xr:uid="{00000000-0005-0000-0000-0000F73A0000}"/>
    <cellStyle name="40% - Accent4 11 2 3" xfId="21144" xr:uid="{00000000-0005-0000-0000-0000F83A0000}"/>
    <cellStyle name="40% - Accent4 11 3" xfId="3820" xr:uid="{00000000-0005-0000-0000-0000F93A0000}"/>
    <cellStyle name="40% - Accent4 11 3 2" xfId="12867" xr:uid="{00000000-0005-0000-0000-0000FA3A0000}"/>
    <cellStyle name="40% - Accent4 11 3 2 2" xfId="26579" xr:uid="{00000000-0005-0000-0000-0000FB3A0000}"/>
    <cellStyle name="40% - Accent4 11 3 3" xfId="21145" xr:uid="{00000000-0005-0000-0000-0000FC3A0000}"/>
    <cellStyle name="40% - Accent4 11 4" xfId="3821" xr:uid="{00000000-0005-0000-0000-0000FD3A0000}"/>
    <cellStyle name="40% - Accent4 11 4 2" xfId="15274" xr:uid="{00000000-0005-0000-0000-0000FE3A0000}"/>
    <cellStyle name="40% - Accent4 11 4 2 2" xfId="28823" xr:uid="{00000000-0005-0000-0000-0000FF3A0000}"/>
    <cellStyle name="40% - Accent4 11 4 3" xfId="21146" xr:uid="{00000000-0005-0000-0000-0000003B0000}"/>
    <cellStyle name="40% - Accent4 11 5" xfId="3822" xr:uid="{00000000-0005-0000-0000-0000013B0000}"/>
    <cellStyle name="40% - Accent4 11 5 2" xfId="17283" xr:uid="{00000000-0005-0000-0000-0000023B0000}"/>
    <cellStyle name="40% - Accent4 11 5 2 2" xfId="30642" xr:uid="{00000000-0005-0000-0000-0000033B0000}"/>
    <cellStyle name="40% - Accent4 11 5 3" xfId="21147" xr:uid="{00000000-0005-0000-0000-0000043B0000}"/>
    <cellStyle name="40% - Accent4 11 6" xfId="9366" xr:uid="{00000000-0005-0000-0000-0000053B0000}"/>
    <cellStyle name="40% - Accent4 11 6 2" xfId="23841" xr:uid="{00000000-0005-0000-0000-0000063B0000}"/>
    <cellStyle name="40% - Accent4 11 7" xfId="21143" xr:uid="{00000000-0005-0000-0000-0000073B0000}"/>
    <cellStyle name="40% - Accent4 12" xfId="3823" xr:uid="{00000000-0005-0000-0000-0000083B0000}"/>
    <cellStyle name="40% - Accent4 12 2" xfId="3824" xr:uid="{00000000-0005-0000-0000-0000093B0000}"/>
    <cellStyle name="40% - Accent4 12 2 2" xfId="3825" xr:uid="{00000000-0005-0000-0000-00000A3B0000}"/>
    <cellStyle name="40% - Accent4 12 2 2 2" xfId="11095" xr:uid="{00000000-0005-0000-0000-00000B3B0000}"/>
    <cellStyle name="40% - Accent4 12 2 2 2 2" xfId="25037" xr:uid="{00000000-0005-0000-0000-00000C3B0000}"/>
    <cellStyle name="40% - Accent4 12 2 2 3" xfId="21150" xr:uid="{00000000-0005-0000-0000-00000D3B0000}"/>
    <cellStyle name="40% - Accent4 12 2 3" xfId="3826" xr:uid="{00000000-0005-0000-0000-00000E3B0000}"/>
    <cellStyle name="40% - Accent4 12 2 3 2" xfId="12869" xr:uid="{00000000-0005-0000-0000-00000F3B0000}"/>
    <cellStyle name="40% - Accent4 12 2 3 2 2" xfId="26581" xr:uid="{00000000-0005-0000-0000-0000103B0000}"/>
    <cellStyle name="40% - Accent4 12 2 3 3" xfId="21151" xr:uid="{00000000-0005-0000-0000-0000113B0000}"/>
    <cellStyle name="40% - Accent4 12 2 4" xfId="3827" xr:uid="{00000000-0005-0000-0000-0000123B0000}"/>
    <cellStyle name="40% - Accent4 12 2 4 2" xfId="15276" xr:uid="{00000000-0005-0000-0000-0000133B0000}"/>
    <cellStyle name="40% - Accent4 12 2 4 2 2" xfId="28825" xr:uid="{00000000-0005-0000-0000-0000143B0000}"/>
    <cellStyle name="40% - Accent4 12 2 4 3" xfId="21152" xr:uid="{00000000-0005-0000-0000-0000153B0000}"/>
    <cellStyle name="40% - Accent4 12 2 5" xfId="9368" xr:uid="{00000000-0005-0000-0000-0000163B0000}"/>
    <cellStyle name="40% - Accent4 12 2 5 2" xfId="23843" xr:uid="{00000000-0005-0000-0000-0000173B0000}"/>
    <cellStyle name="40% - Accent4 12 2 6" xfId="21149" xr:uid="{00000000-0005-0000-0000-0000183B0000}"/>
    <cellStyle name="40% - Accent4 12 3" xfId="3828" xr:uid="{00000000-0005-0000-0000-0000193B0000}"/>
    <cellStyle name="40% - Accent4 12 3 2" xfId="11094" xr:uid="{00000000-0005-0000-0000-00001A3B0000}"/>
    <cellStyle name="40% - Accent4 12 3 2 2" xfId="25036" xr:uid="{00000000-0005-0000-0000-00001B3B0000}"/>
    <cellStyle name="40% - Accent4 12 3 3" xfId="21153" xr:uid="{00000000-0005-0000-0000-00001C3B0000}"/>
    <cellStyle name="40% - Accent4 12 4" xfId="3829" xr:uid="{00000000-0005-0000-0000-00001D3B0000}"/>
    <cellStyle name="40% - Accent4 12 4 2" xfId="12868" xr:uid="{00000000-0005-0000-0000-00001E3B0000}"/>
    <cellStyle name="40% - Accent4 12 4 2 2" xfId="26580" xr:uid="{00000000-0005-0000-0000-00001F3B0000}"/>
    <cellStyle name="40% - Accent4 12 4 3" xfId="21154" xr:uid="{00000000-0005-0000-0000-0000203B0000}"/>
    <cellStyle name="40% - Accent4 12 5" xfId="3830" xr:uid="{00000000-0005-0000-0000-0000213B0000}"/>
    <cellStyle name="40% - Accent4 12 5 2" xfId="15275" xr:uid="{00000000-0005-0000-0000-0000223B0000}"/>
    <cellStyle name="40% - Accent4 12 5 2 2" xfId="28824" xr:uid="{00000000-0005-0000-0000-0000233B0000}"/>
    <cellStyle name="40% - Accent4 12 5 3" xfId="21155" xr:uid="{00000000-0005-0000-0000-0000243B0000}"/>
    <cellStyle name="40% - Accent4 12 6" xfId="3831" xr:uid="{00000000-0005-0000-0000-0000253B0000}"/>
    <cellStyle name="40% - Accent4 12 6 2" xfId="16435" xr:uid="{00000000-0005-0000-0000-0000263B0000}"/>
    <cellStyle name="40% - Accent4 12 6 2 2" xfId="29842" xr:uid="{00000000-0005-0000-0000-0000273B0000}"/>
    <cellStyle name="40% - Accent4 12 6 3" xfId="21156" xr:uid="{00000000-0005-0000-0000-0000283B0000}"/>
    <cellStyle name="40% - Accent4 12 7" xfId="9367" xr:uid="{00000000-0005-0000-0000-0000293B0000}"/>
    <cellStyle name="40% - Accent4 12 7 2" xfId="23842" xr:uid="{00000000-0005-0000-0000-00002A3B0000}"/>
    <cellStyle name="40% - Accent4 12 8" xfId="21148" xr:uid="{00000000-0005-0000-0000-00002B3B0000}"/>
    <cellStyle name="40% - Accent4 13" xfId="3832" xr:uid="{00000000-0005-0000-0000-00002C3B0000}"/>
    <cellStyle name="40% - Accent4 13 2" xfId="3833" xr:uid="{00000000-0005-0000-0000-00002D3B0000}"/>
    <cellStyle name="40% - Accent4 13 2 2" xfId="11096" xr:uid="{00000000-0005-0000-0000-00002E3B0000}"/>
    <cellStyle name="40% - Accent4 13 2 2 2" xfId="25038" xr:uid="{00000000-0005-0000-0000-00002F3B0000}"/>
    <cellStyle name="40% - Accent4 13 2 3" xfId="21158" xr:uid="{00000000-0005-0000-0000-0000303B0000}"/>
    <cellStyle name="40% - Accent4 13 3" xfId="3834" xr:uid="{00000000-0005-0000-0000-0000313B0000}"/>
    <cellStyle name="40% - Accent4 13 3 2" xfId="12870" xr:uid="{00000000-0005-0000-0000-0000323B0000}"/>
    <cellStyle name="40% - Accent4 13 3 2 2" xfId="26582" xr:uid="{00000000-0005-0000-0000-0000333B0000}"/>
    <cellStyle name="40% - Accent4 13 3 3" xfId="21159" xr:uid="{00000000-0005-0000-0000-0000343B0000}"/>
    <cellStyle name="40% - Accent4 13 4" xfId="3835" xr:uid="{00000000-0005-0000-0000-0000353B0000}"/>
    <cellStyle name="40% - Accent4 13 4 2" xfId="15277" xr:uid="{00000000-0005-0000-0000-0000363B0000}"/>
    <cellStyle name="40% - Accent4 13 4 2 2" xfId="28826" xr:uid="{00000000-0005-0000-0000-0000373B0000}"/>
    <cellStyle name="40% - Accent4 13 4 3" xfId="21160" xr:uid="{00000000-0005-0000-0000-0000383B0000}"/>
    <cellStyle name="40% - Accent4 13 5" xfId="9369" xr:uid="{00000000-0005-0000-0000-0000393B0000}"/>
    <cellStyle name="40% - Accent4 13 5 2" xfId="23844" xr:uid="{00000000-0005-0000-0000-00003A3B0000}"/>
    <cellStyle name="40% - Accent4 13 6" xfId="21157" xr:uid="{00000000-0005-0000-0000-00003B3B0000}"/>
    <cellStyle name="40% - Accent4 14" xfId="3836" xr:uid="{00000000-0005-0000-0000-00003C3B0000}"/>
    <cellStyle name="40% - Accent4 14 2" xfId="3837" xr:uid="{00000000-0005-0000-0000-00003D3B0000}"/>
    <cellStyle name="40% - Accent4 14 2 2" xfId="11097" xr:uid="{00000000-0005-0000-0000-00003E3B0000}"/>
    <cellStyle name="40% - Accent4 14 2 2 2" xfId="25039" xr:uid="{00000000-0005-0000-0000-00003F3B0000}"/>
    <cellStyle name="40% - Accent4 14 2 3" xfId="21162" xr:uid="{00000000-0005-0000-0000-0000403B0000}"/>
    <cellStyle name="40% - Accent4 14 3" xfId="3838" xr:uid="{00000000-0005-0000-0000-0000413B0000}"/>
    <cellStyle name="40% - Accent4 14 3 2" xfId="12871" xr:uid="{00000000-0005-0000-0000-0000423B0000}"/>
    <cellStyle name="40% - Accent4 14 3 2 2" xfId="26583" xr:uid="{00000000-0005-0000-0000-0000433B0000}"/>
    <cellStyle name="40% - Accent4 14 3 3" xfId="21163" xr:uid="{00000000-0005-0000-0000-0000443B0000}"/>
    <cellStyle name="40% - Accent4 14 4" xfId="3839" xr:uid="{00000000-0005-0000-0000-0000453B0000}"/>
    <cellStyle name="40% - Accent4 14 4 2" xfId="15278" xr:uid="{00000000-0005-0000-0000-0000463B0000}"/>
    <cellStyle name="40% - Accent4 14 4 2 2" xfId="28827" xr:uid="{00000000-0005-0000-0000-0000473B0000}"/>
    <cellStyle name="40% - Accent4 14 4 3" xfId="21164" xr:uid="{00000000-0005-0000-0000-0000483B0000}"/>
    <cellStyle name="40% - Accent4 14 5" xfId="9370" xr:uid="{00000000-0005-0000-0000-0000493B0000}"/>
    <cellStyle name="40% - Accent4 14 5 2" xfId="23845" xr:uid="{00000000-0005-0000-0000-00004A3B0000}"/>
    <cellStyle name="40% - Accent4 14 6" xfId="21161" xr:uid="{00000000-0005-0000-0000-00004B3B0000}"/>
    <cellStyle name="40% - Accent4 15" xfId="3840" xr:uid="{00000000-0005-0000-0000-00004C3B0000}"/>
    <cellStyle name="40% - Accent4 15 2" xfId="3841" xr:uid="{00000000-0005-0000-0000-00004D3B0000}"/>
    <cellStyle name="40% - Accent4 15 2 2" xfId="11098" xr:uid="{00000000-0005-0000-0000-00004E3B0000}"/>
    <cellStyle name="40% - Accent4 15 2 2 2" xfId="25040" xr:uid="{00000000-0005-0000-0000-00004F3B0000}"/>
    <cellStyle name="40% - Accent4 15 2 3" xfId="21166" xr:uid="{00000000-0005-0000-0000-0000503B0000}"/>
    <cellStyle name="40% - Accent4 15 3" xfId="3842" xr:uid="{00000000-0005-0000-0000-0000513B0000}"/>
    <cellStyle name="40% - Accent4 15 3 2" xfId="12872" xr:uid="{00000000-0005-0000-0000-0000523B0000}"/>
    <cellStyle name="40% - Accent4 15 3 2 2" xfId="26584" xr:uid="{00000000-0005-0000-0000-0000533B0000}"/>
    <cellStyle name="40% - Accent4 15 3 3" xfId="21167" xr:uid="{00000000-0005-0000-0000-0000543B0000}"/>
    <cellStyle name="40% - Accent4 15 4" xfId="3843" xr:uid="{00000000-0005-0000-0000-0000553B0000}"/>
    <cellStyle name="40% - Accent4 15 4 2" xfId="15279" xr:uid="{00000000-0005-0000-0000-0000563B0000}"/>
    <cellStyle name="40% - Accent4 15 4 2 2" xfId="28828" xr:uid="{00000000-0005-0000-0000-0000573B0000}"/>
    <cellStyle name="40% - Accent4 15 4 3" xfId="21168" xr:uid="{00000000-0005-0000-0000-0000583B0000}"/>
    <cellStyle name="40% - Accent4 15 5" xfId="9371" xr:uid="{00000000-0005-0000-0000-0000593B0000}"/>
    <cellStyle name="40% - Accent4 15 5 2" xfId="23846" xr:uid="{00000000-0005-0000-0000-00005A3B0000}"/>
    <cellStyle name="40% - Accent4 15 6" xfId="21165" xr:uid="{00000000-0005-0000-0000-00005B3B0000}"/>
    <cellStyle name="40% - Accent4 16" xfId="3844" xr:uid="{00000000-0005-0000-0000-00005C3B0000}"/>
    <cellStyle name="40% - Accent4 16 2" xfId="3845" xr:uid="{00000000-0005-0000-0000-00005D3B0000}"/>
    <cellStyle name="40% - Accent4 16 2 2" xfId="11099" xr:uid="{00000000-0005-0000-0000-00005E3B0000}"/>
    <cellStyle name="40% - Accent4 16 2 2 2" xfId="25041" xr:uid="{00000000-0005-0000-0000-00005F3B0000}"/>
    <cellStyle name="40% - Accent4 16 2 3" xfId="21170" xr:uid="{00000000-0005-0000-0000-0000603B0000}"/>
    <cellStyle name="40% - Accent4 16 3" xfId="3846" xr:uid="{00000000-0005-0000-0000-0000613B0000}"/>
    <cellStyle name="40% - Accent4 16 3 2" xfId="12873" xr:uid="{00000000-0005-0000-0000-0000623B0000}"/>
    <cellStyle name="40% - Accent4 16 3 2 2" xfId="26585" xr:uid="{00000000-0005-0000-0000-0000633B0000}"/>
    <cellStyle name="40% - Accent4 16 3 3" xfId="21171" xr:uid="{00000000-0005-0000-0000-0000643B0000}"/>
    <cellStyle name="40% - Accent4 16 4" xfId="3847" xr:uid="{00000000-0005-0000-0000-0000653B0000}"/>
    <cellStyle name="40% - Accent4 16 4 2" xfId="15280" xr:uid="{00000000-0005-0000-0000-0000663B0000}"/>
    <cellStyle name="40% - Accent4 16 4 2 2" xfId="28829" xr:uid="{00000000-0005-0000-0000-0000673B0000}"/>
    <cellStyle name="40% - Accent4 16 4 3" xfId="21172" xr:uid="{00000000-0005-0000-0000-0000683B0000}"/>
    <cellStyle name="40% - Accent4 16 5" xfId="9372" xr:uid="{00000000-0005-0000-0000-0000693B0000}"/>
    <cellStyle name="40% - Accent4 16 5 2" xfId="23847" xr:uid="{00000000-0005-0000-0000-00006A3B0000}"/>
    <cellStyle name="40% - Accent4 16 6" xfId="21169" xr:uid="{00000000-0005-0000-0000-00006B3B0000}"/>
    <cellStyle name="40% - Accent4 17" xfId="3848" xr:uid="{00000000-0005-0000-0000-00006C3B0000}"/>
    <cellStyle name="40% - Accent4 17 2" xfId="3849" xr:uid="{00000000-0005-0000-0000-00006D3B0000}"/>
    <cellStyle name="40% - Accent4 17 2 2" xfId="11100" xr:uid="{00000000-0005-0000-0000-00006E3B0000}"/>
    <cellStyle name="40% - Accent4 17 2 2 2" xfId="25042" xr:uid="{00000000-0005-0000-0000-00006F3B0000}"/>
    <cellStyle name="40% - Accent4 17 2 3" xfId="21174" xr:uid="{00000000-0005-0000-0000-0000703B0000}"/>
    <cellStyle name="40% - Accent4 17 3" xfId="3850" xr:uid="{00000000-0005-0000-0000-0000713B0000}"/>
    <cellStyle name="40% - Accent4 17 3 2" xfId="12874" xr:uid="{00000000-0005-0000-0000-0000723B0000}"/>
    <cellStyle name="40% - Accent4 17 3 2 2" xfId="26586" xr:uid="{00000000-0005-0000-0000-0000733B0000}"/>
    <cellStyle name="40% - Accent4 17 3 3" xfId="21175" xr:uid="{00000000-0005-0000-0000-0000743B0000}"/>
    <cellStyle name="40% - Accent4 17 4" xfId="3851" xr:uid="{00000000-0005-0000-0000-0000753B0000}"/>
    <cellStyle name="40% - Accent4 17 4 2" xfId="15281" xr:uid="{00000000-0005-0000-0000-0000763B0000}"/>
    <cellStyle name="40% - Accent4 17 4 2 2" xfId="28830" xr:uid="{00000000-0005-0000-0000-0000773B0000}"/>
    <cellStyle name="40% - Accent4 17 4 3" xfId="21176" xr:uid="{00000000-0005-0000-0000-0000783B0000}"/>
    <cellStyle name="40% - Accent4 17 5" xfId="9373" xr:uid="{00000000-0005-0000-0000-0000793B0000}"/>
    <cellStyle name="40% - Accent4 17 5 2" xfId="23848" xr:uid="{00000000-0005-0000-0000-00007A3B0000}"/>
    <cellStyle name="40% - Accent4 17 6" xfId="21173" xr:uid="{00000000-0005-0000-0000-00007B3B0000}"/>
    <cellStyle name="40% - Accent4 18" xfId="3852" xr:uid="{00000000-0005-0000-0000-00007C3B0000}"/>
    <cellStyle name="40% - Accent4 18 2" xfId="3853" xr:uid="{00000000-0005-0000-0000-00007D3B0000}"/>
    <cellStyle name="40% - Accent4 18 2 2" xfId="11101" xr:uid="{00000000-0005-0000-0000-00007E3B0000}"/>
    <cellStyle name="40% - Accent4 18 2 2 2" xfId="25043" xr:uid="{00000000-0005-0000-0000-00007F3B0000}"/>
    <cellStyle name="40% - Accent4 18 2 3" xfId="21178" xr:uid="{00000000-0005-0000-0000-0000803B0000}"/>
    <cellStyle name="40% - Accent4 18 3" xfId="3854" xr:uid="{00000000-0005-0000-0000-0000813B0000}"/>
    <cellStyle name="40% - Accent4 18 3 2" xfId="12875" xr:uid="{00000000-0005-0000-0000-0000823B0000}"/>
    <cellStyle name="40% - Accent4 18 3 2 2" xfId="26587" xr:uid="{00000000-0005-0000-0000-0000833B0000}"/>
    <cellStyle name="40% - Accent4 18 3 3" xfId="21179" xr:uid="{00000000-0005-0000-0000-0000843B0000}"/>
    <cellStyle name="40% - Accent4 18 4" xfId="3855" xr:uid="{00000000-0005-0000-0000-0000853B0000}"/>
    <cellStyle name="40% - Accent4 18 4 2" xfId="15282" xr:uid="{00000000-0005-0000-0000-0000863B0000}"/>
    <cellStyle name="40% - Accent4 18 4 2 2" xfId="28831" xr:uid="{00000000-0005-0000-0000-0000873B0000}"/>
    <cellStyle name="40% - Accent4 18 4 3" xfId="21180" xr:uid="{00000000-0005-0000-0000-0000883B0000}"/>
    <cellStyle name="40% - Accent4 18 5" xfId="9374" xr:uid="{00000000-0005-0000-0000-0000893B0000}"/>
    <cellStyle name="40% - Accent4 18 5 2" xfId="23849" xr:uid="{00000000-0005-0000-0000-00008A3B0000}"/>
    <cellStyle name="40% - Accent4 18 6" xfId="21177" xr:uid="{00000000-0005-0000-0000-00008B3B0000}"/>
    <cellStyle name="40% - Accent4 19" xfId="3856" xr:uid="{00000000-0005-0000-0000-00008C3B0000}"/>
    <cellStyle name="40% - Accent4 19 2" xfId="3857" xr:uid="{00000000-0005-0000-0000-00008D3B0000}"/>
    <cellStyle name="40% - Accent4 19 2 2" xfId="11719" xr:uid="{00000000-0005-0000-0000-00008E3B0000}"/>
    <cellStyle name="40% - Accent4 19 2 2 2" xfId="25439" xr:uid="{00000000-0005-0000-0000-00008F3B0000}"/>
    <cellStyle name="40% - Accent4 19 2 3" xfId="21182" xr:uid="{00000000-0005-0000-0000-0000903B0000}"/>
    <cellStyle name="40% - Accent4 19 3" xfId="3858" xr:uid="{00000000-0005-0000-0000-0000913B0000}"/>
    <cellStyle name="40% - Accent4 19 3 2" xfId="12876" xr:uid="{00000000-0005-0000-0000-0000923B0000}"/>
    <cellStyle name="40% - Accent4 19 3 2 2" xfId="26588" xr:uid="{00000000-0005-0000-0000-0000933B0000}"/>
    <cellStyle name="40% - Accent4 19 3 3" xfId="21183" xr:uid="{00000000-0005-0000-0000-0000943B0000}"/>
    <cellStyle name="40% - Accent4 19 4" xfId="3859" xr:uid="{00000000-0005-0000-0000-0000953B0000}"/>
    <cellStyle name="40% - Accent4 19 4 2" xfId="15283" xr:uid="{00000000-0005-0000-0000-0000963B0000}"/>
    <cellStyle name="40% - Accent4 19 4 2 2" xfId="28832" xr:uid="{00000000-0005-0000-0000-0000973B0000}"/>
    <cellStyle name="40% - Accent4 19 4 3" xfId="21184" xr:uid="{00000000-0005-0000-0000-0000983B0000}"/>
    <cellStyle name="40% - Accent4 19 5" xfId="10471" xr:uid="{00000000-0005-0000-0000-0000993B0000}"/>
    <cellStyle name="40% - Accent4 19 5 2" xfId="24430" xr:uid="{00000000-0005-0000-0000-00009A3B0000}"/>
    <cellStyle name="40% - Accent4 19 6" xfId="21181" xr:uid="{00000000-0005-0000-0000-00009B3B0000}"/>
    <cellStyle name="40% - Accent4 2" xfId="3860" xr:uid="{00000000-0005-0000-0000-00009C3B0000}"/>
    <cellStyle name="40% - Accent4 2 10" xfId="3861" xr:uid="{00000000-0005-0000-0000-00009D3B0000}"/>
    <cellStyle name="40% - Accent4 2 10 2" xfId="3862" xr:uid="{00000000-0005-0000-0000-00009E3B0000}"/>
    <cellStyle name="40% - Accent4 2 10 2 2" xfId="15285" xr:uid="{00000000-0005-0000-0000-00009F3B0000}"/>
    <cellStyle name="40% - Accent4 2 10 2 2 2" xfId="28834" xr:uid="{00000000-0005-0000-0000-0000A03B0000}"/>
    <cellStyle name="40% - Accent4 2 10 2 3" xfId="21187" xr:uid="{00000000-0005-0000-0000-0000A13B0000}"/>
    <cellStyle name="40% - Accent4 2 10 3" xfId="11843" xr:uid="{00000000-0005-0000-0000-0000A23B0000}"/>
    <cellStyle name="40% - Accent4 2 10 3 2" xfId="25558" xr:uid="{00000000-0005-0000-0000-0000A33B0000}"/>
    <cellStyle name="40% - Accent4 2 10 4" xfId="21186" xr:uid="{00000000-0005-0000-0000-0000A43B0000}"/>
    <cellStyle name="40% - Accent4 2 11" xfId="3863" xr:uid="{00000000-0005-0000-0000-0000A53B0000}"/>
    <cellStyle name="40% - Accent4 2 11 2" xfId="12877" xr:uid="{00000000-0005-0000-0000-0000A63B0000}"/>
    <cellStyle name="40% - Accent4 2 11 2 2" xfId="26589" xr:uid="{00000000-0005-0000-0000-0000A73B0000}"/>
    <cellStyle name="40% - Accent4 2 11 3" xfId="21188" xr:uid="{00000000-0005-0000-0000-0000A83B0000}"/>
    <cellStyle name="40% - Accent4 2 12" xfId="3864" xr:uid="{00000000-0005-0000-0000-0000A93B0000}"/>
    <cellStyle name="40% - Accent4 2 12 2" xfId="13442" xr:uid="{00000000-0005-0000-0000-0000AA3B0000}"/>
    <cellStyle name="40% - Accent4 2 12 2 2" xfId="26991" xr:uid="{00000000-0005-0000-0000-0000AB3B0000}"/>
    <cellStyle name="40% - Accent4 2 12 3" xfId="21189" xr:uid="{00000000-0005-0000-0000-0000AC3B0000}"/>
    <cellStyle name="40% - Accent4 2 13" xfId="3865" xr:uid="{00000000-0005-0000-0000-0000AD3B0000}"/>
    <cellStyle name="40% - Accent4 2 13 2" xfId="14023" xr:uid="{00000000-0005-0000-0000-0000AE3B0000}"/>
    <cellStyle name="40% - Accent4 2 13 2 2" xfId="27572" xr:uid="{00000000-0005-0000-0000-0000AF3B0000}"/>
    <cellStyle name="40% - Accent4 2 13 3" xfId="21190" xr:uid="{00000000-0005-0000-0000-0000B03B0000}"/>
    <cellStyle name="40% - Accent4 2 14" xfId="3866" xr:uid="{00000000-0005-0000-0000-0000B13B0000}"/>
    <cellStyle name="40% - Accent4 2 14 2" xfId="15284" xr:uid="{00000000-0005-0000-0000-0000B23B0000}"/>
    <cellStyle name="40% - Accent4 2 14 2 2" xfId="28833" xr:uid="{00000000-0005-0000-0000-0000B33B0000}"/>
    <cellStyle name="40% - Accent4 2 14 3" xfId="21191" xr:uid="{00000000-0005-0000-0000-0000B43B0000}"/>
    <cellStyle name="40% - Accent4 2 15" xfId="3867" xr:uid="{00000000-0005-0000-0000-0000B53B0000}"/>
    <cellStyle name="40% - Accent4 2 15 2" xfId="15909" xr:uid="{00000000-0005-0000-0000-0000B63B0000}"/>
    <cellStyle name="40% - Accent4 2 15 2 2" xfId="29316" xr:uid="{00000000-0005-0000-0000-0000B73B0000}"/>
    <cellStyle name="40% - Accent4 2 15 3" xfId="21192" xr:uid="{00000000-0005-0000-0000-0000B83B0000}"/>
    <cellStyle name="40% - Accent4 2 16" xfId="9375" xr:uid="{00000000-0005-0000-0000-0000B93B0000}"/>
    <cellStyle name="40% - Accent4 2 16 2" xfId="23850" xr:uid="{00000000-0005-0000-0000-0000BA3B0000}"/>
    <cellStyle name="40% - Accent4 2 17" xfId="21185" xr:uid="{00000000-0005-0000-0000-0000BB3B0000}"/>
    <cellStyle name="40% - Accent4 2 18" xfId="33075" xr:uid="{00000000-0005-0000-0000-0000BC3B0000}"/>
    <cellStyle name="40% - Accent4 2 2" xfId="3868" xr:uid="{00000000-0005-0000-0000-0000BD3B0000}"/>
    <cellStyle name="40% - Accent4 2 2 10" xfId="3869" xr:uid="{00000000-0005-0000-0000-0000BE3B0000}"/>
    <cellStyle name="40% - Accent4 2 2 10 2" xfId="15286" xr:uid="{00000000-0005-0000-0000-0000BF3B0000}"/>
    <cellStyle name="40% - Accent4 2 2 10 2 2" xfId="28835" xr:uid="{00000000-0005-0000-0000-0000C03B0000}"/>
    <cellStyle name="40% - Accent4 2 2 10 3" xfId="21194" xr:uid="{00000000-0005-0000-0000-0000C13B0000}"/>
    <cellStyle name="40% - Accent4 2 2 11" xfId="3870" xr:uid="{00000000-0005-0000-0000-0000C23B0000}"/>
    <cellStyle name="40% - Accent4 2 2 11 2" xfId="15955" xr:uid="{00000000-0005-0000-0000-0000C33B0000}"/>
    <cellStyle name="40% - Accent4 2 2 11 2 2" xfId="29362" xr:uid="{00000000-0005-0000-0000-0000C43B0000}"/>
    <cellStyle name="40% - Accent4 2 2 11 3" xfId="21195" xr:uid="{00000000-0005-0000-0000-0000C53B0000}"/>
    <cellStyle name="40% - Accent4 2 2 12" xfId="9376" xr:uid="{00000000-0005-0000-0000-0000C63B0000}"/>
    <cellStyle name="40% - Accent4 2 2 12 2" xfId="23851" xr:uid="{00000000-0005-0000-0000-0000C73B0000}"/>
    <cellStyle name="40% - Accent4 2 2 13" xfId="21193" xr:uid="{00000000-0005-0000-0000-0000C83B0000}"/>
    <cellStyle name="40% - Accent4 2 2 2" xfId="3871" xr:uid="{00000000-0005-0000-0000-0000C93B0000}"/>
    <cellStyle name="40% - Accent4 2 2 2 10" xfId="3872" xr:uid="{00000000-0005-0000-0000-0000CA3B0000}"/>
    <cellStyle name="40% - Accent4 2 2 2 10 2" xfId="16098" xr:uid="{00000000-0005-0000-0000-0000CB3B0000}"/>
    <cellStyle name="40% - Accent4 2 2 2 10 2 2" xfId="29505" xr:uid="{00000000-0005-0000-0000-0000CC3B0000}"/>
    <cellStyle name="40% - Accent4 2 2 2 10 3" xfId="21197" xr:uid="{00000000-0005-0000-0000-0000CD3B0000}"/>
    <cellStyle name="40% - Accent4 2 2 2 11" xfId="9377" xr:uid="{00000000-0005-0000-0000-0000CE3B0000}"/>
    <cellStyle name="40% - Accent4 2 2 2 11 2" xfId="23852" xr:uid="{00000000-0005-0000-0000-0000CF3B0000}"/>
    <cellStyle name="40% - Accent4 2 2 2 12" xfId="21196" xr:uid="{00000000-0005-0000-0000-0000D03B0000}"/>
    <cellStyle name="40% - Accent4 2 2 2 2" xfId="3873" xr:uid="{00000000-0005-0000-0000-0000D13B0000}"/>
    <cellStyle name="40% - Accent4 2 2 2 2 10" xfId="9378" xr:uid="{00000000-0005-0000-0000-0000D23B0000}"/>
    <cellStyle name="40% - Accent4 2 2 2 2 10 2" xfId="23853" xr:uid="{00000000-0005-0000-0000-0000D33B0000}"/>
    <cellStyle name="40% - Accent4 2 2 2 2 11" xfId="21198" xr:uid="{00000000-0005-0000-0000-0000D43B0000}"/>
    <cellStyle name="40% - Accent4 2 2 2 2 2" xfId="3874" xr:uid="{00000000-0005-0000-0000-0000D53B0000}"/>
    <cellStyle name="40% - Accent4 2 2 2 2 2 2" xfId="3875" xr:uid="{00000000-0005-0000-0000-0000D63B0000}"/>
    <cellStyle name="40% - Accent4 2 2 2 2 2 2 2" xfId="11106" xr:uid="{00000000-0005-0000-0000-0000D73B0000}"/>
    <cellStyle name="40% - Accent4 2 2 2 2 2 2 2 2" xfId="25048" xr:uid="{00000000-0005-0000-0000-0000D83B0000}"/>
    <cellStyle name="40% - Accent4 2 2 2 2 2 2 3" xfId="21200" xr:uid="{00000000-0005-0000-0000-0000D93B0000}"/>
    <cellStyle name="40% - Accent4 2 2 2 2 2 3" xfId="3876" xr:uid="{00000000-0005-0000-0000-0000DA3B0000}"/>
    <cellStyle name="40% - Accent4 2 2 2 2 2 3 2" xfId="12881" xr:uid="{00000000-0005-0000-0000-0000DB3B0000}"/>
    <cellStyle name="40% - Accent4 2 2 2 2 2 3 2 2" xfId="26593" xr:uid="{00000000-0005-0000-0000-0000DC3B0000}"/>
    <cellStyle name="40% - Accent4 2 2 2 2 2 3 3" xfId="21201" xr:uid="{00000000-0005-0000-0000-0000DD3B0000}"/>
    <cellStyle name="40% - Accent4 2 2 2 2 2 4" xfId="3877" xr:uid="{00000000-0005-0000-0000-0000DE3B0000}"/>
    <cellStyle name="40% - Accent4 2 2 2 2 2 4 2" xfId="15289" xr:uid="{00000000-0005-0000-0000-0000DF3B0000}"/>
    <cellStyle name="40% - Accent4 2 2 2 2 2 4 2 2" xfId="28838" xr:uid="{00000000-0005-0000-0000-0000E03B0000}"/>
    <cellStyle name="40% - Accent4 2 2 2 2 2 4 3" xfId="21202" xr:uid="{00000000-0005-0000-0000-0000E13B0000}"/>
    <cellStyle name="40% - Accent4 2 2 2 2 2 5" xfId="3878" xr:uid="{00000000-0005-0000-0000-0000E23B0000}"/>
    <cellStyle name="40% - Accent4 2 2 2 2 2 5 2" xfId="16968" xr:uid="{00000000-0005-0000-0000-0000E33B0000}"/>
    <cellStyle name="40% - Accent4 2 2 2 2 2 5 2 2" xfId="30375" xr:uid="{00000000-0005-0000-0000-0000E43B0000}"/>
    <cellStyle name="40% - Accent4 2 2 2 2 2 5 3" xfId="21203" xr:uid="{00000000-0005-0000-0000-0000E53B0000}"/>
    <cellStyle name="40% - Accent4 2 2 2 2 2 6" xfId="9379" xr:uid="{00000000-0005-0000-0000-0000E63B0000}"/>
    <cellStyle name="40% - Accent4 2 2 2 2 2 6 2" xfId="23854" xr:uid="{00000000-0005-0000-0000-0000E73B0000}"/>
    <cellStyle name="40% - Accent4 2 2 2 2 2 7" xfId="21199" xr:uid="{00000000-0005-0000-0000-0000E83B0000}"/>
    <cellStyle name="40% - Accent4 2 2 2 2 3" xfId="3879" xr:uid="{00000000-0005-0000-0000-0000E93B0000}"/>
    <cellStyle name="40% - Accent4 2 2 2 2 3 2" xfId="3880" xr:uid="{00000000-0005-0000-0000-0000EA3B0000}"/>
    <cellStyle name="40% - Accent4 2 2 2 2 3 2 2" xfId="15290" xr:uid="{00000000-0005-0000-0000-0000EB3B0000}"/>
    <cellStyle name="40% - Accent4 2 2 2 2 3 2 2 2" xfId="28839" xr:uid="{00000000-0005-0000-0000-0000EC3B0000}"/>
    <cellStyle name="40% - Accent4 2 2 2 2 3 2 3" xfId="21205" xr:uid="{00000000-0005-0000-0000-0000ED3B0000}"/>
    <cellStyle name="40% - Accent4 2 2 2 2 3 3" xfId="11105" xr:uid="{00000000-0005-0000-0000-0000EE3B0000}"/>
    <cellStyle name="40% - Accent4 2 2 2 2 3 3 2" xfId="25047" xr:uid="{00000000-0005-0000-0000-0000EF3B0000}"/>
    <cellStyle name="40% - Accent4 2 2 2 2 3 4" xfId="21204" xr:uid="{00000000-0005-0000-0000-0000F03B0000}"/>
    <cellStyle name="40% - Accent4 2 2 2 2 4" xfId="3881" xr:uid="{00000000-0005-0000-0000-0000F13B0000}"/>
    <cellStyle name="40% - Accent4 2 2 2 2 4 2" xfId="12356" xr:uid="{00000000-0005-0000-0000-0000F23B0000}"/>
    <cellStyle name="40% - Accent4 2 2 2 2 4 2 2" xfId="26068" xr:uid="{00000000-0005-0000-0000-0000F33B0000}"/>
    <cellStyle name="40% - Accent4 2 2 2 2 4 3" xfId="21206" xr:uid="{00000000-0005-0000-0000-0000F43B0000}"/>
    <cellStyle name="40% - Accent4 2 2 2 2 5" xfId="3882" xr:uid="{00000000-0005-0000-0000-0000F53B0000}"/>
    <cellStyle name="40% - Accent4 2 2 2 2 5 2" xfId="12880" xr:uid="{00000000-0005-0000-0000-0000F63B0000}"/>
    <cellStyle name="40% - Accent4 2 2 2 2 5 2 2" xfId="26592" xr:uid="{00000000-0005-0000-0000-0000F73B0000}"/>
    <cellStyle name="40% - Accent4 2 2 2 2 5 3" xfId="21207" xr:uid="{00000000-0005-0000-0000-0000F83B0000}"/>
    <cellStyle name="40% - Accent4 2 2 2 2 6" xfId="3883" xr:uid="{00000000-0005-0000-0000-0000F93B0000}"/>
    <cellStyle name="40% - Accent4 2 2 2 2 6 2" xfId="13920" xr:uid="{00000000-0005-0000-0000-0000FA3B0000}"/>
    <cellStyle name="40% - Accent4 2 2 2 2 6 2 2" xfId="27469" xr:uid="{00000000-0005-0000-0000-0000FB3B0000}"/>
    <cellStyle name="40% - Accent4 2 2 2 2 6 3" xfId="21208" xr:uid="{00000000-0005-0000-0000-0000FC3B0000}"/>
    <cellStyle name="40% - Accent4 2 2 2 2 7" xfId="3884" xr:uid="{00000000-0005-0000-0000-0000FD3B0000}"/>
    <cellStyle name="40% - Accent4 2 2 2 2 7 2" xfId="14501" xr:uid="{00000000-0005-0000-0000-0000FE3B0000}"/>
    <cellStyle name="40% - Accent4 2 2 2 2 7 2 2" xfId="28050" xr:uid="{00000000-0005-0000-0000-0000FF3B0000}"/>
    <cellStyle name="40% - Accent4 2 2 2 2 7 3" xfId="21209" xr:uid="{00000000-0005-0000-0000-0000003C0000}"/>
    <cellStyle name="40% - Accent4 2 2 2 2 8" xfId="3885" xr:uid="{00000000-0005-0000-0000-0000013C0000}"/>
    <cellStyle name="40% - Accent4 2 2 2 2 8 2" xfId="15288" xr:uid="{00000000-0005-0000-0000-0000023C0000}"/>
    <cellStyle name="40% - Accent4 2 2 2 2 8 2 2" xfId="28837" xr:uid="{00000000-0005-0000-0000-0000033C0000}"/>
    <cellStyle name="40% - Accent4 2 2 2 2 8 3" xfId="21210" xr:uid="{00000000-0005-0000-0000-0000043C0000}"/>
    <cellStyle name="40% - Accent4 2 2 2 2 9" xfId="3886" xr:uid="{00000000-0005-0000-0000-0000053C0000}"/>
    <cellStyle name="40% - Accent4 2 2 2 2 9 2" xfId="16387" xr:uid="{00000000-0005-0000-0000-0000063C0000}"/>
    <cellStyle name="40% - Accent4 2 2 2 2 9 2 2" xfId="29794" xr:uid="{00000000-0005-0000-0000-0000073C0000}"/>
    <cellStyle name="40% - Accent4 2 2 2 2 9 3" xfId="21211" xr:uid="{00000000-0005-0000-0000-0000083C0000}"/>
    <cellStyle name="40% - Accent4 2 2 2 3" xfId="3887" xr:uid="{00000000-0005-0000-0000-0000093C0000}"/>
    <cellStyle name="40% - Accent4 2 2 2 3 2" xfId="3888" xr:uid="{00000000-0005-0000-0000-00000A3C0000}"/>
    <cellStyle name="40% - Accent4 2 2 2 3 2 2" xfId="11107" xr:uid="{00000000-0005-0000-0000-00000B3C0000}"/>
    <cellStyle name="40% - Accent4 2 2 2 3 2 2 2" xfId="25049" xr:uid="{00000000-0005-0000-0000-00000C3C0000}"/>
    <cellStyle name="40% - Accent4 2 2 2 3 2 3" xfId="21213" xr:uid="{00000000-0005-0000-0000-00000D3C0000}"/>
    <cellStyle name="40% - Accent4 2 2 2 3 3" xfId="3889" xr:uid="{00000000-0005-0000-0000-00000E3C0000}"/>
    <cellStyle name="40% - Accent4 2 2 2 3 3 2" xfId="12882" xr:uid="{00000000-0005-0000-0000-00000F3C0000}"/>
    <cellStyle name="40% - Accent4 2 2 2 3 3 2 2" xfId="26594" xr:uid="{00000000-0005-0000-0000-0000103C0000}"/>
    <cellStyle name="40% - Accent4 2 2 2 3 3 3" xfId="21214" xr:uid="{00000000-0005-0000-0000-0000113C0000}"/>
    <cellStyle name="40% - Accent4 2 2 2 3 4" xfId="3890" xr:uid="{00000000-0005-0000-0000-0000123C0000}"/>
    <cellStyle name="40% - Accent4 2 2 2 3 4 2" xfId="15291" xr:uid="{00000000-0005-0000-0000-0000133C0000}"/>
    <cellStyle name="40% - Accent4 2 2 2 3 4 2 2" xfId="28840" xr:uid="{00000000-0005-0000-0000-0000143C0000}"/>
    <cellStyle name="40% - Accent4 2 2 2 3 4 3" xfId="21215" xr:uid="{00000000-0005-0000-0000-0000153C0000}"/>
    <cellStyle name="40% - Accent4 2 2 2 3 5" xfId="3891" xr:uid="{00000000-0005-0000-0000-0000163C0000}"/>
    <cellStyle name="40% - Accent4 2 2 2 3 5 2" xfId="16679" xr:uid="{00000000-0005-0000-0000-0000173C0000}"/>
    <cellStyle name="40% - Accent4 2 2 2 3 5 2 2" xfId="30086" xr:uid="{00000000-0005-0000-0000-0000183C0000}"/>
    <cellStyle name="40% - Accent4 2 2 2 3 5 3" xfId="21216" xr:uid="{00000000-0005-0000-0000-0000193C0000}"/>
    <cellStyle name="40% - Accent4 2 2 2 3 6" xfId="9380" xr:uid="{00000000-0005-0000-0000-00001A3C0000}"/>
    <cellStyle name="40% - Accent4 2 2 2 3 6 2" xfId="23855" xr:uid="{00000000-0005-0000-0000-00001B3C0000}"/>
    <cellStyle name="40% - Accent4 2 2 2 3 7" xfId="21212" xr:uid="{00000000-0005-0000-0000-00001C3C0000}"/>
    <cellStyle name="40% - Accent4 2 2 2 4" xfId="3892" xr:uid="{00000000-0005-0000-0000-00001D3C0000}"/>
    <cellStyle name="40% - Accent4 2 2 2 4 2" xfId="3893" xr:uid="{00000000-0005-0000-0000-00001E3C0000}"/>
    <cellStyle name="40% - Accent4 2 2 2 4 2 2" xfId="15292" xr:uid="{00000000-0005-0000-0000-00001F3C0000}"/>
    <cellStyle name="40% - Accent4 2 2 2 4 2 2 2" xfId="28841" xr:uid="{00000000-0005-0000-0000-0000203C0000}"/>
    <cellStyle name="40% - Accent4 2 2 2 4 2 3" xfId="21218" xr:uid="{00000000-0005-0000-0000-0000213C0000}"/>
    <cellStyle name="40% - Accent4 2 2 2 4 3" xfId="11104" xr:uid="{00000000-0005-0000-0000-0000223C0000}"/>
    <cellStyle name="40% - Accent4 2 2 2 4 3 2" xfId="25046" xr:uid="{00000000-0005-0000-0000-0000233C0000}"/>
    <cellStyle name="40% - Accent4 2 2 2 4 4" xfId="21217" xr:uid="{00000000-0005-0000-0000-0000243C0000}"/>
    <cellStyle name="40% - Accent4 2 2 2 5" xfId="3894" xr:uid="{00000000-0005-0000-0000-0000253C0000}"/>
    <cellStyle name="40% - Accent4 2 2 2 5 2" xfId="12056" xr:uid="{00000000-0005-0000-0000-0000263C0000}"/>
    <cellStyle name="40% - Accent4 2 2 2 5 2 2" xfId="25771" xr:uid="{00000000-0005-0000-0000-0000273C0000}"/>
    <cellStyle name="40% - Accent4 2 2 2 5 3" xfId="21219" xr:uid="{00000000-0005-0000-0000-0000283C0000}"/>
    <cellStyle name="40% - Accent4 2 2 2 6" xfId="3895" xr:uid="{00000000-0005-0000-0000-0000293C0000}"/>
    <cellStyle name="40% - Accent4 2 2 2 6 2" xfId="12879" xr:uid="{00000000-0005-0000-0000-00002A3C0000}"/>
    <cellStyle name="40% - Accent4 2 2 2 6 2 2" xfId="26591" xr:uid="{00000000-0005-0000-0000-00002B3C0000}"/>
    <cellStyle name="40% - Accent4 2 2 2 6 3" xfId="21220" xr:uid="{00000000-0005-0000-0000-00002C3C0000}"/>
    <cellStyle name="40% - Accent4 2 2 2 7" xfId="3896" xr:uid="{00000000-0005-0000-0000-00002D3C0000}"/>
    <cellStyle name="40% - Accent4 2 2 2 7 2" xfId="13631" xr:uid="{00000000-0005-0000-0000-00002E3C0000}"/>
    <cellStyle name="40% - Accent4 2 2 2 7 2 2" xfId="27180" xr:uid="{00000000-0005-0000-0000-00002F3C0000}"/>
    <cellStyle name="40% - Accent4 2 2 2 7 3" xfId="21221" xr:uid="{00000000-0005-0000-0000-0000303C0000}"/>
    <cellStyle name="40% - Accent4 2 2 2 8" xfId="3897" xr:uid="{00000000-0005-0000-0000-0000313C0000}"/>
    <cellStyle name="40% - Accent4 2 2 2 8 2" xfId="14212" xr:uid="{00000000-0005-0000-0000-0000323C0000}"/>
    <cellStyle name="40% - Accent4 2 2 2 8 2 2" xfId="27761" xr:uid="{00000000-0005-0000-0000-0000333C0000}"/>
    <cellStyle name="40% - Accent4 2 2 2 8 3" xfId="21222" xr:uid="{00000000-0005-0000-0000-0000343C0000}"/>
    <cellStyle name="40% - Accent4 2 2 2 9" xfId="3898" xr:uid="{00000000-0005-0000-0000-0000353C0000}"/>
    <cellStyle name="40% - Accent4 2 2 2 9 2" xfId="15287" xr:uid="{00000000-0005-0000-0000-0000363C0000}"/>
    <cellStyle name="40% - Accent4 2 2 2 9 2 2" xfId="28836" xr:uid="{00000000-0005-0000-0000-0000373C0000}"/>
    <cellStyle name="40% - Accent4 2 2 2 9 3" xfId="21223" xr:uid="{00000000-0005-0000-0000-0000383C0000}"/>
    <cellStyle name="40% - Accent4 2 2 3" xfId="3899" xr:uid="{00000000-0005-0000-0000-0000393C0000}"/>
    <cellStyle name="40% - Accent4 2 2 3 10" xfId="9381" xr:uid="{00000000-0005-0000-0000-00003A3C0000}"/>
    <cellStyle name="40% - Accent4 2 2 3 10 2" xfId="23856" xr:uid="{00000000-0005-0000-0000-00003B3C0000}"/>
    <cellStyle name="40% - Accent4 2 2 3 11" xfId="21224" xr:uid="{00000000-0005-0000-0000-00003C3C0000}"/>
    <cellStyle name="40% - Accent4 2 2 3 2" xfId="3900" xr:uid="{00000000-0005-0000-0000-00003D3C0000}"/>
    <cellStyle name="40% - Accent4 2 2 3 2 2" xfId="3901" xr:uid="{00000000-0005-0000-0000-00003E3C0000}"/>
    <cellStyle name="40% - Accent4 2 2 3 2 2 2" xfId="11109" xr:uid="{00000000-0005-0000-0000-00003F3C0000}"/>
    <cellStyle name="40% - Accent4 2 2 3 2 2 2 2" xfId="25051" xr:uid="{00000000-0005-0000-0000-0000403C0000}"/>
    <cellStyle name="40% - Accent4 2 2 3 2 2 3" xfId="21226" xr:uid="{00000000-0005-0000-0000-0000413C0000}"/>
    <cellStyle name="40% - Accent4 2 2 3 2 3" xfId="3902" xr:uid="{00000000-0005-0000-0000-0000423C0000}"/>
    <cellStyle name="40% - Accent4 2 2 3 2 3 2" xfId="12884" xr:uid="{00000000-0005-0000-0000-0000433C0000}"/>
    <cellStyle name="40% - Accent4 2 2 3 2 3 2 2" xfId="26596" xr:uid="{00000000-0005-0000-0000-0000443C0000}"/>
    <cellStyle name="40% - Accent4 2 2 3 2 3 3" xfId="21227" xr:uid="{00000000-0005-0000-0000-0000453C0000}"/>
    <cellStyle name="40% - Accent4 2 2 3 2 4" xfId="3903" xr:uid="{00000000-0005-0000-0000-0000463C0000}"/>
    <cellStyle name="40% - Accent4 2 2 3 2 4 2" xfId="15294" xr:uid="{00000000-0005-0000-0000-0000473C0000}"/>
    <cellStyle name="40% - Accent4 2 2 3 2 4 2 2" xfId="28843" xr:uid="{00000000-0005-0000-0000-0000483C0000}"/>
    <cellStyle name="40% - Accent4 2 2 3 2 4 3" xfId="21228" xr:uid="{00000000-0005-0000-0000-0000493C0000}"/>
    <cellStyle name="40% - Accent4 2 2 3 2 5" xfId="3904" xr:uid="{00000000-0005-0000-0000-00004A3C0000}"/>
    <cellStyle name="40% - Accent4 2 2 3 2 5 2" xfId="16825" xr:uid="{00000000-0005-0000-0000-00004B3C0000}"/>
    <cellStyle name="40% - Accent4 2 2 3 2 5 2 2" xfId="30232" xr:uid="{00000000-0005-0000-0000-00004C3C0000}"/>
    <cellStyle name="40% - Accent4 2 2 3 2 5 3" xfId="21229" xr:uid="{00000000-0005-0000-0000-00004D3C0000}"/>
    <cellStyle name="40% - Accent4 2 2 3 2 6" xfId="9382" xr:uid="{00000000-0005-0000-0000-00004E3C0000}"/>
    <cellStyle name="40% - Accent4 2 2 3 2 6 2" xfId="23857" xr:uid="{00000000-0005-0000-0000-00004F3C0000}"/>
    <cellStyle name="40% - Accent4 2 2 3 2 7" xfId="21225" xr:uid="{00000000-0005-0000-0000-0000503C0000}"/>
    <cellStyle name="40% - Accent4 2 2 3 3" xfId="3905" xr:uid="{00000000-0005-0000-0000-0000513C0000}"/>
    <cellStyle name="40% - Accent4 2 2 3 3 2" xfId="3906" xr:uid="{00000000-0005-0000-0000-0000523C0000}"/>
    <cellStyle name="40% - Accent4 2 2 3 3 2 2" xfId="15295" xr:uid="{00000000-0005-0000-0000-0000533C0000}"/>
    <cellStyle name="40% - Accent4 2 2 3 3 2 2 2" xfId="28844" xr:uid="{00000000-0005-0000-0000-0000543C0000}"/>
    <cellStyle name="40% - Accent4 2 2 3 3 2 3" xfId="21231" xr:uid="{00000000-0005-0000-0000-0000553C0000}"/>
    <cellStyle name="40% - Accent4 2 2 3 3 3" xfId="11108" xr:uid="{00000000-0005-0000-0000-0000563C0000}"/>
    <cellStyle name="40% - Accent4 2 2 3 3 3 2" xfId="25050" xr:uid="{00000000-0005-0000-0000-0000573C0000}"/>
    <cellStyle name="40% - Accent4 2 2 3 3 4" xfId="21230" xr:uid="{00000000-0005-0000-0000-0000583C0000}"/>
    <cellStyle name="40% - Accent4 2 2 3 4" xfId="3907" xr:uid="{00000000-0005-0000-0000-0000593C0000}"/>
    <cellStyle name="40% - Accent4 2 2 3 4 2" xfId="12213" xr:uid="{00000000-0005-0000-0000-00005A3C0000}"/>
    <cellStyle name="40% - Accent4 2 2 3 4 2 2" xfId="25925" xr:uid="{00000000-0005-0000-0000-00005B3C0000}"/>
    <cellStyle name="40% - Accent4 2 2 3 4 3" xfId="21232" xr:uid="{00000000-0005-0000-0000-00005C3C0000}"/>
    <cellStyle name="40% - Accent4 2 2 3 5" xfId="3908" xr:uid="{00000000-0005-0000-0000-00005D3C0000}"/>
    <cellStyle name="40% - Accent4 2 2 3 5 2" xfId="12883" xr:uid="{00000000-0005-0000-0000-00005E3C0000}"/>
    <cellStyle name="40% - Accent4 2 2 3 5 2 2" xfId="26595" xr:uid="{00000000-0005-0000-0000-00005F3C0000}"/>
    <cellStyle name="40% - Accent4 2 2 3 5 3" xfId="21233" xr:uid="{00000000-0005-0000-0000-0000603C0000}"/>
    <cellStyle name="40% - Accent4 2 2 3 6" xfId="3909" xr:uid="{00000000-0005-0000-0000-0000613C0000}"/>
    <cellStyle name="40% - Accent4 2 2 3 6 2" xfId="13777" xr:uid="{00000000-0005-0000-0000-0000623C0000}"/>
    <cellStyle name="40% - Accent4 2 2 3 6 2 2" xfId="27326" xr:uid="{00000000-0005-0000-0000-0000633C0000}"/>
    <cellStyle name="40% - Accent4 2 2 3 6 3" xfId="21234" xr:uid="{00000000-0005-0000-0000-0000643C0000}"/>
    <cellStyle name="40% - Accent4 2 2 3 7" xfId="3910" xr:uid="{00000000-0005-0000-0000-0000653C0000}"/>
    <cellStyle name="40% - Accent4 2 2 3 7 2" xfId="14358" xr:uid="{00000000-0005-0000-0000-0000663C0000}"/>
    <cellStyle name="40% - Accent4 2 2 3 7 2 2" xfId="27907" xr:uid="{00000000-0005-0000-0000-0000673C0000}"/>
    <cellStyle name="40% - Accent4 2 2 3 7 3" xfId="21235" xr:uid="{00000000-0005-0000-0000-0000683C0000}"/>
    <cellStyle name="40% - Accent4 2 2 3 8" xfId="3911" xr:uid="{00000000-0005-0000-0000-0000693C0000}"/>
    <cellStyle name="40% - Accent4 2 2 3 8 2" xfId="15293" xr:uid="{00000000-0005-0000-0000-00006A3C0000}"/>
    <cellStyle name="40% - Accent4 2 2 3 8 2 2" xfId="28842" xr:uid="{00000000-0005-0000-0000-00006B3C0000}"/>
    <cellStyle name="40% - Accent4 2 2 3 8 3" xfId="21236" xr:uid="{00000000-0005-0000-0000-00006C3C0000}"/>
    <cellStyle name="40% - Accent4 2 2 3 9" xfId="3912" xr:uid="{00000000-0005-0000-0000-00006D3C0000}"/>
    <cellStyle name="40% - Accent4 2 2 3 9 2" xfId="16244" xr:uid="{00000000-0005-0000-0000-00006E3C0000}"/>
    <cellStyle name="40% - Accent4 2 2 3 9 2 2" xfId="29651" xr:uid="{00000000-0005-0000-0000-00006F3C0000}"/>
    <cellStyle name="40% - Accent4 2 2 3 9 3" xfId="21237" xr:uid="{00000000-0005-0000-0000-0000703C0000}"/>
    <cellStyle name="40% - Accent4 2 2 4" xfId="3913" xr:uid="{00000000-0005-0000-0000-0000713C0000}"/>
    <cellStyle name="40% - Accent4 2 2 4 2" xfId="3914" xr:uid="{00000000-0005-0000-0000-0000723C0000}"/>
    <cellStyle name="40% - Accent4 2 2 4 2 2" xfId="11110" xr:uid="{00000000-0005-0000-0000-0000733C0000}"/>
    <cellStyle name="40% - Accent4 2 2 4 2 2 2" xfId="25052" xr:uid="{00000000-0005-0000-0000-0000743C0000}"/>
    <cellStyle name="40% - Accent4 2 2 4 2 3" xfId="21239" xr:uid="{00000000-0005-0000-0000-0000753C0000}"/>
    <cellStyle name="40% - Accent4 2 2 4 3" xfId="3915" xr:uid="{00000000-0005-0000-0000-0000763C0000}"/>
    <cellStyle name="40% - Accent4 2 2 4 3 2" xfId="12885" xr:uid="{00000000-0005-0000-0000-0000773C0000}"/>
    <cellStyle name="40% - Accent4 2 2 4 3 2 2" xfId="26597" xr:uid="{00000000-0005-0000-0000-0000783C0000}"/>
    <cellStyle name="40% - Accent4 2 2 4 3 3" xfId="21240" xr:uid="{00000000-0005-0000-0000-0000793C0000}"/>
    <cellStyle name="40% - Accent4 2 2 4 4" xfId="3916" xr:uid="{00000000-0005-0000-0000-00007A3C0000}"/>
    <cellStyle name="40% - Accent4 2 2 4 4 2" xfId="15296" xr:uid="{00000000-0005-0000-0000-00007B3C0000}"/>
    <cellStyle name="40% - Accent4 2 2 4 4 2 2" xfId="28845" xr:uid="{00000000-0005-0000-0000-00007C3C0000}"/>
    <cellStyle name="40% - Accent4 2 2 4 4 3" xfId="21241" xr:uid="{00000000-0005-0000-0000-00007D3C0000}"/>
    <cellStyle name="40% - Accent4 2 2 4 5" xfId="3917" xr:uid="{00000000-0005-0000-0000-00007E3C0000}"/>
    <cellStyle name="40% - Accent4 2 2 4 5 2" xfId="17172" xr:uid="{00000000-0005-0000-0000-00007F3C0000}"/>
    <cellStyle name="40% - Accent4 2 2 4 5 2 2" xfId="30531" xr:uid="{00000000-0005-0000-0000-0000803C0000}"/>
    <cellStyle name="40% - Accent4 2 2 4 5 3" xfId="21242" xr:uid="{00000000-0005-0000-0000-0000813C0000}"/>
    <cellStyle name="40% - Accent4 2 2 4 6" xfId="9383" xr:uid="{00000000-0005-0000-0000-0000823C0000}"/>
    <cellStyle name="40% - Accent4 2 2 4 6 2" xfId="23858" xr:uid="{00000000-0005-0000-0000-0000833C0000}"/>
    <cellStyle name="40% - Accent4 2 2 4 7" xfId="21238" xr:uid="{00000000-0005-0000-0000-0000843C0000}"/>
    <cellStyle name="40% - Accent4 2 2 5" xfId="3918" xr:uid="{00000000-0005-0000-0000-0000853C0000}"/>
    <cellStyle name="40% - Accent4 2 2 5 2" xfId="3919" xr:uid="{00000000-0005-0000-0000-0000863C0000}"/>
    <cellStyle name="40% - Accent4 2 2 5 2 2" xfId="15297" xr:uid="{00000000-0005-0000-0000-0000873C0000}"/>
    <cellStyle name="40% - Accent4 2 2 5 2 2 2" xfId="28846" xr:uid="{00000000-0005-0000-0000-0000883C0000}"/>
    <cellStyle name="40% - Accent4 2 2 5 2 3" xfId="21244" xr:uid="{00000000-0005-0000-0000-0000893C0000}"/>
    <cellStyle name="40% - Accent4 2 2 5 3" xfId="3920" xr:uid="{00000000-0005-0000-0000-00008A3C0000}"/>
    <cellStyle name="40% - Accent4 2 2 5 3 2" xfId="17261" xr:uid="{00000000-0005-0000-0000-00008B3C0000}"/>
    <cellStyle name="40% - Accent4 2 2 5 3 2 2" xfId="30620" xr:uid="{00000000-0005-0000-0000-00008C3C0000}"/>
    <cellStyle name="40% - Accent4 2 2 5 3 3" xfId="21245" xr:uid="{00000000-0005-0000-0000-00008D3C0000}"/>
    <cellStyle name="40% - Accent4 2 2 5 4" xfId="11103" xr:uid="{00000000-0005-0000-0000-00008E3C0000}"/>
    <cellStyle name="40% - Accent4 2 2 5 4 2" xfId="25045" xr:uid="{00000000-0005-0000-0000-00008F3C0000}"/>
    <cellStyle name="40% - Accent4 2 2 5 5" xfId="21243" xr:uid="{00000000-0005-0000-0000-0000903C0000}"/>
    <cellStyle name="40% - Accent4 2 2 6" xfId="3921" xr:uid="{00000000-0005-0000-0000-0000913C0000}"/>
    <cellStyle name="40% - Accent4 2 2 6 2" xfId="3922" xr:uid="{00000000-0005-0000-0000-0000923C0000}"/>
    <cellStyle name="40% - Accent4 2 2 6 2 2" xfId="16536" xr:uid="{00000000-0005-0000-0000-0000933C0000}"/>
    <cellStyle name="40% - Accent4 2 2 6 2 2 2" xfId="29943" xr:uid="{00000000-0005-0000-0000-0000943C0000}"/>
    <cellStyle name="40% - Accent4 2 2 6 2 3" xfId="21247" xr:uid="{00000000-0005-0000-0000-0000953C0000}"/>
    <cellStyle name="40% - Accent4 2 2 6 3" xfId="11911" xr:uid="{00000000-0005-0000-0000-0000963C0000}"/>
    <cellStyle name="40% - Accent4 2 2 6 3 2" xfId="25626" xr:uid="{00000000-0005-0000-0000-0000973C0000}"/>
    <cellStyle name="40% - Accent4 2 2 6 4" xfId="21246" xr:uid="{00000000-0005-0000-0000-0000983C0000}"/>
    <cellStyle name="40% - Accent4 2 2 7" xfId="3923" xr:uid="{00000000-0005-0000-0000-0000993C0000}"/>
    <cellStyle name="40% - Accent4 2 2 7 2" xfId="12878" xr:uid="{00000000-0005-0000-0000-00009A3C0000}"/>
    <cellStyle name="40% - Accent4 2 2 7 2 2" xfId="26590" xr:uid="{00000000-0005-0000-0000-00009B3C0000}"/>
    <cellStyle name="40% - Accent4 2 2 7 3" xfId="21248" xr:uid="{00000000-0005-0000-0000-00009C3C0000}"/>
    <cellStyle name="40% - Accent4 2 2 8" xfId="3924" xr:uid="{00000000-0005-0000-0000-00009D3C0000}"/>
    <cellStyle name="40% - Accent4 2 2 8 2" xfId="13488" xr:uid="{00000000-0005-0000-0000-00009E3C0000}"/>
    <cellStyle name="40% - Accent4 2 2 8 2 2" xfId="27037" xr:uid="{00000000-0005-0000-0000-00009F3C0000}"/>
    <cellStyle name="40% - Accent4 2 2 8 3" xfId="21249" xr:uid="{00000000-0005-0000-0000-0000A03C0000}"/>
    <cellStyle name="40% - Accent4 2 2 9" xfId="3925" xr:uid="{00000000-0005-0000-0000-0000A13C0000}"/>
    <cellStyle name="40% - Accent4 2 2 9 2" xfId="14069" xr:uid="{00000000-0005-0000-0000-0000A23C0000}"/>
    <cellStyle name="40% - Accent4 2 2 9 2 2" xfId="27618" xr:uid="{00000000-0005-0000-0000-0000A33C0000}"/>
    <cellStyle name="40% - Accent4 2 2 9 3" xfId="21250" xr:uid="{00000000-0005-0000-0000-0000A43C0000}"/>
    <cellStyle name="40% - Accent4 2 3" xfId="3926" xr:uid="{00000000-0005-0000-0000-0000A53C0000}"/>
    <cellStyle name="40% - Accent4 2 3 10" xfId="3927" xr:uid="{00000000-0005-0000-0000-0000A63C0000}"/>
    <cellStyle name="40% - Accent4 2 3 10 2" xfId="16052" xr:uid="{00000000-0005-0000-0000-0000A73C0000}"/>
    <cellStyle name="40% - Accent4 2 3 10 2 2" xfId="29459" xr:uid="{00000000-0005-0000-0000-0000A83C0000}"/>
    <cellStyle name="40% - Accent4 2 3 10 3" xfId="21252" xr:uid="{00000000-0005-0000-0000-0000A93C0000}"/>
    <cellStyle name="40% - Accent4 2 3 11" xfId="9384" xr:uid="{00000000-0005-0000-0000-0000AA3C0000}"/>
    <cellStyle name="40% - Accent4 2 3 11 2" xfId="23859" xr:uid="{00000000-0005-0000-0000-0000AB3C0000}"/>
    <cellStyle name="40% - Accent4 2 3 12" xfId="21251" xr:uid="{00000000-0005-0000-0000-0000AC3C0000}"/>
    <cellStyle name="40% - Accent4 2 3 2" xfId="3928" xr:uid="{00000000-0005-0000-0000-0000AD3C0000}"/>
    <cellStyle name="40% - Accent4 2 3 2 10" xfId="9385" xr:uid="{00000000-0005-0000-0000-0000AE3C0000}"/>
    <cellStyle name="40% - Accent4 2 3 2 10 2" xfId="23860" xr:uid="{00000000-0005-0000-0000-0000AF3C0000}"/>
    <cellStyle name="40% - Accent4 2 3 2 11" xfId="21253" xr:uid="{00000000-0005-0000-0000-0000B03C0000}"/>
    <cellStyle name="40% - Accent4 2 3 2 2" xfId="3929" xr:uid="{00000000-0005-0000-0000-0000B13C0000}"/>
    <cellStyle name="40% - Accent4 2 3 2 2 2" xfId="3930" xr:uid="{00000000-0005-0000-0000-0000B23C0000}"/>
    <cellStyle name="40% - Accent4 2 3 2 2 2 2" xfId="11113" xr:uid="{00000000-0005-0000-0000-0000B33C0000}"/>
    <cellStyle name="40% - Accent4 2 3 2 2 2 2 2" xfId="25055" xr:uid="{00000000-0005-0000-0000-0000B43C0000}"/>
    <cellStyle name="40% - Accent4 2 3 2 2 2 3" xfId="21255" xr:uid="{00000000-0005-0000-0000-0000B53C0000}"/>
    <cellStyle name="40% - Accent4 2 3 2 2 3" xfId="3931" xr:uid="{00000000-0005-0000-0000-0000B63C0000}"/>
    <cellStyle name="40% - Accent4 2 3 2 2 3 2" xfId="12888" xr:uid="{00000000-0005-0000-0000-0000B73C0000}"/>
    <cellStyle name="40% - Accent4 2 3 2 2 3 2 2" xfId="26600" xr:uid="{00000000-0005-0000-0000-0000B83C0000}"/>
    <cellStyle name="40% - Accent4 2 3 2 2 3 3" xfId="21256" xr:uid="{00000000-0005-0000-0000-0000B93C0000}"/>
    <cellStyle name="40% - Accent4 2 3 2 2 4" xfId="3932" xr:uid="{00000000-0005-0000-0000-0000BA3C0000}"/>
    <cellStyle name="40% - Accent4 2 3 2 2 4 2" xfId="15300" xr:uid="{00000000-0005-0000-0000-0000BB3C0000}"/>
    <cellStyle name="40% - Accent4 2 3 2 2 4 2 2" xfId="28849" xr:uid="{00000000-0005-0000-0000-0000BC3C0000}"/>
    <cellStyle name="40% - Accent4 2 3 2 2 4 3" xfId="21257" xr:uid="{00000000-0005-0000-0000-0000BD3C0000}"/>
    <cellStyle name="40% - Accent4 2 3 2 2 5" xfId="3933" xr:uid="{00000000-0005-0000-0000-0000BE3C0000}"/>
    <cellStyle name="40% - Accent4 2 3 2 2 5 2" xfId="16922" xr:uid="{00000000-0005-0000-0000-0000BF3C0000}"/>
    <cellStyle name="40% - Accent4 2 3 2 2 5 2 2" xfId="30329" xr:uid="{00000000-0005-0000-0000-0000C03C0000}"/>
    <cellStyle name="40% - Accent4 2 3 2 2 5 3" xfId="21258" xr:uid="{00000000-0005-0000-0000-0000C13C0000}"/>
    <cellStyle name="40% - Accent4 2 3 2 2 6" xfId="9386" xr:uid="{00000000-0005-0000-0000-0000C23C0000}"/>
    <cellStyle name="40% - Accent4 2 3 2 2 6 2" xfId="23861" xr:uid="{00000000-0005-0000-0000-0000C33C0000}"/>
    <cellStyle name="40% - Accent4 2 3 2 2 7" xfId="21254" xr:uid="{00000000-0005-0000-0000-0000C43C0000}"/>
    <cellStyle name="40% - Accent4 2 3 2 3" xfId="3934" xr:uid="{00000000-0005-0000-0000-0000C53C0000}"/>
    <cellStyle name="40% - Accent4 2 3 2 3 2" xfId="3935" xr:uid="{00000000-0005-0000-0000-0000C63C0000}"/>
    <cellStyle name="40% - Accent4 2 3 2 3 2 2" xfId="15301" xr:uid="{00000000-0005-0000-0000-0000C73C0000}"/>
    <cellStyle name="40% - Accent4 2 3 2 3 2 2 2" xfId="28850" xr:uid="{00000000-0005-0000-0000-0000C83C0000}"/>
    <cellStyle name="40% - Accent4 2 3 2 3 2 3" xfId="21260" xr:uid="{00000000-0005-0000-0000-0000C93C0000}"/>
    <cellStyle name="40% - Accent4 2 3 2 3 3" xfId="11112" xr:uid="{00000000-0005-0000-0000-0000CA3C0000}"/>
    <cellStyle name="40% - Accent4 2 3 2 3 3 2" xfId="25054" xr:uid="{00000000-0005-0000-0000-0000CB3C0000}"/>
    <cellStyle name="40% - Accent4 2 3 2 3 4" xfId="21259" xr:uid="{00000000-0005-0000-0000-0000CC3C0000}"/>
    <cellStyle name="40% - Accent4 2 3 2 4" xfId="3936" xr:uid="{00000000-0005-0000-0000-0000CD3C0000}"/>
    <cellStyle name="40% - Accent4 2 3 2 4 2" xfId="12310" xr:uid="{00000000-0005-0000-0000-0000CE3C0000}"/>
    <cellStyle name="40% - Accent4 2 3 2 4 2 2" xfId="26022" xr:uid="{00000000-0005-0000-0000-0000CF3C0000}"/>
    <cellStyle name="40% - Accent4 2 3 2 4 3" xfId="21261" xr:uid="{00000000-0005-0000-0000-0000D03C0000}"/>
    <cellStyle name="40% - Accent4 2 3 2 5" xfId="3937" xr:uid="{00000000-0005-0000-0000-0000D13C0000}"/>
    <cellStyle name="40% - Accent4 2 3 2 5 2" xfId="12887" xr:uid="{00000000-0005-0000-0000-0000D23C0000}"/>
    <cellStyle name="40% - Accent4 2 3 2 5 2 2" xfId="26599" xr:uid="{00000000-0005-0000-0000-0000D33C0000}"/>
    <cellStyle name="40% - Accent4 2 3 2 5 3" xfId="21262" xr:uid="{00000000-0005-0000-0000-0000D43C0000}"/>
    <cellStyle name="40% - Accent4 2 3 2 6" xfId="3938" xr:uid="{00000000-0005-0000-0000-0000D53C0000}"/>
    <cellStyle name="40% - Accent4 2 3 2 6 2" xfId="13874" xr:uid="{00000000-0005-0000-0000-0000D63C0000}"/>
    <cellStyle name="40% - Accent4 2 3 2 6 2 2" xfId="27423" xr:uid="{00000000-0005-0000-0000-0000D73C0000}"/>
    <cellStyle name="40% - Accent4 2 3 2 6 3" xfId="21263" xr:uid="{00000000-0005-0000-0000-0000D83C0000}"/>
    <cellStyle name="40% - Accent4 2 3 2 7" xfId="3939" xr:uid="{00000000-0005-0000-0000-0000D93C0000}"/>
    <cellStyle name="40% - Accent4 2 3 2 7 2" xfId="14455" xr:uid="{00000000-0005-0000-0000-0000DA3C0000}"/>
    <cellStyle name="40% - Accent4 2 3 2 7 2 2" xfId="28004" xr:uid="{00000000-0005-0000-0000-0000DB3C0000}"/>
    <cellStyle name="40% - Accent4 2 3 2 7 3" xfId="21264" xr:uid="{00000000-0005-0000-0000-0000DC3C0000}"/>
    <cellStyle name="40% - Accent4 2 3 2 8" xfId="3940" xr:uid="{00000000-0005-0000-0000-0000DD3C0000}"/>
    <cellStyle name="40% - Accent4 2 3 2 8 2" xfId="15299" xr:uid="{00000000-0005-0000-0000-0000DE3C0000}"/>
    <cellStyle name="40% - Accent4 2 3 2 8 2 2" xfId="28848" xr:uid="{00000000-0005-0000-0000-0000DF3C0000}"/>
    <cellStyle name="40% - Accent4 2 3 2 8 3" xfId="21265" xr:uid="{00000000-0005-0000-0000-0000E03C0000}"/>
    <cellStyle name="40% - Accent4 2 3 2 9" xfId="3941" xr:uid="{00000000-0005-0000-0000-0000E13C0000}"/>
    <cellStyle name="40% - Accent4 2 3 2 9 2" xfId="16341" xr:uid="{00000000-0005-0000-0000-0000E23C0000}"/>
    <cellStyle name="40% - Accent4 2 3 2 9 2 2" xfId="29748" xr:uid="{00000000-0005-0000-0000-0000E33C0000}"/>
    <cellStyle name="40% - Accent4 2 3 2 9 3" xfId="21266" xr:uid="{00000000-0005-0000-0000-0000E43C0000}"/>
    <cellStyle name="40% - Accent4 2 3 3" xfId="3942" xr:uid="{00000000-0005-0000-0000-0000E53C0000}"/>
    <cellStyle name="40% - Accent4 2 3 3 2" xfId="3943" xr:uid="{00000000-0005-0000-0000-0000E63C0000}"/>
    <cellStyle name="40% - Accent4 2 3 3 2 2" xfId="11114" xr:uid="{00000000-0005-0000-0000-0000E73C0000}"/>
    <cellStyle name="40% - Accent4 2 3 3 2 2 2" xfId="25056" xr:uid="{00000000-0005-0000-0000-0000E83C0000}"/>
    <cellStyle name="40% - Accent4 2 3 3 2 3" xfId="21268" xr:uid="{00000000-0005-0000-0000-0000E93C0000}"/>
    <cellStyle name="40% - Accent4 2 3 3 3" xfId="3944" xr:uid="{00000000-0005-0000-0000-0000EA3C0000}"/>
    <cellStyle name="40% - Accent4 2 3 3 3 2" xfId="12889" xr:uid="{00000000-0005-0000-0000-0000EB3C0000}"/>
    <cellStyle name="40% - Accent4 2 3 3 3 2 2" xfId="26601" xr:uid="{00000000-0005-0000-0000-0000EC3C0000}"/>
    <cellStyle name="40% - Accent4 2 3 3 3 3" xfId="21269" xr:uid="{00000000-0005-0000-0000-0000ED3C0000}"/>
    <cellStyle name="40% - Accent4 2 3 3 4" xfId="3945" xr:uid="{00000000-0005-0000-0000-0000EE3C0000}"/>
    <cellStyle name="40% - Accent4 2 3 3 4 2" xfId="15302" xr:uid="{00000000-0005-0000-0000-0000EF3C0000}"/>
    <cellStyle name="40% - Accent4 2 3 3 4 2 2" xfId="28851" xr:uid="{00000000-0005-0000-0000-0000F03C0000}"/>
    <cellStyle name="40% - Accent4 2 3 3 4 3" xfId="21270" xr:uid="{00000000-0005-0000-0000-0000F13C0000}"/>
    <cellStyle name="40% - Accent4 2 3 3 5" xfId="3946" xr:uid="{00000000-0005-0000-0000-0000F23C0000}"/>
    <cellStyle name="40% - Accent4 2 3 3 5 2" xfId="16633" xr:uid="{00000000-0005-0000-0000-0000F33C0000}"/>
    <cellStyle name="40% - Accent4 2 3 3 5 2 2" xfId="30040" xr:uid="{00000000-0005-0000-0000-0000F43C0000}"/>
    <cellStyle name="40% - Accent4 2 3 3 5 3" xfId="21271" xr:uid="{00000000-0005-0000-0000-0000F53C0000}"/>
    <cellStyle name="40% - Accent4 2 3 3 6" xfId="9387" xr:uid="{00000000-0005-0000-0000-0000F63C0000}"/>
    <cellStyle name="40% - Accent4 2 3 3 6 2" xfId="23862" xr:uid="{00000000-0005-0000-0000-0000F73C0000}"/>
    <cellStyle name="40% - Accent4 2 3 3 7" xfId="21267" xr:uid="{00000000-0005-0000-0000-0000F83C0000}"/>
    <cellStyle name="40% - Accent4 2 3 4" xfId="3947" xr:uid="{00000000-0005-0000-0000-0000F93C0000}"/>
    <cellStyle name="40% - Accent4 2 3 4 2" xfId="3948" xr:uid="{00000000-0005-0000-0000-0000FA3C0000}"/>
    <cellStyle name="40% - Accent4 2 3 4 2 2" xfId="15303" xr:uid="{00000000-0005-0000-0000-0000FB3C0000}"/>
    <cellStyle name="40% - Accent4 2 3 4 2 2 2" xfId="28852" xr:uid="{00000000-0005-0000-0000-0000FC3C0000}"/>
    <cellStyle name="40% - Accent4 2 3 4 2 3" xfId="21273" xr:uid="{00000000-0005-0000-0000-0000FD3C0000}"/>
    <cellStyle name="40% - Accent4 2 3 4 3" xfId="11111" xr:uid="{00000000-0005-0000-0000-0000FE3C0000}"/>
    <cellStyle name="40% - Accent4 2 3 4 3 2" xfId="25053" xr:uid="{00000000-0005-0000-0000-0000FF3C0000}"/>
    <cellStyle name="40% - Accent4 2 3 4 4" xfId="21272" xr:uid="{00000000-0005-0000-0000-0000003D0000}"/>
    <cellStyle name="40% - Accent4 2 3 5" xfId="3949" xr:uid="{00000000-0005-0000-0000-0000013D0000}"/>
    <cellStyle name="40% - Accent4 2 3 5 2" xfId="12010" xr:uid="{00000000-0005-0000-0000-0000023D0000}"/>
    <cellStyle name="40% - Accent4 2 3 5 2 2" xfId="25725" xr:uid="{00000000-0005-0000-0000-0000033D0000}"/>
    <cellStyle name="40% - Accent4 2 3 5 3" xfId="21274" xr:uid="{00000000-0005-0000-0000-0000043D0000}"/>
    <cellStyle name="40% - Accent4 2 3 6" xfId="3950" xr:uid="{00000000-0005-0000-0000-0000053D0000}"/>
    <cellStyle name="40% - Accent4 2 3 6 2" xfId="12886" xr:uid="{00000000-0005-0000-0000-0000063D0000}"/>
    <cellStyle name="40% - Accent4 2 3 6 2 2" xfId="26598" xr:uid="{00000000-0005-0000-0000-0000073D0000}"/>
    <cellStyle name="40% - Accent4 2 3 6 3" xfId="21275" xr:uid="{00000000-0005-0000-0000-0000083D0000}"/>
    <cellStyle name="40% - Accent4 2 3 7" xfId="3951" xr:uid="{00000000-0005-0000-0000-0000093D0000}"/>
    <cellStyle name="40% - Accent4 2 3 7 2" xfId="13585" xr:uid="{00000000-0005-0000-0000-00000A3D0000}"/>
    <cellStyle name="40% - Accent4 2 3 7 2 2" xfId="27134" xr:uid="{00000000-0005-0000-0000-00000B3D0000}"/>
    <cellStyle name="40% - Accent4 2 3 7 3" xfId="21276" xr:uid="{00000000-0005-0000-0000-00000C3D0000}"/>
    <cellStyle name="40% - Accent4 2 3 8" xfId="3952" xr:uid="{00000000-0005-0000-0000-00000D3D0000}"/>
    <cellStyle name="40% - Accent4 2 3 8 2" xfId="14166" xr:uid="{00000000-0005-0000-0000-00000E3D0000}"/>
    <cellStyle name="40% - Accent4 2 3 8 2 2" xfId="27715" xr:uid="{00000000-0005-0000-0000-00000F3D0000}"/>
    <cellStyle name="40% - Accent4 2 3 8 3" xfId="21277" xr:uid="{00000000-0005-0000-0000-0000103D0000}"/>
    <cellStyle name="40% - Accent4 2 3 9" xfId="3953" xr:uid="{00000000-0005-0000-0000-0000113D0000}"/>
    <cellStyle name="40% - Accent4 2 3 9 2" xfId="15298" xr:uid="{00000000-0005-0000-0000-0000123D0000}"/>
    <cellStyle name="40% - Accent4 2 3 9 2 2" xfId="28847" xr:uid="{00000000-0005-0000-0000-0000133D0000}"/>
    <cellStyle name="40% - Accent4 2 3 9 3" xfId="21278" xr:uid="{00000000-0005-0000-0000-0000143D0000}"/>
    <cellStyle name="40% - Accent4 2 4" xfId="3954" xr:uid="{00000000-0005-0000-0000-0000153D0000}"/>
    <cellStyle name="40% - Accent4 2 4 10" xfId="9388" xr:uid="{00000000-0005-0000-0000-0000163D0000}"/>
    <cellStyle name="40% - Accent4 2 4 10 2" xfId="23863" xr:uid="{00000000-0005-0000-0000-0000173D0000}"/>
    <cellStyle name="40% - Accent4 2 4 11" xfId="21279" xr:uid="{00000000-0005-0000-0000-0000183D0000}"/>
    <cellStyle name="40% - Accent4 2 4 2" xfId="3955" xr:uid="{00000000-0005-0000-0000-0000193D0000}"/>
    <cellStyle name="40% - Accent4 2 4 2 2" xfId="3956" xr:uid="{00000000-0005-0000-0000-00001A3D0000}"/>
    <cellStyle name="40% - Accent4 2 4 2 2 2" xfId="11116" xr:uid="{00000000-0005-0000-0000-00001B3D0000}"/>
    <cellStyle name="40% - Accent4 2 4 2 2 2 2" xfId="25058" xr:uid="{00000000-0005-0000-0000-00001C3D0000}"/>
    <cellStyle name="40% - Accent4 2 4 2 2 3" xfId="21281" xr:uid="{00000000-0005-0000-0000-00001D3D0000}"/>
    <cellStyle name="40% - Accent4 2 4 2 3" xfId="3957" xr:uid="{00000000-0005-0000-0000-00001E3D0000}"/>
    <cellStyle name="40% - Accent4 2 4 2 3 2" xfId="12891" xr:uid="{00000000-0005-0000-0000-00001F3D0000}"/>
    <cellStyle name="40% - Accent4 2 4 2 3 2 2" xfId="26603" xr:uid="{00000000-0005-0000-0000-0000203D0000}"/>
    <cellStyle name="40% - Accent4 2 4 2 3 3" xfId="21282" xr:uid="{00000000-0005-0000-0000-0000213D0000}"/>
    <cellStyle name="40% - Accent4 2 4 2 4" xfId="3958" xr:uid="{00000000-0005-0000-0000-0000223D0000}"/>
    <cellStyle name="40% - Accent4 2 4 2 4 2" xfId="15305" xr:uid="{00000000-0005-0000-0000-0000233D0000}"/>
    <cellStyle name="40% - Accent4 2 4 2 4 2 2" xfId="28854" xr:uid="{00000000-0005-0000-0000-0000243D0000}"/>
    <cellStyle name="40% - Accent4 2 4 2 4 3" xfId="21283" xr:uid="{00000000-0005-0000-0000-0000253D0000}"/>
    <cellStyle name="40% - Accent4 2 4 2 5" xfId="3959" xr:uid="{00000000-0005-0000-0000-0000263D0000}"/>
    <cellStyle name="40% - Accent4 2 4 2 5 2" xfId="16779" xr:uid="{00000000-0005-0000-0000-0000273D0000}"/>
    <cellStyle name="40% - Accent4 2 4 2 5 2 2" xfId="30186" xr:uid="{00000000-0005-0000-0000-0000283D0000}"/>
    <cellStyle name="40% - Accent4 2 4 2 5 3" xfId="21284" xr:uid="{00000000-0005-0000-0000-0000293D0000}"/>
    <cellStyle name="40% - Accent4 2 4 2 6" xfId="9389" xr:uid="{00000000-0005-0000-0000-00002A3D0000}"/>
    <cellStyle name="40% - Accent4 2 4 2 6 2" xfId="23864" xr:uid="{00000000-0005-0000-0000-00002B3D0000}"/>
    <cellStyle name="40% - Accent4 2 4 2 7" xfId="21280" xr:uid="{00000000-0005-0000-0000-00002C3D0000}"/>
    <cellStyle name="40% - Accent4 2 4 3" xfId="3960" xr:uid="{00000000-0005-0000-0000-00002D3D0000}"/>
    <cellStyle name="40% - Accent4 2 4 3 2" xfId="3961" xr:uid="{00000000-0005-0000-0000-00002E3D0000}"/>
    <cellStyle name="40% - Accent4 2 4 3 2 2" xfId="15306" xr:uid="{00000000-0005-0000-0000-00002F3D0000}"/>
    <cellStyle name="40% - Accent4 2 4 3 2 2 2" xfId="28855" xr:uid="{00000000-0005-0000-0000-0000303D0000}"/>
    <cellStyle name="40% - Accent4 2 4 3 2 3" xfId="21286" xr:uid="{00000000-0005-0000-0000-0000313D0000}"/>
    <cellStyle name="40% - Accent4 2 4 3 3" xfId="11115" xr:uid="{00000000-0005-0000-0000-0000323D0000}"/>
    <cellStyle name="40% - Accent4 2 4 3 3 2" xfId="25057" xr:uid="{00000000-0005-0000-0000-0000333D0000}"/>
    <cellStyle name="40% - Accent4 2 4 3 4" xfId="21285" xr:uid="{00000000-0005-0000-0000-0000343D0000}"/>
    <cellStyle name="40% - Accent4 2 4 4" xfId="3962" xr:uid="{00000000-0005-0000-0000-0000353D0000}"/>
    <cellStyle name="40% - Accent4 2 4 4 2" xfId="12167" xr:uid="{00000000-0005-0000-0000-0000363D0000}"/>
    <cellStyle name="40% - Accent4 2 4 4 2 2" xfId="25879" xr:uid="{00000000-0005-0000-0000-0000373D0000}"/>
    <cellStyle name="40% - Accent4 2 4 4 3" xfId="21287" xr:uid="{00000000-0005-0000-0000-0000383D0000}"/>
    <cellStyle name="40% - Accent4 2 4 5" xfId="3963" xr:uid="{00000000-0005-0000-0000-0000393D0000}"/>
    <cellStyle name="40% - Accent4 2 4 5 2" xfId="12890" xr:uid="{00000000-0005-0000-0000-00003A3D0000}"/>
    <cellStyle name="40% - Accent4 2 4 5 2 2" xfId="26602" xr:uid="{00000000-0005-0000-0000-00003B3D0000}"/>
    <cellStyle name="40% - Accent4 2 4 5 3" xfId="21288" xr:uid="{00000000-0005-0000-0000-00003C3D0000}"/>
    <cellStyle name="40% - Accent4 2 4 6" xfId="3964" xr:uid="{00000000-0005-0000-0000-00003D3D0000}"/>
    <cellStyle name="40% - Accent4 2 4 6 2" xfId="13731" xr:uid="{00000000-0005-0000-0000-00003E3D0000}"/>
    <cellStyle name="40% - Accent4 2 4 6 2 2" xfId="27280" xr:uid="{00000000-0005-0000-0000-00003F3D0000}"/>
    <cellStyle name="40% - Accent4 2 4 6 3" xfId="21289" xr:uid="{00000000-0005-0000-0000-0000403D0000}"/>
    <cellStyle name="40% - Accent4 2 4 7" xfId="3965" xr:uid="{00000000-0005-0000-0000-0000413D0000}"/>
    <cellStyle name="40% - Accent4 2 4 7 2" xfId="14312" xr:uid="{00000000-0005-0000-0000-0000423D0000}"/>
    <cellStyle name="40% - Accent4 2 4 7 2 2" xfId="27861" xr:uid="{00000000-0005-0000-0000-0000433D0000}"/>
    <cellStyle name="40% - Accent4 2 4 7 3" xfId="21290" xr:uid="{00000000-0005-0000-0000-0000443D0000}"/>
    <cellStyle name="40% - Accent4 2 4 8" xfId="3966" xr:uid="{00000000-0005-0000-0000-0000453D0000}"/>
    <cellStyle name="40% - Accent4 2 4 8 2" xfId="15304" xr:uid="{00000000-0005-0000-0000-0000463D0000}"/>
    <cellStyle name="40% - Accent4 2 4 8 2 2" xfId="28853" xr:uid="{00000000-0005-0000-0000-0000473D0000}"/>
    <cellStyle name="40% - Accent4 2 4 8 3" xfId="21291" xr:uid="{00000000-0005-0000-0000-0000483D0000}"/>
    <cellStyle name="40% - Accent4 2 4 9" xfId="3967" xr:uid="{00000000-0005-0000-0000-0000493D0000}"/>
    <cellStyle name="40% - Accent4 2 4 9 2" xfId="16198" xr:uid="{00000000-0005-0000-0000-00004A3D0000}"/>
    <cellStyle name="40% - Accent4 2 4 9 2 2" xfId="29605" xr:uid="{00000000-0005-0000-0000-00004B3D0000}"/>
    <cellStyle name="40% - Accent4 2 4 9 3" xfId="21292" xr:uid="{00000000-0005-0000-0000-00004C3D0000}"/>
    <cellStyle name="40% - Accent4 2 5" xfId="3968" xr:uid="{00000000-0005-0000-0000-00004D3D0000}"/>
    <cellStyle name="40% - Accent4 2 5 2" xfId="3969" xr:uid="{00000000-0005-0000-0000-00004E3D0000}"/>
    <cellStyle name="40% - Accent4 2 5 2 2" xfId="3970" xr:uid="{00000000-0005-0000-0000-00004F3D0000}"/>
    <cellStyle name="40% - Accent4 2 5 2 2 2" xfId="11118" xr:uid="{00000000-0005-0000-0000-0000503D0000}"/>
    <cellStyle name="40% - Accent4 2 5 2 2 2 2" xfId="25060" xr:uid="{00000000-0005-0000-0000-0000513D0000}"/>
    <cellStyle name="40% - Accent4 2 5 2 2 3" xfId="21295" xr:uid="{00000000-0005-0000-0000-0000523D0000}"/>
    <cellStyle name="40% - Accent4 2 5 2 3" xfId="3971" xr:uid="{00000000-0005-0000-0000-0000533D0000}"/>
    <cellStyle name="40% - Accent4 2 5 2 3 2" xfId="12893" xr:uid="{00000000-0005-0000-0000-0000543D0000}"/>
    <cellStyle name="40% - Accent4 2 5 2 3 2 2" xfId="26605" xr:uid="{00000000-0005-0000-0000-0000553D0000}"/>
    <cellStyle name="40% - Accent4 2 5 2 3 3" xfId="21296" xr:uid="{00000000-0005-0000-0000-0000563D0000}"/>
    <cellStyle name="40% - Accent4 2 5 2 4" xfId="3972" xr:uid="{00000000-0005-0000-0000-0000573D0000}"/>
    <cellStyle name="40% - Accent4 2 5 2 4 2" xfId="15308" xr:uid="{00000000-0005-0000-0000-0000583D0000}"/>
    <cellStyle name="40% - Accent4 2 5 2 4 2 2" xfId="28857" xr:uid="{00000000-0005-0000-0000-0000593D0000}"/>
    <cellStyle name="40% - Accent4 2 5 2 4 3" xfId="21297" xr:uid="{00000000-0005-0000-0000-00005A3D0000}"/>
    <cellStyle name="40% - Accent4 2 5 2 5" xfId="9391" xr:uid="{00000000-0005-0000-0000-00005B3D0000}"/>
    <cellStyle name="40% - Accent4 2 5 2 5 2" xfId="23866" xr:uid="{00000000-0005-0000-0000-00005C3D0000}"/>
    <cellStyle name="40% - Accent4 2 5 2 6" xfId="21294" xr:uid="{00000000-0005-0000-0000-00005D3D0000}"/>
    <cellStyle name="40% - Accent4 2 5 3" xfId="3973" xr:uid="{00000000-0005-0000-0000-00005E3D0000}"/>
    <cellStyle name="40% - Accent4 2 5 3 2" xfId="11117" xr:uid="{00000000-0005-0000-0000-00005F3D0000}"/>
    <cellStyle name="40% - Accent4 2 5 3 2 2" xfId="25059" xr:uid="{00000000-0005-0000-0000-0000603D0000}"/>
    <cellStyle name="40% - Accent4 2 5 3 3" xfId="21298" xr:uid="{00000000-0005-0000-0000-0000613D0000}"/>
    <cellStyle name="40% - Accent4 2 5 4" xfId="3974" xr:uid="{00000000-0005-0000-0000-0000623D0000}"/>
    <cellStyle name="40% - Accent4 2 5 4 2" xfId="12892" xr:uid="{00000000-0005-0000-0000-0000633D0000}"/>
    <cellStyle name="40% - Accent4 2 5 4 2 2" xfId="26604" xr:uid="{00000000-0005-0000-0000-0000643D0000}"/>
    <cellStyle name="40% - Accent4 2 5 4 3" xfId="21299" xr:uid="{00000000-0005-0000-0000-0000653D0000}"/>
    <cellStyle name="40% - Accent4 2 5 5" xfId="3975" xr:uid="{00000000-0005-0000-0000-0000663D0000}"/>
    <cellStyle name="40% - Accent4 2 5 5 2" xfId="15307" xr:uid="{00000000-0005-0000-0000-0000673D0000}"/>
    <cellStyle name="40% - Accent4 2 5 5 2 2" xfId="28856" xr:uid="{00000000-0005-0000-0000-0000683D0000}"/>
    <cellStyle name="40% - Accent4 2 5 5 3" xfId="21300" xr:uid="{00000000-0005-0000-0000-0000693D0000}"/>
    <cellStyle name="40% - Accent4 2 5 6" xfId="3976" xr:uid="{00000000-0005-0000-0000-00006A3D0000}"/>
    <cellStyle name="40% - Accent4 2 5 6 2" xfId="17016" xr:uid="{00000000-0005-0000-0000-00006B3D0000}"/>
    <cellStyle name="40% - Accent4 2 5 6 2 2" xfId="30423" xr:uid="{00000000-0005-0000-0000-00006C3D0000}"/>
    <cellStyle name="40% - Accent4 2 5 6 3" xfId="21301" xr:uid="{00000000-0005-0000-0000-00006D3D0000}"/>
    <cellStyle name="40% - Accent4 2 5 7" xfId="9390" xr:uid="{00000000-0005-0000-0000-00006E3D0000}"/>
    <cellStyle name="40% - Accent4 2 5 7 2" xfId="23865" xr:uid="{00000000-0005-0000-0000-00006F3D0000}"/>
    <cellStyle name="40% - Accent4 2 5 8" xfId="21293" xr:uid="{00000000-0005-0000-0000-0000703D0000}"/>
    <cellStyle name="40% - Accent4 2 6" xfId="3977" xr:uid="{00000000-0005-0000-0000-0000713D0000}"/>
    <cellStyle name="40% - Accent4 2 6 2" xfId="3978" xr:uid="{00000000-0005-0000-0000-0000723D0000}"/>
    <cellStyle name="40% - Accent4 2 6 2 2" xfId="11119" xr:uid="{00000000-0005-0000-0000-0000733D0000}"/>
    <cellStyle name="40% - Accent4 2 6 2 2 2" xfId="25061" xr:uid="{00000000-0005-0000-0000-0000743D0000}"/>
    <cellStyle name="40% - Accent4 2 6 2 3" xfId="21303" xr:uid="{00000000-0005-0000-0000-0000753D0000}"/>
    <cellStyle name="40% - Accent4 2 6 3" xfId="3979" xr:uid="{00000000-0005-0000-0000-0000763D0000}"/>
    <cellStyle name="40% - Accent4 2 6 3 2" xfId="12894" xr:uid="{00000000-0005-0000-0000-0000773D0000}"/>
    <cellStyle name="40% - Accent4 2 6 3 2 2" xfId="26606" xr:uid="{00000000-0005-0000-0000-0000783D0000}"/>
    <cellStyle name="40% - Accent4 2 6 3 3" xfId="21304" xr:uid="{00000000-0005-0000-0000-0000793D0000}"/>
    <cellStyle name="40% - Accent4 2 6 4" xfId="3980" xr:uid="{00000000-0005-0000-0000-00007A3D0000}"/>
    <cellStyle name="40% - Accent4 2 6 4 2" xfId="15309" xr:uid="{00000000-0005-0000-0000-00007B3D0000}"/>
    <cellStyle name="40% - Accent4 2 6 4 2 2" xfId="28858" xr:uid="{00000000-0005-0000-0000-00007C3D0000}"/>
    <cellStyle name="40% - Accent4 2 6 4 3" xfId="21305" xr:uid="{00000000-0005-0000-0000-00007D3D0000}"/>
    <cellStyle name="40% - Accent4 2 6 5" xfId="3981" xr:uid="{00000000-0005-0000-0000-00007E3D0000}"/>
    <cellStyle name="40% - Accent4 2 6 5 2" xfId="17126" xr:uid="{00000000-0005-0000-0000-00007F3D0000}"/>
    <cellStyle name="40% - Accent4 2 6 5 2 2" xfId="30485" xr:uid="{00000000-0005-0000-0000-0000803D0000}"/>
    <cellStyle name="40% - Accent4 2 6 5 3" xfId="21306" xr:uid="{00000000-0005-0000-0000-0000813D0000}"/>
    <cellStyle name="40% - Accent4 2 6 6" xfId="9392" xr:uid="{00000000-0005-0000-0000-0000823D0000}"/>
    <cellStyle name="40% - Accent4 2 6 6 2" xfId="23867" xr:uid="{00000000-0005-0000-0000-0000833D0000}"/>
    <cellStyle name="40% - Accent4 2 6 7" xfId="21302" xr:uid="{00000000-0005-0000-0000-0000843D0000}"/>
    <cellStyle name="40% - Accent4 2 7" xfId="3982" xr:uid="{00000000-0005-0000-0000-0000853D0000}"/>
    <cellStyle name="40% - Accent4 2 7 2" xfId="3983" xr:uid="{00000000-0005-0000-0000-0000863D0000}"/>
    <cellStyle name="40% - Accent4 2 7 2 2" xfId="11120" xr:uid="{00000000-0005-0000-0000-0000873D0000}"/>
    <cellStyle name="40% - Accent4 2 7 2 2 2" xfId="25062" xr:uid="{00000000-0005-0000-0000-0000883D0000}"/>
    <cellStyle name="40% - Accent4 2 7 2 3" xfId="21308" xr:uid="{00000000-0005-0000-0000-0000893D0000}"/>
    <cellStyle name="40% - Accent4 2 7 3" xfId="3984" xr:uid="{00000000-0005-0000-0000-00008A3D0000}"/>
    <cellStyle name="40% - Accent4 2 7 3 2" xfId="12895" xr:uid="{00000000-0005-0000-0000-00008B3D0000}"/>
    <cellStyle name="40% - Accent4 2 7 3 2 2" xfId="26607" xr:uid="{00000000-0005-0000-0000-00008C3D0000}"/>
    <cellStyle name="40% - Accent4 2 7 3 3" xfId="21309" xr:uid="{00000000-0005-0000-0000-00008D3D0000}"/>
    <cellStyle name="40% - Accent4 2 7 4" xfId="3985" xr:uid="{00000000-0005-0000-0000-00008E3D0000}"/>
    <cellStyle name="40% - Accent4 2 7 4 2" xfId="15310" xr:uid="{00000000-0005-0000-0000-00008F3D0000}"/>
    <cellStyle name="40% - Accent4 2 7 4 2 2" xfId="28859" xr:uid="{00000000-0005-0000-0000-0000903D0000}"/>
    <cellStyle name="40% - Accent4 2 7 4 3" xfId="21310" xr:uid="{00000000-0005-0000-0000-0000913D0000}"/>
    <cellStyle name="40% - Accent4 2 7 5" xfId="3986" xr:uid="{00000000-0005-0000-0000-0000923D0000}"/>
    <cellStyle name="40% - Accent4 2 7 5 2" xfId="17215" xr:uid="{00000000-0005-0000-0000-0000933D0000}"/>
    <cellStyle name="40% - Accent4 2 7 5 2 2" xfId="30574" xr:uid="{00000000-0005-0000-0000-0000943D0000}"/>
    <cellStyle name="40% - Accent4 2 7 5 3" xfId="21311" xr:uid="{00000000-0005-0000-0000-0000953D0000}"/>
    <cellStyle name="40% - Accent4 2 7 6" xfId="9393" xr:uid="{00000000-0005-0000-0000-0000963D0000}"/>
    <cellStyle name="40% - Accent4 2 7 6 2" xfId="23868" xr:uid="{00000000-0005-0000-0000-0000973D0000}"/>
    <cellStyle name="40% - Accent4 2 7 7" xfId="21307" xr:uid="{00000000-0005-0000-0000-0000983D0000}"/>
    <cellStyle name="40% - Accent4 2 8" xfId="3987" xr:uid="{00000000-0005-0000-0000-0000993D0000}"/>
    <cellStyle name="40% - Accent4 2 8 2" xfId="3988" xr:uid="{00000000-0005-0000-0000-00009A3D0000}"/>
    <cellStyle name="40% - Accent4 2 8 2 2" xfId="12896" xr:uid="{00000000-0005-0000-0000-00009B3D0000}"/>
    <cellStyle name="40% - Accent4 2 8 2 2 2" xfId="26608" xr:uid="{00000000-0005-0000-0000-00009C3D0000}"/>
    <cellStyle name="40% - Accent4 2 8 2 3" xfId="21313" xr:uid="{00000000-0005-0000-0000-00009D3D0000}"/>
    <cellStyle name="40% - Accent4 2 8 3" xfId="3989" xr:uid="{00000000-0005-0000-0000-00009E3D0000}"/>
    <cellStyle name="40% - Accent4 2 8 3 2" xfId="15311" xr:uid="{00000000-0005-0000-0000-00009F3D0000}"/>
    <cellStyle name="40% - Accent4 2 8 3 2 2" xfId="28860" xr:uid="{00000000-0005-0000-0000-0000A03D0000}"/>
    <cellStyle name="40% - Accent4 2 8 3 3" xfId="21314" xr:uid="{00000000-0005-0000-0000-0000A13D0000}"/>
    <cellStyle name="40% - Accent4 2 8 4" xfId="3990" xr:uid="{00000000-0005-0000-0000-0000A23D0000}"/>
    <cellStyle name="40% - Accent4 2 8 4 2" xfId="16490" xr:uid="{00000000-0005-0000-0000-0000A33D0000}"/>
    <cellStyle name="40% - Accent4 2 8 4 2 2" xfId="29897" xr:uid="{00000000-0005-0000-0000-0000A43D0000}"/>
    <cellStyle name="40% - Accent4 2 8 4 3" xfId="21315" xr:uid="{00000000-0005-0000-0000-0000A53D0000}"/>
    <cellStyle name="40% - Accent4 2 8 5" xfId="10537" xr:uid="{00000000-0005-0000-0000-0000A63D0000}"/>
    <cellStyle name="40% - Accent4 2 8 5 2" xfId="24479" xr:uid="{00000000-0005-0000-0000-0000A73D0000}"/>
    <cellStyle name="40% - Accent4 2 8 6" xfId="21312" xr:uid="{00000000-0005-0000-0000-0000A83D0000}"/>
    <cellStyle name="40% - Accent4 2 9" xfId="3991" xr:uid="{00000000-0005-0000-0000-0000A93D0000}"/>
    <cellStyle name="40% - Accent4 2 9 2" xfId="3992" xr:uid="{00000000-0005-0000-0000-0000AA3D0000}"/>
    <cellStyle name="40% - Accent4 2 9 2 2" xfId="12897" xr:uid="{00000000-0005-0000-0000-0000AB3D0000}"/>
    <cellStyle name="40% - Accent4 2 9 2 2 2" xfId="26609" xr:uid="{00000000-0005-0000-0000-0000AC3D0000}"/>
    <cellStyle name="40% - Accent4 2 9 2 3" xfId="21317" xr:uid="{00000000-0005-0000-0000-0000AD3D0000}"/>
    <cellStyle name="40% - Accent4 2 9 3" xfId="3993" xr:uid="{00000000-0005-0000-0000-0000AE3D0000}"/>
    <cellStyle name="40% - Accent4 2 9 3 2" xfId="15312" xr:uid="{00000000-0005-0000-0000-0000AF3D0000}"/>
    <cellStyle name="40% - Accent4 2 9 3 2 2" xfId="28861" xr:uid="{00000000-0005-0000-0000-0000B03D0000}"/>
    <cellStyle name="40% - Accent4 2 9 3 3" xfId="21318" xr:uid="{00000000-0005-0000-0000-0000B13D0000}"/>
    <cellStyle name="40% - Accent4 2 9 4" xfId="11102" xr:uid="{00000000-0005-0000-0000-0000B23D0000}"/>
    <cellStyle name="40% - Accent4 2 9 4 2" xfId="25044" xr:uid="{00000000-0005-0000-0000-0000B33D0000}"/>
    <cellStyle name="40% - Accent4 2 9 5" xfId="21316" xr:uid="{00000000-0005-0000-0000-0000B43D0000}"/>
    <cellStyle name="40% - Accent4 20" xfId="3994" xr:uid="{00000000-0005-0000-0000-0000B53D0000}"/>
    <cellStyle name="40% - Accent4 20 2" xfId="3995" xr:uid="{00000000-0005-0000-0000-0000B63D0000}"/>
    <cellStyle name="40% - Accent4 20 2 2" xfId="12898" xr:uid="{00000000-0005-0000-0000-0000B73D0000}"/>
    <cellStyle name="40% - Accent4 20 2 2 2" xfId="26610" xr:uid="{00000000-0005-0000-0000-0000B83D0000}"/>
    <cellStyle name="40% - Accent4 20 2 3" xfId="21320" xr:uid="{00000000-0005-0000-0000-0000B93D0000}"/>
    <cellStyle name="40% - Accent4 20 3" xfId="3996" xr:uid="{00000000-0005-0000-0000-0000BA3D0000}"/>
    <cellStyle name="40% - Accent4 20 3 2" xfId="15313" xr:uid="{00000000-0005-0000-0000-0000BB3D0000}"/>
    <cellStyle name="40% - Accent4 20 3 2 2" xfId="28862" xr:uid="{00000000-0005-0000-0000-0000BC3D0000}"/>
    <cellStyle name="40% - Accent4 20 3 3" xfId="21321" xr:uid="{00000000-0005-0000-0000-0000BD3D0000}"/>
    <cellStyle name="40% - Accent4 20 4" xfId="10512" xr:uid="{00000000-0005-0000-0000-0000BE3D0000}"/>
    <cellStyle name="40% - Accent4 20 4 2" xfId="24460" xr:uid="{00000000-0005-0000-0000-0000BF3D0000}"/>
    <cellStyle name="40% - Accent4 20 5" xfId="21319" xr:uid="{00000000-0005-0000-0000-0000C03D0000}"/>
    <cellStyle name="40% - Accent4 21" xfId="3997" xr:uid="{00000000-0005-0000-0000-0000C13D0000}"/>
    <cellStyle name="40% - Accent4 21 2" xfId="3998" xr:uid="{00000000-0005-0000-0000-0000C23D0000}"/>
    <cellStyle name="40% - Accent4 21 2 2" xfId="12899" xr:uid="{00000000-0005-0000-0000-0000C33D0000}"/>
    <cellStyle name="40% - Accent4 21 2 2 2" xfId="26611" xr:uid="{00000000-0005-0000-0000-0000C43D0000}"/>
    <cellStyle name="40% - Accent4 21 2 3" xfId="21323" xr:uid="{00000000-0005-0000-0000-0000C53D0000}"/>
    <cellStyle name="40% - Accent4 21 3" xfId="3999" xr:uid="{00000000-0005-0000-0000-0000C63D0000}"/>
    <cellStyle name="40% - Accent4 21 3 2" xfId="15314" xr:uid="{00000000-0005-0000-0000-0000C73D0000}"/>
    <cellStyle name="40% - Accent4 21 3 2 2" xfId="28863" xr:uid="{00000000-0005-0000-0000-0000C83D0000}"/>
    <cellStyle name="40% - Accent4 21 3 3" xfId="21324" xr:uid="{00000000-0005-0000-0000-0000C93D0000}"/>
    <cellStyle name="40% - Accent4 21 4" xfId="11091" xr:uid="{00000000-0005-0000-0000-0000CA3D0000}"/>
    <cellStyle name="40% - Accent4 21 4 2" xfId="25033" xr:uid="{00000000-0005-0000-0000-0000CB3D0000}"/>
    <cellStyle name="40% - Accent4 21 5" xfId="21322" xr:uid="{00000000-0005-0000-0000-0000CC3D0000}"/>
    <cellStyle name="40% - Accent4 22" xfId="4000" xr:uid="{00000000-0005-0000-0000-0000CD3D0000}"/>
    <cellStyle name="40% - Accent4 22 2" xfId="11748" xr:uid="{00000000-0005-0000-0000-0000CE3D0000}"/>
    <cellStyle name="40% - Accent4 22 2 2" xfId="25463" xr:uid="{00000000-0005-0000-0000-0000CF3D0000}"/>
    <cellStyle name="40% - Accent4 22 3" xfId="21325" xr:uid="{00000000-0005-0000-0000-0000D03D0000}"/>
    <cellStyle name="40% - Accent4 23" xfId="4001" xr:uid="{00000000-0005-0000-0000-0000D13D0000}"/>
    <cellStyle name="40% - Accent4 23 2" xfId="12864" xr:uid="{00000000-0005-0000-0000-0000D23D0000}"/>
    <cellStyle name="40% - Accent4 23 2 2" xfId="26576" xr:uid="{00000000-0005-0000-0000-0000D33D0000}"/>
    <cellStyle name="40% - Accent4 23 3" xfId="21326" xr:uid="{00000000-0005-0000-0000-0000D43D0000}"/>
    <cellStyle name="40% - Accent4 24" xfId="4002" xr:uid="{00000000-0005-0000-0000-0000D53D0000}"/>
    <cellStyle name="40% - Accent4 24 2" xfId="13387" xr:uid="{00000000-0005-0000-0000-0000D63D0000}"/>
    <cellStyle name="40% - Accent4 24 2 2" xfId="26936" xr:uid="{00000000-0005-0000-0000-0000D73D0000}"/>
    <cellStyle name="40% - Accent4 24 3" xfId="21327" xr:uid="{00000000-0005-0000-0000-0000D83D0000}"/>
    <cellStyle name="40% - Accent4 25" xfId="4003" xr:uid="{00000000-0005-0000-0000-0000D93D0000}"/>
    <cellStyle name="40% - Accent4 25 2" xfId="13968" xr:uid="{00000000-0005-0000-0000-0000DA3D0000}"/>
    <cellStyle name="40% - Accent4 25 2 2" xfId="27517" xr:uid="{00000000-0005-0000-0000-0000DB3D0000}"/>
    <cellStyle name="40% - Accent4 25 3" xfId="21328" xr:uid="{00000000-0005-0000-0000-0000DC3D0000}"/>
    <cellStyle name="40% - Accent4 26" xfId="4004" xr:uid="{00000000-0005-0000-0000-0000DD3D0000}"/>
    <cellStyle name="40% - Accent4 26 2" xfId="15271" xr:uid="{00000000-0005-0000-0000-0000DE3D0000}"/>
    <cellStyle name="40% - Accent4 26 2 2" xfId="28820" xr:uid="{00000000-0005-0000-0000-0000DF3D0000}"/>
    <cellStyle name="40% - Accent4 26 3" xfId="21329" xr:uid="{00000000-0005-0000-0000-0000E03D0000}"/>
    <cellStyle name="40% - Accent4 27" xfId="4005" xr:uid="{00000000-0005-0000-0000-0000E13D0000}"/>
    <cellStyle name="40% - Accent4 27 2" xfId="15832" xr:uid="{00000000-0005-0000-0000-0000E23D0000}"/>
    <cellStyle name="40% - Accent4 27 2 2" xfId="29239" xr:uid="{00000000-0005-0000-0000-0000E33D0000}"/>
    <cellStyle name="40% - Accent4 27 3" xfId="21330" xr:uid="{00000000-0005-0000-0000-0000E43D0000}"/>
    <cellStyle name="40% - Accent4 28" xfId="4006" xr:uid="{00000000-0005-0000-0000-0000E53D0000}"/>
    <cellStyle name="40% - Accent4 28 2" xfId="15854" xr:uid="{00000000-0005-0000-0000-0000E63D0000}"/>
    <cellStyle name="40% - Accent4 28 2 2" xfId="29261" xr:uid="{00000000-0005-0000-0000-0000E73D0000}"/>
    <cellStyle name="40% - Accent4 28 3" xfId="21331" xr:uid="{00000000-0005-0000-0000-0000E83D0000}"/>
    <cellStyle name="40% - Accent4 29" xfId="4007" xr:uid="{00000000-0005-0000-0000-0000E93D0000}"/>
    <cellStyle name="40% - Accent4 29 2" xfId="9364" xr:uid="{00000000-0005-0000-0000-0000EA3D0000}"/>
    <cellStyle name="40% - Accent4 29 2 2" xfId="23839" xr:uid="{00000000-0005-0000-0000-0000EB3D0000}"/>
    <cellStyle name="40% - Accent4 29 3" xfId="21332" xr:uid="{00000000-0005-0000-0000-0000EC3D0000}"/>
    <cellStyle name="40% - Accent4 3" xfId="4008" xr:uid="{00000000-0005-0000-0000-0000ED3D0000}"/>
    <cellStyle name="40% - Accent4 3 10" xfId="4009" xr:uid="{00000000-0005-0000-0000-0000EE3D0000}"/>
    <cellStyle name="40% - Accent4 3 10 2" xfId="14046" xr:uid="{00000000-0005-0000-0000-0000EF3D0000}"/>
    <cellStyle name="40% - Accent4 3 10 2 2" xfId="27595" xr:uid="{00000000-0005-0000-0000-0000F03D0000}"/>
    <cellStyle name="40% - Accent4 3 10 3" xfId="21334" xr:uid="{00000000-0005-0000-0000-0000F13D0000}"/>
    <cellStyle name="40% - Accent4 3 11" xfId="4010" xr:uid="{00000000-0005-0000-0000-0000F23D0000}"/>
    <cellStyle name="40% - Accent4 3 11 2" xfId="15315" xr:uid="{00000000-0005-0000-0000-0000F33D0000}"/>
    <cellStyle name="40% - Accent4 3 11 2 2" xfId="28864" xr:uid="{00000000-0005-0000-0000-0000F43D0000}"/>
    <cellStyle name="40% - Accent4 3 11 3" xfId="21335" xr:uid="{00000000-0005-0000-0000-0000F53D0000}"/>
    <cellStyle name="40% - Accent4 3 12" xfId="4011" xr:uid="{00000000-0005-0000-0000-0000F63D0000}"/>
    <cellStyle name="40% - Accent4 3 12 2" xfId="15932" xr:uid="{00000000-0005-0000-0000-0000F73D0000}"/>
    <cellStyle name="40% - Accent4 3 12 2 2" xfId="29339" xr:uid="{00000000-0005-0000-0000-0000F83D0000}"/>
    <cellStyle name="40% - Accent4 3 12 3" xfId="21336" xr:uid="{00000000-0005-0000-0000-0000F93D0000}"/>
    <cellStyle name="40% - Accent4 3 13" xfId="9394" xr:uid="{00000000-0005-0000-0000-0000FA3D0000}"/>
    <cellStyle name="40% - Accent4 3 13 2" xfId="23869" xr:uid="{00000000-0005-0000-0000-0000FB3D0000}"/>
    <cellStyle name="40% - Accent4 3 14" xfId="21333" xr:uid="{00000000-0005-0000-0000-0000FC3D0000}"/>
    <cellStyle name="40% - Accent4 3 2" xfId="4012" xr:uid="{00000000-0005-0000-0000-0000FD3D0000}"/>
    <cellStyle name="40% - Accent4 3 2 10" xfId="4013" xr:uid="{00000000-0005-0000-0000-0000FE3D0000}"/>
    <cellStyle name="40% - Accent4 3 2 10 2" xfId="16075" xr:uid="{00000000-0005-0000-0000-0000FF3D0000}"/>
    <cellStyle name="40% - Accent4 3 2 10 2 2" xfId="29482" xr:uid="{00000000-0005-0000-0000-0000003E0000}"/>
    <cellStyle name="40% - Accent4 3 2 10 3" xfId="21338" xr:uid="{00000000-0005-0000-0000-0000013E0000}"/>
    <cellStyle name="40% - Accent4 3 2 11" xfId="9395" xr:uid="{00000000-0005-0000-0000-0000023E0000}"/>
    <cellStyle name="40% - Accent4 3 2 11 2" xfId="23870" xr:uid="{00000000-0005-0000-0000-0000033E0000}"/>
    <cellStyle name="40% - Accent4 3 2 12" xfId="21337" xr:uid="{00000000-0005-0000-0000-0000043E0000}"/>
    <cellStyle name="40% - Accent4 3 2 2" xfId="4014" xr:uid="{00000000-0005-0000-0000-0000053E0000}"/>
    <cellStyle name="40% - Accent4 3 2 2 10" xfId="9396" xr:uid="{00000000-0005-0000-0000-0000063E0000}"/>
    <cellStyle name="40% - Accent4 3 2 2 10 2" xfId="23871" xr:uid="{00000000-0005-0000-0000-0000073E0000}"/>
    <cellStyle name="40% - Accent4 3 2 2 11" xfId="21339" xr:uid="{00000000-0005-0000-0000-0000083E0000}"/>
    <cellStyle name="40% - Accent4 3 2 2 2" xfId="4015" xr:uid="{00000000-0005-0000-0000-0000093E0000}"/>
    <cellStyle name="40% - Accent4 3 2 2 2 2" xfId="4016" xr:uid="{00000000-0005-0000-0000-00000A3E0000}"/>
    <cellStyle name="40% - Accent4 3 2 2 2 2 2" xfId="11124" xr:uid="{00000000-0005-0000-0000-00000B3E0000}"/>
    <cellStyle name="40% - Accent4 3 2 2 2 2 2 2" xfId="25066" xr:uid="{00000000-0005-0000-0000-00000C3E0000}"/>
    <cellStyle name="40% - Accent4 3 2 2 2 2 3" xfId="21341" xr:uid="{00000000-0005-0000-0000-00000D3E0000}"/>
    <cellStyle name="40% - Accent4 3 2 2 2 3" xfId="4017" xr:uid="{00000000-0005-0000-0000-00000E3E0000}"/>
    <cellStyle name="40% - Accent4 3 2 2 2 3 2" xfId="12903" xr:uid="{00000000-0005-0000-0000-00000F3E0000}"/>
    <cellStyle name="40% - Accent4 3 2 2 2 3 2 2" xfId="26615" xr:uid="{00000000-0005-0000-0000-0000103E0000}"/>
    <cellStyle name="40% - Accent4 3 2 2 2 3 3" xfId="21342" xr:uid="{00000000-0005-0000-0000-0000113E0000}"/>
    <cellStyle name="40% - Accent4 3 2 2 2 4" xfId="4018" xr:uid="{00000000-0005-0000-0000-0000123E0000}"/>
    <cellStyle name="40% - Accent4 3 2 2 2 4 2" xfId="15318" xr:uid="{00000000-0005-0000-0000-0000133E0000}"/>
    <cellStyle name="40% - Accent4 3 2 2 2 4 2 2" xfId="28867" xr:uid="{00000000-0005-0000-0000-0000143E0000}"/>
    <cellStyle name="40% - Accent4 3 2 2 2 4 3" xfId="21343" xr:uid="{00000000-0005-0000-0000-0000153E0000}"/>
    <cellStyle name="40% - Accent4 3 2 2 2 5" xfId="4019" xr:uid="{00000000-0005-0000-0000-0000163E0000}"/>
    <cellStyle name="40% - Accent4 3 2 2 2 5 2" xfId="16945" xr:uid="{00000000-0005-0000-0000-0000173E0000}"/>
    <cellStyle name="40% - Accent4 3 2 2 2 5 2 2" xfId="30352" xr:uid="{00000000-0005-0000-0000-0000183E0000}"/>
    <cellStyle name="40% - Accent4 3 2 2 2 5 3" xfId="21344" xr:uid="{00000000-0005-0000-0000-0000193E0000}"/>
    <cellStyle name="40% - Accent4 3 2 2 2 6" xfId="9397" xr:uid="{00000000-0005-0000-0000-00001A3E0000}"/>
    <cellStyle name="40% - Accent4 3 2 2 2 6 2" xfId="23872" xr:uid="{00000000-0005-0000-0000-00001B3E0000}"/>
    <cellStyle name="40% - Accent4 3 2 2 2 7" xfId="21340" xr:uid="{00000000-0005-0000-0000-00001C3E0000}"/>
    <cellStyle name="40% - Accent4 3 2 2 3" xfId="4020" xr:uid="{00000000-0005-0000-0000-00001D3E0000}"/>
    <cellStyle name="40% - Accent4 3 2 2 3 2" xfId="4021" xr:uid="{00000000-0005-0000-0000-00001E3E0000}"/>
    <cellStyle name="40% - Accent4 3 2 2 3 2 2" xfId="15319" xr:uid="{00000000-0005-0000-0000-00001F3E0000}"/>
    <cellStyle name="40% - Accent4 3 2 2 3 2 2 2" xfId="28868" xr:uid="{00000000-0005-0000-0000-0000203E0000}"/>
    <cellStyle name="40% - Accent4 3 2 2 3 2 3" xfId="21346" xr:uid="{00000000-0005-0000-0000-0000213E0000}"/>
    <cellStyle name="40% - Accent4 3 2 2 3 3" xfId="11123" xr:uid="{00000000-0005-0000-0000-0000223E0000}"/>
    <cellStyle name="40% - Accent4 3 2 2 3 3 2" xfId="25065" xr:uid="{00000000-0005-0000-0000-0000233E0000}"/>
    <cellStyle name="40% - Accent4 3 2 2 3 4" xfId="21345" xr:uid="{00000000-0005-0000-0000-0000243E0000}"/>
    <cellStyle name="40% - Accent4 3 2 2 4" xfId="4022" xr:uid="{00000000-0005-0000-0000-0000253E0000}"/>
    <cellStyle name="40% - Accent4 3 2 2 4 2" xfId="12333" xr:uid="{00000000-0005-0000-0000-0000263E0000}"/>
    <cellStyle name="40% - Accent4 3 2 2 4 2 2" xfId="26045" xr:uid="{00000000-0005-0000-0000-0000273E0000}"/>
    <cellStyle name="40% - Accent4 3 2 2 4 3" xfId="21347" xr:uid="{00000000-0005-0000-0000-0000283E0000}"/>
    <cellStyle name="40% - Accent4 3 2 2 5" xfId="4023" xr:uid="{00000000-0005-0000-0000-0000293E0000}"/>
    <cellStyle name="40% - Accent4 3 2 2 5 2" xfId="12902" xr:uid="{00000000-0005-0000-0000-00002A3E0000}"/>
    <cellStyle name="40% - Accent4 3 2 2 5 2 2" xfId="26614" xr:uid="{00000000-0005-0000-0000-00002B3E0000}"/>
    <cellStyle name="40% - Accent4 3 2 2 5 3" xfId="21348" xr:uid="{00000000-0005-0000-0000-00002C3E0000}"/>
    <cellStyle name="40% - Accent4 3 2 2 6" xfId="4024" xr:uid="{00000000-0005-0000-0000-00002D3E0000}"/>
    <cellStyle name="40% - Accent4 3 2 2 6 2" xfId="13897" xr:uid="{00000000-0005-0000-0000-00002E3E0000}"/>
    <cellStyle name="40% - Accent4 3 2 2 6 2 2" xfId="27446" xr:uid="{00000000-0005-0000-0000-00002F3E0000}"/>
    <cellStyle name="40% - Accent4 3 2 2 6 3" xfId="21349" xr:uid="{00000000-0005-0000-0000-0000303E0000}"/>
    <cellStyle name="40% - Accent4 3 2 2 7" xfId="4025" xr:uid="{00000000-0005-0000-0000-0000313E0000}"/>
    <cellStyle name="40% - Accent4 3 2 2 7 2" xfId="14478" xr:uid="{00000000-0005-0000-0000-0000323E0000}"/>
    <cellStyle name="40% - Accent4 3 2 2 7 2 2" xfId="28027" xr:uid="{00000000-0005-0000-0000-0000333E0000}"/>
    <cellStyle name="40% - Accent4 3 2 2 7 3" xfId="21350" xr:uid="{00000000-0005-0000-0000-0000343E0000}"/>
    <cellStyle name="40% - Accent4 3 2 2 8" xfId="4026" xr:uid="{00000000-0005-0000-0000-0000353E0000}"/>
    <cellStyle name="40% - Accent4 3 2 2 8 2" xfId="15317" xr:uid="{00000000-0005-0000-0000-0000363E0000}"/>
    <cellStyle name="40% - Accent4 3 2 2 8 2 2" xfId="28866" xr:uid="{00000000-0005-0000-0000-0000373E0000}"/>
    <cellStyle name="40% - Accent4 3 2 2 8 3" xfId="21351" xr:uid="{00000000-0005-0000-0000-0000383E0000}"/>
    <cellStyle name="40% - Accent4 3 2 2 9" xfId="4027" xr:uid="{00000000-0005-0000-0000-0000393E0000}"/>
    <cellStyle name="40% - Accent4 3 2 2 9 2" xfId="16364" xr:uid="{00000000-0005-0000-0000-00003A3E0000}"/>
    <cellStyle name="40% - Accent4 3 2 2 9 2 2" xfId="29771" xr:uid="{00000000-0005-0000-0000-00003B3E0000}"/>
    <cellStyle name="40% - Accent4 3 2 2 9 3" xfId="21352" xr:uid="{00000000-0005-0000-0000-00003C3E0000}"/>
    <cellStyle name="40% - Accent4 3 2 3" xfId="4028" xr:uid="{00000000-0005-0000-0000-00003D3E0000}"/>
    <cellStyle name="40% - Accent4 3 2 3 2" xfId="4029" xr:uid="{00000000-0005-0000-0000-00003E3E0000}"/>
    <cellStyle name="40% - Accent4 3 2 3 2 2" xfId="11125" xr:uid="{00000000-0005-0000-0000-00003F3E0000}"/>
    <cellStyle name="40% - Accent4 3 2 3 2 2 2" xfId="25067" xr:uid="{00000000-0005-0000-0000-0000403E0000}"/>
    <cellStyle name="40% - Accent4 3 2 3 2 3" xfId="21354" xr:uid="{00000000-0005-0000-0000-0000413E0000}"/>
    <cellStyle name="40% - Accent4 3 2 3 3" xfId="4030" xr:uid="{00000000-0005-0000-0000-0000423E0000}"/>
    <cellStyle name="40% - Accent4 3 2 3 3 2" xfId="12904" xr:uid="{00000000-0005-0000-0000-0000433E0000}"/>
    <cellStyle name="40% - Accent4 3 2 3 3 2 2" xfId="26616" xr:uid="{00000000-0005-0000-0000-0000443E0000}"/>
    <cellStyle name="40% - Accent4 3 2 3 3 3" xfId="21355" xr:uid="{00000000-0005-0000-0000-0000453E0000}"/>
    <cellStyle name="40% - Accent4 3 2 3 4" xfId="4031" xr:uid="{00000000-0005-0000-0000-0000463E0000}"/>
    <cellStyle name="40% - Accent4 3 2 3 4 2" xfId="15320" xr:uid="{00000000-0005-0000-0000-0000473E0000}"/>
    <cellStyle name="40% - Accent4 3 2 3 4 2 2" xfId="28869" xr:uid="{00000000-0005-0000-0000-0000483E0000}"/>
    <cellStyle name="40% - Accent4 3 2 3 4 3" xfId="21356" xr:uid="{00000000-0005-0000-0000-0000493E0000}"/>
    <cellStyle name="40% - Accent4 3 2 3 5" xfId="4032" xr:uid="{00000000-0005-0000-0000-00004A3E0000}"/>
    <cellStyle name="40% - Accent4 3 2 3 5 2" xfId="16656" xr:uid="{00000000-0005-0000-0000-00004B3E0000}"/>
    <cellStyle name="40% - Accent4 3 2 3 5 2 2" xfId="30063" xr:uid="{00000000-0005-0000-0000-00004C3E0000}"/>
    <cellStyle name="40% - Accent4 3 2 3 5 3" xfId="21357" xr:uid="{00000000-0005-0000-0000-00004D3E0000}"/>
    <cellStyle name="40% - Accent4 3 2 3 6" xfId="9398" xr:uid="{00000000-0005-0000-0000-00004E3E0000}"/>
    <cellStyle name="40% - Accent4 3 2 3 6 2" xfId="23873" xr:uid="{00000000-0005-0000-0000-00004F3E0000}"/>
    <cellStyle name="40% - Accent4 3 2 3 7" xfId="21353" xr:uid="{00000000-0005-0000-0000-0000503E0000}"/>
    <cellStyle name="40% - Accent4 3 2 4" xfId="4033" xr:uid="{00000000-0005-0000-0000-0000513E0000}"/>
    <cellStyle name="40% - Accent4 3 2 4 2" xfId="4034" xr:uid="{00000000-0005-0000-0000-0000523E0000}"/>
    <cellStyle name="40% - Accent4 3 2 4 2 2" xfId="15321" xr:uid="{00000000-0005-0000-0000-0000533E0000}"/>
    <cellStyle name="40% - Accent4 3 2 4 2 2 2" xfId="28870" xr:uid="{00000000-0005-0000-0000-0000543E0000}"/>
    <cellStyle name="40% - Accent4 3 2 4 2 3" xfId="21359" xr:uid="{00000000-0005-0000-0000-0000553E0000}"/>
    <cellStyle name="40% - Accent4 3 2 4 3" xfId="11122" xr:uid="{00000000-0005-0000-0000-0000563E0000}"/>
    <cellStyle name="40% - Accent4 3 2 4 3 2" xfId="25064" xr:uid="{00000000-0005-0000-0000-0000573E0000}"/>
    <cellStyle name="40% - Accent4 3 2 4 4" xfId="21358" xr:uid="{00000000-0005-0000-0000-0000583E0000}"/>
    <cellStyle name="40% - Accent4 3 2 5" xfId="4035" xr:uid="{00000000-0005-0000-0000-0000593E0000}"/>
    <cellStyle name="40% - Accent4 3 2 5 2" xfId="12033" xr:uid="{00000000-0005-0000-0000-00005A3E0000}"/>
    <cellStyle name="40% - Accent4 3 2 5 2 2" xfId="25748" xr:uid="{00000000-0005-0000-0000-00005B3E0000}"/>
    <cellStyle name="40% - Accent4 3 2 5 3" xfId="21360" xr:uid="{00000000-0005-0000-0000-00005C3E0000}"/>
    <cellStyle name="40% - Accent4 3 2 6" xfId="4036" xr:uid="{00000000-0005-0000-0000-00005D3E0000}"/>
    <cellStyle name="40% - Accent4 3 2 6 2" xfId="12901" xr:uid="{00000000-0005-0000-0000-00005E3E0000}"/>
    <cellStyle name="40% - Accent4 3 2 6 2 2" xfId="26613" xr:uid="{00000000-0005-0000-0000-00005F3E0000}"/>
    <cellStyle name="40% - Accent4 3 2 6 3" xfId="21361" xr:uid="{00000000-0005-0000-0000-0000603E0000}"/>
    <cellStyle name="40% - Accent4 3 2 7" xfId="4037" xr:uid="{00000000-0005-0000-0000-0000613E0000}"/>
    <cellStyle name="40% - Accent4 3 2 7 2" xfId="13608" xr:uid="{00000000-0005-0000-0000-0000623E0000}"/>
    <cellStyle name="40% - Accent4 3 2 7 2 2" xfId="27157" xr:uid="{00000000-0005-0000-0000-0000633E0000}"/>
    <cellStyle name="40% - Accent4 3 2 7 3" xfId="21362" xr:uid="{00000000-0005-0000-0000-0000643E0000}"/>
    <cellStyle name="40% - Accent4 3 2 8" xfId="4038" xr:uid="{00000000-0005-0000-0000-0000653E0000}"/>
    <cellStyle name="40% - Accent4 3 2 8 2" xfId="14189" xr:uid="{00000000-0005-0000-0000-0000663E0000}"/>
    <cellStyle name="40% - Accent4 3 2 8 2 2" xfId="27738" xr:uid="{00000000-0005-0000-0000-0000673E0000}"/>
    <cellStyle name="40% - Accent4 3 2 8 3" xfId="21363" xr:uid="{00000000-0005-0000-0000-0000683E0000}"/>
    <cellStyle name="40% - Accent4 3 2 9" xfId="4039" xr:uid="{00000000-0005-0000-0000-0000693E0000}"/>
    <cellStyle name="40% - Accent4 3 2 9 2" xfId="15316" xr:uid="{00000000-0005-0000-0000-00006A3E0000}"/>
    <cellStyle name="40% - Accent4 3 2 9 2 2" xfId="28865" xr:uid="{00000000-0005-0000-0000-00006B3E0000}"/>
    <cellStyle name="40% - Accent4 3 2 9 3" xfId="21364" xr:uid="{00000000-0005-0000-0000-00006C3E0000}"/>
    <cellStyle name="40% - Accent4 3 3" xfId="4040" xr:uid="{00000000-0005-0000-0000-00006D3E0000}"/>
    <cellStyle name="40% - Accent4 3 3 10" xfId="9399" xr:uid="{00000000-0005-0000-0000-00006E3E0000}"/>
    <cellStyle name="40% - Accent4 3 3 10 2" xfId="23874" xr:uid="{00000000-0005-0000-0000-00006F3E0000}"/>
    <cellStyle name="40% - Accent4 3 3 11" xfId="21365" xr:uid="{00000000-0005-0000-0000-0000703E0000}"/>
    <cellStyle name="40% - Accent4 3 3 2" xfId="4041" xr:uid="{00000000-0005-0000-0000-0000713E0000}"/>
    <cellStyle name="40% - Accent4 3 3 2 2" xfId="4042" xr:uid="{00000000-0005-0000-0000-0000723E0000}"/>
    <cellStyle name="40% - Accent4 3 3 2 2 2" xfId="11127" xr:uid="{00000000-0005-0000-0000-0000733E0000}"/>
    <cellStyle name="40% - Accent4 3 3 2 2 2 2" xfId="25069" xr:uid="{00000000-0005-0000-0000-0000743E0000}"/>
    <cellStyle name="40% - Accent4 3 3 2 2 3" xfId="21367" xr:uid="{00000000-0005-0000-0000-0000753E0000}"/>
    <cellStyle name="40% - Accent4 3 3 2 3" xfId="4043" xr:uid="{00000000-0005-0000-0000-0000763E0000}"/>
    <cellStyle name="40% - Accent4 3 3 2 3 2" xfId="12906" xr:uid="{00000000-0005-0000-0000-0000773E0000}"/>
    <cellStyle name="40% - Accent4 3 3 2 3 2 2" xfId="26618" xr:uid="{00000000-0005-0000-0000-0000783E0000}"/>
    <cellStyle name="40% - Accent4 3 3 2 3 3" xfId="21368" xr:uid="{00000000-0005-0000-0000-0000793E0000}"/>
    <cellStyle name="40% - Accent4 3 3 2 4" xfId="4044" xr:uid="{00000000-0005-0000-0000-00007A3E0000}"/>
    <cellStyle name="40% - Accent4 3 3 2 4 2" xfId="15323" xr:uid="{00000000-0005-0000-0000-00007B3E0000}"/>
    <cellStyle name="40% - Accent4 3 3 2 4 2 2" xfId="28872" xr:uid="{00000000-0005-0000-0000-00007C3E0000}"/>
    <cellStyle name="40% - Accent4 3 3 2 4 3" xfId="21369" xr:uid="{00000000-0005-0000-0000-00007D3E0000}"/>
    <cellStyle name="40% - Accent4 3 3 2 5" xfId="4045" xr:uid="{00000000-0005-0000-0000-00007E3E0000}"/>
    <cellStyle name="40% - Accent4 3 3 2 5 2" xfId="16802" xr:uid="{00000000-0005-0000-0000-00007F3E0000}"/>
    <cellStyle name="40% - Accent4 3 3 2 5 2 2" xfId="30209" xr:uid="{00000000-0005-0000-0000-0000803E0000}"/>
    <cellStyle name="40% - Accent4 3 3 2 5 3" xfId="21370" xr:uid="{00000000-0005-0000-0000-0000813E0000}"/>
    <cellStyle name="40% - Accent4 3 3 2 6" xfId="9400" xr:uid="{00000000-0005-0000-0000-0000823E0000}"/>
    <cellStyle name="40% - Accent4 3 3 2 6 2" xfId="23875" xr:uid="{00000000-0005-0000-0000-0000833E0000}"/>
    <cellStyle name="40% - Accent4 3 3 2 7" xfId="21366" xr:uid="{00000000-0005-0000-0000-0000843E0000}"/>
    <cellStyle name="40% - Accent4 3 3 3" xfId="4046" xr:uid="{00000000-0005-0000-0000-0000853E0000}"/>
    <cellStyle name="40% - Accent4 3 3 3 2" xfId="4047" xr:uid="{00000000-0005-0000-0000-0000863E0000}"/>
    <cellStyle name="40% - Accent4 3 3 3 2 2" xfId="15324" xr:uid="{00000000-0005-0000-0000-0000873E0000}"/>
    <cellStyle name="40% - Accent4 3 3 3 2 2 2" xfId="28873" xr:uid="{00000000-0005-0000-0000-0000883E0000}"/>
    <cellStyle name="40% - Accent4 3 3 3 2 3" xfId="21372" xr:uid="{00000000-0005-0000-0000-0000893E0000}"/>
    <cellStyle name="40% - Accent4 3 3 3 3" xfId="11126" xr:uid="{00000000-0005-0000-0000-00008A3E0000}"/>
    <cellStyle name="40% - Accent4 3 3 3 3 2" xfId="25068" xr:uid="{00000000-0005-0000-0000-00008B3E0000}"/>
    <cellStyle name="40% - Accent4 3 3 3 4" xfId="21371" xr:uid="{00000000-0005-0000-0000-00008C3E0000}"/>
    <cellStyle name="40% - Accent4 3 3 4" xfId="4048" xr:uid="{00000000-0005-0000-0000-00008D3E0000}"/>
    <cellStyle name="40% - Accent4 3 3 4 2" xfId="12190" xr:uid="{00000000-0005-0000-0000-00008E3E0000}"/>
    <cellStyle name="40% - Accent4 3 3 4 2 2" xfId="25902" xr:uid="{00000000-0005-0000-0000-00008F3E0000}"/>
    <cellStyle name="40% - Accent4 3 3 4 3" xfId="21373" xr:uid="{00000000-0005-0000-0000-0000903E0000}"/>
    <cellStyle name="40% - Accent4 3 3 5" xfId="4049" xr:uid="{00000000-0005-0000-0000-0000913E0000}"/>
    <cellStyle name="40% - Accent4 3 3 5 2" xfId="12905" xr:uid="{00000000-0005-0000-0000-0000923E0000}"/>
    <cellStyle name="40% - Accent4 3 3 5 2 2" xfId="26617" xr:uid="{00000000-0005-0000-0000-0000933E0000}"/>
    <cellStyle name="40% - Accent4 3 3 5 3" xfId="21374" xr:uid="{00000000-0005-0000-0000-0000943E0000}"/>
    <cellStyle name="40% - Accent4 3 3 6" xfId="4050" xr:uid="{00000000-0005-0000-0000-0000953E0000}"/>
    <cellStyle name="40% - Accent4 3 3 6 2" xfId="13754" xr:uid="{00000000-0005-0000-0000-0000963E0000}"/>
    <cellStyle name="40% - Accent4 3 3 6 2 2" xfId="27303" xr:uid="{00000000-0005-0000-0000-0000973E0000}"/>
    <cellStyle name="40% - Accent4 3 3 6 3" xfId="21375" xr:uid="{00000000-0005-0000-0000-0000983E0000}"/>
    <cellStyle name="40% - Accent4 3 3 7" xfId="4051" xr:uid="{00000000-0005-0000-0000-0000993E0000}"/>
    <cellStyle name="40% - Accent4 3 3 7 2" xfId="14335" xr:uid="{00000000-0005-0000-0000-00009A3E0000}"/>
    <cellStyle name="40% - Accent4 3 3 7 2 2" xfId="27884" xr:uid="{00000000-0005-0000-0000-00009B3E0000}"/>
    <cellStyle name="40% - Accent4 3 3 7 3" xfId="21376" xr:uid="{00000000-0005-0000-0000-00009C3E0000}"/>
    <cellStyle name="40% - Accent4 3 3 8" xfId="4052" xr:uid="{00000000-0005-0000-0000-00009D3E0000}"/>
    <cellStyle name="40% - Accent4 3 3 8 2" xfId="15322" xr:uid="{00000000-0005-0000-0000-00009E3E0000}"/>
    <cellStyle name="40% - Accent4 3 3 8 2 2" xfId="28871" xr:uid="{00000000-0005-0000-0000-00009F3E0000}"/>
    <cellStyle name="40% - Accent4 3 3 8 3" xfId="21377" xr:uid="{00000000-0005-0000-0000-0000A03E0000}"/>
    <cellStyle name="40% - Accent4 3 3 9" xfId="4053" xr:uid="{00000000-0005-0000-0000-0000A13E0000}"/>
    <cellStyle name="40% - Accent4 3 3 9 2" xfId="16221" xr:uid="{00000000-0005-0000-0000-0000A23E0000}"/>
    <cellStyle name="40% - Accent4 3 3 9 2 2" xfId="29628" xr:uid="{00000000-0005-0000-0000-0000A33E0000}"/>
    <cellStyle name="40% - Accent4 3 3 9 3" xfId="21378" xr:uid="{00000000-0005-0000-0000-0000A43E0000}"/>
    <cellStyle name="40% - Accent4 3 4" xfId="4054" xr:uid="{00000000-0005-0000-0000-0000A53E0000}"/>
    <cellStyle name="40% - Accent4 3 4 2" xfId="4055" xr:uid="{00000000-0005-0000-0000-0000A63E0000}"/>
    <cellStyle name="40% - Accent4 3 4 2 2" xfId="11128" xr:uid="{00000000-0005-0000-0000-0000A73E0000}"/>
    <cellStyle name="40% - Accent4 3 4 2 2 2" xfId="25070" xr:uid="{00000000-0005-0000-0000-0000A83E0000}"/>
    <cellStyle name="40% - Accent4 3 4 2 3" xfId="21380" xr:uid="{00000000-0005-0000-0000-0000A93E0000}"/>
    <cellStyle name="40% - Accent4 3 4 3" xfId="4056" xr:uid="{00000000-0005-0000-0000-0000AA3E0000}"/>
    <cellStyle name="40% - Accent4 3 4 3 2" xfId="12907" xr:uid="{00000000-0005-0000-0000-0000AB3E0000}"/>
    <cellStyle name="40% - Accent4 3 4 3 2 2" xfId="26619" xr:uid="{00000000-0005-0000-0000-0000AC3E0000}"/>
    <cellStyle name="40% - Accent4 3 4 3 3" xfId="21381" xr:uid="{00000000-0005-0000-0000-0000AD3E0000}"/>
    <cellStyle name="40% - Accent4 3 4 4" xfId="4057" xr:uid="{00000000-0005-0000-0000-0000AE3E0000}"/>
    <cellStyle name="40% - Accent4 3 4 4 2" xfId="15325" xr:uid="{00000000-0005-0000-0000-0000AF3E0000}"/>
    <cellStyle name="40% - Accent4 3 4 4 2 2" xfId="28874" xr:uid="{00000000-0005-0000-0000-0000B03E0000}"/>
    <cellStyle name="40% - Accent4 3 4 4 3" xfId="21382" xr:uid="{00000000-0005-0000-0000-0000B13E0000}"/>
    <cellStyle name="40% - Accent4 3 4 5" xfId="4058" xr:uid="{00000000-0005-0000-0000-0000B23E0000}"/>
    <cellStyle name="40% - Accent4 3 4 5 2" xfId="17149" xr:uid="{00000000-0005-0000-0000-0000B33E0000}"/>
    <cellStyle name="40% - Accent4 3 4 5 2 2" xfId="30508" xr:uid="{00000000-0005-0000-0000-0000B43E0000}"/>
    <cellStyle name="40% - Accent4 3 4 5 3" xfId="21383" xr:uid="{00000000-0005-0000-0000-0000B53E0000}"/>
    <cellStyle name="40% - Accent4 3 4 6" xfId="9401" xr:uid="{00000000-0005-0000-0000-0000B63E0000}"/>
    <cellStyle name="40% - Accent4 3 4 6 2" xfId="23876" xr:uid="{00000000-0005-0000-0000-0000B73E0000}"/>
    <cellStyle name="40% - Accent4 3 4 7" xfId="21379" xr:uid="{00000000-0005-0000-0000-0000B83E0000}"/>
    <cellStyle name="40% - Accent4 3 5" xfId="4059" xr:uid="{00000000-0005-0000-0000-0000B93E0000}"/>
    <cellStyle name="40% - Accent4 3 5 2" xfId="4060" xr:uid="{00000000-0005-0000-0000-0000BA3E0000}"/>
    <cellStyle name="40% - Accent4 3 5 2 2" xfId="11129" xr:uid="{00000000-0005-0000-0000-0000BB3E0000}"/>
    <cellStyle name="40% - Accent4 3 5 2 2 2" xfId="25071" xr:uid="{00000000-0005-0000-0000-0000BC3E0000}"/>
    <cellStyle name="40% - Accent4 3 5 2 3" xfId="21385" xr:uid="{00000000-0005-0000-0000-0000BD3E0000}"/>
    <cellStyle name="40% - Accent4 3 5 3" xfId="4061" xr:uid="{00000000-0005-0000-0000-0000BE3E0000}"/>
    <cellStyle name="40% - Accent4 3 5 3 2" xfId="12908" xr:uid="{00000000-0005-0000-0000-0000BF3E0000}"/>
    <cellStyle name="40% - Accent4 3 5 3 2 2" xfId="26620" xr:uid="{00000000-0005-0000-0000-0000C03E0000}"/>
    <cellStyle name="40% - Accent4 3 5 3 3" xfId="21386" xr:uid="{00000000-0005-0000-0000-0000C13E0000}"/>
    <cellStyle name="40% - Accent4 3 5 4" xfId="4062" xr:uid="{00000000-0005-0000-0000-0000C23E0000}"/>
    <cellStyle name="40% - Accent4 3 5 4 2" xfId="15326" xr:uid="{00000000-0005-0000-0000-0000C33E0000}"/>
    <cellStyle name="40% - Accent4 3 5 4 2 2" xfId="28875" xr:uid="{00000000-0005-0000-0000-0000C43E0000}"/>
    <cellStyle name="40% - Accent4 3 5 4 3" xfId="21387" xr:uid="{00000000-0005-0000-0000-0000C53E0000}"/>
    <cellStyle name="40% - Accent4 3 5 5" xfId="4063" xr:uid="{00000000-0005-0000-0000-0000C63E0000}"/>
    <cellStyle name="40% - Accent4 3 5 5 2" xfId="17238" xr:uid="{00000000-0005-0000-0000-0000C73E0000}"/>
    <cellStyle name="40% - Accent4 3 5 5 2 2" xfId="30597" xr:uid="{00000000-0005-0000-0000-0000C83E0000}"/>
    <cellStyle name="40% - Accent4 3 5 5 3" xfId="21388" xr:uid="{00000000-0005-0000-0000-0000C93E0000}"/>
    <cellStyle name="40% - Accent4 3 5 6" xfId="9402" xr:uid="{00000000-0005-0000-0000-0000CA3E0000}"/>
    <cellStyle name="40% - Accent4 3 5 6 2" xfId="23877" xr:uid="{00000000-0005-0000-0000-0000CB3E0000}"/>
    <cellStyle name="40% - Accent4 3 5 7" xfId="21384" xr:uid="{00000000-0005-0000-0000-0000CC3E0000}"/>
    <cellStyle name="40% - Accent4 3 6" xfId="4064" xr:uid="{00000000-0005-0000-0000-0000CD3E0000}"/>
    <cellStyle name="40% - Accent4 3 6 2" xfId="4065" xr:uid="{00000000-0005-0000-0000-0000CE3E0000}"/>
    <cellStyle name="40% - Accent4 3 6 2 2" xfId="15327" xr:uid="{00000000-0005-0000-0000-0000CF3E0000}"/>
    <cellStyle name="40% - Accent4 3 6 2 2 2" xfId="28876" xr:uid="{00000000-0005-0000-0000-0000D03E0000}"/>
    <cellStyle name="40% - Accent4 3 6 2 3" xfId="21390" xr:uid="{00000000-0005-0000-0000-0000D13E0000}"/>
    <cellStyle name="40% - Accent4 3 6 3" xfId="4066" xr:uid="{00000000-0005-0000-0000-0000D23E0000}"/>
    <cellStyle name="40% - Accent4 3 6 3 2" xfId="16513" xr:uid="{00000000-0005-0000-0000-0000D33E0000}"/>
    <cellStyle name="40% - Accent4 3 6 3 2 2" xfId="29920" xr:uid="{00000000-0005-0000-0000-0000D43E0000}"/>
    <cellStyle name="40% - Accent4 3 6 3 3" xfId="21391" xr:uid="{00000000-0005-0000-0000-0000D53E0000}"/>
    <cellStyle name="40% - Accent4 3 6 4" xfId="11121" xr:uid="{00000000-0005-0000-0000-0000D63E0000}"/>
    <cellStyle name="40% - Accent4 3 6 4 2" xfId="25063" xr:uid="{00000000-0005-0000-0000-0000D73E0000}"/>
    <cellStyle name="40% - Accent4 3 6 5" xfId="21389" xr:uid="{00000000-0005-0000-0000-0000D83E0000}"/>
    <cellStyle name="40% - Accent4 3 7" xfId="4067" xr:uid="{00000000-0005-0000-0000-0000D93E0000}"/>
    <cellStyle name="40% - Accent4 3 7 2" xfId="11885" xr:uid="{00000000-0005-0000-0000-0000DA3E0000}"/>
    <cellStyle name="40% - Accent4 3 7 2 2" xfId="25600" xr:uid="{00000000-0005-0000-0000-0000DB3E0000}"/>
    <cellStyle name="40% - Accent4 3 7 3" xfId="21392" xr:uid="{00000000-0005-0000-0000-0000DC3E0000}"/>
    <cellStyle name="40% - Accent4 3 8" xfId="4068" xr:uid="{00000000-0005-0000-0000-0000DD3E0000}"/>
    <cellStyle name="40% - Accent4 3 8 2" xfId="12900" xr:uid="{00000000-0005-0000-0000-0000DE3E0000}"/>
    <cellStyle name="40% - Accent4 3 8 2 2" xfId="26612" xr:uid="{00000000-0005-0000-0000-0000DF3E0000}"/>
    <cellStyle name="40% - Accent4 3 8 3" xfId="21393" xr:uid="{00000000-0005-0000-0000-0000E03E0000}"/>
    <cellStyle name="40% - Accent4 3 9" xfId="4069" xr:uid="{00000000-0005-0000-0000-0000E13E0000}"/>
    <cellStyle name="40% - Accent4 3 9 2" xfId="13465" xr:uid="{00000000-0005-0000-0000-0000E23E0000}"/>
    <cellStyle name="40% - Accent4 3 9 2 2" xfId="27014" xr:uid="{00000000-0005-0000-0000-0000E33E0000}"/>
    <cellStyle name="40% - Accent4 3 9 3" xfId="21394" xr:uid="{00000000-0005-0000-0000-0000E43E0000}"/>
    <cellStyle name="40% - Accent4 30" xfId="23258" xr:uid="{00000000-0005-0000-0000-0000E53E0000}"/>
    <cellStyle name="40% - Accent4 4" xfId="4070" xr:uid="{00000000-0005-0000-0000-0000E63E0000}"/>
    <cellStyle name="40% - Accent4 4 10" xfId="4071" xr:uid="{00000000-0005-0000-0000-0000E73E0000}"/>
    <cellStyle name="40% - Accent4 4 10 2" xfId="15328" xr:uid="{00000000-0005-0000-0000-0000E83E0000}"/>
    <cellStyle name="40% - Accent4 4 10 2 2" xfId="28877" xr:uid="{00000000-0005-0000-0000-0000E93E0000}"/>
    <cellStyle name="40% - Accent4 4 10 3" xfId="21396" xr:uid="{00000000-0005-0000-0000-0000EA3E0000}"/>
    <cellStyle name="40% - Accent4 4 11" xfId="4072" xr:uid="{00000000-0005-0000-0000-0000EB3E0000}"/>
    <cellStyle name="40% - Accent4 4 11 2" xfId="15888" xr:uid="{00000000-0005-0000-0000-0000EC3E0000}"/>
    <cellStyle name="40% - Accent4 4 11 2 2" xfId="29295" xr:uid="{00000000-0005-0000-0000-0000ED3E0000}"/>
    <cellStyle name="40% - Accent4 4 11 3" xfId="21397" xr:uid="{00000000-0005-0000-0000-0000EE3E0000}"/>
    <cellStyle name="40% - Accent4 4 12" xfId="9403" xr:uid="{00000000-0005-0000-0000-0000EF3E0000}"/>
    <cellStyle name="40% - Accent4 4 12 2" xfId="23878" xr:uid="{00000000-0005-0000-0000-0000F03E0000}"/>
    <cellStyle name="40% - Accent4 4 13" xfId="21395" xr:uid="{00000000-0005-0000-0000-0000F13E0000}"/>
    <cellStyle name="40% - Accent4 4 2" xfId="4073" xr:uid="{00000000-0005-0000-0000-0000F23E0000}"/>
    <cellStyle name="40% - Accent4 4 2 10" xfId="4074" xr:uid="{00000000-0005-0000-0000-0000F33E0000}"/>
    <cellStyle name="40% - Accent4 4 2 10 2" xfId="16031" xr:uid="{00000000-0005-0000-0000-0000F43E0000}"/>
    <cellStyle name="40% - Accent4 4 2 10 2 2" xfId="29438" xr:uid="{00000000-0005-0000-0000-0000F53E0000}"/>
    <cellStyle name="40% - Accent4 4 2 10 3" xfId="21399" xr:uid="{00000000-0005-0000-0000-0000F63E0000}"/>
    <cellStyle name="40% - Accent4 4 2 11" xfId="9404" xr:uid="{00000000-0005-0000-0000-0000F73E0000}"/>
    <cellStyle name="40% - Accent4 4 2 11 2" xfId="23879" xr:uid="{00000000-0005-0000-0000-0000F83E0000}"/>
    <cellStyle name="40% - Accent4 4 2 12" xfId="21398" xr:uid="{00000000-0005-0000-0000-0000F93E0000}"/>
    <cellStyle name="40% - Accent4 4 2 2" xfId="4075" xr:uid="{00000000-0005-0000-0000-0000FA3E0000}"/>
    <cellStyle name="40% - Accent4 4 2 2 10" xfId="9405" xr:uid="{00000000-0005-0000-0000-0000FB3E0000}"/>
    <cellStyle name="40% - Accent4 4 2 2 10 2" xfId="23880" xr:uid="{00000000-0005-0000-0000-0000FC3E0000}"/>
    <cellStyle name="40% - Accent4 4 2 2 11" xfId="21400" xr:uid="{00000000-0005-0000-0000-0000FD3E0000}"/>
    <cellStyle name="40% - Accent4 4 2 2 2" xfId="4076" xr:uid="{00000000-0005-0000-0000-0000FE3E0000}"/>
    <cellStyle name="40% - Accent4 4 2 2 2 2" xfId="4077" xr:uid="{00000000-0005-0000-0000-0000FF3E0000}"/>
    <cellStyle name="40% - Accent4 4 2 2 2 2 2" xfId="11133" xr:uid="{00000000-0005-0000-0000-0000003F0000}"/>
    <cellStyle name="40% - Accent4 4 2 2 2 2 2 2" xfId="25075" xr:uid="{00000000-0005-0000-0000-0000013F0000}"/>
    <cellStyle name="40% - Accent4 4 2 2 2 2 3" xfId="23200" xr:uid="{00000000-0005-0000-0000-0000023F0000}"/>
    <cellStyle name="40% - Accent4 4 2 2 2 3" xfId="4078" xr:uid="{00000000-0005-0000-0000-0000033F0000}"/>
    <cellStyle name="40% - Accent4 4 2 2 2 3 2" xfId="12912" xr:uid="{00000000-0005-0000-0000-0000043F0000}"/>
    <cellStyle name="40% - Accent4 4 2 2 2 3 2 2" xfId="26624" xr:uid="{00000000-0005-0000-0000-0000053F0000}"/>
    <cellStyle name="40% - Accent4 4 2 2 2 3 3" xfId="24315" xr:uid="{00000000-0005-0000-0000-0000063F0000}"/>
    <cellStyle name="40% - Accent4 4 2 2 2 4" xfId="4079" xr:uid="{00000000-0005-0000-0000-0000073F0000}"/>
    <cellStyle name="40% - Accent4 4 2 2 2 4 2" xfId="15331" xr:uid="{00000000-0005-0000-0000-0000083F0000}"/>
    <cellStyle name="40% - Accent4 4 2 2 2 4 2 2" xfId="28880" xr:uid="{00000000-0005-0000-0000-0000093F0000}"/>
    <cellStyle name="40% - Accent4 4 2 2 2 4 3" xfId="23199" xr:uid="{00000000-0005-0000-0000-00000A3F0000}"/>
    <cellStyle name="40% - Accent4 4 2 2 2 5" xfId="4080" xr:uid="{00000000-0005-0000-0000-00000B3F0000}"/>
    <cellStyle name="40% - Accent4 4 2 2 2 5 2" xfId="16901" xr:uid="{00000000-0005-0000-0000-00000C3F0000}"/>
    <cellStyle name="40% - Accent4 4 2 2 2 5 2 2" xfId="30308" xr:uid="{00000000-0005-0000-0000-00000D3F0000}"/>
    <cellStyle name="40% - Accent4 4 2 2 2 5 3" xfId="23198" xr:uid="{00000000-0005-0000-0000-00000E3F0000}"/>
    <cellStyle name="40% - Accent4 4 2 2 2 6" xfId="9406" xr:uid="{00000000-0005-0000-0000-00000F3F0000}"/>
    <cellStyle name="40% - Accent4 4 2 2 2 6 2" xfId="23881" xr:uid="{00000000-0005-0000-0000-0000103F0000}"/>
    <cellStyle name="40% - Accent4 4 2 2 2 7" xfId="21401" xr:uid="{00000000-0005-0000-0000-0000113F0000}"/>
    <cellStyle name="40% - Accent4 4 2 2 3" xfId="4081" xr:uid="{00000000-0005-0000-0000-0000123F0000}"/>
    <cellStyle name="40% - Accent4 4 2 2 3 2" xfId="4082" xr:uid="{00000000-0005-0000-0000-0000133F0000}"/>
    <cellStyle name="40% - Accent4 4 2 2 3 2 2" xfId="15332" xr:uid="{00000000-0005-0000-0000-0000143F0000}"/>
    <cellStyle name="40% - Accent4 4 2 2 3 2 2 2" xfId="28881" xr:uid="{00000000-0005-0000-0000-0000153F0000}"/>
    <cellStyle name="40% - Accent4 4 2 2 3 2 3" xfId="23197" xr:uid="{00000000-0005-0000-0000-0000163F0000}"/>
    <cellStyle name="40% - Accent4 4 2 2 3 3" xfId="11132" xr:uid="{00000000-0005-0000-0000-0000173F0000}"/>
    <cellStyle name="40% - Accent4 4 2 2 3 3 2" xfId="25074" xr:uid="{00000000-0005-0000-0000-0000183F0000}"/>
    <cellStyle name="40% - Accent4 4 2 2 3 4" xfId="26876" xr:uid="{00000000-0005-0000-0000-0000193F0000}"/>
    <cellStyle name="40% - Accent4 4 2 2 4" xfId="4083" xr:uid="{00000000-0005-0000-0000-00001A3F0000}"/>
    <cellStyle name="40% - Accent4 4 2 2 4 2" xfId="12289" xr:uid="{00000000-0005-0000-0000-00001B3F0000}"/>
    <cellStyle name="40% - Accent4 4 2 2 4 2 2" xfId="26001" xr:uid="{00000000-0005-0000-0000-00001C3F0000}"/>
    <cellStyle name="40% - Accent4 4 2 2 4 3" xfId="23196" xr:uid="{00000000-0005-0000-0000-00001D3F0000}"/>
    <cellStyle name="40% - Accent4 4 2 2 5" xfId="4084" xr:uid="{00000000-0005-0000-0000-00001E3F0000}"/>
    <cellStyle name="40% - Accent4 4 2 2 5 2" xfId="12911" xr:uid="{00000000-0005-0000-0000-00001F3F0000}"/>
    <cellStyle name="40% - Accent4 4 2 2 5 2 2" xfId="26623" xr:uid="{00000000-0005-0000-0000-0000203F0000}"/>
    <cellStyle name="40% - Accent4 4 2 2 5 3" xfId="24314" xr:uid="{00000000-0005-0000-0000-0000213F0000}"/>
    <cellStyle name="40% - Accent4 4 2 2 6" xfId="4085" xr:uid="{00000000-0005-0000-0000-0000223F0000}"/>
    <cellStyle name="40% - Accent4 4 2 2 6 2" xfId="13853" xr:uid="{00000000-0005-0000-0000-0000233F0000}"/>
    <cellStyle name="40% - Accent4 4 2 2 6 2 2" xfId="27402" xr:uid="{00000000-0005-0000-0000-0000243F0000}"/>
    <cellStyle name="40% - Accent4 4 2 2 6 3" xfId="23195" xr:uid="{00000000-0005-0000-0000-0000253F0000}"/>
    <cellStyle name="40% - Accent4 4 2 2 7" xfId="4086" xr:uid="{00000000-0005-0000-0000-0000263F0000}"/>
    <cellStyle name="40% - Accent4 4 2 2 7 2" xfId="14434" xr:uid="{00000000-0005-0000-0000-0000273F0000}"/>
    <cellStyle name="40% - Accent4 4 2 2 7 2 2" xfId="27983" xr:uid="{00000000-0005-0000-0000-0000283F0000}"/>
    <cellStyle name="40% - Accent4 4 2 2 7 3" xfId="26874" xr:uid="{00000000-0005-0000-0000-0000293F0000}"/>
    <cellStyle name="40% - Accent4 4 2 2 8" xfId="4087" xr:uid="{00000000-0005-0000-0000-00002A3F0000}"/>
    <cellStyle name="40% - Accent4 4 2 2 8 2" xfId="15330" xr:uid="{00000000-0005-0000-0000-00002B3F0000}"/>
    <cellStyle name="40% - Accent4 4 2 2 8 2 2" xfId="28879" xr:uid="{00000000-0005-0000-0000-00002C3F0000}"/>
    <cellStyle name="40% - Accent4 4 2 2 8 3" xfId="23194" xr:uid="{00000000-0005-0000-0000-00002D3F0000}"/>
    <cellStyle name="40% - Accent4 4 2 2 9" xfId="4088" xr:uid="{00000000-0005-0000-0000-00002E3F0000}"/>
    <cellStyle name="40% - Accent4 4 2 2 9 2" xfId="16320" xr:uid="{00000000-0005-0000-0000-00002F3F0000}"/>
    <cellStyle name="40% - Accent4 4 2 2 9 2 2" xfId="29727" xr:uid="{00000000-0005-0000-0000-0000303F0000}"/>
    <cellStyle name="40% - Accent4 4 2 2 9 3" xfId="23193" xr:uid="{00000000-0005-0000-0000-0000313F0000}"/>
    <cellStyle name="40% - Accent4 4 2 3" xfId="4089" xr:uid="{00000000-0005-0000-0000-0000323F0000}"/>
    <cellStyle name="40% - Accent4 4 2 3 2" xfId="4090" xr:uid="{00000000-0005-0000-0000-0000333F0000}"/>
    <cellStyle name="40% - Accent4 4 2 3 2 2" xfId="11134" xr:uid="{00000000-0005-0000-0000-0000343F0000}"/>
    <cellStyle name="40% - Accent4 4 2 3 2 2 2" xfId="25076" xr:uid="{00000000-0005-0000-0000-0000353F0000}"/>
    <cellStyle name="40% - Accent4 4 2 3 2 3" xfId="23192" xr:uid="{00000000-0005-0000-0000-0000363F0000}"/>
    <cellStyle name="40% - Accent4 4 2 3 3" xfId="4091" xr:uid="{00000000-0005-0000-0000-0000373F0000}"/>
    <cellStyle name="40% - Accent4 4 2 3 3 2" xfId="12913" xr:uid="{00000000-0005-0000-0000-0000383F0000}"/>
    <cellStyle name="40% - Accent4 4 2 3 3 2 2" xfId="26625" xr:uid="{00000000-0005-0000-0000-0000393F0000}"/>
    <cellStyle name="40% - Accent4 4 2 3 3 3" xfId="23191" xr:uid="{00000000-0005-0000-0000-00003A3F0000}"/>
    <cellStyle name="40% - Accent4 4 2 3 4" xfId="4092" xr:uid="{00000000-0005-0000-0000-00003B3F0000}"/>
    <cellStyle name="40% - Accent4 4 2 3 4 2" xfId="15333" xr:uid="{00000000-0005-0000-0000-00003C3F0000}"/>
    <cellStyle name="40% - Accent4 4 2 3 4 2 2" xfId="28882" xr:uid="{00000000-0005-0000-0000-00003D3F0000}"/>
    <cellStyle name="40% - Accent4 4 2 3 4 3" xfId="30656" xr:uid="{00000000-0005-0000-0000-00003E3F0000}"/>
    <cellStyle name="40% - Accent4 4 2 3 5" xfId="4093" xr:uid="{00000000-0005-0000-0000-00003F3F0000}"/>
    <cellStyle name="40% - Accent4 4 2 3 5 2" xfId="16612" xr:uid="{00000000-0005-0000-0000-0000403F0000}"/>
    <cellStyle name="40% - Accent4 4 2 3 5 2 2" xfId="30019" xr:uid="{00000000-0005-0000-0000-0000413F0000}"/>
    <cellStyle name="40% - Accent4 4 2 3 5 3" xfId="24311" xr:uid="{00000000-0005-0000-0000-0000423F0000}"/>
    <cellStyle name="40% - Accent4 4 2 3 6" xfId="9407" xr:uid="{00000000-0005-0000-0000-0000433F0000}"/>
    <cellStyle name="40% - Accent4 4 2 3 6 2" xfId="23882" xr:uid="{00000000-0005-0000-0000-0000443F0000}"/>
    <cellStyle name="40% - Accent4 4 2 3 7" xfId="24313" xr:uid="{00000000-0005-0000-0000-0000453F0000}"/>
    <cellStyle name="40% - Accent4 4 2 4" xfId="4094" xr:uid="{00000000-0005-0000-0000-0000463F0000}"/>
    <cellStyle name="40% - Accent4 4 2 4 2" xfId="4095" xr:uid="{00000000-0005-0000-0000-0000473F0000}"/>
    <cellStyle name="40% - Accent4 4 2 4 2 2" xfId="15334" xr:uid="{00000000-0005-0000-0000-0000483F0000}"/>
    <cellStyle name="40% - Accent4 4 2 4 2 2 2" xfId="28883" xr:uid="{00000000-0005-0000-0000-0000493F0000}"/>
    <cellStyle name="40% - Accent4 4 2 4 2 3" xfId="24464" xr:uid="{00000000-0005-0000-0000-00004A3F0000}"/>
    <cellStyle name="40% - Accent4 4 2 4 3" xfId="11131" xr:uid="{00000000-0005-0000-0000-00004B3F0000}"/>
    <cellStyle name="40% - Accent4 4 2 4 3 2" xfId="25073" xr:uid="{00000000-0005-0000-0000-00004C3F0000}"/>
    <cellStyle name="40% - Accent4 4 2 4 4" xfId="23202" xr:uid="{00000000-0005-0000-0000-00004D3F0000}"/>
    <cellStyle name="40% - Accent4 4 2 5" xfId="4096" xr:uid="{00000000-0005-0000-0000-00004E3F0000}"/>
    <cellStyle name="40% - Accent4 4 2 5 2" xfId="11989" xr:uid="{00000000-0005-0000-0000-00004F3F0000}"/>
    <cellStyle name="40% - Accent4 4 2 5 2 2" xfId="25704" xr:uid="{00000000-0005-0000-0000-0000503F0000}"/>
    <cellStyle name="40% - Accent4 4 2 5 3" xfId="23240" xr:uid="{00000000-0005-0000-0000-0000513F0000}"/>
    <cellStyle name="40% - Accent4 4 2 6" xfId="4097" xr:uid="{00000000-0005-0000-0000-0000523F0000}"/>
    <cellStyle name="40% - Accent4 4 2 6 2" xfId="12910" xr:uid="{00000000-0005-0000-0000-0000533F0000}"/>
    <cellStyle name="40% - Accent4 4 2 6 2 2" xfId="26622" xr:uid="{00000000-0005-0000-0000-0000543F0000}"/>
    <cellStyle name="40% - Accent4 4 2 6 3" xfId="30685" xr:uid="{00000000-0005-0000-0000-0000553F0000}"/>
    <cellStyle name="40% - Accent4 4 2 7" xfId="4098" xr:uid="{00000000-0005-0000-0000-0000563F0000}"/>
    <cellStyle name="40% - Accent4 4 2 7 2" xfId="13564" xr:uid="{00000000-0005-0000-0000-0000573F0000}"/>
    <cellStyle name="40% - Accent4 4 2 7 2 2" xfId="27113" xr:uid="{00000000-0005-0000-0000-0000583F0000}"/>
    <cellStyle name="40% - Accent4 4 2 7 3" xfId="23190" xr:uid="{00000000-0005-0000-0000-0000593F0000}"/>
    <cellStyle name="40% - Accent4 4 2 8" xfId="4099" xr:uid="{00000000-0005-0000-0000-00005A3F0000}"/>
    <cellStyle name="40% - Accent4 4 2 8 2" xfId="14145" xr:uid="{00000000-0005-0000-0000-00005B3F0000}"/>
    <cellStyle name="40% - Accent4 4 2 8 2 2" xfId="27694" xr:uid="{00000000-0005-0000-0000-00005C3F0000}"/>
    <cellStyle name="40% - Accent4 4 2 8 3" xfId="23189" xr:uid="{00000000-0005-0000-0000-00005D3F0000}"/>
    <cellStyle name="40% - Accent4 4 2 9" xfId="4100" xr:uid="{00000000-0005-0000-0000-00005E3F0000}"/>
    <cellStyle name="40% - Accent4 4 2 9 2" xfId="15329" xr:uid="{00000000-0005-0000-0000-00005F3F0000}"/>
    <cellStyle name="40% - Accent4 4 2 9 2 2" xfId="28878" xr:uid="{00000000-0005-0000-0000-0000603F0000}"/>
    <cellStyle name="40% - Accent4 4 2 9 3" xfId="26873" xr:uid="{00000000-0005-0000-0000-0000613F0000}"/>
    <cellStyle name="40% - Accent4 4 3" xfId="4101" xr:uid="{00000000-0005-0000-0000-0000623F0000}"/>
    <cellStyle name="40% - Accent4 4 3 10" xfId="9408" xr:uid="{00000000-0005-0000-0000-0000633F0000}"/>
    <cellStyle name="40% - Accent4 4 3 10 2" xfId="23883" xr:uid="{00000000-0005-0000-0000-0000643F0000}"/>
    <cellStyle name="40% - Accent4 4 3 11" xfId="23188" xr:uid="{00000000-0005-0000-0000-0000653F0000}"/>
    <cellStyle name="40% - Accent4 4 3 2" xfId="4102" xr:uid="{00000000-0005-0000-0000-0000663F0000}"/>
    <cellStyle name="40% - Accent4 4 3 2 2" xfId="4103" xr:uid="{00000000-0005-0000-0000-0000673F0000}"/>
    <cellStyle name="40% - Accent4 4 3 2 2 2" xfId="11136" xr:uid="{00000000-0005-0000-0000-0000683F0000}"/>
    <cellStyle name="40% - Accent4 4 3 2 2 2 2" xfId="25078" xr:uid="{00000000-0005-0000-0000-0000693F0000}"/>
    <cellStyle name="40% - Accent4 4 3 2 2 3" xfId="23209" xr:uid="{00000000-0005-0000-0000-00006A3F0000}"/>
    <cellStyle name="40% - Accent4 4 3 2 3" xfId="4104" xr:uid="{00000000-0005-0000-0000-00006B3F0000}"/>
    <cellStyle name="40% - Accent4 4 3 2 3 2" xfId="12915" xr:uid="{00000000-0005-0000-0000-00006C3F0000}"/>
    <cellStyle name="40% - Accent4 4 3 2 3 2 2" xfId="26627" xr:uid="{00000000-0005-0000-0000-00006D3F0000}"/>
    <cellStyle name="40% - Accent4 4 3 2 3 3" xfId="23186" xr:uid="{00000000-0005-0000-0000-00006E3F0000}"/>
    <cellStyle name="40% - Accent4 4 3 2 4" xfId="4105" xr:uid="{00000000-0005-0000-0000-00006F3F0000}"/>
    <cellStyle name="40% - Accent4 4 3 2 4 2" xfId="15336" xr:uid="{00000000-0005-0000-0000-0000703F0000}"/>
    <cellStyle name="40% - Accent4 4 3 2 4 2 2" xfId="28885" xr:uid="{00000000-0005-0000-0000-0000713F0000}"/>
    <cellStyle name="40% - Accent4 4 3 2 4 3" xfId="26872" xr:uid="{00000000-0005-0000-0000-0000723F0000}"/>
    <cellStyle name="40% - Accent4 4 3 2 5" xfId="4106" xr:uid="{00000000-0005-0000-0000-0000733F0000}"/>
    <cellStyle name="40% - Accent4 4 3 2 5 2" xfId="16761" xr:uid="{00000000-0005-0000-0000-0000743F0000}"/>
    <cellStyle name="40% - Accent4 4 3 2 5 2 2" xfId="30168" xr:uid="{00000000-0005-0000-0000-0000753F0000}"/>
    <cellStyle name="40% - Accent4 4 3 2 5 3" xfId="23185" xr:uid="{00000000-0005-0000-0000-0000763F0000}"/>
    <cellStyle name="40% - Accent4 4 3 2 6" xfId="9409" xr:uid="{00000000-0005-0000-0000-0000773F0000}"/>
    <cellStyle name="40% - Accent4 4 3 2 6 2" xfId="23884" xr:uid="{00000000-0005-0000-0000-0000783F0000}"/>
    <cellStyle name="40% - Accent4 4 3 2 7" xfId="23187" xr:uid="{00000000-0005-0000-0000-0000793F0000}"/>
    <cellStyle name="40% - Accent4 4 3 3" xfId="4107" xr:uid="{00000000-0005-0000-0000-00007A3F0000}"/>
    <cellStyle name="40% - Accent4 4 3 3 2" xfId="4108" xr:uid="{00000000-0005-0000-0000-00007B3F0000}"/>
    <cellStyle name="40% - Accent4 4 3 3 2 2" xfId="15337" xr:uid="{00000000-0005-0000-0000-00007C3F0000}"/>
    <cellStyle name="40% - Accent4 4 3 3 2 2 2" xfId="28886" xr:uid="{00000000-0005-0000-0000-00007D3F0000}"/>
    <cellStyle name="40% - Accent4 4 3 3 2 3" xfId="23184" xr:uid="{00000000-0005-0000-0000-00007E3F0000}"/>
    <cellStyle name="40% - Accent4 4 3 3 3" xfId="11135" xr:uid="{00000000-0005-0000-0000-00007F3F0000}"/>
    <cellStyle name="40% - Accent4 4 3 3 3 2" xfId="25077" xr:uid="{00000000-0005-0000-0000-0000803F0000}"/>
    <cellStyle name="40% - Accent4 4 3 3 4" xfId="24312" xr:uid="{00000000-0005-0000-0000-0000813F0000}"/>
    <cellStyle name="40% - Accent4 4 3 4" xfId="4109" xr:uid="{00000000-0005-0000-0000-0000823F0000}"/>
    <cellStyle name="40% - Accent4 4 3 4 2" xfId="12149" xr:uid="{00000000-0005-0000-0000-0000833F0000}"/>
    <cellStyle name="40% - Accent4 4 3 4 2 2" xfId="25861" xr:uid="{00000000-0005-0000-0000-0000843F0000}"/>
    <cellStyle name="40% - Accent4 4 3 4 3" xfId="23183" xr:uid="{00000000-0005-0000-0000-0000853F0000}"/>
    <cellStyle name="40% - Accent4 4 3 5" xfId="4110" xr:uid="{00000000-0005-0000-0000-0000863F0000}"/>
    <cellStyle name="40% - Accent4 4 3 5 2" xfId="12914" xr:uid="{00000000-0005-0000-0000-0000873F0000}"/>
    <cellStyle name="40% - Accent4 4 3 5 2 2" xfId="26626" xr:uid="{00000000-0005-0000-0000-0000883F0000}"/>
    <cellStyle name="40% - Accent4 4 3 5 3" xfId="23182" xr:uid="{00000000-0005-0000-0000-0000893F0000}"/>
    <cellStyle name="40% - Accent4 4 3 6" xfId="4111" xr:uid="{00000000-0005-0000-0000-00008A3F0000}"/>
    <cellStyle name="40% - Accent4 4 3 6 2" xfId="13713" xr:uid="{00000000-0005-0000-0000-00008B3F0000}"/>
    <cellStyle name="40% - Accent4 4 3 6 2 2" xfId="27262" xr:uid="{00000000-0005-0000-0000-00008C3F0000}"/>
    <cellStyle name="40% - Accent4 4 3 6 3" xfId="26871" xr:uid="{00000000-0005-0000-0000-00008D3F0000}"/>
    <cellStyle name="40% - Accent4 4 3 7" xfId="4112" xr:uid="{00000000-0005-0000-0000-00008E3F0000}"/>
    <cellStyle name="40% - Accent4 4 3 7 2" xfId="14294" xr:uid="{00000000-0005-0000-0000-00008F3F0000}"/>
    <cellStyle name="40% - Accent4 4 3 7 2 2" xfId="27843" xr:uid="{00000000-0005-0000-0000-0000903F0000}"/>
    <cellStyle name="40% - Accent4 4 3 7 3" xfId="23181" xr:uid="{00000000-0005-0000-0000-0000913F0000}"/>
    <cellStyle name="40% - Accent4 4 3 8" xfId="4113" xr:uid="{00000000-0005-0000-0000-0000923F0000}"/>
    <cellStyle name="40% - Accent4 4 3 8 2" xfId="15335" xr:uid="{00000000-0005-0000-0000-0000933F0000}"/>
    <cellStyle name="40% - Accent4 4 3 8 2 2" xfId="28884" xr:uid="{00000000-0005-0000-0000-0000943F0000}"/>
    <cellStyle name="40% - Accent4 4 3 8 3" xfId="24309" xr:uid="{00000000-0005-0000-0000-0000953F0000}"/>
    <cellStyle name="40% - Accent4 4 3 9" xfId="4114" xr:uid="{00000000-0005-0000-0000-0000963F0000}"/>
    <cellStyle name="40% - Accent4 4 3 9 2" xfId="16180" xr:uid="{00000000-0005-0000-0000-0000973F0000}"/>
    <cellStyle name="40% - Accent4 4 3 9 2 2" xfId="29587" xr:uid="{00000000-0005-0000-0000-0000983F0000}"/>
    <cellStyle name="40% - Accent4 4 3 9 3" xfId="26870" xr:uid="{00000000-0005-0000-0000-0000993F0000}"/>
    <cellStyle name="40% - Accent4 4 4" xfId="4115" xr:uid="{00000000-0005-0000-0000-00009A3F0000}"/>
    <cellStyle name="40% - Accent4 4 4 2" xfId="4116" xr:uid="{00000000-0005-0000-0000-00009B3F0000}"/>
    <cellStyle name="40% - Accent4 4 4 2 2" xfId="11137" xr:uid="{00000000-0005-0000-0000-00009C3F0000}"/>
    <cellStyle name="40% - Accent4 4 4 2 2 2" xfId="25079" xr:uid="{00000000-0005-0000-0000-00009D3F0000}"/>
    <cellStyle name="40% - Accent4 4 4 2 3" xfId="24310" xr:uid="{00000000-0005-0000-0000-00009E3F0000}"/>
    <cellStyle name="40% - Accent4 4 4 3" xfId="4117" xr:uid="{00000000-0005-0000-0000-00009F3F0000}"/>
    <cellStyle name="40% - Accent4 4 4 3 2" xfId="12916" xr:uid="{00000000-0005-0000-0000-0000A03F0000}"/>
    <cellStyle name="40% - Accent4 4 4 3 2 2" xfId="26628" xr:uid="{00000000-0005-0000-0000-0000A13F0000}"/>
    <cellStyle name="40% - Accent4 4 4 3 3" xfId="23179" xr:uid="{00000000-0005-0000-0000-0000A23F0000}"/>
    <cellStyle name="40% - Accent4 4 4 4" xfId="4118" xr:uid="{00000000-0005-0000-0000-0000A33F0000}"/>
    <cellStyle name="40% - Accent4 4 4 4 2" xfId="15338" xr:uid="{00000000-0005-0000-0000-0000A43F0000}"/>
    <cellStyle name="40% - Accent4 4 4 4 2 2" xfId="28887" xr:uid="{00000000-0005-0000-0000-0000A53F0000}"/>
    <cellStyle name="40% - Accent4 4 4 4 3" xfId="23178" xr:uid="{00000000-0005-0000-0000-0000A63F0000}"/>
    <cellStyle name="40% - Accent4 4 4 5" xfId="4119" xr:uid="{00000000-0005-0000-0000-0000A73F0000}"/>
    <cellStyle name="40% - Accent4 4 4 5 2" xfId="16469" xr:uid="{00000000-0005-0000-0000-0000A83F0000}"/>
    <cellStyle name="40% - Accent4 4 4 5 2 2" xfId="29876" xr:uid="{00000000-0005-0000-0000-0000A93F0000}"/>
    <cellStyle name="40% - Accent4 4 4 5 3" xfId="24308" xr:uid="{00000000-0005-0000-0000-0000AA3F0000}"/>
    <cellStyle name="40% - Accent4 4 4 6" xfId="9410" xr:uid="{00000000-0005-0000-0000-0000AB3F0000}"/>
    <cellStyle name="40% - Accent4 4 4 6 2" xfId="23885" xr:uid="{00000000-0005-0000-0000-0000AC3F0000}"/>
    <cellStyle name="40% - Accent4 4 4 7" xfId="23180" xr:uid="{00000000-0005-0000-0000-0000AD3F0000}"/>
    <cellStyle name="40% - Accent4 4 5" xfId="4120" xr:uid="{00000000-0005-0000-0000-0000AE3F0000}"/>
    <cellStyle name="40% - Accent4 4 5 2" xfId="4121" xr:uid="{00000000-0005-0000-0000-0000AF3F0000}"/>
    <cellStyle name="40% - Accent4 4 5 2 2" xfId="15339" xr:uid="{00000000-0005-0000-0000-0000B03F0000}"/>
    <cellStyle name="40% - Accent4 4 5 2 2 2" xfId="28888" xr:uid="{00000000-0005-0000-0000-0000B13F0000}"/>
    <cellStyle name="40% - Accent4 4 5 2 3" xfId="23205" xr:uid="{00000000-0005-0000-0000-0000B23F0000}"/>
    <cellStyle name="40% - Accent4 4 5 3" xfId="11130" xr:uid="{00000000-0005-0000-0000-0000B33F0000}"/>
    <cellStyle name="40% - Accent4 4 5 3 2" xfId="25072" xr:uid="{00000000-0005-0000-0000-0000B43F0000}"/>
    <cellStyle name="40% - Accent4 4 5 4" xfId="23177" xr:uid="{00000000-0005-0000-0000-0000B53F0000}"/>
    <cellStyle name="40% - Accent4 4 6" xfId="4122" xr:uid="{00000000-0005-0000-0000-0000B63F0000}"/>
    <cellStyle name="40% - Accent4 4 6 2" xfId="11820" xr:uid="{00000000-0005-0000-0000-0000B73F0000}"/>
    <cellStyle name="40% - Accent4 4 6 2 2" xfId="25535" xr:uid="{00000000-0005-0000-0000-0000B83F0000}"/>
    <cellStyle name="40% - Accent4 4 6 3" xfId="24307" xr:uid="{00000000-0005-0000-0000-0000B93F0000}"/>
    <cellStyle name="40% - Accent4 4 7" xfId="4123" xr:uid="{00000000-0005-0000-0000-0000BA3F0000}"/>
    <cellStyle name="40% - Accent4 4 7 2" xfId="12909" xr:uid="{00000000-0005-0000-0000-0000BB3F0000}"/>
    <cellStyle name="40% - Accent4 4 7 2 2" xfId="26621" xr:uid="{00000000-0005-0000-0000-0000BC3F0000}"/>
    <cellStyle name="40% - Accent4 4 7 3" xfId="30654" xr:uid="{00000000-0005-0000-0000-0000BD3F0000}"/>
    <cellStyle name="40% - Accent4 4 8" xfId="4124" xr:uid="{00000000-0005-0000-0000-0000BE3F0000}"/>
    <cellStyle name="40% - Accent4 4 8 2" xfId="13421" xr:uid="{00000000-0005-0000-0000-0000BF3F0000}"/>
    <cellStyle name="40% - Accent4 4 8 2 2" xfId="26970" xr:uid="{00000000-0005-0000-0000-0000C03F0000}"/>
    <cellStyle name="40% - Accent4 4 8 3" xfId="30684" xr:uid="{00000000-0005-0000-0000-0000C13F0000}"/>
    <cellStyle name="40% - Accent4 4 9" xfId="4125" xr:uid="{00000000-0005-0000-0000-0000C23F0000}"/>
    <cellStyle name="40% - Accent4 4 9 2" xfId="14002" xr:uid="{00000000-0005-0000-0000-0000C33F0000}"/>
    <cellStyle name="40% - Accent4 4 9 2 2" xfId="27551" xr:uid="{00000000-0005-0000-0000-0000C43F0000}"/>
    <cellStyle name="40% - Accent4 4 9 3" xfId="23239" xr:uid="{00000000-0005-0000-0000-0000C53F0000}"/>
    <cellStyle name="40% - Accent4 5" xfId="4126" xr:uid="{00000000-0005-0000-0000-0000C63F0000}"/>
    <cellStyle name="40% - Accent4 5 10" xfId="4127" xr:uid="{00000000-0005-0000-0000-0000C73F0000}"/>
    <cellStyle name="40% - Accent4 5 10 2" xfId="15340" xr:uid="{00000000-0005-0000-0000-0000C83F0000}"/>
    <cellStyle name="40% - Accent4 5 10 2 2" xfId="28889" xr:uid="{00000000-0005-0000-0000-0000C93F0000}"/>
    <cellStyle name="40% - Accent4 5 10 3" xfId="23207" xr:uid="{00000000-0005-0000-0000-0000CA3F0000}"/>
    <cellStyle name="40% - Accent4 5 11" xfId="4128" xr:uid="{00000000-0005-0000-0000-0000CB3F0000}"/>
    <cellStyle name="40% - Accent4 5 11 2" xfId="15871" xr:uid="{00000000-0005-0000-0000-0000CC3F0000}"/>
    <cellStyle name="40% - Accent4 5 11 2 2" xfId="29278" xr:uid="{00000000-0005-0000-0000-0000CD3F0000}"/>
    <cellStyle name="40% - Accent4 5 11 3" xfId="30431" xr:uid="{00000000-0005-0000-0000-0000CE3F0000}"/>
    <cellStyle name="40% - Accent4 5 12" xfId="9411" xr:uid="{00000000-0005-0000-0000-0000CF3F0000}"/>
    <cellStyle name="40% - Accent4 5 12 2" xfId="23886" xr:uid="{00000000-0005-0000-0000-0000D03F0000}"/>
    <cellStyle name="40% - Accent4 5 13" xfId="23176" xr:uid="{00000000-0005-0000-0000-0000D13F0000}"/>
    <cellStyle name="40% - Accent4 5 2" xfId="4129" xr:uid="{00000000-0005-0000-0000-0000D23F0000}"/>
    <cellStyle name="40% - Accent4 5 2 10" xfId="4130" xr:uid="{00000000-0005-0000-0000-0000D33F0000}"/>
    <cellStyle name="40% - Accent4 5 2 10 2" xfId="16014" xr:uid="{00000000-0005-0000-0000-0000D43F0000}"/>
    <cellStyle name="40% - Accent4 5 2 10 2 2" xfId="29421" xr:uid="{00000000-0005-0000-0000-0000D53F0000}"/>
    <cellStyle name="40% - Accent4 5 2 10 3" xfId="23174" xr:uid="{00000000-0005-0000-0000-0000D63F0000}"/>
    <cellStyle name="40% - Accent4 5 2 11" xfId="9412" xr:uid="{00000000-0005-0000-0000-0000D73F0000}"/>
    <cellStyle name="40% - Accent4 5 2 11 2" xfId="23887" xr:uid="{00000000-0005-0000-0000-0000D83F0000}"/>
    <cellStyle name="40% - Accent4 5 2 12" xfId="23175" xr:uid="{00000000-0005-0000-0000-0000D93F0000}"/>
    <cellStyle name="40% - Accent4 5 2 2" xfId="4131" xr:uid="{00000000-0005-0000-0000-0000DA3F0000}"/>
    <cellStyle name="40% - Accent4 5 2 2 10" xfId="9413" xr:uid="{00000000-0005-0000-0000-0000DB3F0000}"/>
    <cellStyle name="40% - Accent4 5 2 2 10 2" xfId="23888" xr:uid="{00000000-0005-0000-0000-0000DC3F0000}"/>
    <cellStyle name="40% - Accent4 5 2 2 11" xfId="23173" xr:uid="{00000000-0005-0000-0000-0000DD3F0000}"/>
    <cellStyle name="40% - Accent4 5 2 2 2" xfId="4132" xr:uid="{00000000-0005-0000-0000-0000DE3F0000}"/>
    <cellStyle name="40% - Accent4 5 2 2 2 2" xfId="4133" xr:uid="{00000000-0005-0000-0000-0000DF3F0000}"/>
    <cellStyle name="40% - Accent4 5 2 2 2 2 2" xfId="11141" xr:uid="{00000000-0005-0000-0000-0000E03F0000}"/>
    <cellStyle name="40% - Accent4 5 2 2 2 2 2 2" xfId="25083" xr:uid="{00000000-0005-0000-0000-0000E13F0000}"/>
    <cellStyle name="40% - Accent4 5 2 2 2 2 3" xfId="26869" xr:uid="{00000000-0005-0000-0000-0000E23F0000}"/>
    <cellStyle name="40% - Accent4 5 2 2 2 3" xfId="4134" xr:uid="{00000000-0005-0000-0000-0000E33F0000}"/>
    <cellStyle name="40% - Accent4 5 2 2 2 3 2" xfId="12920" xr:uid="{00000000-0005-0000-0000-0000E43F0000}"/>
    <cellStyle name="40% - Accent4 5 2 2 2 3 2 2" xfId="26632" xr:uid="{00000000-0005-0000-0000-0000E53F0000}"/>
    <cellStyle name="40% - Accent4 5 2 2 2 3 3" xfId="23172" xr:uid="{00000000-0005-0000-0000-0000E63F0000}"/>
    <cellStyle name="40% - Accent4 5 2 2 2 4" xfId="4135" xr:uid="{00000000-0005-0000-0000-0000E73F0000}"/>
    <cellStyle name="40% - Accent4 5 2 2 2 4 2" xfId="15343" xr:uid="{00000000-0005-0000-0000-0000E83F0000}"/>
    <cellStyle name="40% - Accent4 5 2 2 2 4 2 2" xfId="28892" xr:uid="{00000000-0005-0000-0000-0000E93F0000}"/>
    <cellStyle name="40% - Accent4 5 2 2 2 4 3" xfId="25297" xr:uid="{00000000-0005-0000-0000-0000EA3F0000}"/>
    <cellStyle name="40% - Accent4 5 2 2 2 5" xfId="4136" xr:uid="{00000000-0005-0000-0000-0000EB3F0000}"/>
    <cellStyle name="40% - Accent4 5 2 2 2 5 2" xfId="16884" xr:uid="{00000000-0005-0000-0000-0000EC3F0000}"/>
    <cellStyle name="40% - Accent4 5 2 2 2 5 2 2" xfId="30291" xr:uid="{00000000-0005-0000-0000-0000ED3F0000}"/>
    <cellStyle name="40% - Accent4 5 2 2 2 5 3" xfId="23171" xr:uid="{00000000-0005-0000-0000-0000EE3F0000}"/>
    <cellStyle name="40% - Accent4 5 2 2 2 6" xfId="9414" xr:uid="{00000000-0005-0000-0000-0000EF3F0000}"/>
    <cellStyle name="40% - Accent4 5 2 2 2 6 2" xfId="23889" xr:uid="{00000000-0005-0000-0000-0000F03F0000}"/>
    <cellStyle name="40% - Accent4 5 2 2 2 7" xfId="24305" xr:uid="{00000000-0005-0000-0000-0000F13F0000}"/>
    <cellStyle name="40% - Accent4 5 2 2 3" xfId="4137" xr:uid="{00000000-0005-0000-0000-0000F23F0000}"/>
    <cellStyle name="40% - Accent4 5 2 2 3 2" xfId="4138" xr:uid="{00000000-0005-0000-0000-0000F33F0000}"/>
    <cellStyle name="40% - Accent4 5 2 2 3 2 2" xfId="15344" xr:uid="{00000000-0005-0000-0000-0000F43F0000}"/>
    <cellStyle name="40% - Accent4 5 2 2 3 2 2 2" xfId="28893" xr:uid="{00000000-0005-0000-0000-0000F53F0000}"/>
    <cellStyle name="40% - Accent4 5 2 2 3 2 3" xfId="25298" xr:uid="{00000000-0005-0000-0000-0000F63F0000}"/>
    <cellStyle name="40% - Accent4 5 2 2 3 3" xfId="11140" xr:uid="{00000000-0005-0000-0000-0000F73F0000}"/>
    <cellStyle name="40% - Accent4 5 2 2 3 3 2" xfId="25082" xr:uid="{00000000-0005-0000-0000-0000F83F0000}"/>
    <cellStyle name="40% - Accent4 5 2 2 3 4" xfId="24306" xr:uid="{00000000-0005-0000-0000-0000F93F0000}"/>
    <cellStyle name="40% - Accent4 5 2 2 4" xfId="4139" xr:uid="{00000000-0005-0000-0000-0000FA3F0000}"/>
    <cellStyle name="40% - Accent4 5 2 2 4 2" xfId="12272" xr:uid="{00000000-0005-0000-0000-0000FB3F0000}"/>
    <cellStyle name="40% - Accent4 5 2 2 4 2 2" xfId="25984" xr:uid="{00000000-0005-0000-0000-0000FC3F0000}"/>
    <cellStyle name="40% - Accent4 5 2 2 4 3" xfId="23170" xr:uid="{00000000-0005-0000-0000-0000FD3F0000}"/>
    <cellStyle name="40% - Accent4 5 2 2 5" xfId="4140" xr:uid="{00000000-0005-0000-0000-0000FE3F0000}"/>
    <cellStyle name="40% - Accent4 5 2 2 5 2" xfId="12919" xr:uid="{00000000-0005-0000-0000-0000FF3F0000}"/>
    <cellStyle name="40% - Accent4 5 2 2 5 2 2" xfId="26631" xr:uid="{00000000-0005-0000-0000-000000400000}"/>
    <cellStyle name="40% - Accent4 5 2 2 5 3" xfId="23169" xr:uid="{00000000-0005-0000-0000-000001400000}"/>
    <cellStyle name="40% - Accent4 5 2 2 6" xfId="4141" xr:uid="{00000000-0005-0000-0000-000002400000}"/>
    <cellStyle name="40% - Accent4 5 2 2 6 2" xfId="13836" xr:uid="{00000000-0005-0000-0000-000003400000}"/>
    <cellStyle name="40% - Accent4 5 2 2 6 2 2" xfId="27385" xr:uid="{00000000-0005-0000-0000-000004400000}"/>
    <cellStyle name="40% - Accent4 5 2 2 6 3" xfId="23168" xr:uid="{00000000-0005-0000-0000-000005400000}"/>
    <cellStyle name="40% - Accent4 5 2 2 7" xfId="4142" xr:uid="{00000000-0005-0000-0000-000006400000}"/>
    <cellStyle name="40% - Accent4 5 2 2 7 2" xfId="14417" xr:uid="{00000000-0005-0000-0000-000007400000}"/>
    <cellStyle name="40% - Accent4 5 2 2 7 2 2" xfId="27966" xr:uid="{00000000-0005-0000-0000-000008400000}"/>
    <cellStyle name="40% - Accent4 5 2 2 7 3" xfId="24303" xr:uid="{00000000-0005-0000-0000-000009400000}"/>
    <cellStyle name="40% - Accent4 5 2 2 8" xfId="4143" xr:uid="{00000000-0005-0000-0000-00000A400000}"/>
    <cellStyle name="40% - Accent4 5 2 2 8 2" xfId="15342" xr:uid="{00000000-0005-0000-0000-00000B400000}"/>
    <cellStyle name="40% - Accent4 5 2 2 8 2 2" xfId="28891" xr:uid="{00000000-0005-0000-0000-00000C400000}"/>
    <cellStyle name="40% - Accent4 5 2 2 8 3" xfId="26868" xr:uid="{00000000-0005-0000-0000-00000D400000}"/>
    <cellStyle name="40% - Accent4 5 2 2 9" xfId="4144" xr:uid="{00000000-0005-0000-0000-00000E400000}"/>
    <cellStyle name="40% - Accent4 5 2 2 9 2" xfId="16303" xr:uid="{00000000-0005-0000-0000-00000F400000}"/>
    <cellStyle name="40% - Accent4 5 2 2 9 2 2" xfId="29710" xr:uid="{00000000-0005-0000-0000-000010400000}"/>
    <cellStyle name="40% - Accent4 5 2 2 9 3" xfId="23167" xr:uid="{00000000-0005-0000-0000-000011400000}"/>
    <cellStyle name="40% - Accent4 5 2 3" xfId="4145" xr:uid="{00000000-0005-0000-0000-000012400000}"/>
    <cellStyle name="40% - Accent4 5 2 3 2" xfId="4146" xr:uid="{00000000-0005-0000-0000-000013400000}"/>
    <cellStyle name="40% - Accent4 5 2 3 2 2" xfId="11142" xr:uid="{00000000-0005-0000-0000-000014400000}"/>
    <cellStyle name="40% - Accent4 5 2 3 2 2 2" xfId="25084" xr:uid="{00000000-0005-0000-0000-000015400000}"/>
    <cellStyle name="40% - Accent4 5 2 3 2 3" xfId="23166" xr:uid="{00000000-0005-0000-0000-000016400000}"/>
    <cellStyle name="40% - Accent4 5 2 3 3" xfId="4147" xr:uid="{00000000-0005-0000-0000-000017400000}"/>
    <cellStyle name="40% - Accent4 5 2 3 3 2" xfId="12921" xr:uid="{00000000-0005-0000-0000-000018400000}"/>
    <cellStyle name="40% - Accent4 5 2 3 3 2 2" xfId="26633" xr:uid="{00000000-0005-0000-0000-000019400000}"/>
    <cellStyle name="40% - Accent4 5 2 3 3 3" xfId="23165" xr:uid="{00000000-0005-0000-0000-00001A400000}"/>
    <cellStyle name="40% - Accent4 5 2 3 4" xfId="4148" xr:uid="{00000000-0005-0000-0000-00001B400000}"/>
    <cellStyle name="40% - Accent4 5 2 3 4 2" xfId="15345" xr:uid="{00000000-0005-0000-0000-00001C400000}"/>
    <cellStyle name="40% - Accent4 5 2 3 4 2 2" xfId="28894" xr:uid="{00000000-0005-0000-0000-00001D400000}"/>
    <cellStyle name="40% - Accent4 5 2 3 4 3" xfId="24302" xr:uid="{00000000-0005-0000-0000-00001E400000}"/>
    <cellStyle name="40% - Accent4 5 2 3 5" xfId="4149" xr:uid="{00000000-0005-0000-0000-00001F400000}"/>
    <cellStyle name="40% - Accent4 5 2 3 5 2" xfId="16595" xr:uid="{00000000-0005-0000-0000-000020400000}"/>
    <cellStyle name="40% - Accent4 5 2 3 5 2 2" xfId="30002" xr:uid="{00000000-0005-0000-0000-000021400000}"/>
    <cellStyle name="40% - Accent4 5 2 3 5 3" xfId="23164" xr:uid="{00000000-0005-0000-0000-000022400000}"/>
    <cellStyle name="40% - Accent4 5 2 3 6" xfId="9415" xr:uid="{00000000-0005-0000-0000-000023400000}"/>
    <cellStyle name="40% - Accent4 5 2 3 6 2" xfId="23890" xr:uid="{00000000-0005-0000-0000-000024400000}"/>
    <cellStyle name="40% - Accent4 5 2 3 7" xfId="24304" xr:uid="{00000000-0005-0000-0000-000025400000}"/>
    <cellStyle name="40% - Accent4 5 2 4" xfId="4150" xr:uid="{00000000-0005-0000-0000-000026400000}"/>
    <cellStyle name="40% - Accent4 5 2 4 2" xfId="4151" xr:uid="{00000000-0005-0000-0000-000027400000}"/>
    <cellStyle name="40% - Accent4 5 2 4 2 2" xfId="15346" xr:uid="{00000000-0005-0000-0000-000028400000}"/>
    <cellStyle name="40% - Accent4 5 2 4 2 2 2" xfId="28895" xr:uid="{00000000-0005-0000-0000-000029400000}"/>
    <cellStyle name="40% - Accent4 5 2 4 2 3" xfId="24301" xr:uid="{00000000-0005-0000-0000-00002A400000}"/>
    <cellStyle name="40% - Accent4 5 2 4 3" xfId="11139" xr:uid="{00000000-0005-0000-0000-00002B400000}"/>
    <cellStyle name="40% - Accent4 5 2 4 3 2" xfId="25081" xr:uid="{00000000-0005-0000-0000-00002C400000}"/>
    <cellStyle name="40% - Accent4 5 2 4 4" xfId="23163" xr:uid="{00000000-0005-0000-0000-00002D400000}"/>
    <cellStyle name="40% - Accent4 5 2 5" xfId="4152" xr:uid="{00000000-0005-0000-0000-00002E400000}"/>
    <cellStyle name="40% - Accent4 5 2 5 2" xfId="11972" xr:uid="{00000000-0005-0000-0000-00002F400000}"/>
    <cellStyle name="40% - Accent4 5 2 5 2 2" xfId="25687" xr:uid="{00000000-0005-0000-0000-000030400000}"/>
    <cellStyle name="40% - Accent4 5 2 5 3" xfId="23162" xr:uid="{00000000-0005-0000-0000-000031400000}"/>
    <cellStyle name="40% - Accent4 5 2 6" xfId="4153" xr:uid="{00000000-0005-0000-0000-000032400000}"/>
    <cellStyle name="40% - Accent4 5 2 6 2" xfId="12918" xr:uid="{00000000-0005-0000-0000-000033400000}"/>
    <cellStyle name="40% - Accent4 5 2 6 2 2" xfId="26630" xr:uid="{00000000-0005-0000-0000-000034400000}"/>
    <cellStyle name="40% - Accent4 5 2 6 3" xfId="23161" xr:uid="{00000000-0005-0000-0000-000035400000}"/>
    <cellStyle name="40% - Accent4 5 2 7" xfId="4154" xr:uid="{00000000-0005-0000-0000-000036400000}"/>
    <cellStyle name="40% - Accent4 5 2 7 2" xfId="13547" xr:uid="{00000000-0005-0000-0000-000037400000}"/>
    <cellStyle name="40% - Accent4 5 2 7 2 2" xfId="27096" xr:uid="{00000000-0005-0000-0000-000038400000}"/>
    <cellStyle name="40% - Accent4 5 2 7 3" xfId="23238" xr:uid="{00000000-0005-0000-0000-000039400000}"/>
    <cellStyle name="40% - Accent4 5 2 8" xfId="4155" xr:uid="{00000000-0005-0000-0000-00003A400000}"/>
    <cellStyle name="40% - Accent4 5 2 8 2" xfId="14128" xr:uid="{00000000-0005-0000-0000-00003B400000}"/>
    <cellStyle name="40% - Accent4 5 2 8 2 2" xfId="27677" xr:uid="{00000000-0005-0000-0000-00003C400000}"/>
    <cellStyle name="40% - Accent4 5 2 8 3" xfId="30683" xr:uid="{00000000-0005-0000-0000-00003D400000}"/>
    <cellStyle name="40% - Accent4 5 2 9" xfId="4156" xr:uid="{00000000-0005-0000-0000-00003E400000}"/>
    <cellStyle name="40% - Accent4 5 2 9 2" xfId="15341" xr:uid="{00000000-0005-0000-0000-00003F400000}"/>
    <cellStyle name="40% - Accent4 5 2 9 2 2" xfId="28890" xr:uid="{00000000-0005-0000-0000-000040400000}"/>
    <cellStyle name="40% - Accent4 5 2 9 3" xfId="23160" xr:uid="{00000000-0005-0000-0000-000041400000}"/>
    <cellStyle name="40% - Accent4 5 3" xfId="4157" xr:uid="{00000000-0005-0000-0000-000042400000}"/>
    <cellStyle name="40% - Accent4 5 3 10" xfId="9416" xr:uid="{00000000-0005-0000-0000-000043400000}"/>
    <cellStyle name="40% - Accent4 5 3 10 2" xfId="23891" xr:uid="{00000000-0005-0000-0000-000044400000}"/>
    <cellStyle name="40% - Accent4 5 3 11" xfId="23159" xr:uid="{00000000-0005-0000-0000-000045400000}"/>
    <cellStyle name="40% - Accent4 5 3 2" xfId="4158" xr:uid="{00000000-0005-0000-0000-000046400000}"/>
    <cellStyle name="40% - Accent4 5 3 2 2" xfId="4159" xr:uid="{00000000-0005-0000-0000-000047400000}"/>
    <cellStyle name="40% - Accent4 5 3 2 2 2" xfId="11144" xr:uid="{00000000-0005-0000-0000-000048400000}"/>
    <cellStyle name="40% - Accent4 5 3 2 2 2 2" xfId="25086" xr:uid="{00000000-0005-0000-0000-000049400000}"/>
    <cellStyle name="40% - Accent4 5 3 2 2 3" xfId="23206" xr:uid="{00000000-0005-0000-0000-00004A400000}"/>
    <cellStyle name="40% - Accent4 5 3 2 3" xfId="4160" xr:uid="{00000000-0005-0000-0000-00004B400000}"/>
    <cellStyle name="40% - Accent4 5 3 2 3 2" xfId="12923" xr:uid="{00000000-0005-0000-0000-00004C400000}"/>
    <cellStyle name="40% - Accent4 5 3 2 3 2 2" xfId="26635" xr:uid="{00000000-0005-0000-0000-00004D400000}"/>
    <cellStyle name="40% - Accent4 5 3 2 3 3" xfId="24299" xr:uid="{00000000-0005-0000-0000-00004E400000}"/>
    <cellStyle name="40% - Accent4 5 3 2 4" xfId="4161" xr:uid="{00000000-0005-0000-0000-00004F400000}"/>
    <cellStyle name="40% - Accent4 5 3 2 4 2" xfId="15348" xr:uid="{00000000-0005-0000-0000-000050400000}"/>
    <cellStyle name="40% - Accent4 5 3 2 4 2 2" xfId="28897" xr:uid="{00000000-0005-0000-0000-000051400000}"/>
    <cellStyle name="40% - Accent4 5 3 2 4 3" xfId="23157" xr:uid="{00000000-0005-0000-0000-000052400000}"/>
    <cellStyle name="40% - Accent4 5 3 2 5" xfId="4162" xr:uid="{00000000-0005-0000-0000-000053400000}"/>
    <cellStyle name="40% - Accent4 5 3 2 5 2" xfId="16744" xr:uid="{00000000-0005-0000-0000-000054400000}"/>
    <cellStyle name="40% - Accent4 5 3 2 5 2 2" xfId="30151" xr:uid="{00000000-0005-0000-0000-000055400000}"/>
    <cellStyle name="40% - Accent4 5 3 2 5 3" xfId="26867" xr:uid="{00000000-0005-0000-0000-000056400000}"/>
    <cellStyle name="40% - Accent4 5 3 2 6" xfId="9417" xr:uid="{00000000-0005-0000-0000-000057400000}"/>
    <cellStyle name="40% - Accent4 5 3 2 6 2" xfId="23892" xr:uid="{00000000-0005-0000-0000-000058400000}"/>
    <cellStyle name="40% - Accent4 5 3 2 7" xfId="23158" xr:uid="{00000000-0005-0000-0000-000059400000}"/>
    <cellStyle name="40% - Accent4 5 3 3" xfId="4163" xr:uid="{00000000-0005-0000-0000-00005A400000}"/>
    <cellStyle name="40% - Accent4 5 3 3 2" xfId="4164" xr:uid="{00000000-0005-0000-0000-00005B400000}"/>
    <cellStyle name="40% - Accent4 5 3 3 2 2" xfId="15349" xr:uid="{00000000-0005-0000-0000-00005C400000}"/>
    <cellStyle name="40% - Accent4 5 3 3 2 2 2" xfId="28898" xr:uid="{00000000-0005-0000-0000-00005D400000}"/>
    <cellStyle name="40% - Accent4 5 3 3 2 3" xfId="24300" xr:uid="{00000000-0005-0000-0000-00005E400000}"/>
    <cellStyle name="40% - Accent4 5 3 3 3" xfId="11143" xr:uid="{00000000-0005-0000-0000-00005F400000}"/>
    <cellStyle name="40% - Accent4 5 3 3 3 2" xfId="25085" xr:uid="{00000000-0005-0000-0000-000060400000}"/>
    <cellStyle name="40% - Accent4 5 3 3 4" xfId="23156" xr:uid="{00000000-0005-0000-0000-000061400000}"/>
    <cellStyle name="40% - Accent4 5 3 4" xfId="4165" xr:uid="{00000000-0005-0000-0000-000062400000}"/>
    <cellStyle name="40% - Accent4 5 3 4 2" xfId="12132" xr:uid="{00000000-0005-0000-0000-000063400000}"/>
    <cellStyle name="40% - Accent4 5 3 4 2 2" xfId="25844" xr:uid="{00000000-0005-0000-0000-000064400000}"/>
    <cellStyle name="40% - Accent4 5 3 4 3" xfId="23155" xr:uid="{00000000-0005-0000-0000-000065400000}"/>
    <cellStyle name="40% - Accent4 5 3 5" xfId="4166" xr:uid="{00000000-0005-0000-0000-000066400000}"/>
    <cellStyle name="40% - Accent4 5 3 5 2" xfId="12922" xr:uid="{00000000-0005-0000-0000-000067400000}"/>
    <cellStyle name="40% - Accent4 5 3 5 2 2" xfId="26634" xr:uid="{00000000-0005-0000-0000-000068400000}"/>
    <cellStyle name="40% - Accent4 5 3 5 3" xfId="23154" xr:uid="{00000000-0005-0000-0000-000069400000}"/>
    <cellStyle name="40% - Accent4 5 3 6" xfId="4167" xr:uid="{00000000-0005-0000-0000-00006A400000}"/>
    <cellStyle name="40% - Accent4 5 3 6 2" xfId="13696" xr:uid="{00000000-0005-0000-0000-00006B400000}"/>
    <cellStyle name="40% - Accent4 5 3 6 2 2" xfId="27245" xr:uid="{00000000-0005-0000-0000-00006C400000}"/>
    <cellStyle name="40% - Accent4 5 3 6 3" xfId="24297" xr:uid="{00000000-0005-0000-0000-00006D400000}"/>
    <cellStyle name="40% - Accent4 5 3 7" xfId="4168" xr:uid="{00000000-0005-0000-0000-00006E400000}"/>
    <cellStyle name="40% - Accent4 5 3 7 2" xfId="14277" xr:uid="{00000000-0005-0000-0000-00006F400000}"/>
    <cellStyle name="40% - Accent4 5 3 7 2 2" xfId="27826" xr:uid="{00000000-0005-0000-0000-000070400000}"/>
    <cellStyle name="40% - Accent4 5 3 7 3" xfId="23153" xr:uid="{00000000-0005-0000-0000-000071400000}"/>
    <cellStyle name="40% - Accent4 5 3 8" xfId="4169" xr:uid="{00000000-0005-0000-0000-000072400000}"/>
    <cellStyle name="40% - Accent4 5 3 8 2" xfId="15347" xr:uid="{00000000-0005-0000-0000-000073400000}"/>
    <cellStyle name="40% - Accent4 5 3 8 2 2" xfId="28896" xr:uid="{00000000-0005-0000-0000-000074400000}"/>
    <cellStyle name="40% - Accent4 5 3 8 3" xfId="23152" xr:uid="{00000000-0005-0000-0000-000075400000}"/>
    <cellStyle name="40% - Accent4 5 3 9" xfId="4170" xr:uid="{00000000-0005-0000-0000-000076400000}"/>
    <cellStyle name="40% - Accent4 5 3 9 2" xfId="16163" xr:uid="{00000000-0005-0000-0000-000077400000}"/>
    <cellStyle name="40% - Accent4 5 3 9 2 2" xfId="29570" xr:uid="{00000000-0005-0000-0000-000078400000}"/>
    <cellStyle name="40% - Accent4 5 3 9 3" xfId="29172" xr:uid="{00000000-0005-0000-0000-000079400000}"/>
    <cellStyle name="40% - Accent4 5 4" xfId="4171" xr:uid="{00000000-0005-0000-0000-00007A400000}"/>
    <cellStyle name="40% - Accent4 5 4 2" xfId="4172" xr:uid="{00000000-0005-0000-0000-00007B400000}"/>
    <cellStyle name="40% - Accent4 5 4 2 2" xfId="11145" xr:uid="{00000000-0005-0000-0000-00007C400000}"/>
    <cellStyle name="40% - Accent4 5 4 2 2 2" xfId="25087" xr:uid="{00000000-0005-0000-0000-00007D400000}"/>
    <cellStyle name="40% - Accent4 5 4 2 3" xfId="23150" xr:uid="{00000000-0005-0000-0000-00007E400000}"/>
    <cellStyle name="40% - Accent4 5 4 3" xfId="4173" xr:uid="{00000000-0005-0000-0000-00007F400000}"/>
    <cellStyle name="40% - Accent4 5 4 3 2" xfId="12924" xr:uid="{00000000-0005-0000-0000-000080400000}"/>
    <cellStyle name="40% - Accent4 5 4 3 2 2" xfId="26636" xr:uid="{00000000-0005-0000-0000-000081400000}"/>
    <cellStyle name="40% - Accent4 5 4 3 3" xfId="26866" xr:uid="{00000000-0005-0000-0000-000082400000}"/>
    <cellStyle name="40% - Accent4 5 4 4" xfId="4174" xr:uid="{00000000-0005-0000-0000-000083400000}"/>
    <cellStyle name="40% - Accent4 5 4 4 2" xfId="15350" xr:uid="{00000000-0005-0000-0000-000084400000}"/>
    <cellStyle name="40% - Accent4 5 4 4 2 2" xfId="28899" xr:uid="{00000000-0005-0000-0000-000085400000}"/>
    <cellStyle name="40% - Accent4 5 4 4 3" xfId="23149" xr:uid="{00000000-0005-0000-0000-000086400000}"/>
    <cellStyle name="40% - Accent4 5 4 5" xfId="4175" xr:uid="{00000000-0005-0000-0000-000087400000}"/>
    <cellStyle name="40% - Accent4 5 4 5 2" xfId="16452" xr:uid="{00000000-0005-0000-0000-000088400000}"/>
    <cellStyle name="40% - Accent4 5 4 5 2 2" xfId="29859" xr:uid="{00000000-0005-0000-0000-000089400000}"/>
    <cellStyle name="40% - Accent4 5 4 5 3" xfId="23148" xr:uid="{00000000-0005-0000-0000-00008A400000}"/>
    <cellStyle name="40% - Accent4 5 4 6" xfId="9418" xr:uid="{00000000-0005-0000-0000-00008B400000}"/>
    <cellStyle name="40% - Accent4 5 4 6 2" xfId="23893" xr:uid="{00000000-0005-0000-0000-00008C400000}"/>
    <cellStyle name="40% - Accent4 5 4 7" xfId="23151" xr:uid="{00000000-0005-0000-0000-00008D400000}"/>
    <cellStyle name="40% - Accent4 5 5" xfId="4176" xr:uid="{00000000-0005-0000-0000-00008E400000}"/>
    <cellStyle name="40% - Accent4 5 5 2" xfId="4177" xr:uid="{00000000-0005-0000-0000-00008F400000}"/>
    <cellStyle name="40% - Accent4 5 5 2 2" xfId="15351" xr:uid="{00000000-0005-0000-0000-000090400000}"/>
    <cellStyle name="40% - Accent4 5 5 2 2 2" xfId="28900" xr:uid="{00000000-0005-0000-0000-000091400000}"/>
    <cellStyle name="40% - Accent4 5 5 2 3" xfId="23147" xr:uid="{00000000-0005-0000-0000-000092400000}"/>
    <cellStyle name="40% - Accent4 5 5 3" xfId="11138" xr:uid="{00000000-0005-0000-0000-000093400000}"/>
    <cellStyle name="40% - Accent4 5 5 3 2" xfId="25080" xr:uid="{00000000-0005-0000-0000-000094400000}"/>
    <cellStyle name="40% - Accent4 5 5 4" xfId="24298" xr:uid="{00000000-0005-0000-0000-000095400000}"/>
    <cellStyle name="40% - Accent4 5 6" xfId="4178" xr:uid="{00000000-0005-0000-0000-000096400000}"/>
    <cellStyle name="40% - Accent4 5 6 2" xfId="11803" xr:uid="{00000000-0005-0000-0000-000097400000}"/>
    <cellStyle name="40% - Accent4 5 6 2 2" xfId="25518" xr:uid="{00000000-0005-0000-0000-000098400000}"/>
    <cellStyle name="40% - Accent4 5 6 3" xfId="25296" xr:uid="{00000000-0005-0000-0000-000099400000}"/>
    <cellStyle name="40% - Accent4 5 7" xfId="4179" xr:uid="{00000000-0005-0000-0000-00009A400000}"/>
    <cellStyle name="40% - Accent4 5 7 2" xfId="12917" xr:uid="{00000000-0005-0000-0000-00009B400000}"/>
    <cellStyle name="40% - Accent4 5 7 2 2" xfId="26629" xr:uid="{00000000-0005-0000-0000-00009C400000}"/>
    <cellStyle name="40% - Accent4 5 7 3" xfId="23146" xr:uid="{00000000-0005-0000-0000-00009D400000}"/>
    <cellStyle name="40% - Accent4 5 8" xfId="4180" xr:uid="{00000000-0005-0000-0000-00009E400000}"/>
    <cellStyle name="40% - Accent4 5 8 2" xfId="13404" xr:uid="{00000000-0005-0000-0000-00009F400000}"/>
    <cellStyle name="40% - Accent4 5 8 2 2" xfId="26953" xr:uid="{00000000-0005-0000-0000-0000A0400000}"/>
    <cellStyle name="40% - Accent4 5 8 3" xfId="23145" xr:uid="{00000000-0005-0000-0000-0000A1400000}"/>
    <cellStyle name="40% - Accent4 5 9" xfId="4181" xr:uid="{00000000-0005-0000-0000-0000A2400000}"/>
    <cellStyle name="40% - Accent4 5 9 2" xfId="13985" xr:uid="{00000000-0005-0000-0000-0000A3400000}"/>
    <cellStyle name="40% - Accent4 5 9 2 2" xfId="27534" xr:uid="{00000000-0005-0000-0000-0000A4400000}"/>
    <cellStyle name="40% - Accent4 5 9 3" xfId="23144" xr:uid="{00000000-0005-0000-0000-0000A5400000}"/>
    <cellStyle name="40% - Accent4 6" xfId="4182" xr:uid="{00000000-0005-0000-0000-0000A6400000}"/>
    <cellStyle name="40% - Accent4 6 10" xfId="4183" xr:uid="{00000000-0005-0000-0000-0000A7400000}"/>
    <cellStyle name="40% - Accent4 6 10 2" xfId="15352" xr:uid="{00000000-0005-0000-0000-0000A8400000}"/>
    <cellStyle name="40% - Accent4 6 10 2 2" xfId="28901" xr:uid="{00000000-0005-0000-0000-0000A9400000}"/>
    <cellStyle name="40% - Accent4 6 10 3" xfId="23143" xr:uid="{00000000-0005-0000-0000-0000AA400000}"/>
    <cellStyle name="40% - Accent4 6 11" xfId="4184" xr:uid="{00000000-0005-0000-0000-0000AB400000}"/>
    <cellStyle name="40% - Accent4 6 11 2" xfId="15977" xr:uid="{00000000-0005-0000-0000-0000AC400000}"/>
    <cellStyle name="40% - Accent4 6 11 2 2" xfId="29384" xr:uid="{00000000-0005-0000-0000-0000AD400000}"/>
    <cellStyle name="40% - Accent4 6 11 3" xfId="23142" xr:uid="{00000000-0005-0000-0000-0000AE400000}"/>
    <cellStyle name="40% - Accent4 6 12" xfId="9419" xr:uid="{00000000-0005-0000-0000-0000AF400000}"/>
    <cellStyle name="40% - Accent4 6 12 2" xfId="23894" xr:uid="{00000000-0005-0000-0000-0000B0400000}"/>
    <cellStyle name="40% - Accent4 6 13" xfId="24295" xr:uid="{00000000-0005-0000-0000-0000B1400000}"/>
    <cellStyle name="40% - Accent4 6 2" xfId="4185" xr:uid="{00000000-0005-0000-0000-0000B2400000}"/>
    <cellStyle name="40% - Accent4 6 2 10" xfId="4186" xr:uid="{00000000-0005-0000-0000-0000B3400000}"/>
    <cellStyle name="40% - Accent4 6 2 10 2" xfId="16120" xr:uid="{00000000-0005-0000-0000-0000B4400000}"/>
    <cellStyle name="40% - Accent4 6 2 10 2 2" xfId="29527" xr:uid="{00000000-0005-0000-0000-0000B5400000}"/>
    <cellStyle name="40% - Accent4 6 2 10 3" xfId="23141" xr:uid="{00000000-0005-0000-0000-0000B6400000}"/>
    <cellStyle name="40% - Accent4 6 2 11" xfId="9420" xr:uid="{00000000-0005-0000-0000-0000B7400000}"/>
    <cellStyle name="40% - Accent4 6 2 11 2" xfId="23895" xr:uid="{00000000-0005-0000-0000-0000B8400000}"/>
    <cellStyle name="40% - Accent4 6 2 12" xfId="29171" xr:uid="{00000000-0005-0000-0000-0000B9400000}"/>
    <cellStyle name="40% - Accent4 6 2 2" xfId="4187" xr:uid="{00000000-0005-0000-0000-0000BA400000}"/>
    <cellStyle name="40% - Accent4 6 2 2 10" xfId="9421" xr:uid="{00000000-0005-0000-0000-0000BB400000}"/>
    <cellStyle name="40% - Accent4 6 2 2 10 2" xfId="23896" xr:uid="{00000000-0005-0000-0000-0000BC400000}"/>
    <cellStyle name="40% - Accent4 6 2 2 11" xfId="23140" xr:uid="{00000000-0005-0000-0000-0000BD400000}"/>
    <cellStyle name="40% - Accent4 6 2 2 2" xfId="4188" xr:uid="{00000000-0005-0000-0000-0000BE400000}"/>
    <cellStyle name="40% - Accent4 6 2 2 2 2" xfId="4189" xr:uid="{00000000-0005-0000-0000-0000BF400000}"/>
    <cellStyle name="40% - Accent4 6 2 2 2 2 2" xfId="11149" xr:uid="{00000000-0005-0000-0000-0000C0400000}"/>
    <cellStyle name="40% - Accent4 6 2 2 2 2 2 2" xfId="25091" xr:uid="{00000000-0005-0000-0000-0000C1400000}"/>
    <cellStyle name="40% - Accent4 6 2 2 2 2 3" xfId="23139" xr:uid="{00000000-0005-0000-0000-0000C2400000}"/>
    <cellStyle name="40% - Accent4 6 2 2 2 3" xfId="4190" xr:uid="{00000000-0005-0000-0000-0000C3400000}"/>
    <cellStyle name="40% - Accent4 6 2 2 2 3 2" xfId="12928" xr:uid="{00000000-0005-0000-0000-0000C4400000}"/>
    <cellStyle name="40% - Accent4 6 2 2 2 3 2 2" xfId="26640" xr:uid="{00000000-0005-0000-0000-0000C5400000}"/>
    <cellStyle name="40% - Accent4 6 2 2 2 3 3" xfId="23138" xr:uid="{00000000-0005-0000-0000-0000C6400000}"/>
    <cellStyle name="40% - Accent4 6 2 2 2 4" xfId="4191" xr:uid="{00000000-0005-0000-0000-0000C7400000}"/>
    <cellStyle name="40% - Accent4 6 2 2 2 4 2" xfId="15355" xr:uid="{00000000-0005-0000-0000-0000C8400000}"/>
    <cellStyle name="40% - Accent4 6 2 2 2 4 2 2" xfId="28904" xr:uid="{00000000-0005-0000-0000-0000C9400000}"/>
    <cellStyle name="40% - Accent4 6 2 2 2 4 3" xfId="24296" xr:uid="{00000000-0005-0000-0000-0000CA400000}"/>
    <cellStyle name="40% - Accent4 6 2 2 2 5" xfId="4192" xr:uid="{00000000-0005-0000-0000-0000CB400000}"/>
    <cellStyle name="40% - Accent4 6 2 2 2 5 2" xfId="16990" xr:uid="{00000000-0005-0000-0000-0000CC400000}"/>
    <cellStyle name="40% - Accent4 6 2 2 2 5 2 2" xfId="30397" xr:uid="{00000000-0005-0000-0000-0000CD400000}"/>
    <cellStyle name="40% - Accent4 6 2 2 2 5 3" xfId="23137" xr:uid="{00000000-0005-0000-0000-0000CE400000}"/>
    <cellStyle name="40% - Accent4 6 2 2 2 6" xfId="9422" xr:uid="{00000000-0005-0000-0000-0000CF400000}"/>
    <cellStyle name="40% - Accent4 6 2 2 2 6 2" xfId="23897" xr:uid="{00000000-0005-0000-0000-0000D0400000}"/>
    <cellStyle name="40% - Accent4 6 2 2 2 7" xfId="26865" xr:uid="{00000000-0005-0000-0000-0000D1400000}"/>
    <cellStyle name="40% - Accent4 6 2 2 3" xfId="4193" xr:uid="{00000000-0005-0000-0000-0000D2400000}"/>
    <cellStyle name="40% - Accent4 6 2 2 3 2" xfId="4194" xr:uid="{00000000-0005-0000-0000-0000D3400000}"/>
    <cellStyle name="40% - Accent4 6 2 2 3 2 2" xfId="15356" xr:uid="{00000000-0005-0000-0000-0000D4400000}"/>
    <cellStyle name="40% - Accent4 6 2 2 3 2 2 2" xfId="28905" xr:uid="{00000000-0005-0000-0000-0000D5400000}"/>
    <cellStyle name="40% - Accent4 6 2 2 3 2 3" xfId="23136" xr:uid="{00000000-0005-0000-0000-0000D6400000}"/>
    <cellStyle name="40% - Accent4 6 2 2 3 3" xfId="11148" xr:uid="{00000000-0005-0000-0000-0000D7400000}"/>
    <cellStyle name="40% - Accent4 6 2 2 3 3 2" xfId="25090" xr:uid="{00000000-0005-0000-0000-0000D8400000}"/>
    <cellStyle name="40% - Accent4 6 2 2 3 4" xfId="25295" xr:uid="{00000000-0005-0000-0000-0000D9400000}"/>
    <cellStyle name="40% - Accent4 6 2 2 4" xfId="4195" xr:uid="{00000000-0005-0000-0000-0000DA400000}"/>
    <cellStyle name="40% - Accent4 6 2 2 4 2" xfId="12378" xr:uid="{00000000-0005-0000-0000-0000DB400000}"/>
    <cellStyle name="40% - Accent4 6 2 2 4 2 2" xfId="26090" xr:uid="{00000000-0005-0000-0000-0000DC400000}"/>
    <cellStyle name="40% - Accent4 6 2 2 4 3" xfId="23135" xr:uid="{00000000-0005-0000-0000-0000DD400000}"/>
    <cellStyle name="40% - Accent4 6 2 2 5" xfId="4196" xr:uid="{00000000-0005-0000-0000-0000DE400000}"/>
    <cellStyle name="40% - Accent4 6 2 2 5 2" xfId="12927" xr:uid="{00000000-0005-0000-0000-0000DF400000}"/>
    <cellStyle name="40% - Accent4 6 2 2 5 2 2" xfId="26639" xr:uid="{00000000-0005-0000-0000-0000E0400000}"/>
    <cellStyle name="40% - Accent4 6 2 2 5 3" xfId="23134" xr:uid="{00000000-0005-0000-0000-0000E1400000}"/>
    <cellStyle name="40% - Accent4 6 2 2 6" xfId="4197" xr:uid="{00000000-0005-0000-0000-0000E2400000}"/>
    <cellStyle name="40% - Accent4 6 2 2 6 2" xfId="13942" xr:uid="{00000000-0005-0000-0000-0000E3400000}"/>
    <cellStyle name="40% - Accent4 6 2 2 6 2 2" xfId="27491" xr:uid="{00000000-0005-0000-0000-0000E4400000}"/>
    <cellStyle name="40% - Accent4 6 2 2 6 3" xfId="24291" xr:uid="{00000000-0005-0000-0000-0000E5400000}"/>
    <cellStyle name="40% - Accent4 6 2 2 7" xfId="4198" xr:uid="{00000000-0005-0000-0000-0000E6400000}"/>
    <cellStyle name="40% - Accent4 6 2 2 7 2" xfId="14523" xr:uid="{00000000-0005-0000-0000-0000E7400000}"/>
    <cellStyle name="40% - Accent4 6 2 2 7 2 2" xfId="28072" xr:uid="{00000000-0005-0000-0000-0000E8400000}"/>
    <cellStyle name="40% - Accent4 6 2 2 7 3" xfId="23133" xr:uid="{00000000-0005-0000-0000-0000E9400000}"/>
    <cellStyle name="40% - Accent4 6 2 2 8" xfId="4199" xr:uid="{00000000-0005-0000-0000-0000EA400000}"/>
    <cellStyle name="40% - Accent4 6 2 2 8 2" xfId="15354" xr:uid="{00000000-0005-0000-0000-0000EB400000}"/>
    <cellStyle name="40% - Accent4 6 2 2 8 2 2" xfId="28903" xr:uid="{00000000-0005-0000-0000-0000EC400000}"/>
    <cellStyle name="40% - Accent4 6 2 2 8 3" xfId="23132" xr:uid="{00000000-0005-0000-0000-0000ED400000}"/>
    <cellStyle name="40% - Accent4 6 2 2 9" xfId="4200" xr:uid="{00000000-0005-0000-0000-0000EE400000}"/>
    <cellStyle name="40% - Accent4 6 2 2 9 2" xfId="16409" xr:uid="{00000000-0005-0000-0000-0000EF400000}"/>
    <cellStyle name="40% - Accent4 6 2 2 9 2 2" xfId="29816" xr:uid="{00000000-0005-0000-0000-0000F0400000}"/>
    <cellStyle name="40% - Accent4 6 2 2 9 3" xfId="29170" xr:uid="{00000000-0005-0000-0000-0000F1400000}"/>
    <cellStyle name="40% - Accent4 6 2 3" xfId="4201" xr:uid="{00000000-0005-0000-0000-0000F2400000}"/>
    <cellStyle name="40% - Accent4 6 2 3 2" xfId="4202" xr:uid="{00000000-0005-0000-0000-0000F3400000}"/>
    <cellStyle name="40% - Accent4 6 2 3 2 2" xfId="11150" xr:uid="{00000000-0005-0000-0000-0000F4400000}"/>
    <cellStyle name="40% - Accent4 6 2 3 2 2 2" xfId="25092" xr:uid="{00000000-0005-0000-0000-0000F5400000}"/>
    <cellStyle name="40% - Accent4 6 2 3 2 3" xfId="23130" xr:uid="{00000000-0005-0000-0000-0000F6400000}"/>
    <cellStyle name="40% - Accent4 6 2 3 3" xfId="4203" xr:uid="{00000000-0005-0000-0000-0000F7400000}"/>
    <cellStyle name="40% - Accent4 6 2 3 3 2" xfId="12929" xr:uid="{00000000-0005-0000-0000-0000F8400000}"/>
    <cellStyle name="40% - Accent4 6 2 3 3 2 2" xfId="26641" xr:uid="{00000000-0005-0000-0000-0000F9400000}"/>
    <cellStyle name="40% - Accent4 6 2 3 3 3" xfId="26864" xr:uid="{00000000-0005-0000-0000-0000FA400000}"/>
    <cellStyle name="40% - Accent4 6 2 3 4" xfId="4204" xr:uid="{00000000-0005-0000-0000-0000FB400000}"/>
    <cellStyle name="40% - Accent4 6 2 3 4 2" xfId="15357" xr:uid="{00000000-0005-0000-0000-0000FC400000}"/>
    <cellStyle name="40% - Accent4 6 2 3 4 2 2" xfId="28906" xr:uid="{00000000-0005-0000-0000-0000FD400000}"/>
    <cellStyle name="40% - Accent4 6 2 3 4 3" xfId="23129" xr:uid="{00000000-0005-0000-0000-0000FE400000}"/>
    <cellStyle name="40% - Accent4 6 2 3 5" xfId="4205" xr:uid="{00000000-0005-0000-0000-0000FF400000}"/>
    <cellStyle name="40% - Accent4 6 2 3 5 2" xfId="16701" xr:uid="{00000000-0005-0000-0000-000000410000}"/>
    <cellStyle name="40% - Accent4 6 2 3 5 2 2" xfId="30108" xr:uid="{00000000-0005-0000-0000-000001410000}"/>
    <cellStyle name="40% - Accent4 6 2 3 5 3" xfId="23128" xr:uid="{00000000-0005-0000-0000-000002410000}"/>
    <cellStyle name="40% - Accent4 6 2 3 6" xfId="9423" xr:uid="{00000000-0005-0000-0000-000003410000}"/>
    <cellStyle name="40% - Accent4 6 2 3 6 2" xfId="23898" xr:uid="{00000000-0005-0000-0000-000004410000}"/>
    <cellStyle name="40% - Accent4 6 2 3 7" xfId="23131" xr:uid="{00000000-0005-0000-0000-000005410000}"/>
    <cellStyle name="40% - Accent4 6 2 4" xfId="4206" xr:uid="{00000000-0005-0000-0000-000006410000}"/>
    <cellStyle name="40% - Accent4 6 2 4 2" xfId="4207" xr:uid="{00000000-0005-0000-0000-000007410000}"/>
    <cellStyle name="40% - Accent4 6 2 4 2 2" xfId="15358" xr:uid="{00000000-0005-0000-0000-000008410000}"/>
    <cellStyle name="40% - Accent4 6 2 4 2 2 2" xfId="28907" xr:uid="{00000000-0005-0000-0000-000009410000}"/>
    <cellStyle name="40% - Accent4 6 2 4 2 3" xfId="23127" xr:uid="{00000000-0005-0000-0000-00000A410000}"/>
    <cellStyle name="40% - Accent4 6 2 4 3" xfId="11147" xr:uid="{00000000-0005-0000-0000-00000B410000}"/>
    <cellStyle name="40% - Accent4 6 2 4 3 2" xfId="25089" xr:uid="{00000000-0005-0000-0000-00000C410000}"/>
    <cellStyle name="40% - Accent4 6 2 4 4" xfId="24294" xr:uid="{00000000-0005-0000-0000-00000D410000}"/>
    <cellStyle name="40% - Accent4 6 2 5" xfId="4208" xr:uid="{00000000-0005-0000-0000-00000E410000}"/>
    <cellStyle name="40% - Accent4 6 2 5 2" xfId="12078" xr:uid="{00000000-0005-0000-0000-00000F410000}"/>
    <cellStyle name="40% - Accent4 6 2 5 2 2" xfId="25793" xr:uid="{00000000-0005-0000-0000-000010410000}"/>
    <cellStyle name="40% - Accent4 6 2 5 3" xfId="25294" xr:uid="{00000000-0005-0000-0000-000011410000}"/>
    <cellStyle name="40% - Accent4 6 2 6" xfId="4209" xr:uid="{00000000-0005-0000-0000-000012410000}"/>
    <cellStyle name="40% - Accent4 6 2 6 2" xfId="12926" xr:uid="{00000000-0005-0000-0000-000013410000}"/>
    <cellStyle name="40% - Accent4 6 2 6 2 2" xfId="26638" xr:uid="{00000000-0005-0000-0000-000014410000}"/>
    <cellStyle name="40% - Accent4 6 2 6 3" xfId="23126" xr:uid="{00000000-0005-0000-0000-000015410000}"/>
    <cellStyle name="40% - Accent4 6 2 7" xfId="4210" xr:uid="{00000000-0005-0000-0000-000016410000}"/>
    <cellStyle name="40% - Accent4 6 2 7 2" xfId="13653" xr:uid="{00000000-0005-0000-0000-000017410000}"/>
    <cellStyle name="40% - Accent4 6 2 7 2 2" xfId="27202" xr:uid="{00000000-0005-0000-0000-000018410000}"/>
    <cellStyle name="40% - Accent4 6 2 7 3" xfId="23125" xr:uid="{00000000-0005-0000-0000-000019410000}"/>
    <cellStyle name="40% - Accent4 6 2 8" xfId="4211" xr:uid="{00000000-0005-0000-0000-00001A410000}"/>
    <cellStyle name="40% - Accent4 6 2 8 2" xfId="14234" xr:uid="{00000000-0005-0000-0000-00001B410000}"/>
    <cellStyle name="40% - Accent4 6 2 8 2 2" xfId="27783" xr:uid="{00000000-0005-0000-0000-00001C410000}"/>
    <cellStyle name="40% - Accent4 6 2 8 3" xfId="24292" xr:uid="{00000000-0005-0000-0000-00001D410000}"/>
    <cellStyle name="40% - Accent4 6 2 9" xfId="4212" xr:uid="{00000000-0005-0000-0000-00001E410000}"/>
    <cellStyle name="40% - Accent4 6 2 9 2" xfId="15353" xr:uid="{00000000-0005-0000-0000-00001F410000}"/>
    <cellStyle name="40% - Accent4 6 2 9 2 2" xfId="28902" xr:uid="{00000000-0005-0000-0000-000020410000}"/>
    <cellStyle name="40% - Accent4 6 2 9 3" xfId="23124" xr:uid="{00000000-0005-0000-0000-000021410000}"/>
    <cellStyle name="40% - Accent4 6 3" xfId="4213" xr:uid="{00000000-0005-0000-0000-000022410000}"/>
    <cellStyle name="40% - Accent4 6 3 10" xfId="9424" xr:uid="{00000000-0005-0000-0000-000023410000}"/>
    <cellStyle name="40% - Accent4 6 3 10 2" xfId="23899" xr:uid="{00000000-0005-0000-0000-000024410000}"/>
    <cellStyle name="40% - Accent4 6 3 11" xfId="23123" xr:uid="{00000000-0005-0000-0000-000025410000}"/>
    <cellStyle name="40% - Accent4 6 3 2" xfId="4214" xr:uid="{00000000-0005-0000-0000-000026410000}"/>
    <cellStyle name="40% - Accent4 6 3 2 2" xfId="4215" xr:uid="{00000000-0005-0000-0000-000027410000}"/>
    <cellStyle name="40% - Accent4 6 3 2 2 2" xfId="11152" xr:uid="{00000000-0005-0000-0000-000028410000}"/>
    <cellStyle name="40% - Accent4 6 3 2 2 2 2" xfId="25094" xr:uid="{00000000-0005-0000-0000-000029410000}"/>
    <cellStyle name="40% - Accent4 6 3 2 2 3" xfId="23122" xr:uid="{00000000-0005-0000-0000-00002A410000}"/>
    <cellStyle name="40% - Accent4 6 3 2 3" xfId="4216" xr:uid="{00000000-0005-0000-0000-00002B410000}"/>
    <cellStyle name="40% - Accent4 6 3 2 3 2" xfId="12931" xr:uid="{00000000-0005-0000-0000-00002C410000}"/>
    <cellStyle name="40% - Accent4 6 3 2 3 2 2" xfId="26643" xr:uid="{00000000-0005-0000-0000-00002D410000}"/>
    <cellStyle name="40% - Accent4 6 3 2 3 3" xfId="23121" xr:uid="{00000000-0005-0000-0000-00002E410000}"/>
    <cellStyle name="40% - Accent4 6 3 2 4" xfId="4217" xr:uid="{00000000-0005-0000-0000-00002F410000}"/>
    <cellStyle name="40% - Accent4 6 3 2 4 2" xfId="15360" xr:uid="{00000000-0005-0000-0000-000030410000}"/>
    <cellStyle name="40% - Accent4 6 3 2 4 2 2" xfId="28909" xr:uid="{00000000-0005-0000-0000-000031410000}"/>
    <cellStyle name="40% - Accent4 6 3 2 4 3" xfId="26863" xr:uid="{00000000-0005-0000-0000-000032410000}"/>
    <cellStyle name="40% - Accent4 6 3 2 5" xfId="4218" xr:uid="{00000000-0005-0000-0000-000033410000}"/>
    <cellStyle name="40% - Accent4 6 3 2 5 2" xfId="16847" xr:uid="{00000000-0005-0000-0000-000034410000}"/>
    <cellStyle name="40% - Accent4 6 3 2 5 2 2" xfId="30254" xr:uid="{00000000-0005-0000-0000-000035410000}"/>
    <cellStyle name="40% - Accent4 6 3 2 5 3" xfId="23120" xr:uid="{00000000-0005-0000-0000-000036410000}"/>
    <cellStyle name="40% - Accent4 6 3 2 6" xfId="9425" xr:uid="{00000000-0005-0000-0000-000037410000}"/>
    <cellStyle name="40% - Accent4 6 3 2 6 2" xfId="23900" xr:uid="{00000000-0005-0000-0000-000038410000}"/>
    <cellStyle name="40% - Accent4 6 3 2 7" xfId="29169" xr:uid="{00000000-0005-0000-0000-000039410000}"/>
    <cellStyle name="40% - Accent4 6 3 3" xfId="4219" xr:uid="{00000000-0005-0000-0000-00003A410000}"/>
    <cellStyle name="40% - Accent4 6 3 3 2" xfId="4220" xr:uid="{00000000-0005-0000-0000-00003B410000}"/>
    <cellStyle name="40% - Accent4 6 3 3 2 2" xfId="15361" xr:uid="{00000000-0005-0000-0000-00003C410000}"/>
    <cellStyle name="40% - Accent4 6 3 3 2 2 2" xfId="28910" xr:uid="{00000000-0005-0000-0000-00003D410000}"/>
    <cellStyle name="40% - Accent4 6 3 3 2 3" xfId="24293" xr:uid="{00000000-0005-0000-0000-00003E410000}"/>
    <cellStyle name="40% - Accent4 6 3 3 3" xfId="11151" xr:uid="{00000000-0005-0000-0000-00003F410000}"/>
    <cellStyle name="40% - Accent4 6 3 3 3 2" xfId="25093" xr:uid="{00000000-0005-0000-0000-000040410000}"/>
    <cellStyle name="40% - Accent4 6 3 3 4" xfId="23119" xr:uid="{00000000-0005-0000-0000-000041410000}"/>
    <cellStyle name="40% - Accent4 6 3 4" xfId="4221" xr:uid="{00000000-0005-0000-0000-000042410000}"/>
    <cellStyle name="40% - Accent4 6 3 4 2" xfId="12235" xr:uid="{00000000-0005-0000-0000-000043410000}"/>
    <cellStyle name="40% - Accent4 6 3 4 2 2" xfId="25947" xr:uid="{00000000-0005-0000-0000-000044410000}"/>
    <cellStyle name="40% - Accent4 6 3 4 3" xfId="23118" xr:uid="{00000000-0005-0000-0000-000045410000}"/>
    <cellStyle name="40% - Accent4 6 3 5" xfId="4222" xr:uid="{00000000-0005-0000-0000-000046410000}"/>
    <cellStyle name="40% - Accent4 6 3 5 2" xfId="12930" xr:uid="{00000000-0005-0000-0000-000047410000}"/>
    <cellStyle name="40% - Accent4 6 3 5 2 2" xfId="26642" xr:uid="{00000000-0005-0000-0000-000048410000}"/>
    <cellStyle name="40% - Accent4 6 3 5 3" xfId="25293" xr:uid="{00000000-0005-0000-0000-000049410000}"/>
    <cellStyle name="40% - Accent4 6 3 6" xfId="4223" xr:uid="{00000000-0005-0000-0000-00004A410000}"/>
    <cellStyle name="40% - Accent4 6 3 6 2" xfId="13799" xr:uid="{00000000-0005-0000-0000-00004B410000}"/>
    <cellStyle name="40% - Accent4 6 3 6 2 2" xfId="27348" xr:uid="{00000000-0005-0000-0000-00004C410000}"/>
    <cellStyle name="40% - Accent4 6 3 6 3" xfId="23117" xr:uid="{00000000-0005-0000-0000-00004D410000}"/>
    <cellStyle name="40% - Accent4 6 3 7" xfId="4224" xr:uid="{00000000-0005-0000-0000-00004E410000}"/>
    <cellStyle name="40% - Accent4 6 3 7 2" xfId="14380" xr:uid="{00000000-0005-0000-0000-00004F410000}"/>
    <cellStyle name="40% - Accent4 6 3 7 2 2" xfId="27929" xr:uid="{00000000-0005-0000-0000-000050410000}"/>
    <cellStyle name="40% - Accent4 6 3 7 3" xfId="23116" xr:uid="{00000000-0005-0000-0000-000051410000}"/>
    <cellStyle name="40% - Accent4 6 3 8" xfId="4225" xr:uid="{00000000-0005-0000-0000-000052410000}"/>
    <cellStyle name="40% - Accent4 6 3 8 2" xfId="15359" xr:uid="{00000000-0005-0000-0000-000053410000}"/>
    <cellStyle name="40% - Accent4 6 3 8 2 2" xfId="28908" xr:uid="{00000000-0005-0000-0000-000054410000}"/>
    <cellStyle name="40% - Accent4 6 3 8 3" xfId="23115" xr:uid="{00000000-0005-0000-0000-000055410000}"/>
    <cellStyle name="40% - Accent4 6 3 9" xfId="4226" xr:uid="{00000000-0005-0000-0000-000056410000}"/>
    <cellStyle name="40% - Accent4 6 3 9 2" xfId="16266" xr:uid="{00000000-0005-0000-0000-000057410000}"/>
    <cellStyle name="40% - Accent4 6 3 9 2 2" xfId="29673" xr:uid="{00000000-0005-0000-0000-000058410000}"/>
    <cellStyle name="40% - Accent4 6 3 9 3" xfId="23114" xr:uid="{00000000-0005-0000-0000-000059410000}"/>
    <cellStyle name="40% - Accent4 6 4" xfId="4227" xr:uid="{00000000-0005-0000-0000-00005A410000}"/>
    <cellStyle name="40% - Accent4 6 4 2" xfId="4228" xr:uid="{00000000-0005-0000-0000-00005B410000}"/>
    <cellStyle name="40% - Accent4 6 4 2 2" xfId="11153" xr:uid="{00000000-0005-0000-0000-00005C410000}"/>
    <cellStyle name="40% - Accent4 6 4 2 2 2" xfId="25095" xr:uid="{00000000-0005-0000-0000-00005D410000}"/>
    <cellStyle name="40% - Accent4 6 4 2 3" xfId="23112" xr:uid="{00000000-0005-0000-0000-00005E410000}"/>
    <cellStyle name="40% - Accent4 6 4 3" xfId="4229" xr:uid="{00000000-0005-0000-0000-00005F410000}"/>
    <cellStyle name="40% - Accent4 6 4 3 2" xfId="12932" xr:uid="{00000000-0005-0000-0000-000060410000}"/>
    <cellStyle name="40% - Accent4 6 4 3 2 2" xfId="26644" xr:uid="{00000000-0005-0000-0000-000061410000}"/>
    <cellStyle name="40% - Accent4 6 4 3 3" xfId="29168" xr:uid="{00000000-0005-0000-0000-000062410000}"/>
    <cellStyle name="40% - Accent4 6 4 4" xfId="4230" xr:uid="{00000000-0005-0000-0000-000063410000}"/>
    <cellStyle name="40% - Accent4 6 4 4 2" xfId="15362" xr:uid="{00000000-0005-0000-0000-000064410000}"/>
    <cellStyle name="40% - Accent4 6 4 4 2 2" xfId="28911" xr:uid="{00000000-0005-0000-0000-000065410000}"/>
    <cellStyle name="40% - Accent4 6 4 4 3" xfId="23111" xr:uid="{00000000-0005-0000-0000-000066410000}"/>
    <cellStyle name="40% - Accent4 6 4 5" xfId="4231" xr:uid="{00000000-0005-0000-0000-000067410000}"/>
    <cellStyle name="40% - Accent4 6 4 5 2" xfId="16558" xr:uid="{00000000-0005-0000-0000-000068410000}"/>
    <cellStyle name="40% - Accent4 6 4 5 2 2" xfId="29965" xr:uid="{00000000-0005-0000-0000-000069410000}"/>
    <cellStyle name="40% - Accent4 6 4 5 3" xfId="23110" xr:uid="{00000000-0005-0000-0000-00006A410000}"/>
    <cellStyle name="40% - Accent4 6 4 6" xfId="9426" xr:uid="{00000000-0005-0000-0000-00006B410000}"/>
    <cellStyle name="40% - Accent4 6 4 6 2" xfId="23901" xr:uid="{00000000-0005-0000-0000-00006C410000}"/>
    <cellStyle name="40% - Accent4 6 4 7" xfId="23113" xr:uid="{00000000-0005-0000-0000-00006D410000}"/>
    <cellStyle name="40% - Accent4 6 5" xfId="4232" xr:uid="{00000000-0005-0000-0000-00006E410000}"/>
    <cellStyle name="40% - Accent4 6 5 2" xfId="4233" xr:uid="{00000000-0005-0000-0000-00006F410000}"/>
    <cellStyle name="40% - Accent4 6 5 2 2" xfId="15363" xr:uid="{00000000-0005-0000-0000-000070410000}"/>
    <cellStyle name="40% - Accent4 6 5 2 2 2" xfId="28912" xr:uid="{00000000-0005-0000-0000-000071410000}"/>
    <cellStyle name="40% - Accent4 6 5 2 3" xfId="23109" xr:uid="{00000000-0005-0000-0000-000072410000}"/>
    <cellStyle name="40% - Accent4 6 5 3" xfId="11146" xr:uid="{00000000-0005-0000-0000-000073410000}"/>
    <cellStyle name="40% - Accent4 6 5 3 2" xfId="25088" xr:uid="{00000000-0005-0000-0000-000074410000}"/>
    <cellStyle name="40% - Accent4 6 5 4" xfId="26862" xr:uid="{00000000-0005-0000-0000-000075410000}"/>
    <cellStyle name="40% - Accent4 6 6" xfId="4234" xr:uid="{00000000-0005-0000-0000-000076410000}"/>
    <cellStyle name="40% - Accent4 6 6 2" xfId="11933" xr:uid="{00000000-0005-0000-0000-000077410000}"/>
    <cellStyle name="40% - Accent4 6 6 2 2" xfId="25648" xr:uid="{00000000-0005-0000-0000-000078410000}"/>
    <cellStyle name="40% - Accent4 6 6 3" xfId="23108" xr:uid="{00000000-0005-0000-0000-000079410000}"/>
    <cellStyle name="40% - Accent4 6 7" xfId="4235" xr:uid="{00000000-0005-0000-0000-00007A410000}"/>
    <cellStyle name="40% - Accent4 6 7 2" xfId="12925" xr:uid="{00000000-0005-0000-0000-00007B410000}"/>
    <cellStyle name="40% - Accent4 6 7 2 2" xfId="26637" xr:uid="{00000000-0005-0000-0000-00007C410000}"/>
    <cellStyle name="40% - Accent4 6 7 3" xfId="24290" xr:uid="{00000000-0005-0000-0000-00007D410000}"/>
    <cellStyle name="40% - Accent4 6 8" xfId="4236" xr:uid="{00000000-0005-0000-0000-00007E410000}"/>
    <cellStyle name="40% - Accent4 6 8 2" xfId="13510" xr:uid="{00000000-0005-0000-0000-00007F410000}"/>
    <cellStyle name="40% - Accent4 6 8 2 2" xfId="27059" xr:uid="{00000000-0005-0000-0000-000080410000}"/>
    <cellStyle name="40% - Accent4 6 8 3" xfId="25292" xr:uid="{00000000-0005-0000-0000-000081410000}"/>
    <cellStyle name="40% - Accent4 6 9" xfId="4237" xr:uid="{00000000-0005-0000-0000-000082410000}"/>
    <cellStyle name="40% - Accent4 6 9 2" xfId="14091" xr:uid="{00000000-0005-0000-0000-000083410000}"/>
    <cellStyle name="40% - Accent4 6 9 2 2" xfId="27640" xr:uid="{00000000-0005-0000-0000-000084410000}"/>
    <cellStyle name="40% - Accent4 6 9 3" xfId="23107" xr:uid="{00000000-0005-0000-0000-000085410000}"/>
    <cellStyle name="40% - Accent4 7" xfId="4238" xr:uid="{00000000-0005-0000-0000-000086410000}"/>
    <cellStyle name="40% - Accent4 7 10" xfId="4239" xr:uid="{00000000-0005-0000-0000-000087410000}"/>
    <cellStyle name="40% - Accent4 7 10 2" xfId="15995" xr:uid="{00000000-0005-0000-0000-000088410000}"/>
    <cellStyle name="40% - Accent4 7 10 2 2" xfId="29402" xr:uid="{00000000-0005-0000-0000-000089410000}"/>
    <cellStyle name="40% - Accent4 7 10 3" xfId="24289" xr:uid="{00000000-0005-0000-0000-00008A410000}"/>
    <cellStyle name="40% - Accent4 7 11" xfId="9427" xr:uid="{00000000-0005-0000-0000-00008B410000}"/>
    <cellStyle name="40% - Accent4 7 11 2" xfId="23902" xr:uid="{00000000-0005-0000-0000-00008C410000}"/>
    <cellStyle name="40% - Accent4 7 12" xfId="23106" xr:uid="{00000000-0005-0000-0000-00008D410000}"/>
    <cellStyle name="40% - Accent4 7 2" xfId="4240" xr:uid="{00000000-0005-0000-0000-00008E410000}"/>
    <cellStyle name="40% - Accent4 7 2 10" xfId="9428" xr:uid="{00000000-0005-0000-0000-00008F410000}"/>
    <cellStyle name="40% - Accent4 7 2 10 2" xfId="23903" xr:uid="{00000000-0005-0000-0000-000090410000}"/>
    <cellStyle name="40% - Accent4 7 2 11" xfId="23105" xr:uid="{00000000-0005-0000-0000-000091410000}"/>
    <cellStyle name="40% - Accent4 7 2 2" xfId="4241" xr:uid="{00000000-0005-0000-0000-000092410000}"/>
    <cellStyle name="40% - Accent4 7 2 2 2" xfId="4242" xr:uid="{00000000-0005-0000-0000-000093410000}"/>
    <cellStyle name="40% - Accent4 7 2 2 2 2" xfId="11156" xr:uid="{00000000-0005-0000-0000-000094410000}"/>
    <cellStyle name="40% - Accent4 7 2 2 2 2 2" xfId="25098" xr:uid="{00000000-0005-0000-0000-000095410000}"/>
    <cellStyle name="40% - Accent4 7 2 2 2 3" xfId="24287" xr:uid="{00000000-0005-0000-0000-000096410000}"/>
    <cellStyle name="40% - Accent4 7 2 2 3" xfId="4243" xr:uid="{00000000-0005-0000-0000-000097410000}"/>
    <cellStyle name="40% - Accent4 7 2 2 3 2" xfId="12935" xr:uid="{00000000-0005-0000-0000-000098410000}"/>
    <cellStyle name="40% - Accent4 7 2 2 3 2 2" xfId="26647" xr:uid="{00000000-0005-0000-0000-000099410000}"/>
    <cellStyle name="40% - Accent4 7 2 2 3 3" xfId="23103" xr:uid="{00000000-0005-0000-0000-00009A410000}"/>
    <cellStyle name="40% - Accent4 7 2 2 4" xfId="4244" xr:uid="{00000000-0005-0000-0000-00009B410000}"/>
    <cellStyle name="40% - Accent4 7 2 2 4 2" xfId="15366" xr:uid="{00000000-0005-0000-0000-00009C410000}"/>
    <cellStyle name="40% - Accent4 7 2 2 4 2 2" xfId="28915" xr:uid="{00000000-0005-0000-0000-00009D410000}"/>
    <cellStyle name="40% - Accent4 7 2 2 4 3" xfId="23102" xr:uid="{00000000-0005-0000-0000-00009E410000}"/>
    <cellStyle name="40% - Accent4 7 2 2 5" xfId="4245" xr:uid="{00000000-0005-0000-0000-00009F410000}"/>
    <cellStyle name="40% - Accent4 7 2 2 5 2" xfId="16865" xr:uid="{00000000-0005-0000-0000-0000A0410000}"/>
    <cellStyle name="40% - Accent4 7 2 2 5 2 2" xfId="30272" xr:uid="{00000000-0005-0000-0000-0000A1410000}"/>
    <cellStyle name="40% - Accent4 7 2 2 5 3" xfId="29167" xr:uid="{00000000-0005-0000-0000-0000A2410000}"/>
    <cellStyle name="40% - Accent4 7 2 2 6" xfId="9429" xr:uid="{00000000-0005-0000-0000-0000A3410000}"/>
    <cellStyle name="40% - Accent4 7 2 2 6 2" xfId="23904" xr:uid="{00000000-0005-0000-0000-0000A4410000}"/>
    <cellStyle name="40% - Accent4 7 2 2 7" xfId="23104" xr:uid="{00000000-0005-0000-0000-0000A5410000}"/>
    <cellStyle name="40% - Accent4 7 2 3" xfId="4246" xr:uid="{00000000-0005-0000-0000-0000A6410000}"/>
    <cellStyle name="40% - Accent4 7 2 3 2" xfId="4247" xr:uid="{00000000-0005-0000-0000-0000A7410000}"/>
    <cellStyle name="40% - Accent4 7 2 3 2 2" xfId="15367" xr:uid="{00000000-0005-0000-0000-0000A8410000}"/>
    <cellStyle name="40% - Accent4 7 2 3 2 2 2" xfId="28916" xr:uid="{00000000-0005-0000-0000-0000A9410000}"/>
    <cellStyle name="40% - Accent4 7 2 3 2 3" xfId="23100" xr:uid="{00000000-0005-0000-0000-0000AA410000}"/>
    <cellStyle name="40% - Accent4 7 2 3 3" xfId="11155" xr:uid="{00000000-0005-0000-0000-0000AB410000}"/>
    <cellStyle name="40% - Accent4 7 2 3 3 2" xfId="25097" xr:uid="{00000000-0005-0000-0000-0000AC410000}"/>
    <cellStyle name="40% - Accent4 7 2 3 4" xfId="23101" xr:uid="{00000000-0005-0000-0000-0000AD410000}"/>
    <cellStyle name="40% - Accent4 7 2 4" xfId="4248" xr:uid="{00000000-0005-0000-0000-0000AE410000}"/>
    <cellStyle name="40% - Accent4 7 2 4 2" xfId="12253" xr:uid="{00000000-0005-0000-0000-0000AF410000}"/>
    <cellStyle name="40% - Accent4 7 2 4 2 2" xfId="25965" xr:uid="{00000000-0005-0000-0000-0000B0410000}"/>
    <cellStyle name="40% - Accent4 7 2 4 3" xfId="26861" xr:uid="{00000000-0005-0000-0000-0000B1410000}"/>
    <cellStyle name="40% - Accent4 7 2 5" xfId="4249" xr:uid="{00000000-0005-0000-0000-0000B2410000}"/>
    <cellStyle name="40% - Accent4 7 2 5 2" xfId="12934" xr:uid="{00000000-0005-0000-0000-0000B3410000}"/>
    <cellStyle name="40% - Accent4 7 2 5 2 2" xfId="26646" xr:uid="{00000000-0005-0000-0000-0000B4410000}"/>
    <cellStyle name="40% - Accent4 7 2 5 3" xfId="23099" xr:uid="{00000000-0005-0000-0000-0000B5410000}"/>
    <cellStyle name="40% - Accent4 7 2 6" xfId="4250" xr:uid="{00000000-0005-0000-0000-0000B6410000}"/>
    <cellStyle name="40% - Accent4 7 2 6 2" xfId="13817" xr:uid="{00000000-0005-0000-0000-0000B7410000}"/>
    <cellStyle name="40% - Accent4 7 2 6 2 2" xfId="27366" xr:uid="{00000000-0005-0000-0000-0000B8410000}"/>
    <cellStyle name="40% - Accent4 7 2 6 3" xfId="23098" xr:uid="{00000000-0005-0000-0000-0000B9410000}"/>
    <cellStyle name="40% - Accent4 7 2 7" xfId="4251" xr:uid="{00000000-0005-0000-0000-0000BA410000}"/>
    <cellStyle name="40% - Accent4 7 2 7 2" xfId="14398" xr:uid="{00000000-0005-0000-0000-0000BB410000}"/>
    <cellStyle name="40% - Accent4 7 2 7 2 2" xfId="27947" xr:uid="{00000000-0005-0000-0000-0000BC410000}"/>
    <cellStyle name="40% - Accent4 7 2 7 3" xfId="24288" xr:uid="{00000000-0005-0000-0000-0000BD410000}"/>
    <cellStyle name="40% - Accent4 7 2 8" xfId="4252" xr:uid="{00000000-0005-0000-0000-0000BE410000}"/>
    <cellStyle name="40% - Accent4 7 2 8 2" xfId="15365" xr:uid="{00000000-0005-0000-0000-0000BF410000}"/>
    <cellStyle name="40% - Accent4 7 2 8 2 2" xfId="28914" xr:uid="{00000000-0005-0000-0000-0000C0410000}"/>
    <cellStyle name="40% - Accent4 7 2 8 3" xfId="23097" xr:uid="{00000000-0005-0000-0000-0000C1410000}"/>
    <cellStyle name="40% - Accent4 7 2 9" xfId="4253" xr:uid="{00000000-0005-0000-0000-0000C2410000}"/>
    <cellStyle name="40% - Accent4 7 2 9 2" xfId="16284" xr:uid="{00000000-0005-0000-0000-0000C3410000}"/>
    <cellStyle name="40% - Accent4 7 2 9 2 2" xfId="29691" xr:uid="{00000000-0005-0000-0000-0000C4410000}"/>
    <cellStyle name="40% - Accent4 7 2 9 3" xfId="25291" xr:uid="{00000000-0005-0000-0000-0000C5410000}"/>
    <cellStyle name="40% - Accent4 7 3" xfId="4254" xr:uid="{00000000-0005-0000-0000-0000C6410000}"/>
    <cellStyle name="40% - Accent4 7 3 2" xfId="4255" xr:uid="{00000000-0005-0000-0000-0000C7410000}"/>
    <cellStyle name="40% - Accent4 7 3 2 2" xfId="11157" xr:uid="{00000000-0005-0000-0000-0000C8410000}"/>
    <cellStyle name="40% - Accent4 7 3 2 2 2" xfId="25099" xr:uid="{00000000-0005-0000-0000-0000C9410000}"/>
    <cellStyle name="40% - Accent4 7 3 2 3" xfId="23095" xr:uid="{00000000-0005-0000-0000-0000CA410000}"/>
    <cellStyle name="40% - Accent4 7 3 3" xfId="4256" xr:uid="{00000000-0005-0000-0000-0000CB410000}"/>
    <cellStyle name="40% - Accent4 7 3 3 2" xfId="12936" xr:uid="{00000000-0005-0000-0000-0000CC410000}"/>
    <cellStyle name="40% - Accent4 7 3 3 2 2" xfId="26648" xr:uid="{00000000-0005-0000-0000-0000CD410000}"/>
    <cellStyle name="40% - Accent4 7 3 3 3" xfId="23094" xr:uid="{00000000-0005-0000-0000-0000CE410000}"/>
    <cellStyle name="40% - Accent4 7 3 4" xfId="4257" xr:uid="{00000000-0005-0000-0000-0000CF410000}"/>
    <cellStyle name="40% - Accent4 7 3 4 2" xfId="15368" xr:uid="{00000000-0005-0000-0000-0000D0410000}"/>
    <cellStyle name="40% - Accent4 7 3 4 2 2" xfId="28917" xr:uid="{00000000-0005-0000-0000-0000D1410000}"/>
    <cellStyle name="40% - Accent4 7 3 4 3" xfId="24283" xr:uid="{00000000-0005-0000-0000-0000D2410000}"/>
    <cellStyle name="40% - Accent4 7 3 5" xfId="4258" xr:uid="{00000000-0005-0000-0000-0000D3410000}"/>
    <cellStyle name="40% - Accent4 7 3 5 2" xfId="16576" xr:uid="{00000000-0005-0000-0000-0000D4410000}"/>
    <cellStyle name="40% - Accent4 7 3 5 2 2" xfId="29983" xr:uid="{00000000-0005-0000-0000-0000D5410000}"/>
    <cellStyle name="40% - Accent4 7 3 5 3" xfId="23093" xr:uid="{00000000-0005-0000-0000-0000D6410000}"/>
    <cellStyle name="40% - Accent4 7 3 6" xfId="9430" xr:uid="{00000000-0005-0000-0000-0000D7410000}"/>
    <cellStyle name="40% - Accent4 7 3 6 2" xfId="23905" xr:uid="{00000000-0005-0000-0000-0000D8410000}"/>
    <cellStyle name="40% - Accent4 7 3 7" xfId="23096" xr:uid="{00000000-0005-0000-0000-0000D9410000}"/>
    <cellStyle name="40% - Accent4 7 4" xfId="4259" xr:uid="{00000000-0005-0000-0000-0000DA410000}"/>
    <cellStyle name="40% - Accent4 7 4 2" xfId="4260" xr:uid="{00000000-0005-0000-0000-0000DB410000}"/>
    <cellStyle name="40% - Accent4 7 4 2 2" xfId="15369" xr:uid="{00000000-0005-0000-0000-0000DC410000}"/>
    <cellStyle name="40% - Accent4 7 4 2 2 2" xfId="28918" xr:uid="{00000000-0005-0000-0000-0000DD410000}"/>
    <cellStyle name="40% - Accent4 7 4 2 3" xfId="29166" xr:uid="{00000000-0005-0000-0000-0000DE410000}"/>
    <cellStyle name="40% - Accent4 7 4 3" xfId="11154" xr:uid="{00000000-0005-0000-0000-0000DF410000}"/>
    <cellStyle name="40% - Accent4 7 4 3 2" xfId="25096" xr:uid="{00000000-0005-0000-0000-0000E0410000}"/>
    <cellStyle name="40% - Accent4 7 4 4" xfId="23092" xr:uid="{00000000-0005-0000-0000-0000E1410000}"/>
    <cellStyle name="40% - Accent4 7 5" xfId="4261" xr:uid="{00000000-0005-0000-0000-0000E2410000}"/>
    <cellStyle name="40% - Accent4 7 5 2" xfId="11951" xr:uid="{00000000-0005-0000-0000-0000E3410000}"/>
    <cellStyle name="40% - Accent4 7 5 2 2" xfId="25666" xr:uid="{00000000-0005-0000-0000-0000E4410000}"/>
    <cellStyle name="40% - Accent4 7 5 3" xfId="23091" xr:uid="{00000000-0005-0000-0000-0000E5410000}"/>
    <cellStyle name="40% - Accent4 7 6" xfId="4262" xr:uid="{00000000-0005-0000-0000-0000E6410000}"/>
    <cellStyle name="40% - Accent4 7 6 2" xfId="12933" xr:uid="{00000000-0005-0000-0000-0000E7410000}"/>
    <cellStyle name="40% - Accent4 7 6 2 2" xfId="26645" xr:uid="{00000000-0005-0000-0000-0000E8410000}"/>
    <cellStyle name="40% - Accent4 7 6 3" xfId="23090" xr:uid="{00000000-0005-0000-0000-0000E9410000}"/>
    <cellStyle name="40% - Accent4 7 7" xfId="4263" xr:uid="{00000000-0005-0000-0000-0000EA410000}"/>
    <cellStyle name="40% - Accent4 7 7 2" xfId="13528" xr:uid="{00000000-0005-0000-0000-0000EB410000}"/>
    <cellStyle name="40% - Accent4 7 7 2 2" xfId="27077" xr:uid="{00000000-0005-0000-0000-0000EC410000}"/>
    <cellStyle name="40% - Accent4 7 7 3" xfId="26860" xr:uid="{00000000-0005-0000-0000-0000ED410000}"/>
    <cellStyle name="40% - Accent4 7 8" xfId="4264" xr:uid="{00000000-0005-0000-0000-0000EE410000}"/>
    <cellStyle name="40% - Accent4 7 8 2" xfId="14109" xr:uid="{00000000-0005-0000-0000-0000EF410000}"/>
    <cellStyle name="40% - Accent4 7 8 2 2" xfId="27658" xr:uid="{00000000-0005-0000-0000-0000F0410000}"/>
    <cellStyle name="40% - Accent4 7 8 3" xfId="23089" xr:uid="{00000000-0005-0000-0000-0000F1410000}"/>
    <cellStyle name="40% - Accent4 7 9" xfId="4265" xr:uid="{00000000-0005-0000-0000-0000F2410000}"/>
    <cellStyle name="40% - Accent4 7 9 2" xfId="15364" xr:uid="{00000000-0005-0000-0000-0000F3410000}"/>
    <cellStyle name="40% - Accent4 7 9 2 2" xfId="28913" xr:uid="{00000000-0005-0000-0000-0000F4410000}"/>
    <cellStyle name="40% - Accent4 7 9 3" xfId="23088" xr:uid="{00000000-0005-0000-0000-0000F5410000}"/>
    <cellStyle name="40% - Accent4 8" xfId="4266" xr:uid="{00000000-0005-0000-0000-0000F6410000}"/>
    <cellStyle name="40% - Accent4 8 10" xfId="9431" xr:uid="{00000000-0005-0000-0000-0000F7410000}"/>
    <cellStyle name="40% - Accent4 8 10 2" xfId="23906" xr:uid="{00000000-0005-0000-0000-0000F8410000}"/>
    <cellStyle name="40% - Accent4 8 11" xfId="24286" xr:uid="{00000000-0005-0000-0000-0000F9410000}"/>
    <cellStyle name="40% - Accent4 8 2" xfId="4267" xr:uid="{00000000-0005-0000-0000-0000FA410000}"/>
    <cellStyle name="40% - Accent4 8 2 2" xfId="4268" xr:uid="{00000000-0005-0000-0000-0000FB410000}"/>
    <cellStyle name="40% - Accent4 8 2 2 2" xfId="11159" xr:uid="{00000000-0005-0000-0000-0000FC410000}"/>
    <cellStyle name="40% - Accent4 8 2 2 2 2" xfId="25101" xr:uid="{00000000-0005-0000-0000-0000FD410000}"/>
    <cellStyle name="40% - Accent4 8 2 2 3" xfId="25290" xr:uid="{00000000-0005-0000-0000-0000FE410000}"/>
    <cellStyle name="40% - Accent4 8 2 3" xfId="4269" xr:uid="{00000000-0005-0000-0000-0000FF410000}"/>
    <cellStyle name="40% - Accent4 8 2 3 2" xfId="12938" xr:uid="{00000000-0005-0000-0000-000000420000}"/>
    <cellStyle name="40% - Accent4 8 2 3 2 2" xfId="26650" xr:uid="{00000000-0005-0000-0000-000001420000}"/>
    <cellStyle name="40% - Accent4 8 2 3 3" xfId="23086" xr:uid="{00000000-0005-0000-0000-000002420000}"/>
    <cellStyle name="40% - Accent4 8 2 4" xfId="4270" xr:uid="{00000000-0005-0000-0000-000003420000}"/>
    <cellStyle name="40% - Accent4 8 2 4 2" xfId="15371" xr:uid="{00000000-0005-0000-0000-000004420000}"/>
    <cellStyle name="40% - Accent4 8 2 4 2 2" xfId="28920" xr:uid="{00000000-0005-0000-0000-000005420000}"/>
    <cellStyle name="40% - Accent4 8 2 4 3" xfId="23085" xr:uid="{00000000-0005-0000-0000-000006420000}"/>
    <cellStyle name="40% - Accent4 8 2 5" xfId="4271" xr:uid="{00000000-0005-0000-0000-000007420000}"/>
    <cellStyle name="40% - Accent4 8 2 5 2" xfId="16721" xr:uid="{00000000-0005-0000-0000-000008420000}"/>
    <cellStyle name="40% - Accent4 8 2 5 2 2" xfId="30128" xr:uid="{00000000-0005-0000-0000-000009420000}"/>
    <cellStyle name="40% - Accent4 8 2 5 3" xfId="24284" xr:uid="{00000000-0005-0000-0000-00000A420000}"/>
    <cellStyle name="40% - Accent4 8 2 6" xfId="9432" xr:uid="{00000000-0005-0000-0000-00000B420000}"/>
    <cellStyle name="40% - Accent4 8 2 6 2" xfId="23907" xr:uid="{00000000-0005-0000-0000-00000C420000}"/>
    <cellStyle name="40% - Accent4 8 2 7" xfId="23087" xr:uid="{00000000-0005-0000-0000-00000D420000}"/>
    <cellStyle name="40% - Accent4 8 3" xfId="4272" xr:uid="{00000000-0005-0000-0000-00000E420000}"/>
    <cellStyle name="40% - Accent4 8 3 2" xfId="4273" xr:uid="{00000000-0005-0000-0000-00000F420000}"/>
    <cellStyle name="40% - Accent4 8 3 2 2" xfId="15372" xr:uid="{00000000-0005-0000-0000-000010420000}"/>
    <cellStyle name="40% - Accent4 8 3 2 2 2" xfId="28921" xr:uid="{00000000-0005-0000-0000-000011420000}"/>
    <cellStyle name="40% - Accent4 8 3 2 3" xfId="23083" xr:uid="{00000000-0005-0000-0000-000012420000}"/>
    <cellStyle name="40% - Accent4 8 3 3" xfId="11158" xr:uid="{00000000-0005-0000-0000-000013420000}"/>
    <cellStyle name="40% - Accent4 8 3 3 2" xfId="25100" xr:uid="{00000000-0005-0000-0000-000014420000}"/>
    <cellStyle name="40% - Accent4 8 3 4" xfId="23084" xr:uid="{00000000-0005-0000-0000-000015420000}"/>
    <cellStyle name="40% - Accent4 8 4" xfId="4274" xr:uid="{00000000-0005-0000-0000-000016420000}"/>
    <cellStyle name="40% - Accent4 8 4 2" xfId="12099" xr:uid="{00000000-0005-0000-0000-000017420000}"/>
    <cellStyle name="40% - Accent4 8 4 2 2" xfId="25813" xr:uid="{00000000-0005-0000-0000-000018420000}"/>
    <cellStyle name="40% - Accent4 8 4 3" xfId="29165" xr:uid="{00000000-0005-0000-0000-000019420000}"/>
    <cellStyle name="40% - Accent4 8 5" xfId="4275" xr:uid="{00000000-0005-0000-0000-00001A420000}"/>
    <cellStyle name="40% - Accent4 8 5 2" xfId="12937" xr:uid="{00000000-0005-0000-0000-00001B420000}"/>
    <cellStyle name="40% - Accent4 8 5 2 2" xfId="26649" xr:uid="{00000000-0005-0000-0000-00001C420000}"/>
    <cellStyle name="40% - Accent4 8 5 3" xfId="23082" xr:uid="{00000000-0005-0000-0000-00001D420000}"/>
    <cellStyle name="40% - Accent4 8 6" xfId="4276" xr:uid="{00000000-0005-0000-0000-00001E420000}"/>
    <cellStyle name="40% - Accent4 8 6 2" xfId="13673" xr:uid="{00000000-0005-0000-0000-00001F420000}"/>
    <cellStyle name="40% - Accent4 8 6 2 2" xfId="27222" xr:uid="{00000000-0005-0000-0000-000020420000}"/>
    <cellStyle name="40% - Accent4 8 6 3" xfId="23081" xr:uid="{00000000-0005-0000-0000-000021420000}"/>
    <cellStyle name="40% - Accent4 8 7" xfId="4277" xr:uid="{00000000-0005-0000-0000-000022420000}"/>
    <cellStyle name="40% - Accent4 8 7 2" xfId="14254" xr:uid="{00000000-0005-0000-0000-000023420000}"/>
    <cellStyle name="40% - Accent4 8 7 2 2" xfId="27803" xr:uid="{00000000-0005-0000-0000-000024420000}"/>
    <cellStyle name="40% - Accent4 8 7 3" xfId="26859" xr:uid="{00000000-0005-0000-0000-000025420000}"/>
    <cellStyle name="40% - Accent4 8 8" xfId="4278" xr:uid="{00000000-0005-0000-0000-000026420000}"/>
    <cellStyle name="40% - Accent4 8 8 2" xfId="15370" xr:uid="{00000000-0005-0000-0000-000027420000}"/>
    <cellStyle name="40% - Accent4 8 8 2 2" xfId="28919" xr:uid="{00000000-0005-0000-0000-000028420000}"/>
    <cellStyle name="40% - Accent4 8 8 3" xfId="23080" xr:uid="{00000000-0005-0000-0000-000029420000}"/>
    <cellStyle name="40% - Accent4 8 9" xfId="4279" xr:uid="{00000000-0005-0000-0000-00002A420000}"/>
    <cellStyle name="40% - Accent4 8 9 2" xfId="16140" xr:uid="{00000000-0005-0000-0000-00002B420000}"/>
    <cellStyle name="40% - Accent4 8 9 2 2" xfId="29547" xr:uid="{00000000-0005-0000-0000-00002C420000}"/>
    <cellStyle name="40% - Accent4 8 9 3" xfId="23079" xr:uid="{00000000-0005-0000-0000-00002D420000}"/>
    <cellStyle name="40% - Accent4 9" xfId="4280" xr:uid="{00000000-0005-0000-0000-00002E420000}"/>
    <cellStyle name="40% - Accent4 9 2" xfId="4281" xr:uid="{00000000-0005-0000-0000-00002F420000}"/>
    <cellStyle name="40% - Accent4 9 2 2" xfId="11160" xr:uid="{00000000-0005-0000-0000-000030420000}"/>
    <cellStyle name="40% - Accent4 9 2 2 2" xfId="25102" xr:uid="{00000000-0005-0000-0000-000031420000}"/>
    <cellStyle name="40% - Accent4 9 2 3" xfId="23078" xr:uid="{00000000-0005-0000-0000-000032420000}"/>
    <cellStyle name="40% - Accent4 9 3" xfId="4282" xr:uid="{00000000-0005-0000-0000-000033420000}"/>
    <cellStyle name="40% - Accent4 9 3 2" xfId="12939" xr:uid="{00000000-0005-0000-0000-000034420000}"/>
    <cellStyle name="40% - Accent4 9 3 2 2" xfId="26651" xr:uid="{00000000-0005-0000-0000-000035420000}"/>
    <cellStyle name="40% - Accent4 9 3 3" xfId="25289" xr:uid="{00000000-0005-0000-0000-000036420000}"/>
    <cellStyle name="40% - Accent4 9 4" xfId="4283" xr:uid="{00000000-0005-0000-0000-000037420000}"/>
    <cellStyle name="40% - Accent4 9 4 2" xfId="15373" xr:uid="{00000000-0005-0000-0000-000038420000}"/>
    <cellStyle name="40% - Accent4 9 4 2 2" xfId="28922" xr:uid="{00000000-0005-0000-0000-000039420000}"/>
    <cellStyle name="40% - Accent4 9 4 3" xfId="23077" xr:uid="{00000000-0005-0000-0000-00003A420000}"/>
    <cellStyle name="40% - Accent4 9 5" xfId="4284" xr:uid="{00000000-0005-0000-0000-00003B420000}"/>
    <cellStyle name="40% - Accent4 9 5 2" xfId="17105" xr:uid="{00000000-0005-0000-0000-00003C420000}"/>
    <cellStyle name="40% - Accent4 9 5 2 2" xfId="30464" xr:uid="{00000000-0005-0000-0000-00003D420000}"/>
    <cellStyle name="40% - Accent4 9 5 3" xfId="23076" xr:uid="{00000000-0005-0000-0000-00003E420000}"/>
    <cellStyle name="40% - Accent4 9 6" xfId="9433" xr:uid="{00000000-0005-0000-0000-00003F420000}"/>
    <cellStyle name="40% - Accent4 9 6 2" xfId="23908" xr:uid="{00000000-0005-0000-0000-000040420000}"/>
    <cellStyle name="40% - Accent4 9 7" xfId="24285" xr:uid="{00000000-0005-0000-0000-000041420000}"/>
    <cellStyle name="40% - Accent5" xfId="44" builtinId="47" customBuiltin="1"/>
    <cellStyle name="40% - Accent5 10" xfId="4285" xr:uid="{00000000-0005-0000-0000-000043420000}"/>
    <cellStyle name="40% - Accent5 10 2" xfId="4286" xr:uid="{00000000-0005-0000-0000-000044420000}"/>
    <cellStyle name="40% - Accent5 10 2 2" xfId="4287" xr:uid="{00000000-0005-0000-0000-000045420000}"/>
    <cellStyle name="40% - Accent5 10 2 2 2" xfId="12942" xr:uid="{00000000-0005-0000-0000-000046420000}"/>
    <cellStyle name="40% - Accent5 10 2 2 2 2" xfId="26654" xr:uid="{00000000-0005-0000-0000-000047420000}"/>
    <cellStyle name="40% - Accent5 10 2 2 3" xfId="24282" xr:uid="{00000000-0005-0000-0000-000048420000}"/>
    <cellStyle name="40% - Accent5 10 2 3" xfId="4288" xr:uid="{00000000-0005-0000-0000-000049420000}"/>
    <cellStyle name="40% - Accent5 10 2 3 2" xfId="15376" xr:uid="{00000000-0005-0000-0000-00004A420000}"/>
    <cellStyle name="40% - Accent5 10 2 3 2 2" xfId="28925" xr:uid="{00000000-0005-0000-0000-00004B420000}"/>
    <cellStyle name="40% - Accent5 10 2 3 3" xfId="23073" xr:uid="{00000000-0005-0000-0000-00004C420000}"/>
    <cellStyle name="40% - Accent5 10 2 4" xfId="11162" xr:uid="{00000000-0005-0000-0000-00004D420000}"/>
    <cellStyle name="40% - Accent5 10 2 4 2" xfId="25104" xr:uid="{00000000-0005-0000-0000-00004E420000}"/>
    <cellStyle name="40% - Accent5 10 2 5" xfId="23074" xr:uid="{00000000-0005-0000-0000-00004F420000}"/>
    <cellStyle name="40% - Accent5 10 3" xfId="4289" xr:uid="{00000000-0005-0000-0000-000050420000}"/>
    <cellStyle name="40% - Accent5 10 3 2" xfId="12941" xr:uid="{00000000-0005-0000-0000-000051420000}"/>
    <cellStyle name="40% - Accent5 10 3 2 2" xfId="26653" xr:uid="{00000000-0005-0000-0000-000052420000}"/>
    <cellStyle name="40% - Accent5 10 3 3" xfId="23072" xr:uid="{00000000-0005-0000-0000-000053420000}"/>
    <cellStyle name="40% - Accent5 10 4" xfId="4290" xr:uid="{00000000-0005-0000-0000-000054420000}"/>
    <cellStyle name="40% - Accent5 10 4 2" xfId="15375" xr:uid="{00000000-0005-0000-0000-000055420000}"/>
    <cellStyle name="40% - Accent5 10 4 2 2" xfId="28924" xr:uid="{00000000-0005-0000-0000-000056420000}"/>
    <cellStyle name="40% - Accent5 10 4 3" xfId="23071" xr:uid="{00000000-0005-0000-0000-000057420000}"/>
    <cellStyle name="40% - Accent5 10 5" xfId="4291" xr:uid="{00000000-0005-0000-0000-000058420000}"/>
    <cellStyle name="40% - Accent5 10 5 2" xfId="17195" xr:uid="{00000000-0005-0000-0000-000059420000}"/>
    <cellStyle name="40% - Accent5 10 5 2 2" xfId="30554" xr:uid="{00000000-0005-0000-0000-00005A420000}"/>
    <cellStyle name="40% - Accent5 10 5 3" xfId="29164" xr:uid="{00000000-0005-0000-0000-00005B420000}"/>
    <cellStyle name="40% - Accent5 10 6" xfId="9435" xr:uid="{00000000-0005-0000-0000-00005C420000}"/>
    <cellStyle name="40% - Accent5 10 6 2" xfId="23910" xr:uid="{00000000-0005-0000-0000-00005D420000}"/>
    <cellStyle name="40% - Accent5 10 7" xfId="23075" xr:uid="{00000000-0005-0000-0000-00005E420000}"/>
    <cellStyle name="40% - Accent5 11" xfId="4292" xr:uid="{00000000-0005-0000-0000-00005F420000}"/>
    <cellStyle name="40% - Accent5 11 2" xfId="4293" xr:uid="{00000000-0005-0000-0000-000060420000}"/>
    <cellStyle name="40% - Accent5 11 2 2" xfId="11163" xr:uid="{00000000-0005-0000-0000-000061420000}"/>
    <cellStyle name="40% - Accent5 11 2 2 2" xfId="25105" xr:uid="{00000000-0005-0000-0000-000062420000}"/>
    <cellStyle name="40% - Accent5 11 2 3" xfId="23069" xr:uid="{00000000-0005-0000-0000-000063420000}"/>
    <cellStyle name="40% - Accent5 11 3" xfId="4294" xr:uid="{00000000-0005-0000-0000-000064420000}"/>
    <cellStyle name="40% - Accent5 11 3 2" xfId="12943" xr:uid="{00000000-0005-0000-0000-000065420000}"/>
    <cellStyle name="40% - Accent5 11 3 2 2" xfId="26655" xr:uid="{00000000-0005-0000-0000-000066420000}"/>
    <cellStyle name="40% - Accent5 11 3 3" xfId="26858" xr:uid="{00000000-0005-0000-0000-000067420000}"/>
    <cellStyle name="40% - Accent5 11 4" xfId="4295" xr:uid="{00000000-0005-0000-0000-000068420000}"/>
    <cellStyle name="40% - Accent5 11 4 2" xfId="15377" xr:uid="{00000000-0005-0000-0000-000069420000}"/>
    <cellStyle name="40% - Accent5 11 4 2 2" xfId="28926" xr:uid="{00000000-0005-0000-0000-00006A420000}"/>
    <cellStyle name="40% - Accent5 11 4 3" xfId="23068" xr:uid="{00000000-0005-0000-0000-00006B420000}"/>
    <cellStyle name="40% - Accent5 11 5" xfId="4296" xr:uid="{00000000-0005-0000-0000-00006C420000}"/>
    <cellStyle name="40% - Accent5 11 5 2" xfId="17284" xr:uid="{00000000-0005-0000-0000-00006D420000}"/>
    <cellStyle name="40% - Accent5 11 5 2 2" xfId="30643" xr:uid="{00000000-0005-0000-0000-00006E420000}"/>
    <cellStyle name="40% - Accent5 11 5 3" xfId="23067" xr:uid="{00000000-0005-0000-0000-00006F420000}"/>
    <cellStyle name="40% - Accent5 11 6" xfId="9436" xr:uid="{00000000-0005-0000-0000-000070420000}"/>
    <cellStyle name="40% - Accent5 11 6 2" xfId="23911" xr:uid="{00000000-0005-0000-0000-000071420000}"/>
    <cellStyle name="40% - Accent5 11 7" xfId="23070" xr:uid="{00000000-0005-0000-0000-000072420000}"/>
    <cellStyle name="40% - Accent5 12" xfId="4297" xr:uid="{00000000-0005-0000-0000-000073420000}"/>
    <cellStyle name="40% - Accent5 12 2" xfId="4298" xr:uid="{00000000-0005-0000-0000-000074420000}"/>
    <cellStyle name="40% - Accent5 12 2 2" xfId="4299" xr:uid="{00000000-0005-0000-0000-000075420000}"/>
    <cellStyle name="40% - Accent5 12 2 2 2" xfId="11165" xr:uid="{00000000-0005-0000-0000-000076420000}"/>
    <cellStyle name="40% - Accent5 12 2 2 2 2" xfId="25107" xr:uid="{00000000-0005-0000-0000-000077420000}"/>
    <cellStyle name="40% - Accent5 12 2 2 3" xfId="23066" xr:uid="{00000000-0005-0000-0000-000078420000}"/>
    <cellStyle name="40% - Accent5 12 2 3" xfId="4300" xr:uid="{00000000-0005-0000-0000-000079420000}"/>
    <cellStyle name="40% - Accent5 12 2 3 2" xfId="12945" xr:uid="{00000000-0005-0000-0000-00007A420000}"/>
    <cellStyle name="40% - Accent5 12 2 3 2 2" xfId="26657" xr:uid="{00000000-0005-0000-0000-00007B420000}"/>
    <cellStyle name="40% - Accent5 12 2 3 3" xfId="23065" xr:uid="{00000000-0005-0000-0000-00007C420000}"/>
    <cellStyle name="40% - Accent5 12 2 4" xfId="4301" xr:uid="{00000000-0005-0000-0000-00007D420000}"/>
    <cellStyle name="40% - Accent5 12 2 4 2" xfId="15379" xr:uid="{00000000-0005-0000-0000-00007E420000}"/>
    <cellStyle name="40% - Accent5 12 2 4 2 2" xfId="28928" xr:uid="{00000000-0005-0000-0000-00007F420000}"/>
    <cellStyle name="40% - Accent5 12 2 4 3" xfId="24280" xr:uid="{00000000-0005-0000-0000-000080420000}"/>
    <cellStyle name="40% - Accent5 12 2 5" xfId="9438" xr:uid="{00000000-0005-0000-0000-000081420000}"/>
    <cellStyle name="40% - Accent5 12 2 5 2" xfId="23913" xr:uid="{00000000-0005-0000-0000-000082420000}"/>
    <cellStyle name="40% - Accent5 12 2 6" xfId="25288" xr:uid="{00000000-0005-0000-0000-000083420000}"/>
    <cellStyle name="40% - Accent5 12 3" xfId="4302" xr:uid="{00000000-0005-0000-0000-000084420000}"/>
    <cellStyle name="40% - Accent5 12 3 2" xfId="11164" xr:uid="{00000000-0005-0000-0000-000085420000}"/>
    <cellStyle name="40% - Accent5 12 3 2 2" xfId="25106" xr:uid="{00000000-0005-0000-0000-000086420000}"/>
    <cellStyle name="40% - Accent5 12 3 3" xfId="23064" xr:uid="{00000000-0005-0000-0000-000087420000}"/>
    <cellStyle name="40% - Accent5 12 4" xfId="4303" xr:uid="{00000000-0005-0000-0000-000088420000}"/>
    <cellStyle name="40% - Accent5 12 4 2" xfId="12944" xr:uid="{00000000-0005-0000-0000-000089420000}"/>
    <cellStyle name="40% - Accent5 12 4 2 2" xfId="26656" xr:uid="{00000000-0005-0000-0000-00008A420000}"/>
    <cellStyle name="40% - Accent5 12 4 3" xfId="23063" xr:uid="{00000000-0005-0000-0000-00008B420000}"/>
    <cellStyle name="40% - Accent5 12 5" xfId="4304" xr:uid="{00000000-0005-0000-0000-00008C420000}"/>
    <cellStyle name="40% - Accent5 12 5 2" xfId="15378" xr:uid="{00000000-0005-0000-0000-00008D420000}"/>
    <cellStyle name="40% - Accent5 12 5 2 2" xfId="28927" xr:uid="{00000000-0005-0000-0000-00008E420000}"/>
    <cellStyle name="40% - Accent5 12 5 3" xfId="24278" xr:uid="{00000000-0005-0000-0000-00008F420000}"/>
    <cellStyle name="40% - Accent5 12 6" xfId="4305" xr:uid="{00000000-0005-0000-0000-000090420000}"/>
    <cellStyle name="40% - Accent5 12 6 2" xfId="16436" xr:uid="{00000000-0005-0000-0000-000091420000}"/>
    <cellStyle name="40% - Accent5 12 6 2 2" xfId="29843" xr:uid="{00000000-0005-0000-0000-000092420000}"/>
    <cellStyle name="40% - Accent5 12 6 3" xfId="23062" xr:uid="{00000000-0005-0000-0000-000093420000}"/>
    <cellStyle name="40% - Accent5 12 7" xfId="9437" xr:uid="{00000000-0005-0000-0000-000094420000}"/>
    <cellStyle name="40% - Accent5 12 7 2" xfId="23912" xr:uid="{00000000-0005-0000-0000-000095420000}"/>
    <cellStyle name="40% - Accent5 12 8" xfId="24281" xr:uid="{00000000-0005-0000-0000-000096420000}"/>
    <cellStyle name="40% - Accent5 13" xfId="4306" xr:uid="{00000000-0005-0000-0000-000097420000}"/>
    <cellStyle name="40% - Accent5 13 2" xfId="4307" xr:uid="{00000000-0005-0000-0000-000098420000}"/>
    <cellStyle name="40% - Accent5 13 2 2" xfId="11166" xr:uid="{00000000-0005-0000-0000-000099420000}"/>
    <cellStyle name="40% - Accent5 13 2 2 2" xfId="25108" xr:uid="{00000000-0005-0000-0000-00009A420000}"/>
    <cellStyle name="40% - Accent5 13 2 3" xfId="29163" xr:uid="{00000000-0005-0000-0000-00009B420000}"/>
    <cellStyle name="40% - Accent5 13 3" xfId="4308" xr:uid="{00000000-0005-0000-0000-00009C420000}"/>
    <cellStyle name="40% - Accent5 13 3 2" xfId="12946" xr:uid="{00000000-0005-0000-0000-00009D420000}"/>
    <cellStyle name="40% - Accent5 13 3 2 2" xfId="26658" xr:uid="{00000000-0005-0000-0000-00009E420000}"/>
    <cellStyle name="40% - Accent5 13 3 3" xfId="23060" xr:uid="{00000000-0005-0000-0000-00009F420000}"/>
    <cellStyle name="40% - Accent5 13 4" xfId="4309" xr:uid="{00000000-0005-0000-0000-0000A0420000}"/>
    <cellStyle name="40% - Accent5 13 4 2" xfId="15380" xr:uid="{00000000-0005-0000-0000-0000A1420000}"/>
    <cellStyle name="40% - Accent5 13 4 2 2" xfId="28929" xr:uid="{00000000-0005-0000-0000-0000A2420000}"/>
    <cellStyle name="40% - Accent5 13 4 3" xfId="23059" xr:uid="{00000000-0005-0000-0000-0000A3420000}"/>
    <cellStyle name="40% - Accent5 13 5" xfId="9439" xr:uid="{00000000-0005-0000-0000-0000A4420000}"/>
    <cellStyle name="40% - Accent5 13 5 2" xfId="23914" xr:uid="{00000000-0005-0000-0000-0000A5420000}"/>
    <cellStyle name="40% - Accent5 13 6" xfId="23061" xr:uid="{00000000-0005-0000-0000-0000A6420000}"/>
    <cellStyle name="40% - Accent5 14" xfId="4310" xr:uid="{00000000-0005-0000-0000-0000A7420000}"/>
    <cellStyle name="40% - Accent5 14 2" xfId="4311" xr:uid="{00000000-0005-0000-0000-0000A8420000}"/>
    <cellStyle name="40% - Accent5 14 2 2" xfId="11167" xr:uid="{00000000-0005-0000-0000-0000A9420000}"/>
    <cellStyle name="40% - Accent5 14 2 2 2" xfId="25109" xr:uid="{00000000-0005-0000-0000-0000AA420000}"/>
    <cellStyle name="40% - Accent5 14 2 3" xfId="23058" xr:uid="{00000000-0005-0000-0000-0000AB420000}"/>
    <cellStyle name="40% - Accent5 14 3" xfId="4312" xr:uid="{00000000-0005-0000-0000-0000AC420000}"/>
    <cellStyle name="40% - Accent5 14 3 2" xfId="12947" xr:uid="{00000000-0005-0000-0000-0000AD420000}"/>
    <cellStyle name="40% - Accent5 14 3 2 2" xfId="26659" xr:uid="{00000000-0005-0000-0000-0000AE420000}"/>
    <cellStyle name="40% - Accent5 14 3 3" xfId="23057" xr:uid="{00000000-0005-0000-0000-0000AF420000}"/>
    <cellStyle name="40% - Accent5 14 4" xfId="4313" xr:uid="{00000000-0005-0000-0000-0000B0420000}"/>
    <cellStyle name="40% - Accent5 14 4 2" xfId="15381" xr:uid="{00000000-0005-0000-0000-0000B1420000}"/>
    <cellStyle name="40% - Accent5 14 4 2 2" xfId="28930" xr:uid="{00000000-0005-0000-0000-0000B2420000}"/>
    <cellStyle name="40% - Accent5 14 4 3" xfId="24279" xr:uid="{00000000-0005-0000-0000-0000B3420000}"/>
    <cellStyle name="40% - Accent5 14 5" xfId="9440" xr:uid="{00000000-0005-0000-0000-0000B4420000}"/>
    <cellStyle name="40% - Accent5 14 5 2" xfId="23915" xr:uid="{00000000-0005-0000-0000-0000B5420000}"/>
    <cellStyle name="40% - Accent5 14 6" xfId="26857" xr:uid="{00000000-0005-0000-0000-0000B6420000}"/>
    <cellStyle name="40% - Accent5 15" xfId="4314" xr:uid="{00000000-0005-0000-0000-0000B7420000}"/>
    <cellStyle name="40% - Accent5 15 2" xfId="4315" xr:uid="{00000000-0005-0000-0000-0000B8420000}"/>
    <cellStyle name="40% - Accent5 15 2 2" xfId="11168" xr:uid="{00000000-0005-0000-0000-0000B9420000}"/>
    <cellStyle name="40% - Accent5 15 2 2 2" xfId="25110" xr:uid="{00000000-0005-0000-0000-0000BA420000}"/>
    <cellStyle name="40% - Accent5 15 2 3" xfId="25287" xr:uid="{00000000-0005-0000-0000-0000BB420000}"/>
    <cellStyle name="40% - Accent5 15 3" xfId="4316" xr:uid="{00000000-0005-0000-0000-0000BC420000}"/>
    <cellStyle name="40% - Accent5 15 3 2" xfId="12948" xr:uid="{00000000-0005-0000-0000-0000BD420000}"/>
    <cellStyle name="40% - Accent5 15 3 2 2" xfId="26660" xr:uid="{00000000-0005-0000-0000-0000BE420000}"/>
    <cellStyle name="40% - Accent5 15 3 3" xfId="23055" xr:uid="{00000000-0005-0000-0000-0000BF420000}"/>
    <cellStyle name="40% - Accent5 15 4" xfId="4317" xr:uid="{00000000-0005-0000-0000-0000C0420000}"/>
    <cellStyle name="40% - Accent5 15 4 2" xfId="15382" xr:uid="{00000000-0005-0000-0000-0000C1420000}"/>
    <cellStyle name="40% - Accent5 15 4 2 2" xfId="28931" xr:uid="{00000000-0005-0000-0000-0000C2420000}"/>
    <cellStyle name="40% - Accent5 15 4 3" xfId="23054" xr:uid="{00000000-0005-0000-0000-0000C3420000}"/>
    <cellStyle name="40% - Accent5 15 5" xfId="9441" xr:uid="{00000000-0005-0000-0000-0000C4420000}"/>
    <cellStyle name="40% - Accent5 15 5 2" xfId="23916" xr:uid="{00000000-0005-0000-0000-0000C5420000}"/>
    <cellStyle name="40% - Accent5 15 6" xfId="23056" xr:uid="{00000000-0005-0000-0000-0000C6420000}"/>
    <cellStyle name="40% - Accent5 16" xfId="4318" xr:uid="{00000000-0005-0000-0000-0000C7420000}"/>
    <cellStyle name="40% - Accent5 16 2" xfId="4319" xr:uid="{00000000-0005-0000-0000-0000C8420000}"/>
    <cellStyle name="40% - Accent5 16 2 2" xfId="11169" xr:uid="{00000000-0005-0000-0000-0000C9420000}"/>
    <cellStyle name="40% - Accent5 16 2 2 2" xfId="25111" xr:uid="{00000000-0005-0000-0000-0000CA420000}"/>
    <cellStyle name="40% - Accent5 16 2 3" xfId="24274" xr:uid="{00000000-0005-0000-0000-0000CB420000}"/>
    <cellStyle name="40% - Accent5 16 3" xfId="4320" xr:uid="{00000000-0005-0000-0000-0000CC420000}"/>
    <cellStyle name="40% - Accent5 16 3 2" xfId="12949" xr:uid="{00000000-0005-0000-0000-0000CD420000}"/>
    <cellStyle name="40% - Accent5 16 3 2 2" xfId="26661" xr:uid="{00000000-0005-0000-0000-0000CE420000}"/>
    <cellStyle name="40% - Accent5 16 3 3" xfId="23052" xr:uid="{00000000-0005-0000-0000-0000CF420000}"/>
    <cellStyle name="40% - Accent5 16 4" xfId="4321" xr:uid="{00000000-0005-0000-0000-0000D0420000}"/>
    <cellStyle name="40% - Accent5 16 4 2" xfId="15383" xr:uid="{00000000-0005-0000-0000-0000D1420000}"/>
    <cellStyle name="40% - Accent5 16 4 2 2" xfId="28932" xr:uid="{00000000-0005-0000-0000-0000D2420000}"/>
    <cellStyle name="40% - Accent5 16 4 3" xfId="23051" xr:uid="{00000000-0005-0000-0000-0000D3420000}"/>
    <cellStyle name="40% - Accent5 16 5" xfId="9442" xr:uid="{00000000-0005-0000-0000-0000D4420000}"/>
    <cellStyle name="40% - Accent5 16 5 2" xfId="23917" xr:uid="{00000000-0005-0000-0000-0000D5420000}"/>
    <cellStyle name="40% - Accent5 16 6" xfId="23053" xr:uid="{00000000-0005-0000-0000-0000D6420000}"/>
    <cellStyle name="40% - Accent5 17" xfId="4322" xr:uid="{00000000-0005-0000-0000-0000D7420000}"/>
    <cellStyle name="40% - Accent5 17 2" xfId="4323" xr:uid="{00000000-0005-0000-0000-0000D8420000}"/>
    <cellStyle name="40% - Accent5 17 2 2" xfId="11170" xr:uid="{00000000-0005-0000-0000-0000D9420000}"/>
    <cellStyle name="40% - Accent5 17 2 2 2" xfId="25112" xr:uid="{00000000-0005-0000-0000-0000DA420000}"/>
    <cellStyle name="40% - Accent5 17 2 3" xfId="23050" xr:uid="{00000000-0005-0000-0000-0000DB420000}"/>
    <cellStyle name="40% - Accent5 17 3" xfId="4324" xr:uid="{00000000-0005-0000-0000-0000DC420000}"/>
    <cellStyle name="40% - Accent5 17 3 2" xfId="12950" xr:uid="{00000000-0005-0000-0000-0000DD420000}"/>
    <cellStyle name="40% - Accent5 17 3 2 2" xfId="26662" xr:uid="{00000000-0005-0000-0000-0000DE420000}"/>
    <cellStyle name="40% - Accent5 17 3 3" xfId="23049" xr:uid="{00000000-0005-0000-0000-0000DF420000}"/>
    <cellStyle name="40% - Accent5 17 4" xfId="4325" xr:uid="{00000000-0005-0000-0000-0000E0420000}"/>
    <cellStyle name="40% - Accent5 17 4 2" xfId="15384" xr:uid="{00000000-0005-0000-0000-0000E1420000}"/>
    <cellStyle name="40% - Accent5 17 4 2 2" xfId="28933" xr:uid="{00000000-0005-0000-0000-0000E2420000}"/>
    <cellStyle name="40% - Accent5 17 4 3" xfId="26856" xr:uid="{00000000-0005-0000-0000-0000E3420000}"/>
    <cellStyle name="40% - Accent5 17 5" xfId="9443" xr:uid="{00000000-0005-0000-0000-0000E4420000}"/>
    <cellStyle name="40% - Accent5 17 5 2" xfId="23918" xr:uid="{00000000-0005-0000-0000-0000E5420000}"/>
    <cellStyle name="40% - Accent5 17 6" xfId="29162" xr:uid="{00000000-0005-0000-0000-0000E6420000}"/>
    <cellStyle name="40% - Accent5 18" xfId="4326" xr:uid="{00000000-0005-0000-0000-0000E7420000}"/>
    <cellStyle name="40% - Accent5 18 2" xfId="4327" xr:uid="{00000000-0005-0000-0000-0000E8420000}"/>
    <cellStyle name="40% - Accent5 18 2 2" xfId="11171" xr:uid="{00000000-0005-0000-0000-0000E9420000}"/>
    <cellStyle name="40% - Accent5 18 2 2 2" xfId="25113" xr:uid="{00000000-0005-0000-0000-0000EA420000}"/>
    <cellStyle name="40% - Accent5 18 2 3" xfId="23047" xr:uid="{00000000-0005-0000-0000-0000EB420000}"/>
    <cellStyle name="40% - Accent5 18 3" xfId="4328" xr:uid="{00000000-0005-0000-0000-0000EC420000}"/>
    <cellStyle name="40% - Accent5 18 3 2" xfId="12951" xr:uid="{00000000-0005-0000-0000-0000ED420000}"/>
    <cellStyle name="40% - Accent5 18 3 2 2" xfId="26663" xr:uid="{00000000-0005-0000-0000-0000EE420000}"/>
    <cellStyle name="40% - Accent5 18 3 3" xfId="24277" xr:uid="{00000000-0005-0000-0000-0000EF420000}"/>
    <cellStyle name="40% - Accent5 18 4" xfId="4329" xr:uid="{00000000-0005-0000-0000-0000F0420000}"/>
    <cellStyle name="40% - Accent5 18 4 2" xfId="15385" xr:uid="{00000000-0005-0000-0000-0000F1420000}"/>
    <cellStyle name="40% - Accent5 18 4 2 2" xfId="28934" xr:uid="{00000000-0005-0000-0000-0000F2420000}"/>
    <cellStyle name="40% - Accent5 18 4 3" xfId="23046" xr:uid="{00000000-0005-0000-0000-0000F3420000}"/>
    <cellStyle name="40% - Accent5 18 5" xfId="9444" xr:uid="{00000000-0005-0000-0000-0000F4420000}"/>
    <cellStyle name="40% - Accent5 18 5 2" xfId="23919" xr:uid="{00000000-0005-0000-0000-0000F5420000}"/>
    <cellStyle name="40% - Accent5 18 6" xfId="23048" xr:uid="{00000000-0005-0000-0000-0000F6420000}"/>
    <cellStyle name="40% - Accent5 19" xfId="4330" xr:uid="{00000000-0005-0000-0000-0000F7420000}"/>
    <cellStyle name="40% - Accent5 19 2" xfId="4331" xr:uid="{00000000-0005-0000-0000-0000F8420000}"/>
    <cellStyle name="40% - Accent5 19 2 2" xfId="11720" xr:uid="{00000000-0005-0000-0000-0000F9420000}"/>
    <cellStyle name="40% - Accent5 19 2 2 2" xfId="25440" xr:uid="{00000000-0005-0000-0000-0000FA420000}"/>
    <cellStyle name="40% - Accent5 19 2 3" xfId="23045" xr:uid="{00000000-0005-0000-0000-0000FB420000}"/>
    <cellStyle name="40% - Accent5 19 3" xfId="4332" xr:uid="{00000000-0005-0000-0000-0000FC420000}"/>
    <cellStyle name="40% - Accent5 19 3 2" xfId="12952" xr:uid="{00000000-0005-0000-0000-0000FD420000}"/>
    <cellStyle name="40% - Accent5 19 3 2 2" xfId="26664" xr:uid="{00000000-0005-0000-0000-0000FE420000}"/>
    <cellStyle name="40% - Accent5 19 3 3" xfId="23044" xr:uid="{00000000-0005-0000-0000-0000FF420000}"/>
    <cellStyle name="40% - Accent5 19 4" xfId="4333" xr:uid="{00000000-0005-0000-0000-000000430000}"/>
    <cellStyle name="40% - Accent5 19 4 2" xfId="15386" xr:uid="{00000000-0005-0000-0000-000001430000}"/>
    <cellStyle name="40% - Accent5 19 4 2 2" xfId="28935" xr:uid="{00000000-0005-0000-0000-000002430000}"/>
    <cellStyle name="40% - Accent5 19 4 3" xfId="24275" xr:uid="{00000000-0005-0000-0000-000003430000}"/>
    <cellStyle name="40% - Accent5 19 5" xfId="10472" xr:uid="{00000000-0005-0000-0000-000004430000}"/>
    <cellStyle name="40% - Accent5 19 5 2" xfId="24431" xr:uid="{00000000-0005-0000-0000-000005430000}"/>
    <cellStyle name="40% - Accent5 19 6" xfId="25286" xr:uid="{00000000-0005-0000-0000-000006430000}"/>
    <cellStyle name="40% - Accent5 2" xfId="4334" xr:uid="{00000000-0005-0000-0000-000007430000}"/>
    <cellStyle name="40% - Accent5 2 10" xfId="4335" xr:uid="{00000000-0005-0000-0000-000008430000}"/>
    <cellStyle name="40% - Accent5 2 10 2" xfId="4336" xr:uid="{00000000-0005-0000-0000-000009430000}"/>
    <cellStyle name="40% - Accent5 2 10 2 2" xfId="15388" xr:uid="{00000000-0005-0000-0000-00000A430000}"/>
    <cellStyle name="40% - Accent5 2 10 2 2 2" xfId="28937" xr:uid="{00000000-0005-0000-0000-00000B430000}"/>
    <cellStyle name="40% - Accent5 2 10 2 3" xfId="29161" xr:uid="{00000000-0005-0000-0000-00000C430000}"/>
    <cellStyle name="40% - Accent5 2 10 3" xfId="11846" xr:uid="{00000000-0005-0000-0000-00000D430000}"/>
    <cellStyle name="40% - Accent5 2 10 3 2" xfId="25561" xr:uid="{00000000-0005-0000-0000-00000E430000}"/>
    <cellStyle name="40% - Accent5 2 10 4" xfId="23042" xr:uid="{00000000-0005-0000-0000-00000F430000}"/>
    <cellStyle name="40% - Accent5 2 11" xfId="4337" xr:uid="{00000000-0005-0000-0000-000010430000}"/>
    <cellStyle name="40% - Accent5 2 11 2" xfId="12953" xr:uid="{00000000-0005-0000-0000-000011430000}"/>
    <cellStyle name="40% - Accent5 2 11 2 2" xfId="26665" xr:uid="{00000000-0005-0000-0000-000012430000}"/>
    <cellStyle name="40% - Accent5 2 11 3" xfId="23041" xr:uid="{00000000-0005-0000-0000-000013430000}"/>
    <cellStyle name="40% - Accent5 2 12" xfId="4338" xr:uid="{00000000-0005-0000-0000-000014430000}"/>
    <cellStyle name="40% - Accent5 2 12 2" xfId="13444" xr:uid="{00000000-0005-0000-0000-000015430000}"/>
    <cellStyle name="40% - Accent5 2 12 2 2" xfId="26993" xr:uid="{00000000-0005-0000-0000-000016430000}"/>
    <cellStyle name="40% - Accent5 2 12 3" xfId="23040" xr:uid="{00000000-0005-0000-0000-000017430000}"/>
    <cellStyle name="40% - Accent5 2 13" xfId="4339" xr:uid="{00000000-0005-0000-0000-000018430000}"/>
    <cellStyle name="40% - Accent5 2 13 2" xfId="14025" xr:uid="{00000000-0005-0000-0000-000019430000}"/>
    <cellStyle name="40% - Accent5 2 13 2 2" xfId="27574" xr:uid="{00000000-0005-0000-0000-00001A430000}"/>
    <cellStyle name="40% - Accent5 2 13 3" xfId="26855" xr:uid="{00000000-0005-0000-0000-00001B430000}"/>
    <cellStyle name="40% - Accent5 2 14" xfId="4340" xr:uid="{00000000-0005-0000-0000-00001C430000}"/>
    <cellStyle name="40% - Accent5 2 14 2" xfId="15387" xr:uid="{00000000-0005-0000-0000-00001D430000}"/>
    <cellStyle name="40% - Accent5 2 14 2 2" xfId="28936" xr:uid="{00000000-0005-0000-0000-00001E430000}"/>
    <cellStyle name="40% - Accent5 2 14 3" xfId="23039" xr:uid="{00000000-0005-0000-0000-00001F430000}"/>
    <cellStyle name="40% - Accent5 2 15" xfId="4341" xr:uid="{00000000-0005-0000-0000-000020430000}"/>
    <cellStyle name="40% - Accent5 2 15 2" xfId="15911" xr:uid="{00000000-0005-0000-0000-000021430000}"/>
    <cellStyle name="40% - Accent5 2 15 2 2" xfId="29318" xr:uid="{00000000-0005-0000-0000-000022430000}"/>
    <cellStyle name="40% - Accent5 2 15 3" xfId="23038" xr:uid="{00000000-0005-0000-0000-000023430000}"/>
    <cellStyle name="40% - Accent5 2 16" xfId="9445" xr:uid="{00000000-0005-0000-0000-000024430000}"/>
    <cellStyle name="40% - Accent5 2 16 2" xfId="23920" xr:uid="{00000000-0005-0000-0000-000025430000}"/>
    <cellStyle name="40% - Accent5 2 17" xfId="23043" xr:uid="{00000000-0005-0000-0000-000026430000}"/>
    <cellStyle name="40% - Accent5 2 18" xfId="33079" xr:uid="{00000000-0005-0000-0000-000027430000}"/>
    <cellStyle name="40% - Accent5 2 2" xfId="4342" xr:uid="{00000000-0005-0000-0000-000028430000}"/>
    <cellStyle name="40% - Accent5 2 2 10" xfId="4343" xr:uid="{00000000-0005-0000-0000-000029430000}"/>
    <cellStyle name="40% - Accent5 2 2 10 2" xfId="15389" xr:uid="{00000000-0005-0000-0000-00002A430000}"/>
    <cellStyle name="40% - Accent5 2 2 10 2 2" xfId="28938" xr:uid="{00000000-0005-0000-0000-00002B430000}"/>
    <cellStyle name="40% - Accent5 2 2 10 3" xfId="23037" xr:uid="{00000000-0005-0000-0000-00002C430000}"/>
    <cellStyle name="40% - Accent5 2 2 11" xfId="4344" xr:uid="{00000000-0005-0000-0000-00002D430000}"/>
    <cellStyle name="40% - Accent5 2 2 11 2" xfId="15957" xr:uid="{00000000-0005-0000-0000-00002E430000}"/>
    <cellStyle name="40% - Accent5 2 2 11 2 2" xfId="29364" xr:uid="{00000000-0005-0000-0000-00002F430000}"/>
    <cellStyle name="40% - Accent5 2 2 11 3" xfId="25285" xr:uid="{00000000-0005-0000-0000-000030430000}"/>
    <cellStyle name="40% - Accent5 2 2 12" xfId="9446" xr:uid="{00000000-0005-0000-0000-000031430000}"/>
    <cellStyle name="40% - Accent5 2 2 12 2" xfId="23921" xr:uid="{00000000-0005-0000-0000-000032430000}"/>
    <cellStyle name="40% - Accent5 2 2 13" xfId="24276" xr:uid="{00000000-0005-0000-0000-000033430000}"/>
    <cellStyle name="40% - Accent5 2 2 2" xfId="4345" xr:uid="{00000000-0005-0000-0000-000034430000}"/>
    <cellStyle name="40% - Accent5 2 2 2 10" xfId="4346" xr:uid="{00000000-0005-0000-0000-000035430000}"/>
    <cellStyle name="40% - Accent5 2 2 2 10 2" xfId="16100" xr:uid="{00000000-0005-0000-0000-000036430000}"/>
    <cellStyle name="40% - Accent5 2 2 2 10 2 2" xfId="29507" xr:uid="{00000000-0005-0000-0000-000037430000}"/>
    <cellStyle name="40% - Accent5 2 2 2 10 3" xfId="23035" xr:uid="{00000000-0005-0000-0000-000038430000}"/>
    <cellStyle name="40% - Accent5 2 2 2 11" xfId="9447" xr:uid="{00000000-0005-0000-0000-000039430000}"/>
    <cellStyle name="40% - Accent5 2 2 2 11 2" xfId="23922" xr:uid="{00000000-0005-0000-0000-00003A430000}"/>
    <cellStyle name="40% - Accent5 2 2 2 12" xfId="23036" xr:uid="{00000000-0005-0000-0000-00003B430000}"/>
    <cellStyle name="40% - Accent5 2 2 2 2" xfId="4347" xr:uid="{00000000-0005-0000-0000-00003C430000}"/>
    <cellStyle name="40% - Accent5 2 2 2 2 10" xfId="9448" xr:uid="{00000000-0005-0000-0000-00003D430000}"/>
    <cellStyle name="40% - Accent5 2 2 2 2 10 2" xfId="23923" xr:uid="{00000000-0005-0000-0000-00003E430000}"/>
    <cellStyle name="40% - Accent5 2 2 2 2 11" xfId="23034" xr:uid="{00000000-0005-0000-0000-00003F430000}"/>
    <cellStyle name="40% - Accent5 2 2 2 2 2" xfId="4348" xr:uid="{00000000-0005-0000-0000-000040430000}"/>
    <cellStyle name="40% - Accent5 2 2 2 2 2 2" xfId="4349" xr:uid="{00000000-0005-0000-0000-000041430000}"/>
    <cellStyle name="40% - Accent5 2 2 2 2 2 2 2" xfId="11176" xr:uid="{00000000-0005-0000-0000-000042430000}"/>
    <cellStyle name="40% - Accent5 2 2 2 2 2 2 2 2" xfId="25118" xr:uid="{00000000-0005-0000-0000-000043430000}"/>
    <cellStyle name="40% - Accent5 2 2 2 2 2 2 3" xfId="24273" xr:uid="{00000000-0005-0000-0000-000044430000}"/>
    <cellStyle name="40% - Accent5 2 2 2 2 2 3" xfId="4350" xr:uid="{00000000-0005-0000-0000-000045430000}"/>
    <cellStyle name="40% - Accent5 2 2 2 2 2 3 2" xfId="12957" xr:uid="{00000000-0005-0000-0000-000046430000}"/>
    <cellStyle name="40% - Accent5 2 2 2 2 2 3 2 2" xfId="26669" xr:uid="{00000000-0005-0000-0000-000047430000}"/>
    <cellStyle name="40% - Accent5 2 2 2 2 2 3 3" xfId="23032" xr:uid="{00000000-0005-0000-0000-000048430000}"/>
    <cellStyle name="40% - Accent5 2 2 2 2 2 4" xfId="4351" xr:uid="{00000000-0005-0000-0000-000049430000}"/>
    <cellStyle name="40% - Accent5 2 2 2 2 2 4 2" xfId="15392" xr:uid="{00000000-0005-0000-0000-00004A430000}"/>
    <cellStyle name="40% - Accent5 2 2 2 2 2 4 2 2" xfId="28941" xr:uid="{00000000-0005-0000-0000-00004B430000}"/>
    <cellStyle name="40% - Accent5 2 2 2 2 2 4 3" xfId="23031" xr:uid="{00000000-0005-0000-0000-00004C430000}"/>
    <cellStyle name="40% - Accent5 2 2 2 2 2 5" xfId="4352" xr:uid="{00000000-0005-0000-0000-00004D430000}"/>
    <cellStyle name="40% - Accent5 2 2 2 2 2 5 2" xfId="16970" xr:uid="{00000000-0005-0000-0000-00004E430000}"/>
    <cellStyle name="40% - Accent5 2 2 2 2 2 5 2 2" xfId="30377" xr:uid="{00000000-0005-0000-0000-00004F430000}"/>
    <cellStyle name="40% - Accent5 2 2 2 2 2 5 3" xfId="23030" xr:uid="{00000000-0005-0000-0000-000050430000}"/>
    <cellStyle name="40% - Accent5 2 2 2 2 2 6" xfId="9449" xr:uid="{00000000-0005-0000-0000-000051430000}"/>
    <cellStyle name="40% - Accent5 2 2 2 2 2 6 2" xfId="23924" xr:uid="{00000000-0005-0000-0000-000052430000}"/>
    <cellStyle name="40% - Accent5 2 2 2 2 2 7" xfId="23033" xr:uid="{00000000-0005-0000-0000-000053430000}"/>
    <cellStyle name="40% - Accent5 2 2 2 2 3" xfId="4353" xr:uid="{00000000-0005-0000-0000-000054430000}"/>
    <cellStyle name="40% - Accent5 2 2 2 2 3 2" xfId="4354" xr:uid="{00000000-0005-0000-0000-000055430000}"/>
    <cellStyle name="40% - Accent5 2 2 2 2 3 2 2" xfId="15393" xr:uid="{00000000-0005-0000-0000-000056430000}"/>
    <cellStyle name="40% - Accent5 2 2 2 2 3 2 2 2" xfId="28942" xr:uid="{00000000-0005-0000-0000-000057430000}"/>
    <cellStyle name="40% - Accent5 2 2 2 2 3 2 3" xfId="23029" xr:uid="{00000000-0005-0000-0000-000058430000}"/>
    <cellStyle name="40% - Accent5 2 2 2 2 3 3" xfId="11175" xr:uid="{00000000-0005-0000-0000-000059430000}"/>
    <cellStyle name="40% - Accent5 2 2 2 2 3 3 2" xfId="25117" xr:uid="{00000000-0005-0000-0000-00005A430000}"/>
    <cellStyle name="40% - Accent5 2 2 2 2 3 4" xfId="29160" xr:uid="{00000000-0005-0000-0000-00005B430000}"/>
    <cellStyle name="40% - Accent5 2 2 2 2 4" xfId="4355" xr:uid="{00000000-0005-0000-0000-00005C430000}"/>
    <cellStyle name="40% - Accent5 2 2 2 2 4 2" xfId="12358" xr:uid="{00000000-0005-0000-0000-00005D430000}"/>
    <cellStyle name="40% - Accent5 2 2 2 2 4 2 2" xfId="26070" xr:uid="{00000000-0005-0000-0000-00005E430000}"/>
    <cellStyle name="40% - Accent5 2 2 2 2 4 3" xfId="23028" xr:uid="{00000000-0005-0000-0000-00005F430000}"/>
    <cellStyle name="40% - Accent5 2 2 2 2 5" xfId="4356" xr:uid="{00000000-0005-0000-0000-000060430000}"/>
    <cellStyle name="40% - Accent5 2 2 2 2 5 2" xfId="12956" xr:uid="{00000000-0005-0000-0000-000061430000}"/>
    <cellStyle name="40% - Accent5 2 2 2 2 5 2 2" xfId="26668" xr:uid="{00000000-0005-0000-0000-000062430000}"/>
    <cellStyle name="40% - Accent5 2 2 2 2 5 3" xfId="26854" xr:uid="{00000000-0005-0000-0000-000063430000}"/>
    <cellStyle name="40% - Accent5 2 2 2 2 6" xfId="4357" xr:uid="{00000000-0005-0000-0000-000064430000}"/>
    <cellStyle name="40% - Accent5 2 2 2 2 6 2" xfId="13922" xr:uid="{00000000-0005-0000-0000-000065430000}"/>
    <cellStyle name="40% - Accent5 2 2 2 2 6 2 2" xfId="27471" xr:uid="{00000000-0005-0000-0000-000066430000}"/>
    <cellStyle name="40% - Accent5 2 2 2 2 6 3" xfId="23027" xr:uid="{00000000-0005-0000-0000-000067430000}"/>
    <cellStyle name="40% - Accent5 2 2 2 2 7" xfId="4358" xr:uid="{00000000-0005-0000-0000-000068430000}"/>
    <cellStyle name="40% - Accent5 2 2 2 2 7 2" xfId="14503" xr:uid="{00000000-0005-0000-0000-000069430000}"/>
    <cellStyle name="40% - Accent5 2 2 2 2 7 2 2" xfId="28052" xr:uid="{00000000-0005-0000-0000-00006A430000}"/>
    <cellStyle name="40% - Accent5 2 2 2 2 7 3" xfId="23026" xr:uid="{00000000-0005-0000-0000-00006B430000}"/>
    <cellStyle name="40% - Accent5 2 2 2 2 8" xfId="4359" xr:uid="{00000000-0005-0000-0000-00006C430000}"/>
    <cellStyle name="40% - Accent5 2 2 2 2 8 2" xfId="15391" xr:uid="{00000000-0005-0000-0000-00006D430000}"/>
    <cellStyle name="40% - Accent5 2 2 2 2 8 2 2" xfId="28940" xr:uid="{00000000-0005-0000-0000-00006E430000}"/>
    <cellStyle name="40% - Accent5 2 2 2 2 8 3" xfId="24272" xr:uid="{00000000-0005-0000-0000-00006F430000}"/>
    <cellStyle name="40% - Accent5 2 2 2 2 9" xfId="4360" xr:uid="{00000000-0005-0000-0000-000070430000}"/>
    <cellStyle name="40% - Accent5 2 2 2 2 9 2" xfId="16389" xr:uid="{00000000-0005-0000-0000-000071430000}"/>
    <cellStyle name="40% - Accent5 2 2 2 2 9 2 2" xfId="29796" xr:uid="{00000000-0005-0000-0000-000072430000}"/>
    <cellStyle name="40% - Accent5 2 2 2 2 9 3" xfId="25284" xr:uid="{00000000-0005-0000-0000-000073430000}"/>
    <cellStyle name="40% - Accent5 2 2 2 3" xfId="4361" xr:uid="{00000000-0005-0000-0000-000074430000}"/>
    <cellStyle name="40% - Accent5 2 2 2 3 2" xfId="4362" xr:uid="{00000000-0005-0000-0000-000075430000}"/>
    <cellStyle name="40% - Accent5 2 2 2 3 2 2" xfId="11177" xr:uid="{00000000-0005-0000-0000-000076430000}"/>
    <cellStyle name="40% - Accent5 2 2 2 3 2 2 2" xfId="25119" xr:uid="{00000000-0005-0000-0000-000077430000}"/>
    <cellStyle name="40% - Accent5 2 2 2 3 2 3" xfId="23024" xr:uid="{00000000-0005-0000-0000-000078430000}"/>
    <cellStyle name="40% - Accent5 2 2 2 3 3" xfId="4363" xr:uid="{00000000-0005-0000-0000-000079430000}"/>
    <cellStyle name="40% - Accent5 2 2 2 3 3 2" xfId="12958" xr:uid="{00000000-0005-0000-0000-00007A430000}"/>
    <cellStyle name="40% - Accent5 2 2 2 3 3 2 2" xfId="26670" xr:uid="{00000000-0005-0000-0000-00007B430000}"/>
    <cellStyle name="40% - Accent5 2 2 2 3 3 3" xfId="24271" xr:uid="{00000000-0005-0000-0000-00007C430000}"/>
    <cellStyle name="40% - Accent5 2 2 2 3 4" xfId="4364" xr:uid="{00000000-0005-0000-0000-00007D430000}"/>
    <cellStyle name="40% - Accent5 2 2 2 3 4 2" xfId="15394" xr:uid="{00000000-0005-0000-0000-00007E430000}"/>
    <cellStyle name="40% - Accent5 2 2 2 3 4 2 2" xfId="28943" xr:uid="{00000000-0005-0000-0000-00007F430000}"/>
    <cellStyle name="40% - Accent5 2 2 2 3 4 3" xfId="23023" xr:uid="{00000000-0005-0000-0000-000080430000}"/>
    <cellStyle name="40% - Accent5 2 2 2 3 5" xfId="4365" xr:uid="{00000000-0005-0000-0000-000081430000}"/>
    <cellStyle name="40% - Accent5 2 2 2 3 5 2" xfId="16681" xr:uid="{00000000-0005-0000-0000-000082430000}"/>
    <cellStyle name="40% - Accent5 2 2 2 3 5 2 2" xfId="30088" xr:uid="{00000000-0005-0000-0000-000083430000}"/>
    <cellStyle name="40% - Accent5 2 2 2 3 5 3" xfId="23022" xr:uid="{00000000-0005-0000-0000-000084430000}"/>
    <cellStyle name="40% - Accent5 2 2 2 3 6" xfId="9450" xr:uid="{00000000-0005-0000-0000-000085430000}"/>
    <cellStyle name="40% - Accent5 2 2 2 3 6 2" xfId="23925" xr:uid="{00000000-0005-0000-0000-000086430000}"/>
    <cellStyle name="40% - Accent5 2 2 2 3 7" xfId="23025" xr:uid="{00000000-0005-0000-0000-000087430000}"/>
    <cellStyle name="40% - Accent5 2 2 2 4" xfId="4366" xr:uid="{00000000-0005-0000-0000-000088430000}"/>
    <cellStyle name="40% - Accent5 2 2 2 4 2" xfId="4367" xr:uid="{00000000-0005-0000-0000-000089430000}"/>
    <cellStyle name="40% - Accent5 2 2 2 4 2 2" xfId="15395" xr:uid="{00000000-0005-0000-0000-00008A430000}"/>
    <cellStyle name="40% - Accent5 2 2 2 4 2 2 2" xfId="28944" xr:uid="{00000000-0005-0000-0000-00008B430000}"/>
    <cellStyle name="40% - Accent5 2 2 2 4 2 3" xfId="23021" xr:uid="{00000000-0005-0000-0000-00008C430000}"/>
    <cellStyle name="40% - Accent5 2 2 2 4 3" xfId="11174" xr:uid="{00000000-0005-0000-0000-00008D430000}"/>
    <cellStyle name="40% - Accent5 2 2 2 4 3 2" xfId="25116" xr:uid="{00000000-0005-0000-0000-00008E430000}"/>
    <cellStyle name="40% - Accent5 2 2 2 4 4" xfId="24269" xr:uid="{00000000-0005-0000-0000-00008F430000}"/>
    <cellStyle name="40% - Accent5 2 2 2 5" xfId="4368" xr:uid="{00000000-0005-0000-0000-000090430000}"/>
    <cellStyle name="40% - Accent5 2 2 2 5 2" xfId="12058" xr:uid="{00000000-0005-0000-0000-000091430000}"/>
    <cellStyle name="40% - Accent5 2 2 2 5 2 2" xfId="25773" xr:uid="{00000000-0005-0000-0000-000092430000}"/>
    <cellStyle name="40% - Accent5 2 2 2 5 3" xfId="23020" xr:uid="{00000000-0005-0000-0000-000093430000}"/>
    <cellStyle name="40% - Accent5 2 2 2 6" xfId="4369" xr:uid="{00000000-0005-0000-0000-000094430000}"/>
    <cellStyle name="40% - Accent5 2 2 2 6 2" xfId="12955" xr:uid="{00000000-0005-0000-0000-000095430000}"/>
    <cellStyle name="40% - Accent5 2 2 2 6 2 2" xfId="26667" xr:uid="{00000000-0005-0000-0000-000096430000}"/>
    <cellStyle name="40% - Accent5 2 2 2 6 3" xfId="29159" xr:uid="{00000000-0005-0000-0000-000097430000}"/>
    <cellStyle name="40% - Accent5 2 2 2 7" xfId="4370" xr:uid="{00000000-0005-0000-0000-000098430000}"/>
    <cellStyle name="40% - Accent5 2 2 2 7 2" xfId="13633" xr:uid="{00000000-0005-0000-0000-000099430000}"/>
    <cellStyle name="40% - Accent5 2 2 2 7 2 2" xfId="27182" xr:uid="{00000000-0005-0000-0000-00009A430000}"/>
    <cellStyle name="40% - Accent5 2 2 2 7 3" xfId="23019" xr:uid="{00000000-0005-0000-0000-00009B430000}"/>
    <cellStyle name="40% - Accent5 2 2 2 8" xfId="4371" xr:uid="{00000000-0005-0000-0000-00009C430000}"/>
    <cellStyle name="40% - Accent5 2 2 2 8 2" xfId="14214" xr:uid="{00000000-0005-0000-0000-00009D430000}"/>
    <cellStyle name="40% - Accent5 2 2 2 8 2 2" xfId="27763" xr:uid="{00000000-0005-0000-0000-00009E430000}"/>
    <cellStyle name="40% - Accent5 2 2 2 8 3" xfId="23018" xr:uid="{00000000-0005-0000-0000-00009F430000}"/>
    <cellStyle name="40% - Accent5 2 2 2 9" xfId="4372" xr:uid="{00000000-0005-0000-0000-0000A0430000}"/>
    <cellStyle name="40% - Accent5 2 2 2 9 2" xfId="15390" xr:uid="{00000000-0005-0000-0000-0000A1430000}"/>
    <cellStyle name="40% - Accent5 2 2 2 9 2 2" xfId="28939" xr:uid="{00000000-0005-0000-0000-0000A2430000}"/>
    <cellStyle name="40% - Accent5 2 2 2 9 3" xfId="26853" xr:uid="{00000000-0005-0000-0000-0000A3430000}"/>
    <cellStyle name="40% - Accent5 2 2 3" xfId="4373" xr:uid="{00000000-0005-0000-0000-0000A4430000}"/>
    <cellStyle name="40% - Accent5 2 2 3 10" xfId="9451" xr:uid="{00000000-0005-0000-0000-0000A5430000}"/>
    <cellStyle name="40% - Accent5 2 2 3 10 2" xfId="23926" xr:uid="{00000000-0005-0000-0000-0000A6430000}"/>
    <cellStyle name="40% - Accent5 2 2 3 11" xfId="23017" xr:uid="{00000000-0005-0000-0000-0000A7430000}"/>
    <cellStyle name="40% - Accent5 2 2 3 2" xfId="4374" xr:uid="{00000000-0005-0000-0000-0000A8430000}"/>
    <cellStyle name="40% - Accent5 2 2 3 2 2" xfId="4375" xr:uid="{00000000-0005-0000-0000-0000A9430000}"/>
    <cellStyle name="40% - Accent5 2 2 3 2 2 2" xfId="11179" xr:uid="{00000000-0005-0000-0000-0000AA430000}"/>
    <cellStyle name="40% - Accent5 2 2 3 2 2 2 2" xfId="25121" xr:uid="{00000000-0005-0000-0000-0000AB430000}"/>
    <cellStyle name="40% - Accent5 2 2 3 2 2 3" xfId="24270" xr:uid="{00000000-0005-0000-0000-0000AC430000}"/>
    <cellStyle name="40% - Accent5 2 2 3 2 3" xfId="4376" xr:uid="{00000000-0005-0000-0000-0000AD430000}"/>
    <cellStyle name="40% - Accent5 2 2 3 2 3 2" xfId="12960" xr:uid="{00000000-0005-0000-0000-0000AE430000}"/>
    <cellStyle name="40% - Accent5 2 2 3 2 3 2 2" xfId="26672" xr:uid="{00000000-0005-0000-0000-0000AF430000}"/>
    <cellStyle name="40% - Accent5 2 2 3 2 3 3" xfId="23015" xr:uid="{00000000-0005-0000-0000-0000B0430000}"/>
    <cellStyle name="40% - Accent5 2 2 3 2 4" xfId="4377" xr:uid="{00000000-0005-0000-0000-0000B1430000}"/>
    <cellStyle name="40% - Accent5 2 2 3 2 4 2" xfId="15397" xr:uid="{00000000-0005-0000-0000-0000B2430000}"/>
    <cellStyle name="40% - Accent5 2 2 3 2 4 2 2" xfId="28946" xr:uid="{00000000-0005-0000-0000-0000B3430000}"/>
    <cellStyle name="40% - Accent5 2 2 3 2 4 3" xfId="25283" xr:uid="{00000000-0005-0000-0000-0000B4430000}"/>
    <cellStyle name="40% - Accent5 2 2 3 2 5" xfId="4378" xr:uid="{00000000-0005-0000-0000-0000B5430000}"/>
    <cellStyle name="40% - Accent5 2 2 3 2 5 2" xfId="16827" xr:uid="{00000000-0005-0000-0000-0000B6430000}"/>
    <cellStyle name="40% - Accent5 2 2 3 2 5 2 2" xfId="30234" xr:uid="{00000000-0005-0000-0000-0000B7430000}"/>
    <cellStyle name="40% - Accent5 2 2 3 2 5 3" xfId="23014" xr:uid="{00000000-0005-0000-0000-0000B8430000}"/>
    <cellStyle name="40% - Accent5 2 2 3 2 6" xfId="9452" xr:uid="{00000000-0005-0000-0000-0000B9430000}"/>
    <cellStyle name="40% - Accent5 2 2 3 2 6 2" xfId="23927" xr:uid="{00000000-0005-0000-0000-0000BA430000}"/>
    <cellStyle name="40% - Accent5 2 2 3 2 7" xfId="23016" xr:uid="{00000000-0005-0000-0000-0000BB430000}"/>
    <cellStyle name="40% - Accent5 2 2 3 3" xfId="4379" xr:uid="{00000000-0005-0000-0000-0000BC430000}"/>
    <cellStyle name="40% - Accent5 2 2 3 3 2" xfId="4380" xr:uid="{00000000-0005-0000-0000-0000BD430000}"/>
    <cellStyle name="40% - Accent5 2 2 3 3 2 2" xfId="15398" xr:uid="{00000000-0005-0000-0000-0000BE430000}"/>
    <cellStyle name="40% - Accent5 2 2 3 3 2 2 2" xfId="28947" xr:uid="{00000000-0005-0000-0000-0000BF430000}"/>
    <cellStyle name="40% - Accent5 2 2 3 3 2 3" xfId="23012" xr:uid="{00000000-0005-0000-0000-0000C0430000}"/>
    <cellStyle name="40% - Accent5 2 2 3 3 3" xfId="11178" xr:uid="{00000000-0005-0000-0000-0000C1430000}"/>
    <cellStyle name="40% - Accent5 2 2 3 3 3 2" xfId="25120" xr:uid="{00000000-0005-0000-0000-0000C2430000}"/>
    <cellStyle name="40% - Accent5 2 2 3 3 4" xfId="23013" xr:uid="{00000000-0005-0000-0000-0000C3430000}"/>
    <cellStyle name="40% - Accent5 2 2 3 4" xfId="4381" xr:uid="{00000000-0005-0000-0000-0000C4430000}"/>
    <cellStyle name="40% - Accent5 2 2 3 4 2" xfId="12215" xr:uid="{00000000-0005-0000-0000-0000C5430000}"/>
    <cellStyle name="40% - Accent5 2 2 3 4 2 2" xfId="25927" xr:uid="{00000000-0005-0000-0000-0000C6430000}"/>
    <cellStyle name="40% - Accent5 2 2 3 4 3" xfId="24265" xr:uid="{00000000-0005-0000-0000-0000C7430000}"/>
    <cellStyle name="40% - Accent5 2 2 3 5" xfId="4382" xr:uid="{00000000-0005-0000-0000-0000C8430000}"/>
    <cellStyle name="40% - Accent5 2 2 3 5 2" xfId="12959" xr:uid="{00000000-0005-0000-0000-0000C9430000}"/>
    <cellStyle name="40% - Accent5 2 2 3 5 2 2" xfId="26671" xr:uid="{00000000-0005-0000-0000-0000CA430000}"/>
    <cellStyle name="40% - Accent5 2 2 3 5 3" xfId="23011" xr:uid="{00000000-0005-0000-0000-0000CB430000}"/>
    <cellStyle name="40% - Accent5 2 2 3 6" xfId="4383" xr:uid="{00000000-0005-0000-0000-0000CC430000}"/>
    <cellStyle name="40% - Accent5 2 2 3 6 2" xfId="13779" xr:uid="{00000000-0005-0000-0000-0000CD430000}"/>
    <cellStyle name="40% - Accent5 2 2 3 6 2 2" xfId="27328" xr:uid="{00000000-0005-0000-0000-0000CE430000}"/>
    <cellStyle name="40% - Accent5 2 2 3 6 3" xfId="23010" xr:uid="{00000000-0005-0000-0000-0000CF430000}"/>
    <cellStyle name="40% - Accent5 2 2 3 7" xfId="4384" xr:uid="{00000000-0005-0000-0000-0000D0430000}"/>
    <cellStyle name="40% - Accent5 2 2 3 7 2" xfId="14360" xr:uid="{00000000-0005-0000-0000-0000D1430000}"/>
    <cellStyle name="40% - Accent5 2 2 3 7 2 2" xfId="27909" xr:uid="{00000000-0005-0000-0000-0000D2430000}"/>
    <cellStyle name="40% - Accent5 2 2 3 7 3" xfId="29158" xr:uid="{00000000-0005-0000-0000-0000D3430000}"/>
    <cellStyle name="40% - Accent5 2 2 3 8" xfId="4385" xr:uid="{00000000-0005-0000-0000-0000D4430000}"/>
    <cellStyle name="40% - Accent5 2 2 3 8 2" xfId="15396" xr:uid="{00000000-0005-0000-0000-0000D5430000}"/>
    <cellStyle name="40% - Accent5 2 2 3 8 2 2" xfId="28945" xr:uid="{00000000-0005-0000-0000-0000D6430000}"/>
    <cellStyle name="40% - Accent5 2 2 3 8 3" xfId="23009" xr:uid="{00000000-0005-0000-0000-0000D7430000}"/>
    <cellStyle name="40% - Accent5 2 2 3 9" xfId="4386" xr:uid="{00000000-0005-0000-0000-0000D8430000}"/>
    <cellStyle name="40% - Accent5 2 2 3 9 2" xfId="16246" xr:uid="{00000000-0005-0000-0000-0000D9430000}"/>
    <cellStyle name="40% - Accent5 2 2 3 9 2 2" xfId="29653" xr:uid="{00000000-0005-0000-0000-0000DA430000}"/>
    <cellStyle name="40% - Accent5 2 2 3 9 3" xfId="23008" xr:uid="{00000000-0005-0000-0000-0000DB430000}"/>
    <cellStyle name="40% - Accent5 2 2 4" xfId="4387" xr:uid="{00000000-0005-0000-0000-0000DC430000}"/>
    <cellStyle name="40% - Accent5 2 2 4 2" xfId="4388" xr:uid="{00000000-0005-0000-0000-0000DD430000}"/>
    <cellStyle name="40% - Accent5 2 2 4 2 2" xfId="11180" xr:uid="{00000000-0005-0000-0000-0000DE430000}"/>
    <cellStyle name="40% - Accent5 2 2 4 2 2 2" xfId="25122" xr:uid="{00000000-0005-0000-0000-0000DF430000}"/>
    <cellStyle name="40% - Accent5 2 2 4 2 3" xfId="23007" xr:uid="{00000000-0005-0000-0000-0000E0430000}"/>
    <cellStyle name="40% - Accent5 2 2 4 3" xfId="4389" xr:uid="{00000000-0005-0000-0000-0000E1430000}"/>
    <cellStyle name="40% - Accent5 2 2 4 3 2" xfId="12961" xr:uid="{00000000-0005-0000-0000-0000E2430000}"/>
    <cellStyle name="40% - Accent5 2 2 4 3 2 2" xfId="26673" xr:uid="{00000000-0005-0000-0000-0000E3430000}"/>
    <cellStyle name="40% - Accent5 2 2 4 3 3" xfId="23006" xr:uid="{00000000-0005-0000-0000-0000E4430000}"/>
    <cellStyle name="40% - Accent5 2 2 4 4" xfId="4390" xr:uid="{00000000-0005-0000-0000-0000E5430000}"/>
    <cellStyle name="40% - Accent5 2 2 4 4 2" xfId="15399" xr:uid="{00000000-0005-0000-0000-0000E6430000}"/>
    <cellStyle name="40% - Accent5 2 2 4 4 2 2" xfId="28948" xr:uid="{00000000-0005-0000-0000-0000E7430000}"/>
    <cellStyle name="40% - Accent5 2 2 4 4 3" xfId="24268" xr:uid="{00000000-0005-0000-0000-0000E8430000}"/>
    <cellStyle name="40% - Accent5 2 2 4 5" xfId="4391" xr:uid="{00000000-0005-0000-0000-0000E9430000}"/>
    <cellStyle name="40% - Accent5 2 2 4 5 2" xfId="17174" xr:uid="{00000000-0005-0000-0000-0000EA430000}"/>
    <cellStyle name="40% - Accent5 2 2 4 5 2 2" xfId="30533" xr:uid="{00000000-0005-0000-0000-0000EB430000}"/>
    <cellStyle name="40% - Accent5 2 2 4 5 3" xfId="23005" xr:uid="{00000000-0005-0000-0000-0000EC430000}"/>
    <cellStyle name="40% - Accent5 2 2 4 6" xfId="9453" xr:uid="{00000000-0005-0000-0000-0000ED430000}"/>
    <cellStyle name="40% - Accent5 2 2 4 6 2" xfId="23928" xr:uid="{00000000-0005-0000-0000-0000EE430000}"/>
    <cellStyle name="40% - Accent5 2 2 4 7" xfId="26852" xr:uid="{00000000-0005-0000-0000-0000EF430000}"/>
    <cellStyle name="40% - Accent5 2 2 5" xfId="4392" xr:uid="{00000000-0005-0000-0000-0000F0430000}"/>
    <cellStyle name="40% - Accent5 2 2 5 2" xfId="4393" xr:uid="{00000000-0005-0000-0000-0000F1430000}"/>
    <cellStyle name="40% - Accent5 2 2 5 2 2" xfId="15400" xr:uid="{00000000-0005-0000-0000-0000F2430000}"/>
    <cellStyle name="40% - Accent5 2 2 5 2 2 2" xfId="28949" xr:uid="{00000000-0005-0000-0000-0000F3430000}"/>
    <cellStyle name="40% - Accent5 2 2 5 2 3" xfId="23004" xr:uid="{00000000-0005-0000-0000-0000F4430000}"/>
    <cellStyle name="40% - Accent5 2 2 5 3" xfId="4394" xr:uid="{00000000-0005-0000-0000-0000F5430000}"/>
    <cellStyle name="40% - Accent5 2 2 5 3 2" xfId="17263" xr:uid="{00000000-0005-0000-0000-0000F6430000}"/>
    <cellStyle name="40% - Accent5 2 2 5 3 2 2" xfId="30622" xr:uid="{00000000-0005-0000-0000-0000F7430000}"/>
    <cellStyle name="40% - Accent5 2 2 5 3 3" xfId="23003" xr:uid="{00000000-0005-0000-0000-0000F8430000}"/>
    <cellStyle name="40% - Accent5 2 2 5 4" xfId="11173" xr:uid="{00000000-0005-0000-0000-0000F9430000}"/>
    <cellStyle name="40% - Accent5 2 2 5 4 2" xfId="25115" xr:uid="{00000000-0005-0000-0000-0000FA430000}"/>
    <cellStyle name="40% - Accent5 2 2 5 5" xfId="25282" xr:uid="{00000000-0005-0000-0000-0000FB430000}"/>
    <cellStyle name="40% - Accent5 2 2 6" xfId="4395" xr:uid="{00000000-0005-0000-0000-0000FC430000}"/>
    <cellStyle name="40% - Accent5 2 2 6 2" xfId="4396" xr:uid="{00000000-0005-0000-0000-0000FD430000}"/>
    <cellStyle name="40% - Accent5 2 2 6 2 2" xfId="16538" xr:uid="{00000000-0005-0000-0000-0000FE430000}"/>
    <cellStyle name="40% - Accent5 2 2 6 2 2 2" xfId="29945" xr:uid="{00000000-0005-0000-0000-0000FF430000}"/>
    <cellStyle name="40% - Accent5 2 2 6 2 3" xfId="23002" xr:uid="{00000000-0005-0000-0000-000000440000}"/>
    <cellStyle name="40% - Accent5 2 2 6 3" xfId="11913" xr:uid="{00000000-0005-0000-0000-000001440000}"/>
    <cellStyle name="40% - Accent5 2 2 6 3 2" xfId="25628" xr:uid="{00000000-0005-0000-0000-000002440000}"/>
    <cellStyle name="40% - Accent5 2 2 6 4" xfId="24266" xr:uid="{00000000-0005-0000-0000-000003440000}"/>
    <cellStyle name="40% - Accent5 2 2 7" xfId="4397" xr:uid="{00000000-0005-0000-0000-000004440000}"/>
    <cellStyle name="40% - Accent5 2 2 7 2" xfId="12954" xr:uid="{00000000-0005-0000-0000-000005440000}"/>
    <cellStyle name="40% - Accent5 2 2 7 2 2" xfId="26666" xr:uid="{00000000-0005-0000-0000-000006440000}"/>
    <cellStyle name="40% - Accent5 2 2 7 3" xfId="23001" xr:uid="{00000000-0005-0000-0000-000007440000}"/>
    <cellStyle name="40% - Accent5 2 2 8" xfId="4398" xr:uid="{00000000-0005-0000-0000-000008440000}"/>
    <cellStyle name="40% - Accent5 2 2 8 2" xfId="13490" xr:uid="{00000000-0005-0000-0000-000009440000}"/>
    <cellStyle name="40% - Accent5 2 2 8 2 2" xfId="27039" xr:uid="{00000000-0005-0000-0000-00000A440000}"/>
    <cellStyle name="40% - Accent5 2 2 8 3" xfId="29157" xr:uid="{00000000-0005-0000-0000-00000B440000}"/>
    <cellStyle name="40% - Accent5 2 2 9" xfId="4399" xr:uid="{00000000-0005-0000-0000-00000C440000}"/>
    <cellStyle name="40% - Accent5 2 2 9 2" xfId="14071" xr:uid="{00000000-0005-0000-0000-00000D440000}"/>
    <cellStyle name="40% - Accent5 2 2 9 2 2" xfId="27620" xr:uid="{00000000-0005-0000-0000-00000E440000}"/>
    <cellStyle name="40% - Accent5 2 2 9 3" xfId="23000" xr:uid="{00000000-0005-0000-0000-00000F440000}"/>
    <cellStyle name="40% - Accent5 2 3" xfId="4400" xr:uid="{00000000-0005-0000-0000-000010440000}"/>
    <cellStyle name="40% - Accent5 2 3 10" xfId="4401" xr:uid="{00000000-0005-0000-0000-000011440000}"/>
    <cellStyle name="40% - Accent5 2 3 10 2" xfId="16054" xr:uid="{00000000-0005-0000-0000-000012440000}"/>
    <cellStyle name="40% - Accent5 2 3 10 2 2" xfId="29461" xr:uid="{00000000-0005-0000-0000-000013440000}"/>
    <cellStyle name="40% - Accent5 2 3 10 3" xfId="26851" xr:uid="{00000000-0005-0000-0000-000014440000}"/>
    <cellStyle name="40% - Accent5 2 3 11" xfId="9454" xr:uid="{00000000-0005-0000-0000-000015440000}"/>
    <cellStyle name="40% - Accent5 2 3 11 2" xfId="23929" xr:uid="{00000000-0005-0000-0000-000016440000}"/>
    <cellStyle name="40% - Accent5 2 3 12" xfId="22999" xr:uid="{00000000-0005-0000-0000-000017440000}"/>
    <cellStyle name="40% - Accent5 2 3 2" xfId="4402" xr:uid="{00000000-0005-0000-0000-000018440000}"/>
    <cellStyle name="40% - Accent5 2 3 2 10" xfId="9455" xr:uid="{00000000-0005-0000-0000-000019440000}"/>
    <cellStyle name="40% - Accent5 2 3 2 10 2" xfId="23930" xr:uid="{00000000-0005-0000-0000-00001A440000}"/>
    <cellStyle name="40% - Accent5 2 3 2 11" xfId="22998" xr:uid="{00000000-0005-0000-0000-00001B440000}"/>
    <cellStyle name="40% - Accent5 2 3 2 2" xfId="4403" xr:uid="{00000000-0005-0000-0000-00001C440000}"/>
    <cellStyle name="40% - Accent5 2 3 2 2 2" xfId="4404" xr:uid="{00000000-0005-0000-0000-00001D440000}"/>
    <cellStyle name="40% - Accent5 2 3 2 2 2 2" xfId="11183" xr:uid="{00000000-0005-0000-0000-00001E440000}"/>
    <cellStyle name="40% - Accent5 2 3 2 2 2 2 2" xfId="25125" xr:uid="{00000000-0005-0000-0000-00001F440000}"/>
    <cellStyle name="40% - Accent5 2 3 2 2 2 3" xfId="24267" xr:uid="{00000000-0005-0000-0000-000020440000}"/>
    <cellStyle name="40% - Accent5 2 3 2 2 3" xfId="4405" xr:uid="{00000000-0005-0000-0000-000021440000}"/>
    <cellStyle name="40% - Accent5 2 3 2 2 3 2" xfId="12964" xr:uid="{00000000-0005-0000-0000-000022440000}"/>
    <cellStyle name="40% - Accent5 2 3 2 2 3 2 2" xfId="26676" xr:uid="{00000000-0005-0000-0000-000023440000}"/>
    <cellStyle name="40% - Accent5 2 3 2 2 3 3" xfId="22996" xr:uid="{00000000-0005-0000-0000-000024440000}"/>
    <cellStyle name="40% - Accent5 2 3 2 2 4" xfId="4406" xr:uid="{00000000-0005-0000-0000-000025440000}"/>
    <cellStyle name="40% - Accent5 2 3 2 2 4 2" xfId="15403" xr:uid="{00000000-0005-0000-0000-000026440000}"/>
    <cellStyle name="40% - Accent5 2 3 2 2 4 2 2" xfId="28952" xr:uid="{00000000-0005-0000-0000-000027440000}"/>
    <cellStyle name="40% - Accent5 2 3 2 2 4 3" xfId="25281" xr:uid="{00000000-0005-0000-0000-000028440000}"/>
    <cellStyle name="40% - Accent5 2 3 2 2 5" xfId="4407" xr:uid="{00000000-0005-0000-0000-000029440000}"/>
    <cellStyle name="40% - Accent5 2 3 2 2 5 2" xfId="16924" xr:uid="{00000000-0005-0000-0000-00002A440000}"/>
    <cellStyle name="40% - Accent5 2 3 2 2 5 2 2" xfId="30331" xr:uid="{00000000-0005-0000-0000-00002B440000}"/>
    <cellStyle name="40% - Accent5 2 3 2 2 5 3" xfId="22995" xr:uid="{00000000-0005-0000-0000-00002C440000}"/>
    <cellStyle name="40% - Accent5 2 3 2 2 6" xfId="9456" xr:uid="{00000000-0005-0000-0000-00002D440000}"/>
    <cellStyle name="40% - Accent5 2 3 2 2 6 2" xfId="23931" xr:uid="{00000000-0005-0000-0000-00002E440000}"/>
    <cellStyle name="40% - Accent5 2 3 2 2 7" xfId="22997" xr:uid="{00000000-0005-0000-0000-00002F440000}"/>
    <cellStyle name="40% - Accent5 2 3 2 3" xfId="4408" xr:uid="{00000000-0005-0000-0000-000030440000}"/>
    <cellStyle name="40% - Accent5 2 3 2 3 2" xfId="4409" xr:uid="{00000000-0005-0000-0000-000031440000}"/>
    <cellStyle name="40% - Accent5 2 3 2 3 2 2" xfId="15404" xr:uid="{00000000-0005-0000-0000-000032440000}"/>
    <cellStyle name="40% - Accent5 2 3 2 3 2 2 2" xfId="28953" xr:uid="{00000000-0005-0000-0000-000033440000}"/>
    <cellStyle name="40% - Accent5 2 3 2 3 2 3" xfId="22993" xr:uid="{00000000-0005-0000-0000-000034440000}"/>
    <cellStyle name="40% - Accent5 2 3 2 3 3" xfId="11182" xr:uid="{00000000-0005-0000-0000-000035440000}"/>
    <cellStyle name="40% - Accent5 2 3 2 3 3 2" xfId="25124" xr:uid="{00000000-0005-0000-0000-000036440000}"/>
    <cellStyle name="40% - Accent5 2 3 2 3 4" xfId="22994" xr:uid="{00000000-0005-0000-0000-000037440000}"/>
    <cellStyle name="40% - Accent5 2 3 2 4" xfId="4410" xr:uid="{00000000-0005-0000-0000-000038440000}"/>
    <cellStyle name="40% - Accent5 2 3 2 4 2" xfId="12312" xr:uid="{00000000-0005-0000-0000-000039440000}"/>
    <cellStyle name="40% - Accent5 2 3 2 4 2 2" xfId="26024" xr:uid="{00000000-0005-0000-0000-00003A440000}"/>
    <cellStyle name="40% - Accent5 2 3 2 4 3" xfId="22992" xr:uid="{00000000-0005-0000-0000-00003B440000}"/>
    <cellStyle name="40% - Accent5 2 3 2 5" xfId="4411" xr:uid="{00000000-0005-0000-0000-00003C440000}"/>
    <cellStyle name="40% - Accent5 2 3 2 5 2" xfId="12963" xr:uid="{00000000-0005-0000-0000-00003D440000}"/>
    <cellStyle name="40% - Accent5 2 3 2 5 2 2" xfId="26675" xr:uid="{00000000-0005-0000-0000-00003E440000}"/>
    <cellStyle name="40% - Accent5 2 3 2 5 3" xfId="24264" xr:uid="{00000000-0005-0000-0000-00003F440000}"/>
    <cellStyle name="40% - Accent5 2 3 2 6" xfId="4412" xr:uid="{00000000-0005-0000-0000-000040440000}"/>
    <cellStyle name="40% - Accent5 2 3 2 6 2" xfId="13876" xr:uid="{00000000-0005-0000-0000-000041440000}"/>
    <cellStyle name="40% - Accent5 2 3 2 6 2 2" xfId="27425" xr:uid="{00000000-0005-0000-0000-000042440000}"/>
    <cellStyle name="40% - Accent5 2 3 2 6 3" xfId="22991" xr:uid="{00000000-0005-0000-0000-000043440000}"/>
    <cellStyle name="40% - Accent5 2 3 2 7" xfId="4413" xr:uid="{00000000-0005-0000-0000-000044440000}"/>
    <cellStyle name="40% - Accent5 2 3 2 7 2" xfId="14457" xr:uid="{00000000-0005-0000-0000-000045440000}"/>
    <cellStyle name="40% - Accent5 2 3 2 7 2 2" xfId="28006" xr:uid="{00000000-0005-0000-0000-000046440000}"/>
    <cellStyle name="40% - Accent5 2 3 2 7 3" xfId="30657" xr:uid="{00000000-0005-0000-0000-000047440000}"/>
    <cellStyle name="40% - Accent5 2 3 2 8" xfId="4414" xr:uid="{00000000-0005-0000-0000-000048440000}"/>
    <cellStyle name="40% - Accent5 2 3 2 8 2" xfId="15402" xr:uid="{00000000-0005-0000-0000-000049440000}"/>
    <cellStyle name="40% - Accent5 2 3 2 8 2 2" xfId="28951" xr:uid="{00000000-0005-0000-0000-00004A440000}"/>
    <cellStyle name="40% - Accent5 2 3 2 8 3" xfId="22990" xr:uid="{00000000-0005-0000-0000-00004B440000}"/>
    <cellStyle name="40% - Accent5 2 3 2 9" xfId="4415" xr:uid="{00000000-0005-0000-0000-00004C440000}"/>
    <cellStyle name="40% - Accent5 2 3 2 9 2" xfId="16343" xr:uid="{00000000-0005-0000-0000-00004D440000}"/>
    <cellStyle name="40% - Accent5 2 3 2 9 2 2" xfId="29750" xr:uid="{00000000-0005-0000-0000-00004E440000}"/>
    <cellStyle name="40% - Accent5 2 3 2 9 3" xfId="22989" xr:uid="{00000000-0005-0000-0000-00004F440000}"/>
    <cellStyle name="40% - Accent5 2 3 3" xfId="4416" xr:uid="{00000000-0005-0000-0000-000050440000}"/>
    <cellStyle name="40% - Accent5 2 3 3 2" xfId="4417" xr:uid="{00000000-0005-0000-0000-000051440000}"/>
    <cellStyle name="40% - Accent5 2 3 3 2 2" xfId="11184" xr:uid="{00000000-0005-0000-0000-000052440000}"/>
    <cellStyle name="40% - Accent5 2 3 3 2 2 2" xfId="25126" xr:uid="{00000000-0005-0000-0000-000053440000}"/>
    <cellStyle name="40% - Accent5 2 3 3 2 3" xfId="22987" xr:uid="{00000000-0005-0000-0000-000054440000}"/>
    <cellStyle name="40% - Accent5 2 3 3 3" xfId="4418" xr:uid="{00000000-0005-0000-0000-000055440000}"/>
    <cellStyle name="40% - Accent5 2 3 3 3 2" xfId="12965" xr:uid="{00000000-0005-0000-0000-000056440000}"/>
    <cellStyle name="40% - Accent5 2 3 3 3 2 2" xfId="26677" xr:uid="{00000000-0005-0000-0000-000057440000}"/>
    <cellStyle name="40% - Accent5 2 3 3 3 3" xfId="29156" xr:uid="{00000000-0005-0000-0000-000058440000}"/>
    <cellStyle name="40% - Accent5 2 3 3 4" xfId="4419" xr:uid="{00000000-0005-0000-0000-000059440000}"/>
    <cellStyle name="40% - Accent5 2 3 3 4 2" xfId="15405" xr:uid="{00000000-0005-0000-0000-00005A440000}"/>
    <cellStyle name="40% - Accent5 2 3 3 4 2 2" xfId="28954" xr:uid="{00000000-0005-0000-0000-00005B440000}"/>
    <cellStyle name="40% - Accent5 2 3 3 4 3" xfId="22986" xr:uid="{00000000-0005-0000-0000-00005C440000}"/>
    <cellStyle name="40% - Accent5 2 3 3 5" xfId="4420" xr:uid="{00000000-0005-0000-0000-00005D440000}"/>
    <cellStyle name="40% - Accent5 2 3 3 5 2" xfId="16635" xr:uid="{00000000-0005-0000-0000-00005E440000}"/>
    <cellStyle name="40% - Accent5 2 3 3 5 2 2" xfId="30042" xr:uid="{00000000-0005-0000-0000-00005F440000}"/>
    <cellStyle name="40% - Accent5 2 3 3 5 3" xfId="22985" xr:uid="{00000000-0005-0000-0000-000060440000}"/>
    <cellStyle name="40% - Accent5 2 3 3 6" xfId="9457" xr:uid="{00000000-0005-0000-0000-000061440000}"/>
    <cellStyle name="40% - Accent5 2 3 3 6 2" xfId="23932" xr:uid="{00000000-0005-0000-0000-000062440000}"/>
    <cellStyle name="40% - Accent5 2 3 3 7" xfId="22988" xr:uid="{00000000-0005-0000-0000-000063440000}"/>
    <cellStyle name="40% - Accent5 2 3 4" xfId="4421" xr:uid="{00000000-0005-0000-0000-000064440000}"/>
    <cellStyle name="40% - Accent5 2 3 4 2" xfId="4422" xr:uid="{00000000-0005-0000-0000-000065440000}"/>
    <cellStyle name="40% - Accent5 2 3 4 2 2" xfId="15406" xr:uid="{00000000-0005-0000-0000-000066440000}"/>
    <cellStyle name="40% - Accent5 2 3 4 2 2 2" xfId="28955" xr:uid="{00000000-0005-0000-0000-000067440000}"/>
    <cellStyle name="40% - Accent5 2 3 4 2 3" xfId="22984" xr:uid="{00000000-0005-0000-0000-000068440000}"/>
    <cellStyle name="40% - Accent5 2 3 4 3" xfId="11181" xr:uid="{00000000-0005-0000-0000-000069440000}"/>
    <cellStyle name="40% - Accent5 2 3 4 3 2" xfId="25123" xr:uid="{00000000-0005-0000-0000-00006A440000}"/>
    <cellStyle name="40% - Accent5 2 3 4 4" xfId="24263" xr:uid="{00000000-0005-0000-0000-00006B440000}"/>
    <cellStyle name="40% - Accent5 2 3 5" xfId="4423" xr:uid="{00000000-0005-0000-0000-00006C440000}"/>
    <cellStyle name="40% - Accent5 2 3 5 2" xfId="12012" xr:uid="{00000000-0005-0000-0000-00006D440000}"/>
    <cellStyle name="40% - Accent5 2 3 5 2 2" xfId="25727" xr:uid="{00000000-0005-0000-0000-00006E440000}"/>
    <cellStyle name="40% - Accent5 2 3 5 3" xfId="25280" xr:uid="{00000000-0005-0000-0000-00006F440000}"/>
    <cellStyle name="40% - Accent5 2 3 6" xfId="4424" xr:uid="{00000000-0005-0000-0000-000070440000}"/>
    <cellStyle name="40% - Accent5 2 3 6 2" xfId="12962" xr:uid="{00000000-0005-0000-0000-000071440000}"/>
    <cellStyle name="40% - Accent5 2 3 6 2 2" xfId="26674" xr:uid="{00000000-0005-0000-0000-000072440000}"/>
    <cellStyle name="40% - Accent5 2 3 6 3" xfId="22983" xr:uid="{00000000-0005-0000-0000-000073440000}"/>
    <cellStyle name="40% - Accent5 2 3 7" xfId="4425" xr:uid="{00000000-0005-0000-0000-000074440000}"/>
    <cellStyle name="40% - Accent5 2 3 7 2" xfId="13587" xr:uid="{00000000-0005-0000-0000-000075440000}"/>
    <cellStyle name="40% - Accent5 2 3 7 2 2" xfId="27136" xr:uid="{00000000-0005-0000-0000-000076440000}"/>
    <cellStyle name="40% - Accent5 2 3 7 3" xfId="22982" xr:uid="{00000000-0005-0000-0000-000077440000}"/>
    <cellStyle name="40% - Accent5 2 3 8" xfId="4426" xr:uid="{00000000-0005-0000-0000-000078440000}"/>
    <cellStyle name="40% - Accent5 2 3 8 2" xfId="14168" xr:uid="{00000000-0005-0000-0000-000079440000}"/>
    <cellStyle name="40% - Accent5 2 3 8 2 2" xfId="27717" xr:uid="{00000000-0005-0000-0000-00007A440000}"/>
    <cellStyle name="40% - Accent5 2 3 8 3" xfId="24262" xr:uid="{00000000-0005-0000-0000-00007B440000}"/>
    <cellStyle name="40% - Accent5 2 3 9" xfId="4427" xr:uid="{00000000-0005-0000-0000-00007C440000}"/>
    <cellStyle name="40% - Accent5 2 3 9 2" xfId="15401" xr:uid="{00000000-0005-0000-0000-00007D440000}"/>
    <cellStyle name="40% - Accent5 2 3 9 2 2" xfId="28950" xr:uid="{00000000-0005-0000-0000-00007E440000}"/>
    <cellStyle name="40% - Accent5 2 3 9 3" xfId="22981" xr:uid="{00000000-0005-0000-0000-00007F440000}"/>
    <cellStyle name="40% - Accent5 2 4" xfId="4428" xr:uid="{00000000-0005-0000-0000-000080440000}"/>
    <cellStyle name="40% - Accent5 2 4 10" xfId="9458" xr:uid="{00000000-0005-0000-0000-000081440000}"/>
    <cellStyle name="40% - Accent5 2 4 10 2" xfId="23933" xr:uid="{00000000-0005-0000-0000-000082440000}"/>
    <cellStyle name="40% - Accent5 2 4 11" xfId="26850" xr:uid="{00000000-0005-0000-0000-000083440000}"/>
    <cellStyle name="40% - Accent5 2 4 2" xfId="4429" xr:uid="{00000000-0005-0000-0000-000084440000}"/>
    <cellStyle name="40% - Accent5 2 4 2 2" xfId="4430" xr:uid="{00000000-0005-0000-0000-000085440000}"/>
    <cellStyle name="40% - Accent5 2 4 2 2 2" xfId="11186" xr:uid="{00000000-0005-0000-0000-000086440000}"/>
    <cellStyle name="40% - Accent5 2 4 2 2 2 2" xfId="25128" xr:uid="{00000000-0005-0000-0000-000087440000}"/>
    <cellStyle name="40% - Accent5 2 4 2 2 3" xfId="22979" xr:uid="{00000000-0005-0000-0000-000088440000}"/>
    <cellStyle name="40% - Accent5 2 4 2 3" xfId="4431" xr:uid="{00000000-0005-0000-0000-000089440000}"/>
    <cellStyle name="40% - Accent5 2 4 2 3 2" xfId="12967" xr:uid="{00000000-0005-0000-0000-00008A440000}"/>
    <cellStyle name="40% - Accent5 2 4 2 3 2 2" xfId="26679" xr:uid="{00000000-0005-0000-0000-00008B440000}"/>
    <cellStyle name="40% - Accent5 2 4 2 3 3" xfId="24260" xr:uid="{00000000-0005-0000-0000-00008C440000}"/>
    <cellStyle name="40% - Accent5 2 4 2 4" xfId="4432" xr:uid="{00000000-0005-0000-0000-00008D440000}"/>
    <cellStyle name="40% - Accent5 2 4 2 4 2" xfId="15408" xr:uid="{00000000-0005-0000-0000-00008E440000}"/>
    <cellStyle name="40% - Accent5 2 4 2 4 2 2" xfId="28957" xr:uid="{00000000-0005-0000-0000-00008F440000}"/>
    <cellStyle name="40% - Accent5 2 4 2 4 3" xfId="22978" xr:uid="{00000000-0005-0000-0000-000090440000}"/>
    <cellStyle name="40% - Accent5 2 4 2 5" xfId="4433" xr:uid="{00000000-0005-0000-0000-000091440000}"/>
    <cellStyle name="40% - Accent5 2 4 2 5 2" xfId="16781" xr:uid="{00000000-0005-0000-0000-000092440000}"/>
    <cellStyle name="40% - Accent5 2 4 2 5 2 2" xfId="30188" xr:uid="{00000000-0005-0000-0000-000093440000}"/>
    <cellStyle name="40% - Accent5 2 4 2 5 3" xfId="22977" xr:uid="{00000000-0005-0000-0000-000094440000}"/>
    <cellStyle name="40% - Accent5 2 4 2 6" xfId="9459" xr:uid="{00000000-0005-0000-0000-000095440000}"/>
    <cellStyle name="40% - Accent5 2 4 2 6 2" xfId="23934" xr:uid="{00000000-0005-0000-0000-000096440000}"/>
    <cellStyle name="40% - Accent5 2 4 2 7" xfId="22980" xr:uid="{00000000-0005-0000-0000-000097440000}"/>
    <cellStyle name="40% - Accent5 2 4 3" xfId="4434" xr:uid="{00000000-0005-0000-0000-000098440000}"/>
    <cellStyle name="40% - Accent5 2 4 3 2" xfId="4435" xr:uid="{00000000-0005-0000-0000-000099440000}"/>
    <cellStyle name="40% - Accent5 2 4 3 2 2" xfId="15409" xr:uid="{00000000-0005-0000-0000-00009A440000}"/>
    <cellStyle name="40% - Accent5 2 4 3 2 2 2" xfId="28958" xr:uid="{00000000-0005-0000-0000-00009B440000}"/>
    <cellStyle name="40% - Accent5 2 4 3 2 3" xfId="22976" xr:uid="{00000000-0005-0000-0000-00009C440000}"/>
    <cellStyle name="40% - Accent5 2 4 3 3" xfId="11185" xr:uid="{00000000-0005-0000-0000-00009D440000}"/>
    <cellStyle name="40% - Accent5 2 4 3 3 2" xfId="25127" xr:uid="{00000000-0005-0000-0000-00009E440000}"/>
    <cellStyle name="40% - Accent5 2 4 3 4" xfId="29155" xr:uid="{00000000-0005-0000-0000-00009F440000}"/>
    <cellStyle name="40% - Accent5 2 4 4" xfId="4436" xr:uid="{00000000-0005-0000-0000-0000A0440000}"/>
    <cellStyle name="40% - Accent5 2 4 4 2" xfId="12169" xr:uid="{00000000-0005-0000-0000-0000A1440000}"/>
    <cellStyle name="40% - Accent5 2 4 4 2 2" xfId="25881" xr:uid="{00000000-0005-0000-0000-0000A2440000}"/>
    <cellStyle name="40% - Accent5 2 4 4 3" xfId="22975" xr:uid="{00000000-0005-0000-0000-0000A3440000}"/>
    <cellStyle name="40% - Accent5 2 4 5" xfId="4437" xr:uid="{00000000-0005-0000-0000-0000A4440000}"/>
    <cellStyle name="40% - Accent5 2 4 5 2" xfId="12966" xr:uid="{00000000-0005-0000-0000-0000A5440000}"/>
    <cellStyle name="40% - Accent5 2 4 5 2 2" xfId="26678" xr:uid="{00000000-0005-0000-0000-0000A6440000}"/>
    <cellStyle name="40% - Accent5 2 4 5 3" xfId="26849" xr:uid="{00000000-0005-0000-0000-0000A7440000}"/>
    <cellStyle name="40% - Accent5 2 4 6" xfId="4438" xr:uid="{00000000-0005-0000-0000-0000A8440000}"/>
    <cellStyle name="40% - Accent5 2 4 6 2" xfId="13733" xr:uid="{00000000-0005-0000-0000-0000A9440000}"/>
    <cellStyle name="40% - Accent5 2 4 6 2 2" xfId="27282" xr:uid="{00000000-0005-0000-0000-0000AA440000}"/>
    <cellStyle name="40% - Accent5 2 4 6 3" xfId="22974" xr:uid="{00000000-0005-0000-0000-0000AB440000}"/>
    <cellStyle name="40% - Accent5 2 4 7" xfId="4439" xr:uid="{00000000-0005-0000-0000-0000AC440000}"/>
    <cellStyle name="40% - Accent5 2 4 7 2" xfId="14314" xr:uid="{00000000-0005-0000-0000-0000AD440000}"/>
    <cellStyle name="40% - Accent5 2 4 7 2 2" xfId="27863" xr:uid="{00000000-0005-0000-0000-0000AE440000}"/>
    <cellStyle name="40% - Accent5 2 4 7 3" xfId="22973" xr:uid="{00000000-0005-0000-0000-0000AF440000}"/>
    <cellStyle name="40% - Accent5 2 4 8" xfId="4440" xr:uid="{00000000-0005-0000-0000-0000B0440000}"/>
    <cellStyle name="40% - Accent5 2 4 8 2" xfId="15407" xr:uid="{00000000-0005-0000-0000-0000B1440000}"/>
    <cellStyle name="40% - Accent5 2 4 8 2 2" xfId="28956" xr:uid="{00000000-0005-0000-0000-0000B2440000}"/>
    <cellStyle name="40% - Accent5 2 4 8 3" xfId="24261" xr:uid="{00000000-0005-0000-0000-0000B3440000}"/>
    <cellStyle name="40% - Accent5 2 4 9" xfId="4441" xr:uid="{00000000-0005-0000-0000-0000B4440000}"/>
    <cellStyle name="40% - Accent5 2 4 9 2" xfId="16200" xr:uid="{00000000-0005-0000-0000-0000B5440000}"/>
    <cellStyle name="40% - Accent5 2 4 9 2 2" xfId="29607" xr:uid="{00000000-0005-0000-0000-0000B6440000}"/>
    <cellStyle name="40% - Accent5 2 4 9 3" xfId="22972" xr:uid="{00000000-0005-0000-0000-0000B7440000}"/>
    <cellStyle name="40% - Accent5 2 5" xfId="4442" xr:uid="{00000000-0005-0000-0000-0000B8440000}"/>
    <cellStyle name="40% - Accent5 2 5 2" xfId="4443" xr:uid="{00000000-0005-0000-0000-0000B9440000}"/>
    <cellStyle name="40% - Accent5 2 5 2 2" xfId="4444" xr:uid="{00000000-0005-0000-0000-0000BA440000}"/>
    <cellStyle name="40% - Accent5 2 5 2 2 2" xfId="11188" xr:uid="{00000000-0005-0000-0000-0000BB440000}"/>
    <cellStyle name="40% - Accent5 2 5 2 2 2 2" xfId="25130" xr:uid="{00000000-0005-0000-0000-0000BC440000}"/>
    <cellStyle name="40% - Accent5 2 5 2 2 3" xfId="22970" xr:uid="{00000000-0005-0000-0000-0000BD440000}"/>
    <cellStyle name="40% - Accent5 2 5 2 3" xfId="4445" xr:uid="{00000000-0005-0000-0000-0000BE440000}"/>
    <cellStyle name="40% - Accent5 2 5 2 3 2" xfId="12969" xr:uid="{00000000-0005-0000-0000-0000BF440000}"/>
    <cellStyle name="40% - Accent5 2 5 2 3 2 2" xfId="26681" xr:uid="{00000000-0005-0000-0000-0000C0440000}"/>
    <cellStyle name="40% - Accent5 2 5 2 3 3" xfId="22969" xr:uid="{00000000-0005-0000-0000-0000C1440000}"/>
    <cellStyle name="40% - Accent5 2 5 2 4" xfId="4446" xr:uid="{00000000-0005-0000-0000-0000C2440000}"/>
    <cellStyle name="40% - Accent5 2 5 2 4 2" xfId="15411" xr:uid="{00000000-0005-0000-0000-0000C3440000}"/>
    <cellStyle name="40% - Accent5 2 5 2 4 2 2" xfId="28960" xr:uid="{00000000-0005-0000-0000-0000C4440000}"/>
    <cellStyle name="40% - Accent5 2 5 2 4 3" xfId="24256" xr:uid="{00000000-0005-0000-0000-0000C5440000}"/>
    <cellStyle name="40% - Accent5 2 5 2 5" xfId="9461" xr:uid="{00000000-0005-0000-0000-0000C6440000}"/>
    <cellStyle name="40% - Accent5 2 5 2 5 2" xfId="23936" xr:uid="{00000000-0005-0000-0000-0000C7440000}"/>
    <cellStyle name="40% - Accent5 2 5 2 6" xfId="22971" xr:uid="{00000000-0005-0000-0000-0000C8440000}"/>
    <cellStyle name="40% - Accent5 2 5 3" xfId="4447" xr:uid="{00000000-0005-0000-0000-0000C9440000}"/>
    <cellStyle name="40% - Accent5 2 5 3 2" xfId="11187" xr:uid="{00000000-0005-0000-0000-0000CA440000}"/>
    <cellStyle name="40% - Accent5 2 5 3 2 2" xfId="25129" xr:uid="{00000000-0005-0000-0000-0000CB440000}"/>
    <cellStyle name="40% - Accent5 2 5 3 3" xfId="22968" xr:uid="{00000000-0005-0000-0000-0000CC440000}"/>
    <cellStyle name="40% - Accent5 2 5 4" xfId="4448" xr:uid="{00000000-0005-0000-0000-0000CD440000}"/>
    <cellStyle name="40% - Accent5 2 5 4 2" xfId="12968" xr:uid="{00000000-0005-0000-0000-0000CE440000}"/>
    <cellStyle name="40% - Accent5 2 5 4 2 2" xfId="26680" xr:uid="{00000000-0005-0000-0000-0000CF440000}"/>
    <cellStyle name="40% - Accent5 2 5 4 3" xfId="22967" xr:uid="{00000000-0005-0000-0000-0000D0440000}"/>
    <cellStyle name="40% - Accent5 2 5 5" xfId="4449" xr:uid="{00000000-0005-0000-0000-0000D1440000}"/>
    <cellStyle name="40% - Accent5 2 5 5 2" xfId="15410" xr:uid="{00000000-0005-0000-0000-0000D2440000}"/>
    <cellStyle name="40% - Accent5 2 5 5 2 2" xfId="28959" xr:uid="{00000000-0005-0000-0000-0000D3440000}"/>
    <cellStyle name="40% - Accent5 2 5 5 3" xfId="29154" xr:uid="{00000000-0005-0000-0000-0000D4440000}"/>
    <cellStyle name="40% - Accent5 2 5 6" xfId="4450" xr:uid="{00000000-0005-0000-0000-0000D5440000}"/>
    <cellStyle name="40% - Accent5 2 5 6 2" xfId="17017" xr:uid="{00000000-0005-0000-0000-0000D6440000}"/>
    <cellStyle name="40% - Accent5 2 5 6 2 2" xfId="30424" xr:uid="{00000000-0005-0000-0000-0000D7440000}"/>
    <cellStyle name="40% - Accent5 2 5 6 3" xfId="22966" xr:uid="{00000000-0005-0000-0000-0000D8440000}"/>
    <cellStyle name="40% - Accent5 2 5 7" xfId="9460" xr:uid="{00000000-0005-0000-0000-0000D9440000}"/>
    <cellStyle name="40% - Accent5 2 5 7 2" xfId="23935" xr:uid="{00000000-0005-0000-0000-0000DA440000}"/>
    <cellStyle name="40% - Accent5 2 5 8" xfId="25279" xr:uid="{00000000-0005-0000-0000-0000DB440000}"/>
    <cellStyle name="40% - Accent5 2 6" xfId="4451" xr:uid="{00000000-0005-0000-0000-0000DC440000}"/>
    <cellStyle name="40% - Accent5 2 6 2" xfId="4452" xr:uid="{00000000-0005-0000-0000-0000DD440000}"/>
    <cellStyle name="40% - Accent5 2 6 2 2" xfId="11189" xr:uid="{00000000-0005-0000-0000-0000DE440000}"/>
    <cellStyle name="40% - Accent5 2 6 2 2 2" xfId="25131" xr:uid="{00000000-0005-0000-0000-0000DF440000}"/>
    <cellStyle name="40% - Accent5 2 6 2 3" xfId="26848" xr:uid="{00000000-0005-0000-0000-0000E0440000}"/>
    <cellStyle name="40% - Accent5 2 6 3" xfId="4453" xr:uid="{00000000-0005-0000-0000-0000E1440000}"/>
    <cellStyle name="40% - Accent5 2 6 3 2" xfId="12970" xr:uid="{00000000-0005-0000-0000-0000E2440000}"/>
    <cellStyle name="40% - Accent5 2 6 3 2 2" xfId="26682" xr:uid="{00000000-0005-0000-0000-0000E3440000}"/>
    <cellStyle name="40% - Accent5 2 6 3 3" xfId="22964" xr:uid="{00000000-0005-0000-0000-0000E4440000}"/>
    <cellStyle name="40% - Accent5 2 6 4" xfId="4454" xr:uid="{00000000-0005-0000-0000-0000E5440000}"/>
    <cellStyle name="40% - Accent5 2 6 4 2" xfId="15412" xr:uid="{00000000-0005-0000-0000-0000E6440000}"/>
    <cellStyle name="40% - Accent5 2 6 4 2 2" xfId="28961" xr:uid="{00000000-0005-0000-0000-0000E7440000}"/>
    <cellStyle name="40% - Accent5 2 6 4 3" xfId="22963" xr:uid="{00000000-0005-0000-0000-0000E8440000}"/>
    <cellStyle name="40% - Accent5 2 6 5" xfId="4455" xr:uid="{00000000-0005-0000-0000-0000E9440000}"/>
    <cellStyle name="40% - Accent5 2 6 5 2" xfId="17128" xr:uid="{00000000-0005-0000-0000-0000EA440000}"/>
    <cellStyle name="40% - Accent5 2 6 5 2 2" xfId="30487" xr:uid="{00000000-0005-0000-0000-0000EB440000}"/>
    <cellStyle name="40% - Accent5 2 6 5 3" xfId="24259" xr:uid="{00000000-0005-0000-0000-0000EC440000}"/>
    <cellStyle name="40% - Accent5 2 6 6" xfId="9462" xr:uid="{00000000-0005-0000-0000-0000ED440000}"/>
    <cellStyle name="40% - Accent5 2 6 6 2" xfId="23937" xr:uid="{00000000-0005-0000-0000-0000EE440000}"/>
    <cellStyle name="40% - Accent5 2 6 7" xfId="22965" xr:uid="{00000000-0005-0000-0000-0000EF440000}"/>
    <cellStyle name="40% - Accent5 2 7" xfId="4456" xr:uid="{00000000-0005-0000-0000-0000F0440000}"/>
    <cellStyle name="40% - Accent5 2 7 2" xfId="4457" xr:uid="{00000000-0005-0000-0000-0000F1440000}"/>
    <cellStyle name="40% - Accent5 2 7 2 2" xfId="11190" xr:uid="{00000000-0005-0000-0000-0000F2440000}"/>
    <cellStyle name="40% - Accent5 2 7 2 2 2" xfId="25132" xr:uid="{00000000-0005-0000-0000-0000F3440000}"/>
    <cellStyle name="40% - Accent5 2 7 2 3" xfId="25278" xr:uid="{00000000-0005-0000-0000-0000F4440000}"/>
    <cellStyle name="40% - Accent5 2 7 3" xfId="4458" xr:uid="{00000000-0005-0000-0000-0000F5440000}"/>
    <cellStyle name="40% - Accent5 2 7 3 2" xfId="12971" xr:uid="{00000000-0005-0000-0000-0000F6440000}"/>
    <cellStyle name="40% - Accent5 2 7 3 2 2" xfId="26683" xr:uid="{00000000-0005-0000-0000-0000F7440000}"/>
    <cellStyle name="40% - Accent5 2 7 3 3" xfId="22961" xr:uid="{00000000-0005-0000-0000-0000F8440000}"/>
    <cellStyle name="40% - Accent5 2 7 4" xfId="4459" xr:uid="{00000000-0005-0000-0000-0000F9440000}"/>
    <cellStyle name="40% - Accent5 2 7 4 2" xfId="15413" xr:uid="{00000000-0005-0000-0000-0000FA440000}"/>
    <cellStyle name="40% - Accent5 2 7 4 2 2" xfId="28962" xr:uid="{00000000-0005-0000-0000-0000FB440000}"/>
    <cellStyle name="40% - Accent5 2 7 4 3" xfId="22960" xr:uid="{00000000-0005-0000-0000-0000FC440000}"/>
    <cellStyle name="40% - Accent5 2 7 5" xfId="4460" xr:uid="{00000000-0005-0000-0000-0000FD440000}"/>
    <cellStyle name="40% - Accent5 2 7 5 2" xfId="17217" xr:uid="{00000000-0005-0000-0000-0000FE440000}"/>
    <cellStyle name="40% - Accent5 2 7 5 2 2" xfId="30576" xr:uid="{00000000-0005-0000-0000-0000FF440000}"/>
    <cellStyle name="40% - Accent5 2 7 5 3" xfId="24257" xr:uid="{00000000-0005-0000-0000-000000450000}"/>
    <cellStyle name="40% - Accent5 2 7 6" xfId="9463" xr:uid="{00000000-0005-0000-0000-000001450000}"/>
    <cellStyle name="40% - Accent5 2 7 6 2" xfId="23938" xr:uid="{00000000-0005-0000-0000-000002450000}"/>
    <cellStyle name="40% - Accent5 2 7 7" xfId="22962" xr:uid="{00000000-0005-0000-0000-000003450000}"/>
    <cellStyle name="40% - Accent5 2 8" xfId="4461" xr:uid="{00000000-0005-0000-0000-000004450000}"/>
    <cellStyle name="40% - Accent5 2 8 2" xfId="4462" xr:uid="{00000000-0005-0000-0000-000005450000}"/>
    <cellStyle name="40% - Accent5 2 8 2 2" xfId="12972" xr:uid="{00000000-0005-0000-0000-000006450000}"/>
    <cellStyle name="40% - Accent5 2 8 2 2 2" xfId="26684" xr:uid="{00000000-0005-0000-0000-000007450000}"/>
    <cellStyle name="40% - Accent5 2 8 2 3" xfId="22958" xr:uid="{00000000-0005-0000-0000-000008450000}"/>
    <cellStyle name="40% - Accent5 2 8 3" xfId="4463" xr:uid="{00000000-0005-0000-0000-000009450000}"/>
    <cellStyle name="40% - Accent5 2 8 3 2" xfId="15414" xr:uid="{00000000-0005-0000-0000-00000A450000}"/>
    <cellStyle name="40% - Accent5 2 8 3 2 2" xfId="28963" xr:uid="{00000000-0005-0000-0000-00000B450000}"/>
    <cellStyle name="40% - Accent5 2 8 3 3" xfId="29153" xr:uid="{00000000-0005-0000-0000-00000C450000}"/>
    <cellStyle name="40% - Accent5 2 8 4" xfId="4464" xr:uid="{00000000-0005-0000-0000-00000D450000}"/>
    <cellStyle name="40% - Accent5 2 8 4 2" xfId="16492" xr:uid="{00000000-0005-0000-0000-00000E450000}"/>
    <cellStyle name="40% - Accent5 2 8 4 2 2" xfId="29899" xr:uid="{00000000-0005-0000-0000-00000F450000}"/>
    <cellStyle name="40% - Accent5 2 8 4 3" xfId="22957" xr:uid="{00000000-0005-0000-0000-000010450000}"/>
    <cellStyle name="40% - Accent5 2 8 5" xfId="10538" xr:uid="{00000000-0005-0000-0000-000011450000}"/>
    <cellStyle name="40% - Accent5 2 8 5 2" xfId="24480" xr:uid="{00000000-0005-0000-0000-000012450000}"/>
    <cellStyle name="40% - Accent5 2 8 6" xfId="22959" xr:uid="{00000000-0005-0000-0000-000013450000}"/>
    <cellStyle name="40% - Accent5 2 9" xfId="4465" xr:uid="{00000000-0005-0000-0000-000014450000}"/>
    <cellStyle name="40% - Accent5 2 9 2" xfId="4466" xr:uid="{00000000-0005-0000-0000-000015450000}"/>
    <cellStyle name="40% - Accent5 2 9 2 2" xfId="12973" xr:uid="{00000000-0005-0000-0000-000016450000}"/>
    <cellStyle name="40% - Accent5 2 9 2 2 2" xfId="26685" xr:uid="{00000000-0005-0000-0000-000017450000}"/>
    <cellStyle name="40% - Accent5 2 9 2 3" xfId="26847" xr:uid="{00000000-0005-0000-0000-000018450000}"/>
    <cellStyle name="40% - Accent5 2 9 3" xfId="4467" xr:uid="{00000000-0005-0000-0000-000019450000}"/>
    <cellStyle name="40% - Accent5 2 9 3 2" xfId="15415" xr:uid="{00000000-0005-0000-0000-00001A450000}"/>
    <cellStyle name="40% - Accent5 2 9 3 2 2" xfId="28964" xr:uid="{00000000-0005-0000-0000-00001B450000}"/>
    <cellStyle name="40% - Accent5 2 9 3 3" xfId="22955" xr:uid="{00000000-0005-0000-0000-00001C450000}"/>
    <cellStyle name="40% - Accent5 2 9 4" xfId="11172" xr:uid="{00000000-0005-0000-0000-00001D450000}"/>
    <cellStyle name="40% - Accent5 2 9 4 2" xfId="25114" xr:uid="{00000000-0005-0000-0000-00001E450000}"/>
    <cellStyle name="40% - Accent5 2 9 5" xfId="22956" xr:uid="{00000000-0005-0000-0000-00001F450000}"/>
    <cellStyle name="40% - Accent5 20" xfId="4468" xr:uid="{00000000-0005-0000-0000-000020450000}"/>
    <cellStyle name="40% - Accent5 20 2" xfId="4469" xr:uid="{00000000-0005-0000-0000-000021450000}"/>
    <cellStyle name="40% - Accent5 20 2 2" xfId="12974" xr:uid="{00000000-0005-0000-0000-000022450000}"/>
    <cellStyle name="40% - Accent5 20 2 2 2" xfId="26686" xr:uid="{00000000-0005-0000-0000-000023450000}"/>
    <cellStyle name="40% - Accent5 20 2 3" xfId="24258" xr:uid="{00000000-0005-0000-0000-000024450000}"/>
    <cellStyle name="40% - Accent5 20 3" xfId="4470" xr:uid="{00000000-0005-0000-0000-000025450000}"/>
    <cellStyle name="40% - Accent5 20 3 2" xfId="15416" xr:uid="{00000000-0005-0000-0000-000026450000}"/>
    <cellStyle name="40% - Accent5 20 3 2 2" xfId="28965" xr:uid="{00000000-0005-0000-0000-000027450000}"/>
    <cellStyle name="40% - Accent5 20 3 3" xfId="22953" xr:uid="{00000000-0005-0000-0000-000028450000}"/>
    <cellStyle name="40% - Accent5 20 4" xfId="10513" xr:uid="{00000000-0005-0000-0000-000029450000}"/>
    <cellStyle name="40% - Accent5 20 4 2" xfId="24461" xr:uid="{00000000-0005-0000-0000-00002A450000}"/>
    <cellStyle name="40% - Accent5 20 5" xfId="22954" xr:uid="{00000000-0005-0000-0000-00002B450000}"/>
    <cellStyle name="40% - Accent5 21" xfId="4471" xr:uid="{00000000-0005-0000-0000-00002C450000}"/>
    <cellStyle name="40% - Accent5 21 2" xfId="4472" xr:uid="{00000000-0005-0000-0000-00002D450000}"/>
    <cellStyle name="40% - Accent5 21 2 2" xfId="12975" xr:uid="{00000000-0005-0000-0000-00002E450000}"/>
    <cellStyle name="40% - Accent5 21 2 2 2" xfId="26687" xr:uid="{00000000-0005-0000-0000-00002F450000}"/>
    <cellStyle name="40% - Accent5 21 2 3" xfId="22952" xr:uid="{00000000-0005-0000-0000-000030450000}"/>
    <cellStyle name="40% - Accent5 21 3" xfId="4473" xr:uid="{00000000-0005-0000-0000-000031450000}"/>
    <cellStyle name="40% - Accent5 21 3 2" xfId="15417" xr:uid="{00000000-0005-0000-0000-000032450000}"/>
    <cellStyle name="40% - Accent5 21 3 2 2" xfId="28966" xr:uid="{00000000-0005-0000-0000-000033450000}"/>
    <cellStyle name="40% - Accent5 21 3 3" xfId="22951" xr:uid="{00000000-0005-0000-0000-000034450000}"/>
    <cellStyle name="40% - Accent5 21 4" xfId="11161" xr:uid="{00000000-0005-0000-0000-000035450000}"/>
    <cellStyle name="40% - Accent5 21 4 2" xfId="25103" xr:uid="{00000000-0005-0000-0000-000036450000}"/>
    <cellStyle name="40% - Accent5 21 5" xfId="25277" xr:uid="{00000000-0005-0000-0000-000037450000}"/>
    <cellStyle name="40% - Accent5 22" xfId="4474" xr:uid="{00000000-0005-0000-0000-000038450000}"/>
    <cellStyle name="40% - Accent5 22 2" xfId="11749" xr:uid="{00000000-0005-0000-0000-000039450000}"/>
    <cellStyle name="40% - Accent5 22 2 2" xfId="25464" xr:uid="{00000000-0005-0000-0000-00003A450000}"/>
    <cellStyle name="40% - Accent5 22 3" xfId="22950" xr:uid="{00000000-0005-0000-0000-00003B450000}"/>
    <cellStyle name="40% - Accent5 23" xfId="4475" xr:uid="{00000000-0005-0000-0000-00003C450000}"/>
    <cellStyle name="40% - Accent5 23 2" xfId="12940" xr:uid="{00000000-0005-0000-0000-00003D450000}"/>
    <cellStyle name="40% - Accent5 23 2 2" xfId="26652" xr:uid="{00000000-0005-0000-0000-00003E450000}"/>
    <cellStyle name="40% - Accent5 23 3" xfId="22949" xr:uid="{00000000-0005-0000-0000-00003F450000}"/>
    <cellStyle name="40% - Accent5 24" xfId="4476" xr:uid="{00000000-0005-0000-0000-000040450000}"/>
    <cellStyle name="40% - Accent5 24 2" xfId="13388" xr:uid="{00000000-0005-0000-0000-000041450000}"/>
    <cellStyle name="40% - Accent5 24 2 2" xfId="26937" xr:uid="{00000000-0005-0000-0000-000042450000}"/>
    <cellStyle name="40% - Accent5 24 3" xfId="24255" xr:uid="{00000000-0005-0000-0000-000043450000}"/>
    <cellStyle name="40% - Accent5 25" xfId="4477" xr:uid="{00000000-0005-0000-0000-000044450000}"/>
    <cellStyle name="40% - Accent5 25 2" xfId="13969" xr:uid="{00000000-0005-0000-0000-000045450000}"/>
    <cellStyle name="40% - Accent5 25 2 2" xfId="27518" xr:uid="{00000000-0005-0000-0000-000046450000}"/>
    <cellStyle name="40% - Accent5 25 3" xfId="23241" xr:uid="{00000000-0005-0000-0000-000047450000}"/>
    <cellStyle name="40% - Accent5 26" xfId="4478" xr:uid="{00000000-0005-0000-0000-000048450000}"/>
    <cellStyle name="40% - Accent5 26 2" xfId="15374" xr:uid="{00000000-0005-0000-0000-000049450000}"/>
    <cellStyle name="40% - Accent5 26 2 2" xfId="28923" xr:uid="{00000000-0005-0000-0000-00004A450000}"/>
    <cellStyle name="40% - Accent5 26 3" xfId="30682" xr:uid="{00000000-0005-0000-0000-00004B450000}"/>
    <cellStyle name="40% - Accent5 27" xfId="4479" xr:uid="{00000000-0005-0000-0000-00004C450000}"/>
    <cellStyle name="40% - Accent5 27 2" xfId="15831" xr:uid="{00000000-0005-0000-0000-00004D450000}"/>
    <cellStyle name="40% - Accent5 27 2 2" xfId="29238" xr:uid="{00000000-0005-0000-0000-00004E450000}"/>
    <cellStyle name="40% - Accent5 27 3" xfId="22948" xr:uid="{00000000-0005-0000-0000-00004F450000}"/>
    <cellStyle name="40% - Accent5 28" xfId="4480" xr:uid="{00000000-0005-0000-0000-000050450000}"/>
    <cellStyle name="40% - Accent5 28 2" xfId="15855" xr:uid="{00000000-0005-0000-0000-000051450000}"/>
    <cellStyle name="40% - Accent5 28 2 2" xfId="29262" xr:uid="{00000000-0005-0000-0000-000052450000}"/>
    <cellStyle name="40% - Accent5 28 3" xfId="22947" xr:uid="{00000000-0005-0000-0000-000053450000}"/>
    <cellStyle name="40% - Accent5 29" xfId="4481" xr:uid="{00000000-0005-0000-0000-000054450000}"/>
    <cellStyle name="40% - Accent5 29 2" xfId="9434" xr:uid="{00000000-0005-0000-0000-000055450000}"/>
    <cellStyle name="40% - Accent5 29 2 2" xfId="23909" xr:uid="{00000000-0005-0000-0000-000056450000}"/>
    <cellStyle name="40% - Accent5 29 3" xfId="24221" xr:uid="{00000000-0005-0000-0000-000057450000}"/>
    <cellStyle name="40% - Accent5 3" xfId="4482" xr:uid="{00000000-0005-0000-0000-000058450000}"/>
    <cellStyle name="40% - Accent5 3 10" xfId="4483" xr:uid="{00000000-0005-0000-0000-000059450000}"/>
    <cellStyle name="40% - Accent5 3 10 2" xfId="14048" xr:uid="{00000000-0005-0000-0000-00005A450000}"/>
    <cellStyle name="40% - Accent5 3 10 2 2" xfId="27597" xr:uid="{00000000-0005-0000-0000-00005B450000}"/>
    <cellStyle name="40% - Accent5 3 10 3" xfId="22946" xr:uid="{00000000-0005-0000-0000-00005C450000}"/>
    <cellStyle name="40% - Accent5 3 11" xfId="4484" xr:uid="{00000000-0005-0000-0000-00005D450000}"/>
    <cellStyle name="40% - Accent5 3 11 2" xfId="15418" xr:uid="{00000000-0005-0000-0000-00005E450000}"/>
    <cellStyle name="40% - Accent5 3 11 2 2" xfId="28967" xr:uid="{00000000-0005-0000-0000-00005F450000}"/>
    <cellStyle name="40% - Accent5 3 11 3" xfId="22945" xr:uid="{00000000-0005-0000-0000-000060450000}"/>
    <cellStyle name="40% - Accent5 3 12" xfId="4485" xr:uid="{00000000-0005-0000-0000-000061450000}"/>
    <cellStyle name="40% - Accent5 3 12 2" xfId="15934" xr:uid="{00000000-0005-0000-0000-000062450000}"/>
    <cellStyle name="40% - Accent5 3 12 2 2" xfId="29341" xr:uid="{00000000-0005-0000-0000-000063450000}"/>
    <cellStyle name="40% - Accent5 3 12 3" xfId="22944" xr:uid="{00000000-0005-0000-0000-000064450000}"/>
    <cellStyle name="40% - Accent5 3 13" xfId="9464" xr:uid="{00000000-0005-0000-0000-000065450000}"/>
    <cellStyle name="40% - Accent5 3 13 2" xfId="23939" xr:uid="{00000000-0005-0000-0000-000066450000}"/>
    <cellStyle name="40% - Accent5 3 14" xfId="23204" xr:uid="{00000000-0005-0000-0000-000067450000}"/>
    <cellStyle name="40% - Accent5 3 2" xfId="4486" xr:uid="{00000000-0005-0000-0000-000068450000}"/>
    <cellStyle name="40% - Accent5 3 2 10" xfId="4487" xr:uid="{00000000-0005-0000-0000-000069450000}"/>
    <cellStyle name="40% - Accent5 3 2 10 2" xfId="16077" xr:uid="{00000000-0005-0000-0000-00006A450000}"/>
    <cellStyle name="40% - Accent5 3 2 10 2 2" xfId="29484" xr:uid="{00000000-0005-0000-0000-00006B450000}"/>
    <cellStyle name="40% - Accent5 3 2 10 3" xfId="22942" xr:uid="{00000000-0005-0000-0000-00006C450000}"/>
    <cellStyle name="40% - Accent5 3 2 11" xfId="9465" xr:uid="{00000000-0005-0000-0000-00006D450000}"/>
    <cellStyle name="40% - Accent5 3 2 11 2" xfId="23940" xr:uid="{00000000-0005-0000-0000-00006E450000}"/>
    <cellStyle name="40% - Accent5 3 2 12" xfId="22943" xr:uid="{00000000-0005-0000-0000-00006F450000}"/>
    <cellStyle name="40% - Accent5 3 2 2" xfId="4488" xr:uid="{00000000-0005-0000-0000-000070450000}"/>
    <cellStyle name="40% - Accent5 3 2 2 10" xfId="9466" xr:uid="{00000000-0005-0000-0000-000071450000}"/>
    <cellStyle name="40% - Accent5 3 2 2 10 2" xfId="23941" xr:uid="{00000000-0005-0000-0000-000072450000}"/>
    <cellStyle name="40% - Accent5 3 2 2 11" xfId="25256" xr:uid="{00000000-0005-0000-0000-000073450000}"/>
    <cellStyle name="40% - Accent5 3 2 2 2" xfId="4489" xr:uid="{00000000-0005-0000-0000-000074450000}"/>
    <cellStyle name="40% - Accent5 3 2 2 2 2" xfId="4490" xr:uid="{00000000-0005-0000-0000-000075450000}"/>
    <cellStyle name="40% - Accent5 3 2 2 2 2 2" xfId="11194" xr:uid="{00000000-0005-0000-0000-000076450000}"/>
    <cellStyle name="40% - Accent5 3 2 2 2 2 2 2" xfId="25136" xr:uid="{00000000-0005-0000-0000-000077450000}"/>
    <cellStyle name="40% - Accent5 3 2 2 2 2 3" xfId="29152" xr:uid="{00000000-0005-0000-0000-000078450000}"/>
    <cellStyle name="40% - Accent5 3 2 2 2 3" xfId="4491" xr:uid="{00000000-0005-0000-0000-000079450000}"/>
    <cellStyle name="40% - Accent5 3 2 2 2 3 2" xfId="12979" xr:uid="{00000000-0005-0000-0000-00007A450000}"/>
    <cellStyle name="40% - Accent5 3 2 2 2 3 2 2" xfId="26691" xr:uid="{00000000-0005-0000-0000-00007B450000}"/>
    <cellStyle name="40% - Accent5 3 2 2 2 3 3" xfId="22940" xr:uid="{00000000-0005-0000-0000-00007C450000}"/>
    <cellStyle name="40% - Accent5 3 2 2 2 4" xfId="4492" xr:uid="{00000000-0005-0000-0000-00007D450000}"/>
    <cellStyle name="40% - Accent5 3 2 2 2 4 2" xfId="15421" xr:uid="{00000000-0005-0000-0000-00007E450000}"/>
    <cellStyle name="40% - Accent5 3 2 2 2 4 2 2" xfId="28970" xr:uid="{00000000-0005-0000-0000-00007F450000}"/>
    <cellStyle name="40% - Accent5 3 2 2 2 4 3" xfId="22939" xr:uid="{00000000-0005-0000-0000-000080450000}"/>
    <cellStyle name="40% - Accent5 3 2 2 2 5" xfId="4493" xr:uid="{00000000-0005-0000-0000-000081450000}"/>
    <cellStyle name="40% - Accent5 3 2 2 2 5 2" xfId="16947" xr:uid="{00000000-0005-0000-0000-000082450000}"/>
    <cellStyle name="40% - Accent5 3 2 2 2 5 2 2" xfId="30354" xr:uid="{00000000-0005-0000-0000-000083450000}"/>
    <cellStyle name="40% - Accent5 3 2 2 2 5 3" xfId="22938" xr:uid="{00000000-0005-0000-0000-000084450000}"/>
    <cellStyle name="40% - Accent5 3 2 2 2 6" xfId="9467" xr:uid="{00000000-0005-0000-0000-000085450000}"/>
    <cellStyle name="40% - Accent5 3 2 2 2 6 2" xfId="23942" xr:uid="{00000000-0005-0000-0000-000086450000}"/>
    <cellStyle name="40% - Accent5 3 2 2 2 7" xfId="22941" xr:uid="{00000000-0005-0000-0000-000087450000}"/>
    <cellStyle name="40% - Accent5 3 2 2 3" xfId="4494" xr:uid="{00000000-0005-0000-0000-000088450000}"/>
    <cellStyle name="40% - Accent5 3 2 2 3 2" xfId="4495" xr:uid="{00000000-0005-0000-0000-000089450000}"/>
    <cellStyle name="40% - Accent5 3 2 2 3 2 2" xfId="15422" xr:uid="{00000000-0005-0000-0000-00008A450000}"/>
    <cellStyle name="40% - Accent5 3 2 2 3 2 2 2" xfId="28971" xr:uid="{00000000-0005-0000-0000-00008B450000}"/>
    <cellStyle name="40% - Accent5 3 2 2 3 2 3" xfId="22937" xr:uid="{00000000-0005-0000-0000-00008C450000}"/>
    <cellStyle name="40% - Accent5 3 2 2 3 3" xfId="11193" xr:uid="{00000000-0005-0000-0000-00008D450000}"/>
    <cellStyle name="40% - Accent5 3 2 2 3 3 2" xfId="25135" xr:uid="{00000000-0005-0000-0000-00008E450000}"/>
    <cellStyle name="40% - Accent5 3 2 2 3 4" xfId="29151" xr:uid="{00000000-0005-0000-0000-00008F450000}"/>
    <cellStyle name="40% - Accent5 3 2 2 4" xfId="4496" xr:uid="{00000000-0005-0000-0000-000090450000}"/>
    <cellStyle name="40% - Accent5 3 2 2 4 2" xfId="12335" xr:uid="{00000000-0005-0000-0000-000091450000}"/>
    <cellStyle name="40% - Accent5 3 2 2 4 2 2" xfId="26047" xr:uid="{00000000-0005-0000-0000-000092450000}"/>
    <cellStyle name="40% - Accent5 3 2 2 4 3" xfId="22936" xr:uid="{00000000-0005-0000-0000-000093450000}"/>
    <cellStyle name="40% - Accent5 3 2 2 5" xfId="4497" xr:uid="{00000000-0005-0000-0000-000094450000}"/>
    <cellStyle name="40% - Accent5 3 2 2 5 2" xfId="12978" xr:uid="{00000000-0005-0000-0000-000095450000}"/>
    <cellStyle name="40% - Accent5 3 2 2 5 2 2" xfId="26690" xr:uid="{00000000-0005-0000-0000-000096450000}"/>
    <cellStyle name="40% - Accent5 3 2 2 5 3" xfId="22935" xr:uid="{00000000-0005-0000-0000-000097450000}"/>
    <cellStyle name="40% - Accent5 3 2 2 6" xfId="4498" xr:uid="{00000000-0005-0000-0000-000098450000}"/>
    <cellStyle name="40% - Accent5 3 2 2 6 2" xfId="13899" xr:uid="{00000000-0005-0000-0000-000099450000}"/>
    <cellStyle name="40% - Accent5 3 2 2 6 2 2" xfId="27448" xr:uid="{00000000-0005-0000-0000-00009A450000}"/>
    <cellStyle name="40% - Accent5 3 2 2 6 3" xfId="22934" xr:uid="{00000000-0005-0000-0000-00009B450000}"/>
    <cellStyle name="40% - Accent5 3 2 2 7" xfId="4499" xr:uid="{00000000-0005-0000-0000-00009C450000}"/>
    <cellStyle name="40% - Accent5 3 2 2 7 2" xfId="14480" xr:uid="{00000000-0005-0000-0000-00009D450000}"/>
    <cellStyle name="40% - Accent5 3 2 2 7 2 2" xfId="28029" xr:uid="{00000000-0005-0000-0000-00009E450000}"/>
    <cellStyle name="40% - Accent5 3 2 2 7 3" xfId="24254" xr:uid="{00000000-0005-0000-0000-00009F450000}"/>
    <cellStyle name="40% - Accent5 3 2 2 8" xfId="4500" xr:uid="{00000000-0005-0000-0000-0000A0450000}"/>
    <cellStyle name="40% - Accent5 3 2 2 8 2" xfId="15420" xr:uid="{00000000-0005-0000-0000-0000A1450000}"/>
    <cellStyle name="40% - Accent5 3 2 2 8 2 2" xfId="28969" xr:uid="{00000000-0005-0000-0000-0000A2450000}"/>
    <cellStyle name="40% - Accent5 3 2 2 8 3" xfId="25276" xr:uid="{00000000-0005-0000-0000-0000A3450000}"/>
    <cellStyle name="40% - Accent5 3 2 2 9" xfId="4501" xr:uid="{00000000-0005-0000-0000-0000A4450000}"/>
    <cellStyle name="40% - Accent5 3 2 2 9 2" xfId="16366" xr:uid="{00000000-0005-0000-0000-0000A5450000}"/>
    <cellStyle name="40% - Accent5 3 2 2 9 2 2" xfId="29773" xr:uid="{00000000-0005-0000-0000-0000A6450000}"/>
    <cellStyle name="40% - Accent5 3 2 2 9 3" xfId="22933" xr:uid="{00000000-0005-0000-0000-0000A7450000}"/>
    <cellStyle name="40% - Accent5 3 2 3" xfId="4502" xr:uid="{00000000-0005-0000-0000-0000A8450000}"/>
    <cellStyle name="40% - Accent5 3 2 3 2" xfId="4503" xr:uid="{00000000-0005-0000-0000-0000A9450000}"/>
    <cellStyle name="40% - Accent5 3 2 3 2 2" xfId="11195" xr:uid="{00000000-0005-0000-0000-0000AA450000}"/>
    <cellStyle name="40% - Accent5 3 2 3 2 2 2" xfId="25137" xr:uid="{00000000-0005-0000-0000-0000AB450000}"/>
    <cellStyle name="40% - Accent5 3 2 3 2 3" xfId="29150" xr:uid="{00000000-0005-0000-0000-0000AC450000}"/>
    <cellStyle name="40% - Accent5 3 2 3 3" xfId="4504" xr:uid="{00000000-0005-0000-0000-0000AD450000}"/>
    <cellStyle name="40% - Accent5 3 2 3 3 2" xfId="12980" xr:uid="{00000000-0005-0000-0000-0000AE450000}"/>
    <cellStyle name="40% - Accent5 3 2 3 3 2 2" xfId="26692" xr:uid="{00000000-0005-0000-0000-0000AF450000}"/>
    <cellStyle name="40% - Accent5 3 2 3 3 3" xfId="22931" xr:uid="{00000000-0005-0000-0000-0000B0450000}"/>
    <cellStyle name="40% - Accent5 3 2 3 4" xfId="4505" xr:uid="{00000000-0005-0000-0000-0000B1450000}"/>
    <cellStyle name="40% - Accent5 3 2 3 4 2" xfId="15423" xr:uid="{00000000-0005-0000-0000-0000B2450000}"/>
    <cellStyle name="40% - Accent5 3 2 3 4 2 2" xfId="28972" xr:uid="{00000000-0005-0000-0000-0000B3450000}"/>
    <cellStyle name="40% - Accent5 3 2 3 4 3" xfId="22930" xr:uid="{00000000-0005-0000-0000-0000B4450000}"/>
    <cellStyle name="40% - Accent5 3 2 3 5" xfId="4506" xr:uid="{00000000-0005-0000-0000-0000B5450000}"/>
    <cellStyle name="40% - Accent5 3 2 3 5 2" xfId="16658" xr:uid="{00000000-0005-0000-0000-0000B6450000}"/>
    <cellStyle name="40% - Accent5 3 2 3 5 2 2" xfId="30065" xr:uid="{00000000-0005-0000-0000-0000B7450000}"/>
    <cellStyle name="40% - Accent5 3 2 3 5 3" xfId="22929" xr:uid="{00000000-0005-0000-0000-0000B8450000}"/>
    <cellStyle name="40% - Accent5 3 2 3 6" xfId="9468" xr:uid="{00000000-0005-0000-0000-0000B9450000}"/>
    <cellStyle name="40% - Accent5 3 2 3 6 2" xfId="23943" xr:uid="{00000000-0005-0000-0000-0000BA450000}"/>
    <cellStyle name="40% - Accent5 3 2 3 7" xfId="22932" xr:uid="{00000000-0005-0000-0000-0000BB450000}"/>
    <cellStyle name="40% - Accent5 3 2 4" xfId="4507" xr:uid="{00000000-0005-0000-0000-0000BC450000}"/>
    <cellStyle name="40% - Accent5 3 2 4 2" xfId="4508" xr:uid="{00000000-0005-0000-0000-0000BD450000}"/>
    <cellStyle name="40% - Accent5 3 2 4 2 2" xfId="15424" xr:uid="{00000000-0005-0000-0000-0000BE450000}"/>
    <cellStyle name="40% - Accent5 3 2 4 2 2 2" xfId="28973" xr:uid="{00000000-0005-0000-0000-0000BF450000}"/>
    <cellStyle name="40% - Accent5 3 2 4 2 3" xfId="22928" xr:uid="{00000000-0005-0000-0000-0000C0450000}"/>
    <cellStyle name="40% - Accent5 3 2 4 3" xfId="11192" xr:uid="{00000000-0005-0000-0000-0000C1450000}"/>
    <cellStyle name="40% - Accent5 3 2 4 3 2" xfId="25134" xr:uid="{00000000-0005-0000-0000-0000C2450000}"/>
    <cellStyle name="40% - Accent5 3 2 4 4" xfId="24253" xr:uid="{00000000-0005-0000-0000-0000C3450000}"/>
    <cellStyle name="40% - Accent5 3 2 5" xfId="4509" xr:uid="{00000000-0005-0000-0000-0000C4450000}"/>
    <cellStyle name="40% - Accent5 3 2 5 2" xfId="12035" xr:uid="{00000000-0005-0000-0000-0000C5450000}"/>
    <cellStyle name="40% - Accent5 3 2 5 2 2" xfId="25750" xr:uid="{00000000-0005-0000-0000-0000C6450000}"/>
    <cellStyle name="40% - Accent5 3 2 5 3" xfId="25275" xr:uid="{00000000-0005-0000-0000-0000C7450000}"/>
    <cellStyle name="40% - Accent5 3 2 6" xfId="4510" xr:uid="{00000000-0005-0000-0000-0000C8450000}"/>
    <cellStyle name="40% - Accent5 3 2 6 2" xfId="12977" xr:uid="{00000000-0005-0000-0000-0000C9450000}"/>
    <cellStyle name="40% - Accent5 3 2 6 2 2" xfId="26689" xr:uid="{00000000-0005-0000-0000-0000CA450000}"/>
    <cellStyle name="40% - Accent5 3 2 6 3" xfId="22927" xr:uid="{00000000-0005-0000-0000-0000CB450000}"/>
    <cellStyle name="40% - Accent5 3 2 7" xfId="4511" xr:uid="{00000000-0005-0000-0000-0000CC450000}"/>
    <cellStyle name="40% - Accent5 3 2 7 2" xfId="13610" xr:uid="{00000000-0005-0000-0000-0000CD450000}"/>
    <cellStyle name="40% - Accent5 3 2 7 2 2" xfId="27159" xr:uid="{00000000-0005-0000-0000-0000CE450000}"/>
    <cellStyle name="40% - Accent5 3 2 7 3" xfId="22926" xr:uid="{00000000-0005-0000-0000-0000CF450000}"/>
    <cellStyle name="40% - Accent5 3 2 8" xfId="4512" xr:uid="{00000000-0005-0000-0000-0000D0450000}"/>
    <cellStyle name="40% - Accent5 3 2 8 2" xfId="14191" xr:uid="{00000000-0005-0000-0000-0000D1450000}"/>
    <cellStyle name="40% - Accent5 3 2 8 2 2" xfId="27740" xr:uid="{00000000-0005-0000-0000-0000D2450000}"/>
    <cellStyle name="40% - Accent5 3 2 8 3" xfId="24252" xr:uid="{00000000-0005-0000-0000-0000D3450000}"/>
    <cellStyle name="40% - Accent5 3 2 9" xfId="4513" xr:uid="{00000000-0005-0000-0000-0000D4450000}"/>
    <cellStyle name="40% - Accent5 3 2 9 2" xfId="15419" xr:uid="{00000000-0005-0000-0000-0000D5450000}"/>
    <cellStyle name="40% - Accent5 3 2 9 2 2" xfId="28968" xr:uid="{00000000-0005-0000-0000-0000D6450000}"/>
    <cellStyle name="40% - Accent5 3 2 9 3" xfId="22925" xr:uid="{00000000-0005-0000-0000-0000D7450000}"/>
    <cellStyle name="40% - Accent5 3 3" xfId="4514" xr:uid="{00000000-0005-0000-0000-0000D8450000}"/>
    <cellStyle name="40% - Accent5 3 3 10" xfId="9469" xr:uid="{00000000-0005-0000-0000-0000D9450000}"/>
    <cellStyle name="40% - Accent5 3 3 10 2" xfId="23944" xr:uid="{00000000-0005-0000-0000-0000DA450000}"/>
    <cellStyle name="40% - Accent5 3 3 11" xfId="25274" xr:uid="{00000000-0005-0000-0000-0000DB450000}"/>
    <cellStyle name="40% - Accent5 3 3 2" xfId="4515" xr:uid="{00000000-0005-0000-0000-0000DC450000}"/>
    <cellStyle name="40% - Accent5 3 3 2 2" xfId="4516" xr:uid="{00000000-0005-0000-0000-0000DD450000}"/>
    <cellStyle name="40% - Accent5 3 3 2 2 2" xfId="11197" xr:uid="{00000000-0005-0000-0000-0000DE450000}"/>
    <cellStyle name="40% - Accent5 3 3 2 2 2 2" xfId="25139" xr:uid="{00000000-0005-0000-0000-0000DF450000}"/>
    <cellStyle name="40% - Accent5 3 3 2 2 3" xfId="22923" xr:uid="{00000000-0005-0000-0000-0000E0450000}"/>
    <cellStyle name="40% - Accent5 3 3 2 3" xfId="4517" xr:uid="{00000000-0005-0000-0000-0000E1450000}"/>
    <cellStyle name="40% - Accent5 3 3 2 3 2" xfId="12982" xr:uid="{00000000-0005-0000-0000-0000E2450000}"/>
    <cellStyle name="40% - Accent5 3 3 2 3 2 2" xfId="26694" xr:uid="{00000000-0005-0000-0000-0000E3450000}"/>
    <cellStyle name="40% - Accent5 3 3 2 3 3" xfId="24251" xr:uid="{00000000-0005-0000-0000-0000E4450000}"/>
    <cellStyle name="40% - Accent5 3 3 2 4" xfId="4518" xr:uid="{00000000-0005-0000-0000-0000E5450000}"/>
    <cellStyle name="40% - Accent5 3 3 2 4 2" xfId="15426" xr:uid="{00000000-0005-0000-0000-0000E6450000}"/>
    <cellStyle name="40% - Accent5 3 3 2 4 2 2" xfId="28975" xr:uid="{00000000-0005-0000-0000-0000E7450000}"/>
    <cellStyle name="40% - Accent5 3 3 2 4 3" xfId="22922" xr:uid="{00000000-0005-0000-0000-0000E8450000}"/>
    <cellStyle name="40% - Accent5 3 3 2 5" xfId="4519" xr:uid="{00000000-0005-0000-0000-0000E9450000}"/>
    <cellStyle name="40% - Accent5 3 3 2 5 2" xfId="16804" xr:uid="{00000000-0005-0000-0000-0000EA450000}"/>
    <cellStyle name="40% - Accent5 3 3 2 5 2 2" xfId="30211" xr:uid="{00000000-0005-0000-0000-0000EB450000}"/>
    <cellStyle name="40% - Accent5 3 3 2 5 3" xfId="22921" xr:uid="{00000000-0005-0000-0000-0000EC450000}"/>
    <cellStyle name="40% - Accent5 3 3 2 6" xfId="9470" xr:uid="{00000000-0005-0000-0000-0000ED450000}"/>
    <cellStyle name="40% - Accent5 3 3 2 6 2" xfId="23945" xr:uid="{00000000-0005-0000-0000-0000EE450000}"/>
    <cellStyle name="40% - Accent5 3 3 2 7" xfId="22924" xr:uid="{00000000-0005-0000-0000-0000EF450000}"/>
    <cellStyle name="40% - Accent5 3 3 3" xfId="4520" xr:uid="{00000000-0005-0000-0000-0000F0450000}"/>
    <cellStyle name="40% - Accent5 3 3 3 2" xfId="4521" xr:uid="{00000000-0005-0000-0000-0000F1450000}"/>
    <cellStyle name="40% - Accent5 3 3 3 2 2" xfId="15427" xr:uid="{00000000-0005-0000-0000-0000F2450000}"/>
    <cellStyle name="40% - Accent5 3 3 3 2 2 2" xfId="28976" xr:uid="{00000000-0005-0000-0000-0000F3450000}"/>
    <cellStyle name="40% - Accent5 3 3 3 2 3" xfId="22920" xr:uid="{00000000-0005-0000-0000-0000F4450000}"/>
    <cellStyle name="40% - Accent5 3 3 3 3" xfId="11196" xr:uid="{00000000-0005-0000-0000-0000F5450000}"/>
    <cellStyle name="40% - Accent5 3 3 3 3 2" xfId="25138" xr:uid="{00000000-0005-0000-0000-0000F6450000}"/>
    <cellStyle name="40% - Accent5 3 3 3 4" xfId="24249" xr:uid="{00000000-0005-0000-0000-0000F7450000}"/>
    <cellStyle name="40% - Accent5 3 3 4" xfId="4522" xr:uid="{00000000-0005-0000-0000-0000F8450000}"/>
    <cellStyle name="40% - Accent5 3 3 4 2" xfId="12192" xr:uid="{00000000-0005-0000-0000-0000F9450000}"/>
    <cellStyle name="40% - Accent5 3 3 4 2 2" xfId="25904" xr:uid="{00000000-0005-0000-0000-0000FA450000}"/>
    <cellStyle name="40% - Accent5 3 3 4 3" xfId="25272" xr:uid="{00000000-0005-0000-0000-0000FB450000}"/>
    <cellStyle name="40% - Accent5 3 3 5" xfId="4523" xr:uid="{00000000-0005-0000-0000-0000FC450000}"/>
    <cellStyle name="40% - Accent5 3 3 5 2" xfId="12981" xr:uid="{00000000-0005-0000-0000-0000FD450000}"/>
    <cellStyle name="40% - Accent5 3 3 5 2 2" xfId="26693" xr:uid="{00000000-0005-0000-0000-0000FE450000}"/>
    <cellStyle name="40% - Accent5 3 3 5 3" xfId="22919" xr:uid="{00000000-0005-0000-0000-0000FF450000}"/>
    <cellStyle name="40% - Accent5 3 3 6" xfId="4524" xr:uid="{00000000-0005-0000-0000-000000460000}"/>
    <cellStyle name="40% - Accent5 3 3 6 2" xfId="13756" xr:uid="{00000000-0005-0000-0000-000001460000}"/>
    <cellStyle name="40% - Accent5 3 3 6 2 2" xfId="27305" xr:uid="{00000000-0005-0000-0000-000002460000}"/>
    <cellStyle name="40% - Accent5 3 3 6 3" xfId="24250" xr:uid="{00000000-0005-0000-0000-000003460000}"/>
    <cellStyle name="40% - Accent5 3 3 7" xfId="4525" xr:uid="{00000000-0005-0000-0000-000004460000}"/>
    <cellStyle name="40% - Accent5 3 3 7 2" xfId="14337" xr:uid="{00000000-0005-0000-0000-000005460000}"/>
    <cellStyle name="40% - Accent5 3 3 7 2 2" xfId="27886" xr:uid="{00000000-0005-0000-0000-000006460000}"/>
    <cellStyle name="40% - Accent5 3 3 7 3" xfId="25273" xr:uid="{00000000-0005-0000-0000-000007460000}"/>
    <cellStyle name="40% - Accent5 3 3 8" xfId="4526" xr:uid="{00000000-0005-0000-0000-000008460000}"/>
    <cellStyle name="40% - Accent5 3 3 8 2" xfId="15425" xr:uid="{00000000-0005-0000-0000-000009460000}"/>
    <cellStyle name="40% - Accent5 3 3 8 2 2" xfId="28974" xr:uid="{00000000-0005-0000-0000-00000A460000}"/>
    <cellStyle name="40% - Accent5 3 3 8 3" xfId="22918" xr:uid="{00000000-0005-0000-0000-00000B460000}"/>
    <cellStyle name="40% - Accent5 3 3 9" xfId="4527" xr:uid="{00000000-0005-0000-0000-00000C460000}"/>
    <cellStyle name="40% - Accent5 3 3 9 2" xfId="16223" xr:uid="{00000000-0005-0000-0000-00000D460000}"/>
    <cellStyle name="40% - Accent5 3 3 9 2 2" xfId="29630" xr:uid="{00000000-0005-0000-0000-00000E460000}"/>
    <cellStyle name="40% - Accent5 3 3 9 3" xfId="22917" xr:uid="{00000000-0005-0000-0000-00000F460000}"/>
    <cellStyle name="40% - Accent5 3 4" xfId="4528" xr:uid="{00000000-0005-0000-0000-000010460000}"/>
    <cellStyle name="40% - Accent5 3 4 2" xfId="4529" xr:uid="{00000000-0005-0000-0000-000011460000}"/>
    <cellStyle name="40% - Accent5 3 4 2 2" xfId="11198" xr:uid="{00000000-0005-0000-0000-000012460000}"/>
    <cellStyle name="40% - Accent5 3 4 2 2 2" xfId="25140" xr:uid="{00000000-0005-0000-0000-000013460000}"/>
    <cellStyle name="40% - Accent5 3 4 2 3" xfId="24247" xr:uid="{00000000-0005-0000-0000-000014460000}"/>
    <cellStyle name="40% - Accent5 3 4 3" xfId="4530" xr:uid="{00000000-0005-0000-0000-000015460000}"/>
    <cellStyle name="40% - Accent5 3 4 3 2" xfId="12983" xr:uid="{00000000-0005-0000-0000-000016460000}"/>
    <cellStyle name="40% - Accent5 3 4 3 2 2" xfId="26695" xr:uid="{00000000-0005-0000-0000-000017460000}"/>
    <cellStyle name="40% - Accent5 3 4 3 3" xfId="22915" xr:uid="{00000000-0005-0000-0000-000018460000}"/>
    <cellStyle name="40% - Accent5 3 4 4" xfId="4531" xr:uid="{00000000-0005-0000-0000-000019460000}"/>
    <cellStyle name="40% - Accent5 3 4 4 2" xfId="15428" xr:uid="{00000000-0005-0000-0000-00001A460000}"/>
    <cellStyle name="40% - Accent5 3 4 4 2 2" xfId="28977" xr:uid="{00000000-0005-0000-0000-00001B460000}"/>
    <cellStyle name="40% - Accent5 3 4 4 3" xfId="22914" xr:uid="{00000000-0005-0000-0000-00001C460000}"/>
    <cellStyle name="40% - Accent5 3 4 5" xfId="4532" xr:uid="{00000000-0005-0000-0000-00001D460000}"/>
    <cellStyle name="40% - Accent5 3 4 5 2" xfId="17151" xr:uid="{00000000-0005-0000-0000-00001E460000}"/>
    <cellStyle name="40% - Accent5 3 4 5 2 2" xfId="30510" xr:uid="{00000000-0005-0000-0000-00001F460000}"/>
    <cellStyle name="40% - Accent5 3 4 5 3" xfId="29149" xr:uid="{00000000-0005-0000-0000-000020460000}"/>
    <cellStyle name="40% - Accent5 3 4 6" xfId="9471" xr:uid="{00000000-0005-0000-0000-000021460000}"/>
    <cellStyle name="40% - Accent5 3 4 6 2" xfId="23946" xr:uid="{00000000-0005-0000-0000-000022460000}"/>
    <cellStyle name="40% - Accent5 3 4 7" xfId="22916" xr:uid="{00000000-0005-0000-0000-000023460000}"/>
    <cellStyle name="40% - Accent5 3 5" xfId="4533" xr:uid="{00000000-0005-0000-0000-000024460000}"/>
    <cellStyle name="40% - Accent5 3 5 2" xfId="4534" xr:uid="{00000000-0005-0000-0000-000025460000}"/>
    <cellStyle name="40% - Accent5 3 5 2 2" xfId="11199" xr:uid="{00000000-0005-0000-0000-000026460000}"/>
    <cellStyle name="40% - Accent5 3 5 2 2 2" xfId="25141" xr:uid="{00000000-0005-0000-0000-000027460000}"/>
    <cellStyle name="40% - Accent5 3 5 2 3" xfId="22912" xr:uid="{00000000-0005-0000-0000-000028460000}"/>
    <cellStyle name="40% - Accent5 3 5 3" xfId="4535" xr:uid="{00000000-0005-0000-0000-000029460000}"/>
    <cellStyle name="40% - Accent5 3 5 3 2" xfId="12984" xr:uid="{00000000-0005-0000-0000-00002A460000}"/>
    <cellStyle name="40% - Accent5 3 5 3 2 2" xfId="26696" xr:uid="{00000000-0005-0000-0000-00002B460000}"/>
    <cellStyle name="40% - Accent5 3 5 3 3" xfId="26843" xr:uid="{00000000-0005-0000-0000-00002C460000}"/>
    <cellStyle name="40% - Accent5 3 5 4" xfId="4536" xr:uid="{00000000-0005-0000-0000-00002D460000}"/>
    <cellStyle name="40% - Accent5 3 5 4 2" xfId="15429" xr:uid="{00000000-0005-0000-0000-00002E460000}"/>
    <cellStyle name="40% - Accent5 3 5 4 2 2" xfId="28978" xr:uid="{00000000-0005-0000-0000-00002F460000}"/>
    <cellStyle name="40% - Accent5 3 5 4 3" xfId="22911" xr:uid="{00000000-0005-0000-0000-000030460000}"/>
    <cellStyle name="40% - Accent5 3 5 5" xfId="4537" xr:uid="{00000000-0005-0000-0000-000031460000}"/>
    <cellStyle name="40% - Accent5 3 5 5 2" xfId="17240" xr:uid="{00000000-0005-0000-0000-000032460000}"/>
    <cellStyle name="40% - Accent5 3 5 5 2 2" xfId="30599" xr:uid="{00000000-0005-0000-0000-000033460000}"/>
    <cellStyle name="40% - Accent5 3 5 5 3" xfId="22910" xr:uid="{00000000-0005-0000-0000-000034460000}"/>
    <cellStyle name="40% - Accent5 3 5 6" xfId="9472" xr:uid="{00000000-0005-0000-0000-000035460000}"/>
    <cellStyle name="40% - Accent5 3 5 6 2" xfId="23947" xr:uid="{00000000-0005-0000-0000-000036460000}"/>
    <cellStyle name="40% - Accent5 3 5 7" xfId="22913" xr:uid="{00000000-0005-0000-0000-000037460000}"/>
    <cellStyle name="40% - Accent5 3 6" xfId="4538" xr:uid="{00000000-0005-0000-0000-000038460000}"/>
    <cellStyle name="40% - Accent5 3 6 2" xfId="4539" xr:uid="{00000000-0005-0000-0000-000039460000}"/>
    <cellStyle name="40% - Accent5 3 6 2 2" xfId="15430" xr:uid="{00000000-0005-0000-0000-00003A460000}"/>
    <cellStyle name="40% - Accent5 3 6 2 2 2" xfId="28979" xr:uid="{00000000-0005-0000-0000-00003B460000}"/>
    <cellStyle name="40% - Accent5 3 6 2 3" xfId="22909" xr:uid="{00000000-0005-0000-0000-00003C460000}"/>
    <cellStyle name="40% - Accent5 3 6 3" xfId="4540" xr:uid="{00000000-0005-0000-0000-00003D460000}"/>
    <cellStyle name="40% - Accent5 3 6 3 2" xfId="16515" xr:uid="{00000000-0005-0000-0000-00003E460000}"/>
    <cellStyle name="40% - Accent5 3 6 3 2 2" xfId="29922" xr:uid="{00000000-0005-0000-0000-00003F460000}"/>
    <cellStyle name="40% - Accent5 3 6 3 3" xfId="25271" xr:uid="{00000000-0005-0000-0000-000040460000}"/>
    <cellStyle name="40% - Accent5 3 6 4" xfId="11191" xr:uid="{00000000-0005-0000-0000-000041460000}"/>
    <cellStyle name="40% - Accent5 3 6 4 2" xfId="25133" xr:uid="{00000000-0005-0000-0000-000042460000}"/>
    <cellStyle name="40% - Accent5 3 6 5" xfId="24248" xr:uid="{00000000-0005-0000-0000-000043460000}"/>
    <cellStyle name="40% - Accent5 3 7" xfId="4541" xr:uid="{00000000-0005-0000-0000-000044460000}"/>
    <cellStyle name="40% - Accent5 3 7 2" xfId="11887" xr:uid="{00000000-0005-0000-0000-000045460000}"/>
    <cellStyle name="40% - Accent5 3 7 2 2" xfId="25602" xr:uid="{00000000-0005-0000-0000-000046460000}"/>
    <cellStyle name="40% - Accent5 3 7 3" xfId="22908" xr:uid="{00000000-0005-0000-0000-000047460000}"/>
    <cellStyle name="40% - Accent5 3 8" xfId="4542" xr:uid="{00000000-0005-0000-0000-000048460000}"/>
    <cellStyle name="40% - Accent5 3 8 2" xfId="12976" xr:uid="{00000000-0005-0000-0000-000049460000}"/>
    <cellStyle name="40% - Accent5 3 8 2 2" xfId="26688" xr:uid="{00000000-0005-0000-0000-00004A460000}"/>
    <cellStyle name="40% - Accent5 3 8 3" xfId="22907" xr:uid="{00000000-0005-0000-0000-00004B460000}"/>
    <cellStyle name="40% - Accent5 3 9" xfId="4543" xr:uid="{00000000-0005-0000-0000-00004C460000}"/>
    <cellStyle name="40% - Accent5 3 9 2" xfId="13467" xr:uid="{00000000-0005-0000-0000-00004D460000}"/>
    <cellStyle name="40% - Accent5 3 9 2 2" xfId="27016" xr:uid="{00000000-0005-0000-0000-00004E460000}"/>
    <cellStyle name="40% - Accent5 3 9 3" xfId="22906" xr:uid="{00000000-0005-0000-0000-00004F460000}"/>
    <cellStyle name="40% - Accent5 30" xfId="23260" xr:uid="{00000000-0005-0000-0000-000050460000}"/>
    <cellStyle name="40% - Accent5 4" xfId="4544" xr:uid="{00000000-0005-0000-0000-000051460000}"/>
    <cellStyle name="40% - Accent5 4 10" xfId="4545" xr:uid="{00000000-0005-0000-0000-000052460000}"/>
    <cellStyle name="40% - Accent5 4 10 2" xfId="15431" xr:uid="{00000000-0005-0000-0000-000053460000}"/>
    <cellStyle name="40% - Accent5 4 10 2 2" xfId="28980" xr:uid="{00000000-0005-0000-0000-000054460000}"/>
    <cellStyle name="40% - Accent5 4 10 3" xfId="22905" xr:uid="{00000000-0005-0000-0000-000055460000}"/>
    <cellStyle name="40% - Accent5 4 11" xfId="4546" xr:uid="{00000000-0005-0000-0000-000056460000}"/>
    <cellStyle name="40% - Accent5 4 11 2" xfId="15889" xr:uid="{00000000-0005-0000-0000-000057460000}"/>
    <cellStyle name="40% - Accent5 4 11 2 2" xfId="29296" xr:uid="{00000000-0005-0000-0000-000058460000}"/>
    <cellStyle name="40% - Accent5 4 11 3" xfId="22904" xr:uid="{00000000-0005-0000-0000-000059460000}"/>
    <cellStyle name="40% - Accent5 4 12" xfId="9473" xr:uid="{00000000-0005-0000-0000-00005A460000}"/>
    <cellStyle name="40% - Accent5 4 12 2" xfId="23948" xr:uid="{00000000-0005-0000-0000-00005B460000}"/>
    <cellStyle name="40% - Accent5 4 13" xfId="24243" xr:uid="{00000000-0005-0000-0000-00005C460000}"/>
    <cellStyle name="40% - Accent5 4 2" xfId="4547" xr:uid="{00000000-0005-0000-0000-00005D460000}"/>
    <cellStyle name="40% - Accent5 4 2 10" xfId="4548" xr:uid="{00000000-0005-0000-0000-00005E460000}"/>
    <cellStyle name="40% - Accent5 4 2 10 2" xfId="16032" xr:uid="{00000000-0005-0000-0000-00005F460000}"/>
    <cellStyle name="40% - Accent5 4 2 10 2 2" xfId="29439" xr:uid="{00000000-0005-0000-0000-000060460000}"/>
    <cellStyle name="40% - Accent5 4 2 10 3" xfId="22903" xr:uid="{00000000-0005-0000-0000-000061460000}"/>
    <cellStyle name="40% - Accent5 4 2 11" xfId="9474" xr:uid="{00000000-0005-0000-0000-000062460000}"/>
    <cellStyle name="40% - Accent5 4 2 11 2" xfId="23949" xr:uid="{00000000-0005-0000-0000-000063460000}"/>
    <cellStyle name="40% - Accent5 4 2 12" xfId="29148" xr:uid="{00000000-0005-0000-0000-000064460000}"/>
    <cellStyle name="40% - Accent5 4 2 2" xfId="4549" xr:uid="{00000000-0005-0000-0000-000065460000}"/>
    <cellStyle name="40% - Accent5 4 2 2 10" xfId="9475" xr:uid="{00000000-0005-0000-0000-000066460000}"/>
    <cellStyle name="40% - Accent5 4 2 2 10 2" xfId="23950" xr:uid="{00000000-0005-0000-0000-000067460000}"/>
    <cellStyle name="40% - Accent5 4 2 2 11" xfId="22902" xr:uid="{00000000-0005-0000-0000-000068460000}"/>
    <cellStyle name="40% - Accent5 4 2 2 2" xfId="4550" xr:uid="{00000000-0005-0000-0000-000069460000}"/>
    <cellStyle name="40% - Accent5 4 2 2 2 2" xfId="4551" xr:uid="{00000000-0005-0000-0000-00006A460000}"/>
    <cellStyle name="40% - Accent5 4 2 2 2 2 2" xfId="11203" xr:uid="{00000000-0005-0000-0000-00006B460000}"/>
    <cellStyle name="40% - Accent5 4 2 2 2 2 2 2" xfId="25145" xr:uid="{00000000-0005-0000-0000-00006C460000}"/>
    <cellStyle name="40% - Accent5 4 2 2 2 2 3" xfId="22901" xr:uid="{00000000-0005-0000-0000-00006D460000}"/>
    <cellStyle name="40% - Accent5 4 2 2 2 3" xfId="4552" xr:uid="{00000000-0005-0000-0000-00006E460000}"/>
    <cellStyle name="40% - Accent5 4 2 2 2 3 2" xfId="12988" xr:uid="{00000000-0005-0000-0000-00006F460000}"/>
    <cellStyle name="40% - Accent5 4 2 2 2 3 2 2" xfId="26700" xr:uid="{00000000-0005-0000-0000-000070460000}"/>
    <cellStyle name="40% - Accent5 4 2 2 2 3 3" xfId="22900" xr:uid="{00000000-0005-0000-0000-000071460000}"/>
    <cellStyle name="40% - Accent5 4 2 2 2 4" xfId="4553" xr:uid="{00000000-0005-0000-0000-000072460000}"/>
    <cellStyle name="40% - Accent5 4 2 2 2 4 2" xfId="15434" xr:uid="{00000000-0005-0000-0000-000073460000}"/>
    <cellStyle name="40% - Accent5 4 2 2 2 4 2 2" xfId="28983" xr:uid="{00000000-0005-0000-0000-000074460000}"/>
    <cellStyle name="40% - Accent5 4 2 2 2 4 3" xfId="24246" xr:uid="{00000000-0005-0000-0000-000075460000}"/>
    <cellStyle name="40% - Accent5 4 2 2 2 5" xfId="4554" xr:uid="{00000000-0005-0000-0000-000076460000}"/>
    <cellStyle name="40% - Accent5 4 2 2 2 5 2" xfId="16902" xr:uid="{00000000-0005-0000-0000-000077460000}"/>
    <cellStyle name="40% - Accent5 4 2 2 2 5 2 2" xfId="30309" xr:uid="{00000000-0005-0000-0000-000078460000}"/>
    <cellStyle name="40% - Accent5 4 2 2 2 5 3" xfId="22899" xr:uid="{00000000-0005-0000-0000-000079460000}"/>
    <cellStyle name="40% - Accent5 4 2 2 2 6" xfId="9476" xr:uid="{00000000-0005-0000-0000-00007A460000}"/>
    <cellStyle name="40% - Accent5 4 2 2 2 6 2" xfId="23951" xr:uid="{00000000-0005-0000-0000-00007B460000}"/>
    <cellStyle name="40% - Accent5 4 2 2 2 7" xfId="26842" xr:uid="{00000000-0005-0000-0000-00007C460000}"/>
    <cellStyle name="40% - Accent5 4 2 2 3" xfId="4555" xr:uid="{00000000-0005-0000-0000-00007D460000}"/>
    <cellStyle name="40% - Accent5 4 2 2 3 2" xfId="4556" xr:uid="{00000000-0005-0000-0000-00007E460000}"/>
    <cellStyle name="40% - Accent5 4 2 2 3 2 2" xfId="15435" xr:uid="{00000000-0005-0000-0000-00007F460000}"/>
    <cellStyle name="40% - Accent5 4 2 2 3 2 2 2" xfId="28984" xr:uid="{00000000-0005-0000-0000-000080460000}"/>
    <cellStyle name="40% - Accent5 4 2 2 3 2 3" xfId="22898" xr:uid="{00000000-0005-0000-0000-000081460000}"/>
    <cellStyle name="40% - Accent5 4 2 2 3 3" xfId="11202" xr:uid="{00000000-0005-0000-0000-000082460000}"/>
    <cellStyle name="40% - Accent5 4 2 2 3 3 2" xfId="25144" xr:uid="{00000000-0005-0000-0000-000083460000}"/>
    <cellStyle name="40% - Accent5 4 2 2 3 4" xfId="25270" xr:uid="{00000000-0005-0000-0000-000084460000}"/>
    <cellStyle name="40% - Accent5 4 2 2 4" xfId="4557" xr:uid="{00000000-0005-0000-0000-000085460000}"/>
    <cellStyle name="40% - Accent5 4 2 2 4 2" xfId="12290" xr:uid="{00000000-0005-0000-0000-000086460000}"/>
    <cellStyle name="40% - Accent5 4 2 2 4 2 2" xfId="26002" xr:uid="{00000000-0005-0000-0000-000087460000}"/>
    <cellStyle name="40% - Accent5 4 2 2 4 3" xfId="22897" xr:uid="{00000000-0005-0000-0000-000088460000}"/>
    <cellStyle name="40% - Accent5 4 2 2 5" xfId="4558" xr:uid="{00000000-0005-0000-0000-000089460000}"/>
    <cellStyle name="40% - Accent5 4 2 2 5 2" xfId="12987" xr:uid="{00000000-0005-0000-0000-00008A460000}"/>
    <cellStyle name="40% - Accent5 4 2 2 5 2 2" xfId="26699" xr:uid="{00000000-0005-0000-0000-00008B460000}"/>
    <cellStyle name="40% - Accent5 4 2 2 5 3" xfId="24244" xr:uid="{00000000-0005-0000-0000-00008C460000}"/>
    <cellStyle name="40% - Accent5 4 2 2 6" xfId="4559" xr:uid="{00000000-0005-0000-0000-00008D460000}"/>
    <cellStyle name="40% - Accent5 4 2 2 6 2" xfId="13854" xr:uid="{00000000-0005-0000-0000-00008E460000}"/>
    <cellStyle name="40% - Accent5 4 2 2 6 2 2" xfId="27403" xr:uid="{00000000-0005-0000-0000-00008F460000}"/>
    <cellStyle name="40% - Accent5 4 2 2 6 3" xfId="22896" xr:uid="{00000000-0005-0000-0000-000090460000}"/>
    <cellStyle name="40% - Accent5 4 2 2 7" xfId="4560" xr:uid="{00000000-0005-0000-0000-000091460000}"/>
    <cellStyle name="40% - Accent5 4 2 2 7 2" xfId="14435" xr:uid="{00000000-0005-0000-0000-000092460000}"/>
    <cellStyle name="40% - Accent5 4 2 2 7 2 2" xfId="27984" xr:uid="{00000000-0005-0000-0000-000093460000}"/>
    <cellStyle name="40% - Accent5 4 2 2 7 3" xfId="22895" xr:uid="{00000000-0005-0000-0000-000094460000}"/>
    <cellStyle name="40% - Accent5 4 2 2 8" xfId="4561" xr:uid="{00000000-0005-0000-0000-000095460000}"/>
    <cellStyle name="40% - Accent5 4 2 2 8 2" xfId="15433" xr:uid="{00000000-0005-0000-0000-000096460000}"/>
    <cellStyle name="40% - Accent5 4 2 2 8 2 2" xfId="28982" xr:uid="{00000000-0005-0000-0000-000097460000}"/>
    <cellStyle name="40% - Accent5 4 2 2 8 3" xfId="29147" xr:uid="{00000000-0005-0000-0000-000098460000}"/>
    <cellStyle name="40% - Accent5 4 2 2 9" xfId="4562" xr:uid="{00000000-0005-0000-0000-000099460000}"/>
    <cellStyle name="40% - Accent5 4 2 2 9 2" xfId="16321" xr:uid="{00000000-0005-0000-0000-00009A460000}"/>
    <cellStyle name="40% - Accent5 4 2 2 9 2 2" xfId="29728" xr:uid="{00000000-0005-0000-0000-00009B460000}"/>
    <cellStyle name="40% - Accent5 4 2 2 9 3" xfId="22894" xr:uid="{00000000-0005-0000-0000-00009C460000}"/>
    <cellStyle name="40% - Accent5 4 2 3" xfId="4563" xr:uid="{00000000-0005-0000-0000-00009D460000}"/>
    <cellStyle name="40% - Accent5 4 2 3 2" xfId="4564" xr:uid="{00000000-0005-0000-0000-00009E460000}"/>
    <cellStyle name="40% - Accent5 4 2 3 2 2" xfId="11204" xr:uid="{00000000-0005-0000-0000-00009F460000}"/>
    <cellStyle name="40% - Accent5 4 2 3 2 2 2" xfId="25146" xr:uid="{00000000-0005-0000-0000-0000A0460000}"/>
    <cellStyle name="40% - Accent5 4 2 3 2 3" xfId="26841" xr:uid="{00000000-0005-0000-0000-0000A1460000}"/>
    <cellStyle name="40% - Accent5 4 2 3 3" xfId="4565" xr:uid="{00000000-0005-0000-0000-0000A2460000}"/>
    <cellStyle name="40% - Accent5 4 2 3 3 2" xfId="12989" xr:uid="{00000000-0005-0000-0000-0000A3460000}"/>
    <cellStyle name="40% - Accent5 4 2 3 3 2 2" xfId="26701" xr:uid="{00000000-0005-0000-0000-0000A4460000}"/>
    <cellStyle name="40% - Accent5 4 2 3 3 3" xfId="22892" xr:uid="{00000000-0005-0000-0000-0000A5460000}"/>
    <cellStyle name="40% - Accent5 4 2 3 4" xfId="4566" xr:uid="{00000000-0005-0000-0000-0000A6460000}"/>
    <cellStyle name="40% - Accent5 4 2 3 4 2" xfId="15436" xr:uid="{00000000-0005-0000-0000-0000A7460000}"/>
    <cellStyle name="40% - Accent5 4 2 3 4 2 2" xfId="28985" xr:uid="{00000000-0005-0000-0000-0000A8460000}"/>
    <cellStyle name="40% - Accent5 4 2 3 4 3" xfId="22891" xr:uid="{00000000-0005-0000-0000-0000A9460000}"/>
    <cellStyle name="40% - Accent5 4 2 3 5" xfId="4567" xr:uid="{00000000-0005-0000-0000-0000AA460000}"/>
    <cellStyle name="40% - Accent5 4 2 3 5 2" xfId="16613" xr:uid="{00000000-0005-0000-0000-0000AB460000}"/>
    <cellStyle name="40% - Accent5 4 2 3 5 2 2" xfId="30020" xr:uid="{00000000-0005-0000-0000-0000AC460000}"/>
    <cellStyle name="40% - Accent5 4 2 3 5 3" xfId="24245" xr:uid="{00000000-0005-0000-0000-0000AD460000}"/>
    <cellStyle name="40% - Accent5 4 2 3 6" xfId="9477" xr:uid="{00000000-0005-0000-0000-0000AE460000}"/>
    <cellStyle name="40% - Accent5 4 2 3 6 2" xfId="23952" xr:uid="{00000000-0005-0000-0000-0000AF460000}"/>
    <cellStyle name="40% - Accent5 4 2 3 7" xfId="22893" xr:uid="{00000000-0005-0000-0000-0000B0460000}"/>
    <cellStyle name="40% - Accent5 4 2 4" xfId="4568" xr:uid="{00000000-0005-0000-0000-0000B1460000}"/>
    <cellStyle name="40% - Accent5 4 2 4 2" xfId="4569" xr:uid="{00000000-0005-0000-0000-0000B2460000}"/>
    <cellStyle name="40% - Accent5 4 2 4 2 2" xfId="15437" xr:uid="{00000000-0005-0000-0000-0000B3460000}"/>
    <cellStyle name="40% - Accent5 4 2 4 2 2 2" xfId="28986" xr:uid="{00000000-0005-0000-0000-0000B4460000}"/>
    <cellStyle name="40% - Accent5 4 2 4 2 3" xfId="25269" xr:uid="{00000000-0005-0000-0000-0000B5460000}"/>
    <cellStyle name="40% - Accent5 4 2 4 3" xfId="11201" xr:uid="{00000000-0005-0000-0000-0000B6460000}"/>
    <cellStyle name="40% - Accent5 4 2 4 3 2" xfId="25143" xr:uid="{00000000-0005-0000-0000-0000B7460000}"/>
    <cellStyle name="40% - Accent5 4 2 4 4" xfId="22890" xr:uid="{00000000-0005-0000-0000-0000B8460000}"/>
    <cellStyle name="40% - Accent5 4 2 5" xfId="4570" xr:uid="{00000000-0005-0000-0000-0000B9460000}"/>
    <cellStyle name="40% - Accent5 4 2 5 2" xfId="11990" xr:uid="{00000000-0005-0000-0000-0000BA460000}"/>
    <cellStyle name="40% - Accent5 4 2 5 2 2" xfId="25705" xr:uid="{00000000-0005-0000-0000-0000BB460000}"/>
    <cellStyle name="40% - Accent5 4 2 5 3" xfId="22889" xr:uid="{00000000-0005-0000-0000-0000BC460000}"/>
    <cellStyle name="40% - Accent5 4 2 6" xfId="4571" xr:uid="{00000000-0005-0000-0000-0000BD460000}"/>
    <cellStyle name="40% - Accent5 4 2 6 2" xfId="12986" xr:uid="{00000000-0005-0000-0000-0000BE460000}"/>
    <cellStyle name="40% - Accent5 4 2 6 2 2" xfId="26698" xr:uid="{00000000-0005-0000-0000-0000BF460000}"/>
    <cellStyle name="40% - Accent5 4 2 6 3" xfId="22888" xr:uid="{00000000-0005-0000-0000-0000C0460000}"/>
    <cellStyle name="40% - Accent5 4 2 7" xfId="4572" xr:uid="{00000000-0005-0000-0000-0000C1460000}"/>
    <cellStyle name="40% - Accent5 4 2 7 2" xfId="13565" xr:uid="{00000000-0005-0000-0000-0000C2460000}"/>
    <cellStyle name="40% - Accent5 4 2 7 2 2" xfId="27114" xr:uid="{00000000-0005-0000-0000-0000C3460000}"/>
    <cellStyle name="40% - Accent5 4 2 7 3" xfId="22887" xr:uid="{00000000-0005-0000-0000-0000C4460000}"/>
    <cellStyle name="40% - Accent5 4 2 8" xfId="4573" xr:uid="{00000000-0005-0000-0000-0000C5460000}"/>
    <cellStyle name="40% - Accent5 4 2 8 2" xfId="14146" xr:uid="{00000000-0005-0000-0000-0000C6460000}"/>
    <cellStyle name="40% - Accent5 4 2 8 2 2" xfId="27695" xr:uid="{00000000-0005-0000-0000-0000C7460000}"/>
    <cellStyle name="40% - Accent5 4 2 8 3" xfId="22886" xr:uid="{00000000-0005-0000-0000-0000C8460000}"/>
    <cellStyle name="40% - Accent5 4 2 9" xfId="4574" xr:uid="{00000000-0005-0000-0000-0000C9460000}"/>
    <cellStyle name="40% - Accent5 4 2 9 2" xfId="15432" xr:uid="{00000000-0005-0000-0000-0000CA460000}"/>
    <cellStyle name="40% - Accent5 4 2 9 2 2" xfId="28981" xr:uid="{00000000-0005-0000-0000-0000CB460000}"/>
    <cellStyle name="40% - Accent5 4 2 9 3" xfId="22885" xr:uid="{00000000-0005-0000-0000-0000CC460000}"/>
    <cellStyle name="40% - Accent5 4 3" xfId="4575" xr:uid="{00000000-0005-0000-0000-0000CD460000}"/>
    <cellStyle name="40% - Accent5 4 3 10" xfId="9478" xr:uid="{00000000-0005-0000-0000-0000CE460000}"/>
    <cellStyle name="40% - Accent5 4 3 10 2" xfId="23953" xr:uid="{00000000-0005-0000-0000-0000CF460000}"/>
    <cellStyle name="40% - Accent5 4 3 11" xfId="22884" xr:uid="{00000000-0005-0000-0000-0000D0460000}"/>
    <cellStyle name="40% - Accent5 4 3 2" xfId="4576" xr:uid="{00000000-0005-0000-0000-0000D1460000}"/>
    <cellStyle name="40% - Accent5 4 3 2 2" xfId="4577" xr:uid="{00000000-0005-0000-0000-0000D2460000}"/>
    <cellStyle name="40% - Accent5 4 3 2 2 2" xfId="11206" xr:uid="{00000000-0005-0000-0000-0000D3460000}"/>
    <cellStyle name="40% - Accent5 4 3 2 2 2 2" xfId="25148" xr:uid="{00000000-0005-0000-0000-0000D4460000}"/>
    <cellStyle name="40% - Accent5 4 3 2 2 3" xfId="22883" xr:uid="{00000000-0005-0000-0000-0000D5460000}"/>
    <cellStyle name="40% - Accent5 4 3 2 3" xfId="4578" xr:uid="{00000000-0005-0000-0000-0000D6460000}"/>
    <cellStyle name="40% - Accent5 4 3 2 3 2" xfId="12991" xr:uid="{00000000-0005-0000-0000-0000D7460000}"/>
    <cellStyle name="40% - Accent5 4 3 2 3 2 2" xfId="26703" xr:uid="{00000000-0005-0000-0000-0000D8460000}"/>
    <cellStyle name="40% - Accent5 4 3 2 3 3" xfId="22882" xr:uid="{00000000-0005-0000-0000-0000D9460000}"/>
    <cellStyle name="40% - Accent5 4 3 2 4" xfId="4579" xr:uid="{00000000-0005-0000-0000-0000DA460000}"/>
    <cellStyle name="40% - Accent5 4 3 2 4 2" xfId="15439" xr:uid="{00000000-0005-0000-0000-0000DB460000}"/>
    <cellStyle name="40% - Accent5 4 3 2 4 2 2" xfId="28988" xr:uid="{00000000-0005-0000-0000-0000DC460000}"/>
    <cellStyle name="40% - Accent5 4 3 2 4 3" xfId="22881" xr:uid="{00000000-0005-0000-0000-0000DD460000}"/>
    <cellStyle name="40% - Accent5 4 3 2 5" xfId="4580" xr:uid="{00000000-0005-0000-0000-0000DE460000}"/>
    <cellStyle name="40% - Accent5 4 3 2 5 2" xfId="16762" xr:uid="{00000000-0005-0000-0000-0000DF460000}"/>
    <cellStyle name="40% - Accent5 4 3 2 5 2 2" xfId="30169" xr:uid="{00000000-0005-0000-0000-0000E0460000}"/>
    <cellStyle name="40% - Accent5 4 3 2 5 3" xfId="26840" xr:uid="{00000000-0005-0000-0000-0000E1460000}"/>
    <cellStyle name="40% - Accent5 4 3 2 6" xfId="9479" xr:uid="{00000000-0005-0000-0000-0000E2460000}"/>
    <cellStyle name="40% - Accent5 4 3 2 6 2" xfId="23954" xr:uid="{00000000-0005-0000-0000-0000E3460000}"/>
    <cellStyle name="40% - Accent5 4 3 2 7" xfId="29146" xr:uid="{00000000-0005-0000-0000-0000E4460000}"/>
    <cellStyle name="40% - Accent5 4 3 3" xfId="4581" xr:uid="{00000000-0005-0000-0000-0000E5460000}"/>
    <cellStyle name="40% - Accent5 4 3 3 2" xfId="4582" xr:uid="{00000000-0005-0000-0000-0000E6460000}"/>
    <cellStyle name="40% - Accent5 4 3 3 2 2" xfId="15440" xr:uid="{00000000-0005-0000-0000-0000E7460000}"/>
    <cellStyle name="40% - Accent5 4 3 3 2 2 2" xfId="28989" xr:uid="{00000000-0005-0000-0000-0000E8460000}"/>
    <cellStyle name="40% - Accent5 4 3 3 2 3" xfId="22879" xr:uid="{00000000-0005-0000-0000-0000E9460000}"/>
    <cellStyle name="40% - Accent5 4 3 3 3" xfId="11205" xr:uid="{00000000-0005-0000-0000-0000EA460000}"/>
    <cellStyle name="40% - Accent5 4 3 3 3 2" xfId="25147" xr:uid="{00000000-0005-0000-0000-0000EB460000}"/>
    <cellStyle name="40% - Accent5 4 3 3 4" xfId="22880" xr:uid="{00000000-0005-0000-0000-0000EC460000}"/>
    <cellStyle name="40% - Accent5 4 3 4" xfId="4583" xr:uid="{00000000-0005-0000-0000-0000ED460000}"/>
    <cellStyle name="40% - Accent5 4 3 4 2" xfId="12150" xr:uid="{00000000-0005-0000-0000-0000EE460000}"/>
    <cellStyle name="40% - Accent5 4 3 4 2 2" xfId="25862" xr:uid="{00000000-0005-0000-0000-0000EF460000}"/>
    <cellStyle name="40% - Accent5 4 3 4 3" xfId="24242" xr:uid="{00000000-0005-0000-0000-0000F0460000}"/>
    <cellStyle name="40% - Accent5 4 3 5" xfId="4584" xr:uid="{00000000-0005-0000-0000-0000F1460000}"/>
    <cellStyle name="40% - Accent5 4 3 5 2" xfId="12990" xr:uid="{00000000-0005-0000-0000-0000F2460000}"/>
    <cellStyle name="40% - Accent5 4 3 5 2 2" xfId="26702" xr:uid="{00000000-0005-0000-0000-0000F3460000}"/>
    <cellStyle name="40% - Accent5 4 3 5 3" xfId="22878" xr:uid="{00000000-0005-0000-0000-0000F4460000}"/>
    <cellStyle name="40% - Accent5 4 3 6" xfId="4585" xr:uid="{00000000-0005-0000-0000-0000F5460000}"/>
    <cellStyle name="40% - Accent5 4 3 6 2" xfId="13714" xr:uid="{00000000-0005-0000-0000-0000F6460000}"/>
    <cellStyle name="40% - Accent5 4 3 6 2 2" xfId="27263" xr:uid="{00000000-0005-0000-0000-0000F7460000}"/>
    <cellStyle name="40% - Accent5 4 3 6 3" xfId="25268" xr:uid="{00000000-0005-0000-0000-0000F8460000}"/>
    <cellStyle name="40% - Accent5 4 3 7" xfId="4586" xr:uid="{00000000-0005-0000-0000-0000F9460000}"/>
    <cellStyle name="40% - Accent5 4 3 7 2" xfId="14295" xr:uid="{00000000-0005-0000-0000-0000FA460000}"/>
    <cellStyle name="40% - Accent5 4 3 7 2 2" xfId="27844" xr:uid="{00000000-0005-0000-0000-0000FB460000}"/>
    <cellStyle name="40% - Accent5 4 3 7 3" xfId="22877" xr:uid="{00000000-0005-0000-0000-0000FC460000}"/>
    <cellStyle name="40% - Accent5 4 3 8" xfId="4587" xr:uid="{00000000-0005-0000-0000-0000FD460000}"/>
    <cellStyle name="40% - Accent5 4 3 8 2" xfId="15438" xr:uid="{00000000-0005-0000-0000-0000FE460000}"/>
    <cellStyle name="40% - Accent5 4 3 8 2 2" xfId="28987" xr:uid="{00000000-0005-0000-0000-0000FF460000}"/>
    <cellStyle name="40% - Accent5 4 3 8 3" xfId="22876" xr:uid="{00000000-0005-0000-0000-000000470000}"/>
    <cellStyle name="40% - Accent5 4 3 9" xfId="4588" xr:uid="{00000000-0005-0000-0000-000001470000}"/>
    <cellStyle name="40% - Accent5 4 3 9 2" xfId="16181" xr:uid="{00000000-0005-0000-0000-000002470000}"/>
    <cellStyle name="40% - Accent5 4 3 9 2 2" xfId="29588" xr:uid="{00000000-0005-0000-0000-000003470000}"/>
    <cellStyle name="40% - Accent5 4 3 9 3" xfId="24241" xr:uid="{00000000-0005-0000-0000-000004470000}"/>
    <cellStyle name="40% - Accent5 4 4" xfId="4589" xr:uid="{00000000-0005-0000-0000-000005470000}"/>
    <cellStyle name="40% - Accent5 4 4 2" xfId="4590" xr:uid="{00000000-0005-0000-0000-000006470000}"/>
    <cellStyle name="40% - Accent5 4 4 2 2" xfId="11207" xr:uid="{00000000-0005-0000-0000-000007470000}"/>
    <cellStyle name="40% - Accent5 4 4 2 2 2" xfId="25149" xr:uid="{00000000-0005-0000-0000-000008470000}"/>
    <cellStyle name="40% - Accent5 4 4 2 3" xfId="22874" xr:uid="{00000000-0005-0000-0000-000009470000}"/>
    <cellStyle name="40% - Accent5 4 4 3" xfId="4591" xr:uid="{00000000-0005-0000-0000-00000A470000}"/>
    <cellStyle name="40% - Accent5 4 4 3 2" xfId="12992" xr:uid="{00000000-0005-0000-0000-00000B470000}"/>
    <cellStyle name="40% - Accent5 4 4 3 2 2" xfId="26704" xr:uid="{00000000-0005-0000-0000-00000C470000}"/>
    <cellStyle name="40% - Accent5 4 4 3 3" xfId="24239" xr:uid="{00000000-0005-0000-0000-00000D470000}"/>
    <cellStyle name="40% - Accent5 4 4 4" xfId="4592" xr:uid="{00000000-0005-0000-0000-00000E470000}"/>
    <cellStyle name="40% - Accent5 4 4 4 2" xfId="15441" xr:uid="{00000000-0005-0000-0000-00000F470000}"/>
    <cellStyle name="40% - Accent5 4 4 4 2 2" xfId="28990" xr:uid="{00000000-0005-0000-0000-000010470000}"/>
    <cellStyle name="40% - Accent5 4 4 4 3" xfId="22873" xr:uid="{00000000-0005-0000-0000-000011470000}"/>
    <cellStyle name="40% - Accent5 4 4 5" xfId="4593" xr:uid="{00000000-0005-0000-0000-000012470000}"/>
    <cellStyle name="40% - Accent5 4 4 5 2" xfId="16470" xr:uid="{00000000-0005-0000-0000-000013470000}"/>
    <cellStyle name="40% - Accent5 4 4 5 2 2" xfId="29877" xr:uid="{00000000-0005-0000-0000-000014470000}"/>
    <cellStyle name="40% - Accent5 4 4 5 3" xfId="22872" xr:uid="{00000000-0005-0000-0000-000015470000}"/>
    <cellStyle name="40% - Accent5 4 4 6" xfId="9480" xr:uid="{00000000-0005-0000-0000-000016470000}"/>
    <cellStyle name="40% - Accent5 4 4 6 2" xfId="23955" xr:uid="{00000000-0005-0000-0000-000017470000}"/>
    <cellStyle name="40% - Accent5 4 4 7" xfId="22875" xr:uid="{00000000-0005-0000-0000-000018470000}"/>
    <cellStyle name="40% - Accent5 4 5" xfId="4594" xr:uid="{00000000-0005-0000-0000-000019470000}"/>
    <cellStyle name="40% - Accent5 4 5 2" xfId="4595" xr:uid="{00000000-0005-0000-0000-00001A470000}"/>
    <cellStyle name="40% - Accent5 4 5 2 2" xfId="15442" xr:uid="{00000000-0005-0000-0000-00001B470000}"/>
    <cellStyle name="40% - Accent5 4 5 2 2 2" xfId="28991" xr:uid="{00000000-0005-0000-0000-00001C470000}"/>
    <cellStyle name="40% - Accent5 4 5 2 3" xfId="22871" xr:uid="{00000000-0005-0000-0000-00001D470000}"/>
    <cellStyle name="40% - Accent5 4 5 3" xfId="11200" xr:uid="{00000000-0005-0000-0000-00001E470000}"/>
    <cellStyle name="40% - Accent5 4 5 3 2" xfId="25142" xr:uid="{00000000-0005-0000-0000-00001F470000}"/>
    <cellStyle name="40% - Accent5 4 5 4" xfId="29145" xr:uid="{00000000-0005-0000-0000-000020470000}"/>
    <cellStyle name="40% - Accent5 4 6" xfId="4596" xr:uid="{00000000-0005-0000-0000-000021470000}"/>
    <cellStyle name="40% - Accent5 4 6 2" xfId="11821" xr:uid="{00000000-0005-0000-0000-000022470000}"/>
    <cellStyle name="40% - Accent5 4 6 2 2" xfId="25536" xr:uid="{00000000-0005-0000-0000-000023470000}"/>
    <cellStyle name="40% - Accent5 4 6 3" xfId="22870" xr:uid="{00000000-0005-0000-0000-000024470000}"/>
    <cellStyle name="40% - Accent5 4 7" xfId="4597" xr:uid="{00000000-0005-0000-0000-000025470000}"/>
    <cellStyle name="40% - Accent5 4 7 2" xfId="12985" xr:uid="{00000000-0005-0000-0000-000026470000}"/>
    <cellStyle name="40% - Accent5 4 7 2 2" xfId="26697" xr:uid="{00000000-0005-0000-0000-000027470000}"/>
    <cellStyle name="40% - Accent5 4 7 3" xfId="26839" xr:uid="{00000000-0005-0000-0000-000028470000}"/>
    <cellStyle name="40% - Accent5 4 8" xfId="4598" xr:uid="{00000000-0005-0000-0000-000029470000}"/>
    <cellStyle name="40% - Accent5 4 8 2" xfId="13422" xr:uid="{00000000-0005-0000-0000-00002A470000}"/>
    <cellStyle name="40% - Accent5 4 8 2 2" xfId="26971" xr:uid="{00000000-0005-0000-0000-00002B470000}"/>
    <cellStyle name="40% - Accent5 4 8 3" xfId="22869" xr:uid="{00000000-0005-0000-0000-00002C470000}"/>
    <cellStyle name="40% - Accent5 4 9" xfId="4599" xr:uid="{00000000-0005-0000-0000-00002D470000}"/>
    <cellStyle name="40% - Accent5 4 9 2" xfId="14003" xr:uid="{00000000-0005-0000-0000-00002E470000}"/>
    <cellStyle name="40% - Accent5 4 9 2 2" xfId="27552" xr:uid="{00000000-0005-0000-0000-00002F470000}"/>
    <cellStyle name="40% - Accent5 4 9 3" xfId="22868" xr:uid="{00000000-0005-0000-0000-000030470000}"/>
    <cellStyle name="40% - Accent5 5" xfId="4600" xr:uid="{00000000-0005-0000-0000-000031470000}"/>
    <cellStyle name="40% - Accent5 5 10" xfId="4601" xr:uid="{00000000-0005-0000-0000-000032470000}"/>
    <cellStyle name="40% - Accent5 5 10 2" xfId="15443" xr:uid="{00000000-0005-0000-0000-000033470000}"/>
    <cellStyle name="40% - Accent5 5 10 2 2" xfId="28992" xr:uid="{00000000-0005-0000-0000-000034470000}"/>
    <cellStyle name="40% - Accent5 5 10 3" xfId="22867" xr:uid="{00000000-0005-0000-0000-000035470000}"/>
    <cellStyle name="40% - Accent5 5 11" xfId="4602" xr:uid="{00000000-0005-0000-0000-000036470000}"/>
    <cellStyle name="40% - Accent5 5 11 2" xfId="15872" xr:uid="{00000000-0005-0000-0000-000037470000}"/>
    <cellStyle name="40% - Accent5 5 11 2 2" xfId="29279" xr:uid="{00000000-0005-0000-0000-000038470000}"/>
    <cellStyle name="40% - Accent5 5 11 3" xfId="25267" xr:uid="{00000000-0005-0000-0000-000039470000}"/>
    <cellStyle name="40% - Accent5 5 12" xfId="9481" xr:uid="{00000000-0005-0000-0000-00003A470000}"/>
    <cellStyle name="40% - Accent5 5 12 2" xfId="23956" xr:uid="{00000000-0005-0000-0000-00003B470000}"/>
    <cellStyle name="40% - Accent5 5 13" xfId="24240" xr:uid="{00000000-0005-0000-0000-00003C470000}"/>
    <cellStyle name="40% - Accent5 5 2" xfId="4603" xr:uid="{00000000-0005-0000-0000-00003D470000}"/>
    <cellStyle name="40% - Accent5 5 2 10" xfId="4604" xr:uid="{00000000-0005-0000-0000-00003E470000}"/>
    <cellStyle name="40% - Accent5 5 2 10 2" xfId="16015" xr:uid="{00000000-0005-0000-0000-00003F470000}"/>
    <cellStyle name="40% - Accent5 5 2 10 2 2" xfId="29422" xr:uid="{00000000-0005-0000-0000-000040470000}"/>
    <cellStyle name="40% - Accent5 5 2 10 3" xfId="22865" xr:uid="{00000000-0005-0000-0000-000041470000}"/>
    <cellStyle name="40% - Accent5 5 2 11" xfId="9482" xr:uid="{00000000-0005-0000-0000-000042470000}"/>
    <cellStyle name="40% - Accent5 5 2 11 2" xfId="23957" xr:uid="{00000000-0005-0000-0000-000043470000}"/>
    <cellStyle name="40% - Accent5 5 2 12" xfId="22866" xr:uid="{00000000-0005-0000-0000-000044470000}"/>
    <cellStyle name="40% - Accent5 5 2 2" xfId="4605" xr:uid="{00000000-0005-0000-0000-000045470000}"/>
    <cellStyle name="40% - Accent5 5 2 2 10" xfId="9483" xr:uid="{00000000-0005-0000-0000-000046470000}"/>
    <cellStyle name="40% - Accent5 5 2 2 10 2" xfId="23958" xr:uid="{00000000-0005-0000-0000-000047470000}"/>
    <cellStyle name="40% - Accent5 5 2 2 11" xfId="22864" xr:uid="{00000000-0005-0000-0000-000048470000}"/>
    <cellStyle name="40% - Accent5 5 2 2 2" xfId="4606" xr:uid="{00000000-0005-0000-0000-000049470000}"/>
    <cellStyle name="40% - Accent5 5 2 2 2 2" xfId="4607" xr:uid="{00000000-0005-0000-0000-00004A470000}"/>
    <cellStyle name="40% - Accent5 5 2 2 2 2 2" xfId="11211" xr:uid="{00000000-0005-0000-0000-00004B470000}"/>
    <cellStyle name="40% - Accent5 5 2 2 2 2 2 2" xfId="25153" xr:uid="{00000000-0005-0000-0000-00004C470000}"/>
    <cellStyle name="40% - Accent5 5 2 2 2 2 3" xfId="22863" xr:uid="{00000000-0005-0000-0000-00004D470000}"/>
    <cellStyle name="40% - Accent5 5 2 2 2 3" xfId="4608" xr:uid="{00000000-0005-0000-0000-00004E470000}"/>
    <cellStyle name="40% - Accent5 5 2 2 2 3 2" xfId="12996" xr:uid="{00000000-0005-0000-0000-00004F470000}"/>
    <cellStyle name="40% - Accent5 5 2 2 2 3 2 2" xfId="26708" xr:uid="{00000000-0005-0000-0000-000050470000}"/>
    <cellStyle name="40% - Accent5 5 2 2 2 3 3" xfId="22862" xr:uid="{00000000-0005-0000-0000-000051470000}"/>
    <cellStyle name="40% - Accent5 5 2 2 2 4" xfId="4609" xr:uid="{00000000-0005-0000-0000-000052470000}"/>
    <cellStyle name="40% - Accent5 5 2 2 2 4 2" xfId="15446" xr:uid="{00000000-0005-0000-0000-000053470000}"/>
    <cellStyle name="40% - Accent5 5 2 2 2 4 2 2" xfId="28995" xr:uid="{00000000-0005-0000-0000-000054470000}"/>
    <cellStyle name="40% - Accent5 5 2 2 2 4 3" xfId="29144" xr:uid="{00000000-0005-0000-0000-000055470000}"/>
    <cellStyle name="40% - Accent5 5 2 2 2 5" xfId="4610" xr:uid="{00000000-0005-0000-0000-000056470000}"/>
    <cellStyle name="40% - Accent5 5 2 2 2 5 2" xfId="16885" xr:uid="{00000000-0005-0000-0000-000057470000}"/>
    <cellStyle name="40% - Accent5 5 2 2 2 5 2 2" xfId="30292" xr:uid="{00000000-0005-0000-0000-000058470000}"/>
    <cellStyle name="40% - Accent5 5 2 2 2 5 3" xfId="22861" xr:uid="{00000000-0005-0000-0000-000059470000}"/>
    <cellStyle name="40% - Accent5 5 2 2 2 6" xfId="9484" xr:uid="{00000000-0005-0000-0000-00005A470000}"/>
    <cellStyle name="40% - Accent5 5 2 2 2 6 2" xfId="23959" xr:uid="{00000000-0005-0000-0000-00005B470000}"/>
    <cellStyle name="40% - Accent5 5 2 2 2 7" xfId="24235" xr:uid="{00000000-0005-0000-0000-00005C470000}"/>
    <cellStyle name="40% - Accent5 5 2 2 3" xfId="4611" xr:uid="{00000000-0005-0000-0000-00005D470000}"/>
    <cellStyle name="40% - Accent5 5 2 2 3 2" xfId="4612" xr:uid="{00000000-0005-0000-0000-00005E470000}"/>
    <cellStyle name="40% - Accent5 5 2 2 3 2 2" xfId="15447" xr:uid="{00000000-0005-0000-0000-00005F470000}"/>
    <cellStyle name="40% - Accent5 5 2 2 3 2 2 2" xfId="28996" xr:uid="{00000000-0005-0000-0000-000060470000}"/>
    <cellStyle name="40% - Accent5 5 2 2 3 2 3" xfId="26838" xr:uid="{00000000-0005-0000-0000-000061470000}"/>
    <cellStyle name="40% - Accent5 5 2 2 3 3" xfId="11210" xr:uid="{00000000-0005-0000-0000-000062470000}"/>
    <cellStyle name="40% - Accent5 5 2 2 3 3 2" xfId="25152" xr:uid="{00000000-0005-0000-0000-000063470000}"/>
    <cellStyle name="40% - Accent5 5 2 2 3 4" xfId="22860" xr:uid="{00000000-0005-0000-0000-000064470000}"/>
    <cellStyle name="40% - Accent5 5 2 2 4" xfId="4613" xr:uid="{00000000-0005-0000-0000-000065470000}"/>
    <cellStyle name="40% - Accent5 5 2 2 4 2" xfId="12273" xr:uid="{00000000-0005-0000-0000-000066470000}"/>
    <cellStyle name="40% - Accent5 5 2 2 4 2 2" xfId="25985" xr:uid="{00000000-0005-0000-0000-000067470000}"/>
    <cellStyle name="40% - Accent5 5 2 2 4 3" xfId="22859" xr:uid="{00000000-0005-0000-0000-000068470000}"/>
    <cellStyle name="40% - Accent5 5 2 2 5" xfId="4614" xr:uid="{00000000-0005-0000-0000-000069470000}"/>
    <cellStyle name="40% - Accent5 5 2 2 5 2" xfId="12995" xr:uid="{00000000-0005-0000-0000-00006A470000}"/>
    <cellStyle name="40% - Accent5 5 2 2 5 2 2" xfId="26707" xr:uid="{00000000-0005-0000-0000-00006B470000}"/>
    <cellStyle name="40% - Accent5 5 2 2 5 3" xfId="22858" xr:uid="{00000000-0005-0000-0000-00006C470000}"/>
    <cellStyle name="40% - Accent5 5 2 2 6" xfId="4615" xr:uid="{00000000-0005-0000-0000-00006D470000}"/>
    <cellStyle name="40% - Accent5 5 2 2 6 2" xfId="13837" xr:uid="{00000000-0005-0000-0000-00006E470000}"/>
    <cellStyle name="40% - Accent5 5 2 2 6 2 2" xfId="27386" xr:uid="{00000000-0005-0000-0000-00006F470000}"/>
    <cellStyle name="40% - Accent5 5 2 2 6 3" xfId="24238" xr:uid="{00000000-0005-0000-0000-000070470000}"/>
    <cellStyle name="40% - Accent5 5 2 2 7" xfId="4616" xr:uid="{00000000-0005-0000-0000-000071470000}"/>
    <cellStyle name="40% - Accent5 5 2 2 7 2" xfId="14418" xr:uid="{00000000-0005-0000-0000-000072470000}"/>
    <cellStyle name="40% - Accent5 5 2 2 7 2 2" xfId="27967" xr:uid="{00000000-0005-0000-0000-000073470000}"/>
    <cellStyle name="40% - Accent5 5 2 2 7 3" xfId="22857" xr:uid="{00000000-0005-0000-0000-000074470000}"/>
    <cellStyle name="40% - Accent5 5 2 2 8" xfId="4617" xr:uid="{00000000-0005-0000-0000-000075470000}"/>
    <cellStyle name="40% - Accent5 5 2 2 8 2" xfId="15445" xr:uid="{00000000-0005-0000-0000-000076470000}"/>
    <cellStyle name="40% - Accent5 5 2 2 8 2 2" xfId="28994" xr:uid="{00000000-0005-0000-0000-000077470000}"/>
    <cellStyle name="40% - Accent5 5 2 2 8 3" xfId="25266" xr:uid="{00000000-0005-0000-0000-000078470000}"/>
    <cellStyle name="40% - Accent5 5 2 2 9" xfId="4618" xr:uid="{00000000-0005-0000-0000-000079470000}"/>
    <cellStyle name="40% - Accent5 5 2 2 9 2" xfId="16304" xr:uid="{00000000-0005-0000-0000-00007A470000}"/>
    <cellStyle name="40% - Accent5 5 2 2 9 2 2" xfId="29711" xr:uid="{00000000-0005-0000-0000-00007B470000}"/>
    <cellStyle name="40% - Accent5 5 2 2 9 3" xfId="22856" xr:uid="{00000000-0005-0000-0000-00007C470000}"/>
    <cellStyle name="40% - Accent5 5 2 3" xfId="4619" xr:uid="{00000000-0005-0000-0000-00007D470000}"/>
    <cellStyle name="40% - Accent5 5 2 3 2" xfId="4620" xr:uid="{00000000-0005-0000-0000-00007E470000}"/>
    <cellStyle name="40% - Accent5 5 2 3 2 2" xfId="11212" xr:uid="{00000000-0005-0000-0000-00007F470000}"/>
    <cellStyle name="40% - Accent5 5 2 3 2 2 2" xfId="25154" xr:uid="{00000000-0005-0000-0000-000080470000}"/>
    <cellStyle name="40% - Accent5 5 2 3 2 3" xfId="24236" xr:uid="{00000000-0005-0000-0000-000081470000}"/>
    <cellStyle name="40% - Accent5 5 2 3 3" xfId="4621" xr:uid="{00000000-0005-0000-0000-000082470000}"/>
    <cellStyle name="40% - Accent5 5 2 3 3 2" xfId="12997" xr:uid="{00000000-0005-0000-0000-000083470000}"/>
    <cellStyle name="40% - Accent5 5 2 3 3 2 2" xfId="26709" xr:uid="{00000000-0005-0000-0000-000084470000}"/>
    <cellStyle name="40% - Accent5 5 2 3 3 3" xfId="22854" xr:uid="{00000000-0005-0000-0000-000085470000}"/>
    <cellStyle name="40% - Accent5 5 2 3 4" xfId="4622" xr:uid="{00000000-0005-0000-0000-000086470000}"/>
    <cellStyle name="40% - Accent5 5 2 3 4 2" xfId="15448" xr:uid="{00000000-0005-0000-0000-000087470000}"/>
    <cellStyle name="40% - Accent5 5 2 3 4 2 2" xfId="28997" xr:uid="{00000000-0005-0000-0000-000088470000}"/>
    <cellStyle name="40% - Accent5 5 2 3 4 3" xfId="22853" xr:uid="{00000000-0005-0000-0000-000089470000}"/>
    <cellStyle name="40% - Accent5 5 2 3 5" xfId="4623" xr:uid="{00000000-0005-0000-0000-00008A470000}"/>
    <cellStyle name="40% - Accent5 5 2 3 5 2" xfId="16596" xr:uid="{00000000-0005-0000-0000-00008B470000}"/>
    <cellStyle name="40% - Accent5 5 2 3 5 2 2" xfId="30003" xr:uid="{00000000-0005-0000-0000-00008C470000}"/>
    <cellStyle name="40% - Accent5 5 2 3 5 3" xfId="29143" xr:uid="{00000000-0005-0000-0000-00008D470000}"/>
    <cellStyle name="40% - Accent5 5 2 3 6" xfId="9485" xr:uid="{00000000-0005-0000-0000-00008E470000}"/>
    <cellStyle name="40% - Accent5 5 2 3 6 2" xfId="23960" xr:uid="{00000000-0005-0000-0000-00008F470000}"/>
    <cellStyle name="40% - Accent5 5 2 3 7" xfId="22855" xr:uid="{00000000-0005-0000-0000-000090470000}"/>
    <cellStyle name="40% - Accent5 5 2 4" xfId="4624" xr:uid="{00000000-0005-0000-0000-000091470000}"/>
    <cellStyle name="40% - Accent5 5 2 4 2" xfId="4625" xr:uid="{00000000-0005-0000-0000-000092470000}"/>
    <cellStyle name="40% - Accent5 5 2 4 2 2" xfId="15449" xr:uid="{00000000-0005-0000-0000-000093470000}"/>
    <cellStyle name="40% - Accent5 5 2 4 2 2 2" xfId="28998" xr:uid="{00000000-0005-0000-0000-000094470000}"/>
    <cellStyle name="40% - Accent5 5 2 4 2 3" xfId="22851" xr:uid="{00000000-0005-0000-0000-000095470000}"/>
    <cellStyle name="40% - Accent5 5 2 4 3" xfId="11209" xr:uid="{00000000-0005-0000-0000-000096470000}"/>
    <cellStyle name="40% - Accent5 5 2 4 3 2" xfId="25151" xr:uid="{00000000-0005-0000-0000-000097470000}"/>
    <cellStyle name="40% - Accent5 5 2 4 4" xfId="22852" xr:uid="{00000000-0005-0000-0000-000098470000}"/>
    <cellStyle name="40% - Accent5 5 2 5" xfId="4626" xr:uid="{00000000-0005-0000-0000-000099470000}"/>
    <cellStyle name="40% - Accent5 5 2 5 2" xfId="11973" xr:uid="{00000000-0005-0000-0000-00009A470000}"/>
    <cellStyle name="40% - Accent5 5 2 5 2 2" xfId="25688" xr:uid="{00000000-0005-0000-0000-00009B470000}"/>
    <cellStyle name="40% - Accent5 5 2 5 3" xfId="26837" xr:uid="{00000000-0005-0000-0000-00009C470000}"/>
    <cellStyle name="40% - Accent5 5 2 6" xfId="4627" xr:uid="{00000000-0005-0000-0000-00009D470000}"/>
    <cellStyle name="40% - Accent5 5 2 6 2" xfId="12994" xr:uid="{00000000-0005-0000-0000-00009E470000}"/>
    <cellStyle name="40% - Accent5 5 2 6 2 2" xfId="26706" xr:uid="{00000000-0005-0000-0000-00009F470000}"/>
    <cellStyle name="40% - Accent5 5 2 6 3" xfId="22850" xr:uid="{00000000-0005-0000-0000-0000A0470000}"/>
    <cellStyle name="40% - Accent5 5 2 7" xfId="4628" xr:uid="{00000000-0005-0000-0000-0000A1470000}"/>
    <cellStyle name="40% - Accent5 5 2 7 2" xfId="13548" xr:uid="{00000000-0005-0000-0000-0000A2470000}"/>
    <cellStyle name="40% - Accent5 5 2 7 2 2" xfId="27097" xr:uid="{00000000-0005-0000-0000-0000A3470000}"/>
    <cellStyle name="40% - Accent5 5 2 7 3" xfId="22849" xr:uid="{00000000-0005-0000-0000-0000A4470000}"/>
    <cellStyle name="40% - Accent5 5 2 8" xfId="4629" xr:uid="{00000000-0005-0000-0000-0000A5470000}"/>
    <cellStyle name="40% - Accent5 5 2 8 2" xfId="14129" xr:uid="{00000000-0005-0000-0000-0000A6470000}"/>
    <cellStyle name="40% - Accent5 5 2 8 2 2" xfId="27678" xr:uid="{00000000-0005-0000-0000-0000A7470000}"/>
    <cellStyle name="40% - Accent5 5 2 8 3" xfId="24237" xr:uid="{00000000-0005-0000-0000-0000A8470000}"/>
    <cellStyle name="40% - Accent5 5 2 9" xfId="4630" xr:uid="{00000000-0005-0000-0000-0000A9470000}"/>
    <cellStyle name="40% - Accent5 5 2 9 2" xfId="15444" xr:uid="{00000000-0005-0000-0000-0000AA470000}"/>
    <cellStyle name="40% - Accent5 5 2 9 2 2" xfId="28993" xr:uid="{00000000-0005-0000-0000-0000AB470000}"/>
    <cellStyle name="40% - Accent5 5 2 9 3" xfId="22848" xr:uid="{00000000-0005-0000-0000-0000AC470000}"/>
    <cellStyle name="40% - Accent5 5 3" xfId="4631" xr:uid="{00000000-0005-0000-0000-0000AD470000}"/>
    <cellStyle name="40% - Accent5 5 3 10" xfId="9486" xr:uid="{00000000-0005-0000-0000-0000AE470000}"/>
    <cellStyle name="40% - Accent5 5 3 10 2" xfId="23961" xr:uid="{00000000-0005-0000-0000-0000AF470000}"/>
    <cellStyle name="40% - Accent5 5 3 11" xfId="25265" xr:uid="{00000000-0005-0000-0000-0000B0470000}"/>
    <cellStyle name="40% - Accent5 5 3 2" xfId="4632" xr:uid="{00000000-0005-0000-0000-0000B1470000}"/>
    <cellStyle name="40% - Accent5 5 3 2 2" xfId="4633" xr:uid="{00000000-0005-0000-0000-0000B2470000}"/>
    <cellStyle name="40% - Accent5 5 3 2 2 2" xfId="11214" xr:uid="{00000000-0005-0000-0000-0000B3470000}"/>
    <cellStyle name="40% - Accent5 5 3 2 2 2 2" xfId="25156" xr:uid="{00000000-0005-0000-0000-0000B4470000}"/>
    <cellStyle name="40% - Accent5 5 3 2 2 3" xfId="22846" xr:uid="{00000000-0005-0000-0000-0000B5470000}"/>
    <cellStyle name="40% - Accent5 5 3 2 3" xfId="4634" xr:uid="{00000000-0005-0000-0000-0000B6470000}"/>
    <cellStyle name="40% - Accent5 5 3 2 3 2" xfId="12999" xr:uid="{00000000-0005-0000-0000-0000B7470000}"/>
    <cellStyle name="40% - Accent5 5 3 2 3 2 2" xfId="26711" xr:uid="{00000000-0005-0000-0000-0000B8470000}"/>
    <cellStyle name="40% - Accent5 5 3 2 3 3" xfId="22845" xr:uid="{00000000-0005-0000-0000-0000B9470000}"/>
    <cellStyle name="40% - Accent5 5 3 2 4" xfId="4635" xr:uid="{00000000-0005-0000-0000-0000BA470000}"/>
    <cellStyle name="40% - Accent5 5 3 2 4 2" xfId="15451" xr:uid="{00000000-0005-0000-0000-0000BB470000}"/>
    <cellStyle name="40% - Accent5 5 3 2 4 2 2" xfId="29000" xr:uid="{00000000-0005-0000-0000-0000BC470000}"/>
    <cellStyle name="40% - Accent5 5 3 2 4 3" xfId="22844" xr:uid="{00000000-0005-0000-0000-0000BD470000}"/>
    <cellStyle name="40% - Accent5 5 3 2 5" xfId="4636" xr:uid="{00000000-0005-0000-0000-0000BE470000}"/>
    <cellStyle name="40% - Accent5 5 3 2 5 2" xfId="16745" xr:uid="{00000000-0005-0000-0000-0000BF470000}"/>
    <cellStyle name="40% - Accent5 5 3 2 5 2 2" xfId="30152" xr:uid="{00000000-0005-0000-0000-0000C0470000}"/>
    <cellStyle name="40% - Accent5 5 3 2 5 3" xfId="24234" xr:uid="{00000000-0005-0000-0000-0000C1470000}"/>
    <cellStyle name="40% - Accent5 5 3 2 6" xfId="9487" xr:uid="{00000000-0005-0000-0000-0000C2470000}"/>
    <cellStyle name="40% - Accent5 5 3 2 6 2" xfId="23962" xr:uid="{00000000-0005-0000-0000-0000C3470000}"/>
    <cellStyle name="40% - Accent5 5 3 2 7" xfId="22847" xr:uid="{00000000-0005-0000-0000-0000C4470000}"/>
    <cellStyle name="40% - Accent5 5 3 3" xfId="4637" xr:uid="{00000000-0005-0000-0000-0000C5470000}"/>
    <cellStyle name="40% - Accent5 5 3 3 2" xfId="4638" xr:uid="{00000000-0005-0000-0000-0000C6470000}"/>
    <cellStyle name="40% - Accent5 5 3 3 2 2" xfId="15452" xr:uid="{00000000-0005-0000-0000-0000C7470000}"/>
    <cellStyle name="40% - Accent5 5 3 3 2 2 2" xfId="29001" xr:uid="{00000000-0005-0000-0000-0000C8470000}"/>
    <cellStyle name="40% - Accent5 5 3 3 2 3" xfId="23231" xr:uid="{00000000-0005-0000-0000-0000C9470000}"/>
    <cellStyle name="40% - Accent5 5 3 3 3" xfId="11213" xr:uid="{00000000-0005-0000-0000-0000CA470000}"/>
    <cellStyle name="40% - Accent5 5 3 3 3 2" xfId="25155" xr:uid="{00000000-0005-0000-0000-0000CB470000}"/>
    <cellStyle name="40% - Accent5 5 3 3 4" xfId="22843" xr:uid="{00000000-0005-0000-0000-0000CC470000}"/>
    <cellStyle name="40% - Accent5 5 3 4" xfId="4639" xr:uid="{00000000-0005-0000-0000-0000CD470000}"/>
    <cellStyle name="40% - Accent5 5 3 4 2" xfId="12133" xr:uid="{00000000-0005-0000-0000-0000CE470000}"/>
    <cellStyle name="40% - Accent5 5 3 4 2 2" xfId="25845" xr:uid="{00000000-0005-0000-0000-0000CF470000}"/>
    <cellStyle name="40% - Accent5 5 3 4 3" xfId="24233" xr:uid="{00000000-0005-0000-0000-0000D0470000}"/>
    <cellStyle name="40% - Accent5 5 3 5" xfId="4640" xr:uid="{00000000-0005-0000-0000-0000D1470000}"/>
    <cellStyle name="40% - Accent5 5 3 5 2" xfId="12998" xr:uid="{00000000-0005-0000-0000-0000D2470000}"/>
    <cellStyle name="40% - Accent5 5 3 5 2 2" xfId="26710" xr:uid="{00000000-0005-0000-0000-0000D3470000}"/>
    <cellStyle name="40% - Accent5 5 3 5 3" xfId="22842" xr:uid="{00000000-0005-0000-0000-0000D4470000}"/>
    <cellStyle name="40% - Accent5 5 3 6" xfId="4641" xr:uid="{00000000-0005-0000-0000-0000D5470000}"/>
    <cellStyle name="40% - Accent5 5 3 6 2" xfId="13697" xr:uid="{00000000-0005-0000-0000-0000D6470000}"/>
    <cellStyle name="40% - Accent5 5 3 6 2 2" xfId="27246" xr:uid="{00000000-0005-0000-0000-0000D7470000}"/>
    <cellStyle name="40% - Accent5 5 3 6 3" xfId="22841" xr:uid="{00000000-0005-0000-0000-0000D8470000}"/>
    <cellStyle name="40% - Accent5 5 3 7" xfId="4642" xr:uid="{00000000-0005-0000-0000-0000D9470000}"/>
    <cellStyle name="40% - Accent5 5 3 7 2" xfId="14278" xr:uid="{00000000-0005-0000-0000-0000DA470000}"/>
    <cellStyle name="40% - Accent5 5 3 7 2 2" xfId="27827" xr:uid="{00000000-0005-0000-0000-0000DB470000}"/>
    <cellStyle name="40% - Accent5 5 3 7 3" xfId="22840" xr:uid="{00000000-0005-0000-0000-0000DC470000}"/>
    <cellStyle name="40% - Accent5 5 3 8" xfId="4643" xr:uid="{00000000-0005-0000-0000-0000DD470000}"/>
    <cellStyle name="40% - Accent5 5 3 8 2" xfId="15450" xr:uid="{00000000-0005-0000-0000-0000DE470000}"/>
    <cellStyle name="40% - Accent5 5 3 8 2 2" xfId="28999" xr:uid="{00000000-0005-0000-0000-0000DF470000}"/>
    <cellStyle name="40% - Accent5 5 3 8 3" xfId="22839" xr:uid="{00000000-0005-0000-0000-0000E0470000}"/>
    <cellStyle name="40% - Accent5 5 3 9" xfId="4644" xr:uid="{00000000-0005-0000-0000-0000E1470000}"/>
    <cellStyle name="40% - Accent5 5 3 9 2" xfId="16164" xr:uid="{00000000-0005-0000-0000-0000E2470000}"/>
    <cellStyle name="40% - Accent5 5 3 9 2 2" xfId="29571" xr:uid="{00000000-0005-0000-0000-0000E3470000}"/>
    <cellStyle name="40% - Accent5 5 3 9 3" xfId="22838" xr:uid="{00000000-0005-0000-0000-0000E4470000}"/>
    <cellStyle name="40% - Accent5 5 4" xfId="4645" xr:uid="{00000000-0005-0000-0000-0000E5470000}"/>
    <cellStyle name="40% - Accent5 5 4 2" xfId="4646" xr:uid="{00000000-0005-0000-0000-0000E6470000}"/>
    <cellStyle name="40% - Accent5 5 4 2 2" xfId="11215" xr:uid="{00000000-0005-0000-0000-0000E7470000}"/>
    <cellStyle name="40% - Accent5 5 4 2 2 2" xfId="25157" xr:uid="{00000000-0005-0000-0000-0000E8470000}"/>
    <cellStyle name="40% - Accent5 5 4 2 3" xfId="29142" xr:uid="{00000000-0005-0000-0000-0000E9470000}"/>
    <cellStyle name="40% - Accent5 5 4 3" xfId="4647" xr:uid="{00000000-0005-0000-0000-0000EA470000}"/>
    <cellStyle name="40% - Accent5 5 4 3 2" xfId="13000" xr:uid="{00000000-0005-0000-0000-0000EB470000}"/>
    <cellStyle name="40% - Accent5 5 4 3 2 2" xfId="26712" xr:uid="{00000000-0005-0000-0000-0000EC470000}"/>
    <cellStyle name="40% - Accent5 5 4 3 3" xfId="22837" xr:uid="{00000000-0005-0000-0000-0000ED470000}"/>
    <cellStyle name="40% - Accent5 5 4 4" xfId="4648" xr:uid="{00000000-0005-0000-0000-0000EE470000}"/>
    <cellStyle name="40% - Accent5 5 4 4 2" xfId="15453" xr:uid="{00000000-0005-0000-0000-0000EF470000}"/>
    <cellStyle name="40% - Accent5 5 4 4 2 2" xfId="29002" xr:uid="{00000000-0005-0000-0000-0000F0470000}"/>
    <cellStyle name="40% - Accent5 5 4 4 3" xfId="22836" xr:uid="{00000000-0005-0000-0000-0000F1470000}"/>
    <cellStyle name="40% - Accent5 5 4 5" xfId="4649" xr:uid="{00000000-0005-0000-0000-0000F2470000}"/>
    <cellStyle name="40% - Accent5 5 4 5 2" xfId="16453" xr:uid="{00000000-0005-0000-0000-0000F3470000}"/>
    <cellStyle name="40% - Accent5 5 4 5 2 2" xfId="29860" xr:uid="{00000000-0005-0000-0000-0000F4470000}"/>
    <cellStyle name="40% - Accent5 5 4 5 3" xfId="22835" xr:uid="{00000000-0005-0000-0000-0000F5470000}"/>
    <cellStyle name="40% - Accent5 5 4 6" xfId="9488" xr:uid="{00000000-0005-0000-0000-0000F6470000}"/>
    <cellStyle name="40% - Accent5 5 4 6 2" xfId="23963" xr:uid="{00000000-0005-0000-0000-0000F7470000}"/>
    <cellStyle name="40% - Accent5 5 4 7" xfId="25451" xr:uid="{00000000-0005-0000-0000-0000F8470000}"/>
    <cellStyle name="40% - Accent5 5 5" xfId="4650" xr:uid="{00000000-0005-0000-0000-0000F9470000}"/>
    <cellStyle name="40% - Accent5 5 5 2" xfId="4651" xr:uid="{00000000-0005-0000-0000-0000FA470000}"/>
    <cellStyle name="40% - Accent5 5 5 2 2" xfId="15454" xr:uid="{00000000-0005-0000-0000-0000FB470000}"/>
    <cellStyle name="40% - Accent5 5 5 2 2 2" xfId="29003" xr:uid="{00000000-0005-0000-0000-0000FC470000}"/>
    <cellStyle name="40% - Accent5 5 5 2 3" xfId="22834" xr:uid="{00000000-0005-0000-0000-0000FD470000}"/>
    <cellStyle name="40% - Accent5 5 5 3" xfId="11208" xr:uid="{00000000-0005-0000-0000-0000FE470000}"/>
    <cellStyle name="40% - Accent5 5 5 3 2" xfId="25150" xr:uid="{00000000-0005-0000-0000-0000FF470000}"/>
    <cellStyle name="40% - Accent5 5 5 4" xfId="25264" xr:uid="{00000000-0005-0000-0000-000000480000}"/>
    <cellStyle name="40% - Accent5 5 6" xfId="4652" xr:uid="{00000000-0005-0000-0000-000001480000}"/>
    <cellStyle name="40% - Accent5 5 6 2" xfId="11804" xr:uid="{00000000-0005-0000-0000-000002480000}"/>
    <cellStyle name="40% - Accent5 5 6 2 2" xfId="25519" xr:uid="{00000000-0005-0000-0000-000003480000}"/>
    <cellStyle name="40% - Accent5 5 6 3" xfId="22833" xr:uid="{00000000-0005-0000-0000-000004480000}"/>
    <cellStyle name="40% - Accent5 5 7" xfId="4653" xr:uid="{00000000-0005-0000-0000-000005480000}"/>
    <cellStyle name="40% - Accent5 5 7 2" xfId="12993" xr:uid="{00000000-0005-0000-0000-000006480000}"/>
    <cellStyle name="40% - Accent5 5 7 2 2" xfId="26705" xr:uid="{00000000-0005-0000-0000-000007480000}"/>
    <cellStyle name="40% - Accent5 5 7 3" xfId="24232" xr:uid="{00000000-0005-0000-0000-000008480000}"/>
    <cellStyle name="40% - Accent5 5 8" xfId="4654" xr:uid="{00000000-0005-0000-0000-000009480000}"/>
    <cellStyle name="40% - Accent5 5 8 2" xfId="13405" xr:uid="{00000000-0005-0000-0000-00000A480000}"/>
    <cellStyle name="40% - Accent5 5 8 2 2" xfId="26954" xr:uid="{00000000-0005-0000-0000-00000B480000}"/>
    <cellStyle name="40% - Accent5 5 8 3" xfId="25263" xr:uid="{00000000-0005-0000-0000-00000C480000}"/>
    <cellStyle name="40% - Accent5 5 9" xfId="4655" xr:uid="{00000000-0005-0000-0000-00000D480000}"/>
    <cellStyle name="40% - Accent5 5 9 2" xfId="13986" xr:uid="{00000000-0005-0000-0000-00000E480000}"/>
    <cellStyle name="40% - Accent5 5 9 2 2" xfId="27535" xr:uid="{00000000-0005-0000-0000-00000F480000}"/>
    <cellStyle name="40% - Accent5 5 9 3" xfId="22832" xr:uid="{00000000-0005-0000-0000-000010480000}"/>
    <cellStyle name="40% - Accent5 6" xfId="4656" xr:uid="{00000000-0005-0000-0000-000011480000}"/>
    <cellStyle name="40% - Accent5 6 10" xfId="4657" xr:uid="{00000000-0005-0000-0000-000012480000}"/>
    <cellStyle name="40% - Accent5 6 10 2" xfId="15455" xr:uid="{00000000-0005-0000-0000-000013480000}"/>
    <cellStyle name="40% - Accent5 6 10 2 2" xfId="29004" xr:uid="{00000000-0005-0000-0000-000014480000}"/>
    <cellStyle name="40% - Accent5 6 10 3" xfId="24231" xr:uid="{00000000-0005-0000-0000-000015480000}"/>
    <cellStyle name="40% - Accent5 6 11" xfId="4658" xr:uid="{00000000-0005-0000-0000-000016480000}"/>
    <cellStyle name="40% - Accent5 6 11 2" xfId="15978" xr:uid="{00000000-0005-0000-0000-000017480000}"/>
    <cellStyle name="40% - Accent5 6 11 2 2" xfId="29385" xr:uid="{00000000-0005-0000-0000-000018480000}"/>
    <cellStyle name="40% - Accent5 6 11 3" xfId="25262" xr:uid="{00000000-0005-0000-0000-000019480000}"/>
    <cellStyle name="40% - Accent5 6 12" xfId="9489" xr:uid="{00000000-0005-0000-0000-00001A480000}"/>
    <cellStyle name="40% - Accent5 6 12 2" xfId="23964" xr:uid="{00000000-0005-0000-0000-00001B480000}"/>
    <cellStyle name="40% - Accent5 6 13" xfId="22831" xr:uid="{00000000-0005-0000-0000-00001C480000}"/>
    <cellStyle name="40% - Accent5 6 2" xfId="4659" xr:uid="{00000000-0005-0000-0000-00001D480000}"/>
    <cellStyle name="40% - Accent5 6 2 10" xfId="4660" xr:uid="{00000000-0005-0000-0000-00001E480000}"/>
    <cellStyle name="40% - Accent5 6 2 10 2" xfId="16121" xr:uid="{00000000-0005-0000-0000-00001F480000}"/>
    <cellStyle name="40% - Accent5 6 2 10 2 2" xfId="29528" xr:uid="{00000000-0005-0000-0000-000020480000}"/>
    <cellStyle name="40% - Accent5 6 2 10 3" xfId="22829" xr:uid="{00000000-0005-0000-0000-000021480000}"/>
    <cellStyle name="40% - Accent5 6 2 11" xfId="9490" xr:uid="{00000000-0005-0000-0000-000022480000}"/>
    <cellStyle name="40% - Accent5 6 2 11 2" xfId="23965" xr:uid="{00000000-0005-0000-0000-000023480000}"/>
    <cellStyle name="40% - Accent5 6 2 12" xfId="22830" xr:uid="{00000000-0005-0000-0000-000024480000}"/>
    <cellStyle name="40% - Accent5 6 2 2" xfId="4661" xr:uid="{00000000-0005-0000-0000-000025480000}"/>
    <cellStyle name="40% - Accent5 6 2 2 10" xfId="9491" xr:uid="{00000000-0005-0000-0000-000026480000}"/>
    <cellStyle name="40% - Accent5 6 2 2 10 2" xfId="23966" xr:uid="{00000000-0005-0000-0000-000027480000}"/>
    <cellStyle name="40% - Accent5 6 2 2 11" xfId="24230" xr:uid="{00000000-0005-0000-0000-000028480000}"/>
    <cellStyle name="40% - Accent5 6 2 2 2" xfId="4662" xr:uid="{00000000-0005-0000-0000-000029480000}"/>
    <cellStyle name="40% - Accent5 6 2 2 2 2" xfId="4663" xr:uid="{00000000-0005-0000-0000-00002A480000}"/>
    <cellStyle name="40% - Accent5 6 2 2 2 2 2" xfId="11219" xr:uid="{00000000-0005-0000-0000-00002B480000}"/>
    <cellStyle name="40% - Accent5 6 2 2 2 2 2 2" xfId="25161" xr:uid="{00000000-0005-0000-0000-00002C480000}"/>
    <cellStyle name="40% - Accent5 6 2 2 2 2 3" xfId="22828" xr:uid="{00000000-0005-0000-0000-00002D480000}"/>
    <cellStyle name="40% - Accent5 6 2 2 2 3" xfId="4664" xr:uid="{00000000-0005-0000-0000-00002E480000}"/>
    <cellStyle name="40% - Accent5 6 2 2 2 3 2" xfId="13004" xr:uid="{00000000-0005-0000-0000-00002F480000}"/>
    <cellStyle name="40% - Accent5 6 2 2 2 3 2 2" xfId="26716" xr:uid="{00000000-0005-0000-0000-000030480000}"/>
    <cellStyle name="40% - Accent5 6 2 2 2 3 3" xfId="22827" xr:uid="{00000000-0005-0000-0000-000031480000}"/>
    <cellStyle name="40% - Accent5 6 2 2 2 4" xfId="4665" xr:uid="{00000000-0005-0000-0000-000032480000}"/>
    <cellStyle name="40% - Accent5 6 2 2 2 4 2" xfId="15458" xr:uid="{00000000-0005-0000-0000-000033480000}"/>
    <cellStyle name="40% - Accent5 6 2 2 2 4 2 2" xfId="29007" xr:uid="{00000000-0005-0000-0000-000034480000}"/>
    <cellStyle name="40% - Accent5 6 2 2 2 4 3" xfId="24229" xr:uid="{00000000-0005-0000-0000-000035480000}"/>
    <cellStyle name="40% - Accent5 6 2 2 2 5" xfId="4666" xr:uid="{00000000-0005-0000-0000-000036480000}"/>
    <cellStyle name="40% - Accent5 6 2 2 2 5 2" xfId="16991" xr:uid="{00000000-0005-0000-0000-000037480000}"/>
    <cellStyle name="40% - Accent5 6 2 2 2 5 2 2" xfId="30398" xr:uid="{00000000-0005-0000-0000-000038480000}"/>
    <cellStyle name="40% - Accent5 6 2 2 2 5 3" xfId="25260" xr:uid="{00000000-0005-0000-0000-000039480000}"/>
    <cellStyle name="40% - Accent5 6 2 2 2 6" xfId="9492" xr:uid="{00000000-0005-0000-0000-00003A480000}"/>
    <cellStyle name="40% - Accent5 6 2 2 2 6 2" xfId="23967" xr:uid="{00000000-0005-0000-0000-00003B480000}"/>
    <cellStyle name="40% - Accent5 6 2 2 2 7" xfId="25261" xr:uid="{00000000-0005-0000-0000-00003C480000}"/>
    <cellStyle name="40% - Accent5 6 2 2 3" xfId="4667" xr:uid="{00000000-0005-0000-0000-00003D480000}"/>
    <cellStyle name="40% - Accent5 6 2 2 3 2" xfId="4668" xr:uid="{00000000-0005-0000-0000-00003E480000}"/>
    <cellStyle name="40% - Accent5 6 2 2 3 2 2" xfId="15459" xr:uid="{00000000-0005-0000-0000-00003F480000}"/>
    <cellStyle name="40% - Accent5 6 2 2 3 2 2 2" xfId="29008" xr:uid="{00000000-0005-0000-0000-000040480000}"/>
    <cellStyle name="40% - Accent5 6 2 2 3 2 3" xfId="22825" xr:uid="{00000000-0005-0000-0000-000041480000}"/>
    <cellStyle name="40% - Accent5 6 2 2 3 3" xfId="11218" xr:uid="{00000000-0005-0000-0000-000042480000}"/>
    <cellStyle name="40% - Accent5 6 2 2 3 3 2" xfId="25160" xr:uid="{00000000-0005-0000-0000-000043480000}"/>
    <cellStyle name="40% - Accent5 6 2 2 3 4" xfId="22826" xr:uid="{00000000-0005-0000-0000-000044480000}"/>
    <cellStyle name="40% - Accent5 6 2 2 4" xfId="4669" xr:uid="{00000000-0005-0000-0000-000045480000}"/>
    <cellStyle name="40% - Accent5 6 2 2 4 2" xfId="12379" xr:uid="{00000000-0005-0000-0000-000046480000}"/>
    <cellStyle name="40% - Accent5 6 2 2 4 2 2" xfId="26091" xr:uid="{00000000-0005-0000-0000-000047480000}"/>
    <cellStyle name="40% - Accent5 6 2 2 4 3" xfId="24228" xr:uid="{00000000-0005-0000-0000-000048480000}"/>
    <cellStyle name="40% - Accent5 6 2 2 5" xfId="4670" xr:uid="{00000000-0005-0000-0000-000049480000}"/>
    <cellStyle name="40% - Accent5 6 2 2 5 2" xfId="13003" xr:uid="{00000000-0005-0000-0000-00004A480000}"/>
    <cellStyle name="40% - Accent5 6 2 2 5 2 2" xfId="26715" xr:uid="{00000000-0005-0000-0000-00004B480000}"/>
    <cellStyle name="40% - Accent5 6 2 2 5 3" xfId="22824" xr:uid="{00000000-0005-0000-0000-00004C480000}"/>
    <cellStyle name="40% - Accent5 6 2 2 6" xfId="4671" xr:uid="{00000000-0005-0000-0000-00004D480000}"/>
    <cellStyle name="40% - Accent5 6 2 2 6 2" xfId="13943" xr:uid="{00000000-0005-0000-0000-00004E480000}"/>
    <cellStyle name="40% - Accent5 6 2 2 6 2 2" xfId="27492" xr:uid="{00000000-0005-0000-0000-00004F480000}"/>
    <cellStyle name="40% - Accent5 6 2 2 6 3" xfId="25259" xr:uid="{00000000-0005-0000-0000-000050480000}"/>
    <cellStyle name="40% - Accent5 6 2 2 7" xfId="4672" xr:uid="{00000000-0005-0000-0000-000051480000}"/>
    <cellStyle name="40% - Accent5 6 2 2 7 2" xfId="14524" xr:uid="{00000000-0005-0000-0000-000052480000}"/>
    <cellStyle name="40% - Accent5 6 2 2 7 2 2" xfId="28073" xr:uid="{00000000-0005-0000-0000-000053480000}"/>
    <cellStyle name="40% - Accent5 6 2 2 7 3" xfId="22823" xr:uid="{00000000-0005-0000-0000-000054480000}"/>
    <cellStyle name="40% - Accent5 6 2 2 8" xfId="4673" xr:uid="{00000000-0005-0000-0000-000055480000}"/>
    <cellStyle name="40% - Accent5 6 2 2 8 2" xfId="15457" xr:uid="{00000000-0005-0000-0000-000056480000}"/>
    <cellStyle name="40% - Accent5 6 2 2 8 2 2" xfId="29006" xr:uid="{00000000-0005-0000-0000-000057480000}"/>
    <cellStyle name="40% - Accent5 6 2 2 8 3" xfId="22822" xr:uid="{00000000-0005-0000-0000-000058480000}"/>
    <cellStyle name="40% - Accent5 6 2 2 9" xfId="4674" xr:uid="{00000000-0005-0000-0000-000059480000}"/>
    <cellStyle name="40% - Accent5 6 2 2 9 2" xfId="16410" xr:uid="{00000000-0005-0000-0000-00005A480000}"/>
    <cellStyle name="40% - Accent5 6 2 2 9 2 2" xfId="29817" xr:uid="{00000000-0005-0000-0000-00005B480000}"/>
    <cellStyle name="40% - Accent5 6 2 2 9 3" xfId="24226" xr:uid="{00000000-0005-0000-0000-00005C480000}"/>
    <cellStyle name="40% - Accent5 6 2 3" xfId="4675" xr:uid="{00000000-0005-0000-0000-00005D480000}"/>
    <cellStyle name="40% - Accent5 6 2 3 2" xfId="4676" xr:uid="{00000000-0005-0000-0000-00005E480000}"/>
    <cellStyle name="40% - Accent5 6 2 3 2 2" xfId="11220" xr:uid="{00000000-0005-0000-0000-00005F480000}"/>
    <cellStyle name="40% - Accent5 6 2 3 2 2 2" xfId="25162" xr:uid="{00000000-0005-0000-0000-000060480000}"/>
    <cellStyle name="40% - Accent5 6 2 3 2 3" xfId="25257" xr:uid="{00000000-0005-0000-0000-000061480000}"/>
    <cellStyle name="40% - Accent5 6 2 3 3" xfId="4677" xr:uid="{00000000-0005-0000-0000-000062480000}"/>
    <cellStyle name="40% - Accent5 6 2 3 3 2" xfId="13005" xr:uid="{00000000-0005-0000-0000-000063480000}"/>
    <cellStyle name="40% - Accent5 6 2 3 3 2 2" xfId="26717" xr:uid="{00000000-0005-0000-0000-000064480000}"/>
    <cellStyle name="40% - Accent5 6 2 3 3 3" xfId="22820" xr:uid="{00000000-0005-0000-0000-000065480000}"/>
    <cellStyle name="40% - Accent5 6 2 3 4" xfId="4678" xr:uid="{00000000-0005-0000-0000-000066480000}"/>
    <cellStyle name="40% - Accent5 6 2 3 4 2" xfId="15460" xr:uid="{00000000-0005-0000-0000-000067480000}"/>
    <cellStyle name="40% - Accent5 6 2 3 4 2 2" xfId="29009" xr:uid="{00000000-0005-0000-0000-000068480000}"/>
    <cellStyle name="40% - Accent5 6 2 3 4 3" xfId="24227" xr:uid="{00000000-0005-0000-0000-000069480000}"/>
    <cellStyle name="40% - Accent5 6 2 3 5" xfId="4679" xr:uid="{00000000-0005-0000-0000-00006A480000}"/>
    <cellStyle name="40% - Accent5 6 2 3 5 2" xfId="16702" xr:uid="{00000000-0005-0000-0000-00006B480000}"/>
    <cellStyle name="40% - Accent5 6 2 3 5 2 2" xfId="30109" xr:uid="{00000000-0005-0000-0000-00006C480000}"/>
    <cellStyle name="40% - Accent5 6 2 3 5 3" xfId="25258" xr:uid="{00000000-0005-0000-0000-00006D480000}"/>
    <cellStyle name="40% - Accent5 6 2 3 6" xfId="9493" xr:uid="{00000000-0005-0000-0000-00006E480000}"/>
    <cellStyle name="40% - Accent5 6 2 3 6 2" xfId="23968" xr:uid="{00000000-0005-0000-0000-00006F480000}"/>
    <cellStyle name="40% - Accent5 6 2 3 7" xfId="22821" xr:uid="{00000000-0005-0000-0000-000070480000}"/>
    <cellStyle name="40% - Accent5 6 2 4" xfId="4680" xr:uid="{00000000-0005-0000-0000-000071480000}"/>
    <cellStyle name="40% - Accent5 6 2 4 2" xfId="4681" xr:uid="{00000000-0005-0000-0000-000072480000}"/>
    <cellStyle name="40% - Accent5 6 2 4 2 2" xfId="15461" xr:uid="{00000000-0005-0000-0000-000073480000}"/>
    <cellStyle name="40% - Accent5 6 2 4 2 2 2" xfId="29010" xr:uid="{00000000-0005-0000-0000-000074480000}"/>
    <cellStyle name="40% - Accent5 6 2 4 2 3" xfId="22818" xr:uid="{00000000-0005-0000-0000-000075480000}"/>
    <cellStyle name="40% - Accent5 6 2 4 3" xfId="11217" xr:uid="{00000000-0005-0000-0000-000076480000}"/>
    <cellStyle name="40% - Accent5 6 2 4 3 2" xfId="25159" xr:uid="{00000000-0005-0000-0000-000077480000}"/>
    <cellStyle name="40% - Accent5 6 2 4 4" xfId="22819" xr:uid="{00000000-0005-0000-0000-000078480000}"/>
    <cellStyle name="40% - Accent5 6 2 5" xfId="4682" xr:uid="{00000000-0005-0000-0000-000079480000}"/>
    <cellStyle name="40% - Accent5 6 2 5 2" xfId="12079" xr:uid="{00000000-0005-0000-0000-00007A480000}"/>
    <cellStyle name="40% - Accent5 6 2 5 2 2" xfId="25794" xr:uid="{00000000-0005-0000-0000-00007B480000}"/>
    <cellStyle name="40% - Accent5 6 2 5 3" xfId="22817" xr:uid="{00000000-0005-0000-0000-00007C480000}"/>
    <cellStyle name="40% - Accent5 6 2 6" xfId="4683" xr:uid="{00000000-0005-0000-0000-00007D480000}"/>
    <cellStyle name="40% - Accent5 6 2 6 2" xfId="13002" xr:uid="{00000000-0005-0000-0000-00007E480000}"/>
    <cellStyle name="40% - Accent5 6 2 6 2 2" xfId="26714" xr:uid="{00000000-0005-0000-0000-00007F480000}"/>
    <cellStyle name="40% - Accent5 6 2 6 3" xfId="24225" xr:uid="{00000000-0005-0000-0000-000080480000}"/>
    <cellStyle name="40% - Accent5 6 2 7" xfId="4684" xr:uid="{00000000-0005-0000-0000-000081480000}"/>
    <cellStyle name="40% - Accent5 6 2 7 2" xfId="13654" xr:uid="{00000000-0005-0000-0000-000082480000}"/>
    <cellStyle name="40% - Accent5 6 2 7 2 2" xfId="27203" xr:uid="{00000000-0005-0000-0000-000083480000}"/>
    <cellStyle name="40% - Accent5 6 2 7 3" xfId="22816" xr:uid="{00000000-0005-0000-0000-000084480000}"/>
    <cellStyle name="40% - Accent5 6 2 8" xfId="4685" xr:uid="{00000000-0005-0000-0000-000085480000}"/>
    <cellStyle name="40% - Accent5 6 2 8 2" xfId="14235" xr:uid="{00000000-0005-0000-0000-000086480000}"/>
    <cellStyle name="40% - Accent5 6 2 8 2 2" xfId="27784" xr:uid="{00000000-0005-0000-0000-000087480000}"/>
    <cellStyle name="40% - Accent5 6 2 8 3" xfId="22815" xr:uid="{00000000-0005-0000-0000-000088480000}"/>
    <cellStyle name="40% - Accent5 6 2 9" xfId="4686" xr:uid="{00000000-0005-0000-0000-000089480000}"/>
    <cellStyle name="40% - Accent5 6 2 9 2" xfId="15456" xr:uid="{00000000-0005-0000-0000-00008A480000}"/>
    <cellStyle name="40% - Accent5 6 2 9 2 2" xfId="29005" xr:uid="{00000000-0005-0000-0000-00008B480000}"/>
    <cellStyle name="40% - Accent5 6 2 9 3" xfId="24224" xr:uid="{00000000-0005-0000-0000-00008C480000}"/>
    <cellStyle name="40% - Accent5 6 3" xfId="4687" xr:uid="{00000000-0005-0000-0000-00008D480000}"/>
    <cellStyle name="40% - Accent5 6 3 10" xfId="9494" xr:uid="{00000000-0005-0000-0000-00008E480000}"/>
    <cellStyle name="40% - Accent5 6 3 10 2" xfId="23969" xr:uid="{00000000-0005-0000-0000-00008F480000}"/>
    <cellStyle name="40% - Accent5 6 3 11" xfId="22814" xr:uid="{00000000-0005-0000-0000-000090480000}"/>
    <cellStyle name="40% - Accent5 6 3 2" xfId="4688" xr:uid="{00000000-0005-0000-0000-000091480000}"/>
    <cellStyle name="40% - Accent5 6 3 2 2" xfId="4689" xr:uid="{00000000-0005-0000-0000-000092480000}"/>
    <cellStyle name="40% - Accent5 6 3 2 2 2" xfId="11222" xr:uid="{00000000-0005-0000-0000-000093480000}"/>
    <cellStyle name="40% - Accent5 6 3 2 2 2 2" xfId="25164" xr:uid="{00000000-0005-0000-0000-000094480000}"/>
    <cellStyle name="40% - Accent5 6 3 2 2 3" xfId="26835" xr:uid="{00000000-0005-0000-0000-000095480000}"/>
    <cellStyle name="40% - Accent5 6 3 2 3" xfId="4690" xr:uid="{00000000-0005-0000-0000-000096480000}"/>
    <cellStyle name="40% - Accent5 6 3 2 3 2" xfId="13007" xr:uid="{00000000-0005-0000-0000-000097480000}"/>
    <cellStyle name="40% - Accent5 6 3 2 3 2 2" xfId="26719" xr:uid="{00000000-0005-0000-0000-000098480000}"/>
    <cellStyle name="40% - Accent5 6 3 2 3 3" xfId="22812" xr:uid="{00000000-0005-0000-0000-000099480000}"/>
    <cellStyle name="40% - Accent5 6 3 2 4" xfId="4691" xr:uid="{00000000-0005-0000-0000-00009A480000}"/>
    <cellStyle name="40% - Accent5 6 3 2 4 2" xfId="15463" xr:uid="{00000000-0005-0000-0000-00009B480000}"/>
    <cellStyle name="40% - Accent5 6 3 2 4 2 2" xfId="29012" xr:uid="{00000000-0005-0000-0000-00009C480000}"/>
    <cellStyle name="40% - Accent5 6 3 2 4 3" xfId="22811" xr:uid="{00000000-0005-0000-0000-00009D480000}"/>
    <cellStyle name="40% - Accent5 6 3 2 5" xfId="4692" xr:uid="{00000000-0005-0000-0000-00009E480000}"/>
    <cellStyle name="40% - Accent5 6 3 2 5 2" xfId="16848" xr:uid="{00000000-0005-0000-0000-00009F480000}"/>
    <cellStyle name="40% - Accent5 6 3 2 5 2 2" xfId="30255" xr:uid="{00000000-0005-0000-0000-0000A0480000}"/>
    <cellStyle name="40% - Accent5 6 3 2 5 3" xfId="24223" xr:uid="{00000000-0005-0000-0000-0000A1480000}"/>
    <cellStyle name="40% - Accent5 6 3 2 6" xfId="9495" xr:uid="{00000000-0005-0000-0000-0000A2480000}"/>
    <cellStyle name="40% - Accent5 6 3 2 6 2" xfId="23970" xr:uid="{00000000-0005-0000-0000-0000A3480000}"/>
    <cellStyle name="40% - Accent5 6 3 2 7" xfId="22813" xr:uid="{00000000-0005-0000-0000-0000A4480000}"/>
    <cellStyle name="40% - Accent5 6 3 3" xfId="4693" xr:uid="{00000000-0005-0000-0000-0000A5480000}"/>
    <cellStyle name="40% - Accent5 6 3 3 2" xfId="4694" xr:uid="{00000000-0005-0000-0000-0000A6480000}"/>
    <cellStyle name="40% - Accent5 6 3 3 2 2" xfId="15464" xr:uid="{00000000-0005-0000-0000-0000A7480000}"/>
    <cellStyle name="40% - Accent5 6 3 3 2 2 2" xfId="29013" xr:uid="{00000000-0005-0000-0000-0000A8480000}"/>
    <cellStyle name="40% - Accent5 6 3 3 2 3" xfId="26833" xr:uid="{00000000-0005-0000-0000-0000A9480000}"/>
    <cellStyle name="40% - Accent5 6 3 3 3" xfId="11221" xr:uid="{00000000-0005-0000-0000-0000AA480000}"/>
    <cellStyle name="40% - Accent5 6 3 3 3 2" xfId="25163" xr:uid="{00000000-0005-0000-0000-0000AB480000}"/>
    <cellStyle name="40% - Accent5 6 3 3 4" xfId="22810" xr:uid="{00000000-0005-0000-0000-0000AC480000}"/>
    <cellStyle name="40% - Accent5 6 3 4" xfId="4695" xr:uid="{00000000-0005-0000-0000-0000AD480000}"/>
    <cellStyle name="40% - Accent5 6 3 4 2" xfId="12236" xr:uid="{00000000-0005-0000-0000-0000AE480000}"/>
    <cellStyle name="40% - Accent5 6 3 4 2 2" xfId="25948" xr:uid="{00000000-0005-0000-0000-0000AF480000}"/>
    <cellStyle name="40% - Accent5 6 3 4 3" xfId="22809" xr:uid="{00000000-0005-0000-0000-0000B0480000}"/>
    <cellStyle name="40% - Accent5 6 3 5" xfId="4696" xr:uid="{00000000-0005-0000-0000-0000B1480000}"/>
    <cellStyle name="40% - Accent5 6 3 5 2" xfId="13006" xr:uid="{00000000-0005-0000-0000-0000B2480000}"/>
    <cellStyle name="40% - Accent5 6 3 5 2 2" xfId="26718" xr:uid="{00000000-0005-0000-0000-0000B3480000}"/>
    <cellStyle name="40% - Accent5 6 3 5 3" xfId="22808" xr:uid="{00000000-0005-0000-0000-0000B4480000}"/>
    <cellStyle name="40% - Accent5 6 3 6" xfId="4697" xr:uid="{00000000-0005-0000-0000-0000B5480000}"/>
    <cellStyle name="40% - Accent5 6 3 6 2" xfId="13800" xr:uid="{00000000-0005-0000-0000-0000B6480000}"/>
    <cellStyle name="40% - Accent5 6 3 6 2 2" xfId="27349" xr:uid="{00000000-0005-0000-0000-0000B7480000}"/>
    <cellStyle name="40% - Accent5 6 3 6 3" xfId="24222" xr:uid="{00000000-0005-0000-0000-0000B8480000}"/>
    <cellStyle name="40% - Accent5 6 3 7" xfId="4698" xr:uid="{00000000-0005-0000-0000-0000B9480000}"/>
    <cellStyle name="40% - Accent5 6 3 7 2" xfId="14381" xr:uid="{00000000-0005-0000-0000-0000BA480000}"/>
    <cellStyle name="40% - Accent5 6 3 7 2 2" xfId="27930" xr:uid="{00000000-0005-0000-0000-0000BB480000}"/>
    <cellStyle name="40% - Accent5 6 3 7 3" xfId="22807" xr:uid="{00000000-0005-0000-0000-0000BC480000}"/>
    <cellStyle name="40% - Accent5 6 3 8" xfId="4699" xr:uid="{00000000-0005-0000-0000-0000BD480000}"/>
    <cellStyle name="40% - Accent5 6 3 8 2" xfId="15462" xr:uid="{00000000-0005-0000-0000-0000BE480000}"/>
    <cellStyle name="40% - Accent5 6 3 8 2 2" xfId="29011" xr:uid="{00000000-0005-0000-0000-0000BF480000}"/>
    <cellStyle name="40% - Accent5 6 3 8 3" xfId="22806" xr:uid="{00000000-0005-0000-0000-0000C0480000}"/>
    <cellStyle name="40% - Accent5 6 3 9" xfId="4700" xr:uid="{00000000-0005-0000-0000-0000C1480000}"/>
    <cellStyle name="40% - Accent5 6 3 9 2" xfId="16267" xr:uid="{00000000-0005-0000-0000-0000C2480000}"/>
    <cellStyle name="40% - Accent5 6 3 9 2 2" xfId="29674" xr:uid="{00000000-0005-0000-0000-0000C3480000}"/>
    <cellStyle name="40% - Accent5 6 3 9 3" xfId="23203" xr:uid="{00000000-0005-0000-0000-0000C4480000}"/>
    <cellStyle name="40% - Accent5 6 4" xfId="4701" xr:uid="{00000000-0005-0000-0000-0000C5480000}"/>
    <cellStyle name="40% - Accent5 6 4 2" xfId="4702" xr:uid="{00000000-0005-0000-0000-0000C6480000}"/>
    <cellStyle name="40% - Accent5 6 4 2 2" xfId="11223" xr:uid="{00000000-0005-0000-0000-0000C7480000}"/>
    <cellStyle name="40% - Accent5 6 4 2 2 2" xfId="25165" xr:uid="{00000000-0005-0000-0000-0000C8480000}"/>
    <cellStyle name="40% - Accent5 6 4 2 3" xfId="30686" xr:uid="{00000000-0005-0000-0000-0000C9480000}"/>
    <cellStyle name="40% - Accent5 6 4 3" xfId="4703" xr:uid="{00000000-0005-0000-0000-0000CA480000}"/>
    <cellStyle name="40% - Accent5 6 4 3 2" xfId="13008" xr:uid="{00000000-0005-0000-0000-0000CB480000}"/>
    <cellStyle name="40% - Accent5 6 4 3 2 2" xfId="26720" xr:uid="{00000000-0005-0000-0000-0000CC480000}"/>
    <cellStyle name="40% - Accent5 6 4 3 3" xfId="22805" xr:uid="{00000000-0005-0000-0000-0000CD480000}"/>
    <cellStyle name="40% - Accent5 6 4 4" xfId="4704" xr:uid="{00000000-0005-0000-0000-0000CE480000}"/>
    <cellStyle name="40% - Accent5 6 4 4 2" xfId="15465" xr:uid="{00000000-0005-0000-0000-0000CF480000}"/>
    <cellStyle name="40% - Accent5 6 4 4 2 2" xfId="29014" xr:uid="{00000000-0005-0000-0000-0000D0480000}"/>
    <cellStyle name="40% - Accent5 6 4 4 3" xfId="26832" xr:uid="{00000000-0005-0000-0000-0000D1480000}"/>
    <cellStyle name="40% - Accent5 6 4 5" xfId="4705" xr:uid="{00000000-0005-0000-0000-0000D2480000}"/>
    <cellStyle name="40% - Accent5 6 4 5 2" xfId="16559" xr:uid="{00000000-0005-0000-0000-0000D3480000}"/>
    <cellStyle name="40% - Accent5 6 4 5 2 2" xfId="29966" xr:uid="{00000000-0005-0000-0000-0000D4480000}"/>
    <cellStyle name="40% - Accent5 6 4 5 3" xfId="22804" xr:uid="{00000000-0005-0000-0000-0000D5480000}"/>
    <cellStyle name="40% - Accent5 6 4 6" xfId="9496" xr:uid="{00000000-0005-0000-0000-0000D6480000}"/>
    <cellStyle name="40% - Accent5 6 4 6 2" xfId="23971" xr:uid="{00000000-0005-0000-0000-0000D7480000}"/>
    <cellStyle name="40% - Accent5 6 4 7" xfId="23237" xr:uid="{00000000-0005-0000-0000-0000D8480000}"/>
    <cellStyle name="40% - Accent5 6 5" xfId="4706" xr:uid="{00000000-0005-0000-0000-0000D9480000}"/>
    <cellStyle name="40% - Accent5 6 5 2" xfId="4707" xr:uid="{00000000-0005-0000-0000-0000DA480000}"/>
    <cellStyle name="40% - Accent5 6 5 2 2" xfId="15466" xr:uid="{00000000-0005-0000-0000-0000DB480000}"/>
    <cellStyle name="40% - Accent5 6 5 2 2 2" xfId="29015" xr:uid="{00000000-0005-0000-0000-0000DC480000}"/>
    <cellStyle name="40% - Accent5 6 5 2 3" xfId="23208" xr:uid="{00000000-0005-0000-0000-0000DD480000}"/>
    <cellStyle name="40% - Accent5 6 5 3" xfId="11216" xr:uid="{00000000-0005-0000-0000-0000DE480000}"/>
    <cellStyle name="40% - Accent5 6 5 3 2" xfId="25158" xr:uid="{00000000-0005-0000-0000-0000DF480000}"/>
    <cellStyle name="40% - Accent5 6 5 4" xfId="22803" xr:uid="{00000000-0005-0000-0000-0000E0480000}"/>
    <cellStyle name="40% - Accent5 6 6" xfId="4708" xr:uid="{00000000-0005-0000-0000-0000E1480000}"/>
    <cellStyle name="40% - Accent5 6 6 2" xfId="11934" xr:uid="{00000000-0005-0000-0000-0000E2480000}"/>
    <cellStyle name="40% - Accent5 6 6 2 2" xfId="25649" xr:uid="{00000000-0005-0000-0000-0000E3480000}"/>
    <cellStyle name="40% - Accent5 6 6 3" xfId="26831" xr:uid="{00000000-0005-0000-0000-0000E4480000}"/>
    <cellStyle name="40% - Accent5 6 7" xfId="4709" xr:uid="{00000000-0005-0000-0000-0000E5480000}"/>
    <cellStyle name="40% - Accent5 6 7 2" xfId="13001" xr:uid="{00000000-0005-0000-0000-0000E6480000}"/>
    <cellStyle name="40% - Accent5 6 7 2 2" xfId="26713" xr:uid="{00000000-0005-0000-0000-0000E7480000}"/>
    <cellStyle name="40% - Accent5 6 7 3" xfId="22802" xr:uid="{00000000-0005-0000-0000-0000E8480000}"/>
    <cellStyle name="40% - Accent5 6 8" xfId="4710" xr:uid="{00000000-0005-0000-0000-0000E9480000}"/>
    <cellStyle name="40% - Accent5 6 8 2" xfId="13511" xr:uid="{00000000-0005-0000-0000-0000EA480000}"/>
    <cellStyle name="40% - Accent5 6 8 2 2" xfId="27060" xr:uid="{00000000-0005-0000-0000-0000EB480000}"/>
    <cellStyle name="40% - Accent5 6 8 3" xfId="24220" xr:uid="{00000000-0005-0000-0000-0000EC480000}"/>
    <cellStyle name="40% - Accent5 6 9" xfId="4711" xr:uid="{00000000-0005-0000-0000-0000ED480000}"/>
    <cellStyle name="40% - Accent5 6 9 2" xfId="14092" xr:uid="{00000000-0005-0000-0000-0000EE480000}"/>
    <cellStyle name="40% - Accent5 6 9 2 2" xfId="27641" xr:uid="{00000000-0005-0000-0000-0000EF480000}"/>
    <cellStyle name="40% - Accent5 6 9 3" xfId="22801" xr:uid="{00000000-0005-0000-0000-0000F0480000}"/>
    <cellStyle name="40% - Accent5 7" xfId="4712" xr:uid="{00000000-0005-0000-0000-0000F1480000}"/>
    <cellStyle name="40% - Accent5 7 10" xfId="4713" xr:uid="{00000000-0005-0000-0000-0000F2480000}"/>
    <cellStyle name="40% - Accent5 7 10 2" xfId="15997" xr:uid="{00000000-0005-0000-0000-0000F3480000}"/>
    <cellStyle name="40% - Accent5 7 10 2 2" xfId="29404" xr:uid="{00000000-0005-0000-0000-0000F4480000}"/>
    <cellStyle name="40% - Accent5 7 10 3" xfId="23230" xr:uid="{00000000-0005-0000-0000-0000F5480000}"/>
    <cellStyle name="40% - Accent5 7 11" xfId="9497" xr:uid="{00000000-0005-0000-0000-0000F6480000}"/>
    <cellStyle name="40% - Accent5 7 11 2" xfId="23972" xr:uid="{00000000-0005-0000-0000-0000F7480000}"/>
    <cellStyle name="40% - Accent5 7 12" xfId="22800" xr:uid="{00000000-0005-0000-0000-0000F8480000}"/>
    <cellStyle name="40% - Accent5 7 2" xfId="4714" xr:uid="{00000000-0005-0000-0000-0000F9480000}"/>
    <cellStyle name="40% - Accent5 7 2 10" xfId="9498" xr:uid="{00000000-0005-0000-0000-0000FA480000}"/>
    <cellStyle name="40% - Accent5 7 2 10 2" xfId="23973" xr:uid="{00000000-0005-0000-0000-0000FB480000}"/>
    <cellStyle name="40% - Accent5 7 2 11" xfId="24219" xr:uid="{00000000-0005-0000-0000-0000FC480000}"/>
    <cellStyle name="40% - Accent5 7 2 2" xfId="4715" xr:uid="{00000000-0005-0000-0000-0000FD480000}"/>
    <cellStyle name="40% - Accent5 7 2 2 2" xfId="4716" xr:uid="{00000000-0005-0000-0000-0000FE480000}"/>
    <cellStyle name="40% - Accent5 7 2 2 2 2" xfId="11226" xr:uid="{00000000-0005-0000-0000-0000FF480000}"/>
    <cellStyle name="40% - Accent5 7 2 2 2 2 2" xfId="25168" xr:uid="{00000000-0005-0000-0000-000000490000}"/>
    <cellStyle name="40% - Accent5 7 2 2 2 3" xfId="24218" xr:uid="{00000000-0005-0000-0000-000001490000}"/>
    <cellStyle name="40% - Accent5 7 2 2 3" xfId="4717" xr:uid="{00000000-0005-0000-0000-000002490000}"/>
    <cellStyle name="40% - Accent5 7 2 2 3 2" xfId="13011" xr:uid="{00000000-0005-0000-0000-000003490000}"/>
    <cellStyle name="40% - Accent5 7 2 2 3 2 2" xfId="26723" xr:uid="{00000000-0005-0000-0000-000004490000}"/>
    <cellStyle name="40% - Accent5 7 2 2 3 3" xfId="22798" xr:uid="{00000000-0005-0000-0000-000005490000}"/>
    <cellStyle name="40% - Accent5 7 2 2 4" xfId="4718" xr:uid="{00000000-0005-0000-0000-000006490000}"/>
    <cellStyle name="40% - Accent5 7 2 2 4 2" xfId="15469" xr:uid="{00000000-0005-0000-0000-000007490000}"/>
    <cellStyle name="40% - Accent5 7 2 2 4 2 2" xfId="29018" xr:uid="{00000000-0005-0000-0000-000008490000}"/>
    <cellStyle name="40% - Accent5 7 2 2 4 3" xfId="22797" xr:uid="{00000000-0005-0000-0000-000009490000}"/>
    <cellStyle name="40% - Accent5 7 2 2 5" xfId="4719" xr:uid="{00000000-0005-0000-0000-00000A490000}"/>
    <cellStyle name="40% - Accent5 7 2 2 5 2" xfId="16867" xr:uid="{00000000-0005-0000-0000-00000B490000}"/>
    <cellStyle name="40% - Accent5 7 2 2 5 2 2" xfId="30274" xr:uid="{00000000-0005-0000-0000-00000C490000}"/>
    <cellStyle name="40% - Accent5 7 2 2 5 3" xfId="22796" xr:uid="{00000000-0005-0000-0000-00000D490000}"/>
    <cellStyle name="40% - Accent5 7 2 2 6" xfId="9499" xr:uid="{00000000-0005-0000-0000-00000E490000}"/>
    <cellStyle name="40% - Accent5 7 2 2 6 2" xfId="23974" xr:uid="{00000000-0005-0000-0000-00000F490000}"/>
    <cellStyle name="40% - Accent5 7 2 2 7" xfId="22799" xr:uid="{00000000-0005-0000-0000-000010490000}"/>
    <cellStyle name="40% - Accent5 7 2 3" xfId="4720" xr:uid="{00000000-0005-0000-0000-000011490000}"/>
    <cellStyle name="40% - Accent5 7 2 3 2" xfId="4721" xr:uid="{00000000-0005-0000-0000-000012490000}"/>
    <cellStyle name="40% - Accent5 7 2 3 2 2" xfId="15470" xr:uid="{00000000-0005-0000-0000-000013490000}"/>
    <cellStyle name="40% - Accent5 7 2 3 2 2 2" xfId="29019" xr:uid="{00000000-0005-0000-0000-000014490000}"/>
    <cellStyle name="40% - Accent5 7 2 3 2 3" xfId="26830" xr:uid="{00000000-0005-0000-0000-000015490000}"/>
    <cellStyle name="40% - Accent5 7 2 3 3" xfId="11225" xr:uid="{00000000-0005-0000-0000-000016490000}"/>
    <cellStyle name="40% - Accent5 7 2 3 3 2" xfId="25167" xr:uid="{00000000-0005-0000-0000-000017490000}"/>
    <cellStyle name="40% - Accent5 7 2 3 4" xfId="24463" xr:uid="{00000000-0005-0000-0000-000018490000}"/>
    <cellStyle name="40% - Accent5 7 2 4" xfId="4722" xr:uid="{00000000-0005-0000-0000-000019490000}"/>
    <cellStyle name="40% - Accent5 7 2 4 2" xfId="12255" xr:uid="{00000000-0005-0000-0000-00001A490000}"/>
    <cellStyle name="40% - Accent5 7 2 4 2 2" xfId="25967" xr:uid="{00000000-0005-0000-0000-00001B490000}"/>
    <cellStyle name="40% - Accent5 7 2 4 3" xfId="22795" xr:uid="{00000000-0005-0000-0000-00001C490000}"/>
    <cellStyle name="40% - Accent5 7 2 5" xfId="4723" xr:uid="{00000000-0005-0000-0000-00001D490000}"/>
    <cellStyle name="40% - Accent5 7 2 5 2" xfId="13010" xr:uid="{00000000-0005-0000-0000-00001E490000}"/>
    <cellStyle name="40% - Accent5 7 2 5 2 2" xfId="26722" xr:uid="{00000000-0005-0000-0000-00001F490000}"/>
    <cellStyle name="40% - Accent5 7 2 5 3" xfId="22794" xr:uid="{00000000-0005-0000-0000-000020490000}"/>
    <cellStyle name="40% - Accent5 7 2 6" xfId="4724" xr:uid="{00000000-0005-0000-0000-000021490000}"/>
    <cellStyle name="40% - Accent5 7 2 6 2" xfId="13819" xr:uid="{00000000-0005-0000-0000-000022490000}"/>
    <cellStyle name="40% - Accent5 7 2 6 2 2" xfId="27368" xr:uid="{00000000-0005-0000-0000-000023490000}"/>
    <cellStyle name="40% - Accent5 7 2 6 3" xfId="23242" xr:uid="{00000000-0005-0000-0000-000024490000}"/>
    <cellStyle name="40% - Accent5 7 2 7" xfId="4725" xr:uid="{00000000-0005-0000-0000-000025490000}"/>
    <cellStyle name="40% - Accent5 7 2 7 2" xfId="14400" xr:uid="{00000000-0005-0000-0000-000026490000}"/>
    <cellStyle name="40% - Accent5 7 2 7 2 2" xfId="27949" xr:uid="{00000000-0005-0000-0000-000027490000}"/>
    <cellStyle name="40% - Accent5 7 2 7 3" xfId="23291" xr:uid="{00000000-0005-0000-0000-000028490000}"/>
    <cellStyle name="40% - Accent5 7 2 8" xfId="4726" xr:uid="{00000000-0005-0000-0000-000029490000}"/>
    <cellStyle name="40% - Accent5 7 2 8 2" xfId="15468" xr:uid="{00000000-0005-0000-0000-00002A490000}"/>
    <cellStyle name="40% - Accent5 7 2 8 2 2" xfId="29017" xr:uid="{00000000-0005-0000-0000-00002B490000}"/>
    <cellStyle name="40% - Accent5 7 2 8 3" xfId="22793" xr:uid="{00000000-0005-0000-0000-00002C490000}"/>
    <cellStyle name="40% - Accent5 7 2 9" xfId="4727" xr:uid="{00000000-0005-0000-0000-00002D490000}"/>
    <cellStyle name="40% - Accent5 7 2 9 2" xfId="16286" xr:uid="{00000000-0005-0000-0000-00002E490000}"/>
    <cellStyle name="40% - Accent5 7 2 9 2 2" xfId="29693" xr:uid="{00000000-0005-0000-0000-00002F490000}"/>
    <cellStyle name="40% - Accent5 7 2 9 3" xfId="24217" xr:uid="{00000000-0005-0000-0000-000030490000}"/>
    <cellStyle name="40% - Accent5 7 3" xfId="4728" xr:uid="{00000000-0005-0000-0000-000031490000}"/>
    <cellStyle name="40% - Accent5 7 3 2" xfId="4729" xr:uid="{00000000-0005-0000-0000-000032490000}"/>
    <cellStyle name="40% - Accent5 7 3 2 2" xfId="11227" xr:uid="{00000000-0005-0000-0000-000033490000}"/>
    <cellStyle name="40% - Accent5 7 3 2 2 2" xfId="25169" xr:uid="{00000000-0005-0000-0000-000034490000}"/>
    <cellStyle name="40% - Accent5 7 3 2 3" xfId="24216" xr:uid="{00000000-0005-0000-0000-000035490000}"/>
    <cellStyle name="40% - Accent5 7 3 3" xfId="4730" xr:uid="{00000000-0005-0000-0000-000036490000}"/>
    <cellStyle name="40% - Accent5 7 3 3 2" xfId="13012" xr:uid="{00000000-0005-0000-0000-000037490000}"/>
    <cellStyle name="40% - Accent5 7 3 3 2 2" xfId="26724" xr:uid="{00000000-0005-0000-0000-000038490000}"/>
    <cellStyle name="40% - Accent5 7 3 3 3" xfId="22791" xr:uid="{00000000-0005-0000-0000-000039490000}"/>
    <cellStyle name="40% - Accent5 7 3 4" xfId="4731" xr:uid="{00000000-0005-0000-0000-00003A490000}"/>
    <cellStyle name="40% - Accent5 7 3 4 2" xfId="15471" xr:uid="{00000000-0005-0000-0000-00003B490000}"/>
    <cellStyle name="40% - Accent5 7 3 4 2 2" xfId="29020" xr:uid="{00000000-0005-0000-0000-00003C490000}"/>
    <cellStyle name="40% - Accent5 7 3 4 3" xfId="24215" xr:uid="{00000000-0005-0000-0000-00003D490000}"/>
    <cellStyle name="40% - Accent5 7 3 5" xfId="4732" xr:uid="{00000000-0005-0000-0000-00003E490000}"/>
    <cellStyle name="40% - Accent5 7 3 5 2" xfId="16578" xr:uid="{00000000-0005-0000-0000-00003F490000}"/>
    <cellStyle name="40% - Accent5 7 3 5 2 2" xfId="29985" xr:uid="{00000000-0005-0000-0000-000040490000}"/>
    <cellStyle name="40% - Accent5 7 3 5 3" xfId="22790" xr:uid="{00000000-0005-0000-0000-000041490000}"/>
    <cellStyle name="40% - Accent5 7 3 6" xfId="9500" xr:uid="{00000000-0005-0000-0000-000042490000}"/>
    <cellStyle name="40% - Accent5 7 3 6 2" xfId="23975" xr:uid="{00000000-0005-0000-0000-000043490000}"/>
    <cellStyle name="40% - Accent5 7 3 7" xfId="22792" xr:uid="{00000000-0005-0000-0000-000044490000}"/>
    <cellStyle name="40% - Accent5 7 4" xfId="4733" xr:uid="{00000000-0005-0000-0000-000045490000}"/>
    <cellStyle name="40% - Accent5 7 4 2" xfId="4734" xr:uid="{00000000-0005-0000-0000-000046490000}"/>
    <cellStyle name="40% - Accent5 7 4 2 2" xfId="15472" xr:uid="{00000000-0005-0000-0000-000047490000}"/>
    <cellStyle name="40% - Accent5 7 4 2 2 2" xfId="29021" xr:uid="{00000000-0005-0000-0000-000048490000}"/>
    <cellStyle name="40% - Accent5 7 4 2 3" xfId="22789" xr:uid="{00000000-0005-0000-0000-000049490000}"/>
    <cellStyle name="40% - Accent5 7 4 3" xfId="11224" xr:uid="{00000000-0005-0000-0000-00004A490000}"/>
    <cellStyle name="40% - Accent5 7 4 3 2" xfId="25166" xr:uid="{00000000-0005-0000-0000-00004B490000}"/>
    <cellStyle name="40% - Accent5 7 4 4" xfId="24214" xr:uid="{00000000-0005-0000-0000-00004C490000}"/>
    <cellStyle name="40% - Accent5 7 5" xfId="4735" xr:uid="{00000000-0005-0000-0000-00004D490000}"/>
    <cellStyle name="40% - Accent5 7 5 2" xfId="11953" xr:uid="{00000000-0005-0000-0000-00004E490000}"/>
    <cellStyle name="40% - Accent5 7 5 2 2" xfId="25668" xr:uid="{00000000-0005-0000-0000-00004F490000}"/>
    <cellStyle name="40% - Accent5 7 5 3" xfId="24212" xr:uid="{00000000-0005-0000-0000-000050490000}"/>
    <cellStyle name="40% - Accent5 7 6" xfId="4736" xr:uid="{00000000-0005-0000-0000-000051490000}"/>
    <cellStyle name="40% - Accent5 7 6 2" xfId="13009" xr:uid="{00000000-0005-0000-0000-000052490000}"/>
    <cellStyle name="40% - Accent5 7 6 2 2" xfId="26721" xr:uid="{00000000-0005-0000-0000-000053490000}"/>
    <cellStyle name="40% - Accent5 7 6 3" xfId="24213" xr:uid="{00000000-0005-0000-0000-000054490000}"/>
    <cellStyle name="40% - Accent5 7 7" xfId="4737" xr:uid="{00000000-0005-0000-0000-000055490000}"/>
    <cellStyle name="40% - Accent5 7 7 2" xfId="13530" xr:uid="{00000000-0005-0000-0000-000056490000}"/>
    <cellStyle name="40% - Accent5 7 7 2 2" xfId="27079" xr:uid="{00000000-0005-0000-0000-000057490000}"/>
    <cellStyle name="40% - Accent5 7 7 3" xfId="22788" xr:uid="{00000000-0005-0000-0000-000058490000}"/>
    <cellStyle name="40% - Accent5 7 8" xfId="4738" xr:uid="{00000000-0005-0000-0000-000059490000}"/>
    <cellStyle name="40% - Accent5 7 8 2" xfId="14111" xr:uid="{00000000-0005-0000-0000-00005A490000}"/>
    <cellStyle name="40% - Accent5 7 8 2 2" xfId="27660" xr:uid="{00000000-0005-0000-0000-00005B490000}"/>
    <cellStyle name="40% - Accent5 7 8 3" xfId="22787" xr:uid="{00000000-0005-0000-0000-00005C490000}"/>
    <cellStyle name="40% - Accent5 7 9" xfId="4739" xr:uid="{00000000-0005-0000-0000-00005D490000}"/>
    <cellStyle name="40% - Accent5 7 9 2" xfId="15467" xr:uid="{00000000-0005-0000-0000-00005E490000}"/>
    <cellStyle name="40% - Accent5 7 9 2 2" xfId="29016" xr:uid="{00000000-0005-0000-0000-00005F490000}"/>
    <cellStyle name="40% - Accent5 7 9 3" xfId="24211" xr:uid="{00000000-0005-0000-0000-000060490000}"/>
    <cellStyle name="40% - Accent5 8" xfId="4740" xr:uid="{00000000-0005-0000-0000-000061490000}"/>
    <cellStyle name="40% - Accent5 8 10" xfId="9501" xr:uid="{00000000-0005-0000-0000-000062490000}"/>
    <cellStyle name="40% - Accent5 8 10 2" xfId="23976" xr:uid="{00000000-0005-0000-0000-000063490000}"/>
    <cellStyle name="40% - Accent5 8 11" xfId="26828" xr:uid="{00000000-0005-0000-0000-000064490000}"/>
    <cellStyle name="40% - Accent5 8 2" xfId="4741" xr:uid="{00000000-0005-0000-0000-000065490000}"/>
    <cellStyle name="40% - Accent5 8 2 2" xfId="4742" xr:uid="{00000000-0005-0000-0000-000066490000}"/>
    <cellStyle name="40% - Accent5 8 2 2 2" xfId="11229" xr:uid="{00000000-0005-0000-0000-000067490000}"/>
    <cellStyle name="40% - Accent5 8 2 2 2 2" xfId="25171" xr:uid="{00000000-0005-0000-0000-000068490000}"/>
    <cellStyle name="40% - Accent5 8 2 2 3" xfId="26829" xr:uid="{00000000-0005-0000-0000-000069490000}"/>
    <cellStyle name="40% - Accent5 8 2 3" xfId="4743" xr:uid="{00000000-0005-0000-0000-00006A490000}"/>
    <cellStyle name="40% - Accent5 8 2 3 2" xfId="13014" xr:uid="{00000000-0005-0000-0000-00006B490000}"/>
    <cellStyle name="40% - Accent5 8 2 3 2 2" xfId="26726" xr:uid="{00000000-0005-0000-0000-00006C490000}"/>
    <cellStyle name="40% - Accent5 8 2 3 3" xfId="22785" xr:uid="{00000000-0005-0000-0000-00006D490000}"/>
    <cellStyle name="40% - Accent5 8 2 4" xfId="4744" xr:uid="{00000000-0005-0000-0000-00006E490000}"/>
    <cellStyle name="40% - Accent5 8 2 4 2" xfId="15474" xr:uid="{00000000-0005-0000-0000-00006F490000}"/>
    <cellStyle name="40% - Accent5 8 2 4 2 2" xfId="29023" xr:uid="{00000000-0005-0000-0000-000070490000}"/>
    <cellStyle name="40% - Accent5 8 2 4 3" xfId="22784" xr:uid="{00000000-0005-0000-0000-000071490000}"/>
    <cellStyle name="40% - Accent5 8 2 5" xfId="4745" xr:uid="{00000000-0005-0000-0000-000072490000}"/>
    <cellStyle name="40% - Accent5 8 2 5 2" xfId="16722" xr:uid="{00000000-0005-0000-0000-000073490000}"/>
    <cellStyle name="40% - Accent5 8 2 5 2 2" xfId="30129" xr:uid="{00000000-0005-0000-0000-000074490000}"/>
    <cellStyle name="40% - Accent5 8 2 5 3" xfId="24209" xr:uid="{00000000-0005-0000-0000-000075490000}"/>
    <cellStyle name="40% - Accent5 8 2 6" xfId="9502" xr:uid="{00000000-0005-0000-0000-000076490000}"/>
    <cellStyle name="40% - Accent5 8 2 6 2" xfId="23977" xr:uid="{00000000-0005-0000-0000-000077490000}"/>
    <cellStyle name="40% - Accent5 8 2 7" xfId="22786" xr:uid="{00000000-0005-0000-0000-000078490000}"/>
    <cellStyle name="40% - Accent5 8 3" xfId="4746" xr:uid="{00000000-0005-0000-0000-000079490000}"/>
    <cellStyle name="40% - Accent5 8 3 2" xfId="4747" xr:uid="{00000000-0005-0000-0000-00007A490000}"/>
    <cellStyle name="40% - Accent5 8 3 2 2" xfId="15475" xr:uid="{00000000-0005-0000-0000-00007B490000}"/>
    <cellStyle name="40% - Accent5 8 3 2 2 2" xfId="29024" xr:uid="{00000000-0005-0000-0000-00007C490000}"/>
    <cellStyle name="40% - Accent5 8 3 2 3" xfId="22783" xr:uid="{00000000-0005-0000-0000-00007D490000}"/>
    <cellStyle name="40% - Accent5 8 3 3" xfId="11228" xr:uid="{00000000-0005-0000-0000-00007E490000}"/>
    <cellStyle name="40% - Accent5 8 3 3 2" xfId="25170" xr:uid="{00000000-0005-0000-0000-00007F490000}"/>
    <cellStyle name="40% - Accent5 8 3 4" xfId="24210" xr:uid="{00000000-0005-0000-0000-000080490000}"/>
    <cellStyle name="40% - Accent5 8 4" xfId="4748" xr:uid="{00000000-0005-0000-0000-000081490000}"/>
    <cellStyle name="40% - Accent5 8 4 2" xfId="12100" xr:uid="{00000000-0005-0000-0000-000082490000}"/>
    <cellStyle name="40% - Accent5 8 4 2 2" xfId="25814" xr:uid="{00000000-0005-0000-0000-000083490000}"/>
    <cellStyle name="40% - Accent5 8 4 3" xfId="22782" xr:uid="{00000000-0005-0000-0000-000084490000}"/>
    <cellStyle name="40% - Accent5 8 5" xfId="4749" xr:uid="{00000000-0005-0000-0000-000085490000}"/>
    <cellStyle name="40% - Accent5 8 5 2" xfId="13013" xr:uid="{00000000-0005-0000-0000-000086490000}"/>
    <cellStyle name="40% - Accent5 8 5 2 2" xfId="26725" xr:uid="{00000000-0005-0000-0000-000087490000}"/>
    <cellStyle name="40% - Accent5 8 5 3" xfId="24208" xr:uid="{00000000-0005-0000-0000-000088490000}"/>
    <cellStyle name="40% - Accent5 8 6" xfId="4750" xr:uid="{00000000-0005-0000-0000-000089490000}"/>
    <cellStyle name="40% - Accent5 8 6 2" xfId="13674" xr:uid="{00000000-0005-0000-0000-00008A490000}"/>
    <cellStyle name="40% - Accent5 8 6 2 2" xfId="27223" xr:uid="{00000000-0005-0000-0000-00008B490000}"/>
    <cellStyle name="40% - Accent5 8 6 3" xfId="22781" xr:uid="{00000000-0005-0000-0000-00008C490000}"/>
    <cellStyle name="40% - Accent5 8 7" xfId="4751" xr:uid="{00000000-0005-0000-0000-00008D490000}"/>
    <cellStyle name="40% - Accent5 8 7 2" xfId="14255" xr:uid="{00000000-0005-0000-0000-00008E490000}"/>
    <cellStyle name="40% - Accent5 8 7 2 2" xfId="27804" xr:uid="{00000000-0005-0000-0000-00008F490000}"/>
    <cellStyle name="40% - Accent5 8 7 3" xfId="24205" xr:uid="{00000000-0005-0000-0000-000090490000}"/>
    <cellStyle name="40% - Accent5 8 8" xfId="4752" xr:uid="{00000000-0005-0000-0000-000091490000}"/>
    <cellStyle name="40% - Accent5 8 8 2" xfId="15473" xr:uid="{00000000-0005-0000-0000-000092490000}"/>
    <cellStyle name="40% - Accent5 8 8 2 2" xfId="29022" xr:uid="{00000000-0005-0000-0000-000093490000}"/>
    <cellStyle name="40% - Accent5 8 8 3" xfId="22780" xr:uid="{00000000-0005-0000-0000-000094490000}"/>
    <cellStyle name="40% - Accent5 8 9" xfId="4753" xr:uid="{00000000-0005-0000-0000-000095490000}"/>
    <cellStyle name="40% - Accent5 8 9 2" xfId="16141" xr:uid="{00000000-0005-0000-0000-000096490000}"/>
    <cellStyle name="40% - Accent5 8 9 2 2" xfId="29548" xr:uid="{00000000-0005-0000-0000-000097490000}"/>
    <cellStyle name="40% - Accent5 8 9 3" xfId="25255" xr:uid="{00000000-0005-0000-0000-000098490000}"/>
    <cellStyle name="40% - Accent5 9" xfId="4754" xr:uid="{00000000-0005-0000-0000-000099490000}"/>
    <cellStyle name="40% - Accent5 9 2" xfId="4755" xr:uid="{00000000-0005-0000-0000-00009A490000}"/>
    <cellStyle name="40% - Accent5 9 2 2" xfId="11230" xr:uid="{00000000-0005-0000-0000-00009B490000}"/>
    <cellStyle name="40% - Accent5 9 2 2 2" xfId="25172" xr:uid="{00000000-0005-0000-0000-00009C490000}"/>
    <cellStyle name="40% - Accent5 9 2 3" xfId="24445" xr:uid="{00000000-0005-0000-0000-00009D490000}"/>
    <cellStyle name="40% - Accent5 9 3" xfId="4756" xr:uid="{00000000-0005-0000-0000-00009E490000}"/>
    <cellStyle name="40% - Accent5 9 3 2" xfId="13015" xr:uid="{00000000-0005-0000-0000-00009F490000}"/>
    <cellStyle name="40% - Accent5 9 3 2 2" xfId="26727" xr:uid="{00000000-0005-0000-0000-0000A0490000}"/>
    <cellStyle name="40% - Accent5 9 3 3" xfId="29141" xr:uid="{00000000-0005-0000-0000-0000A1490000}"/>
    <cellStyle name="40% - Accent5 9 4" xfId="4757" xr:uid="{00000000-0005-0000-0000-0000A2490000}"/>
    <cellStyle name="40% - Accent5 9 4 2" xfId="15476" xr:uid="{00000000-0005-0000-0000-0000A3490000}"/>
    <cellStyle name="40% - Accent5 9 4 2 2" xfId="29025" xr:uid="{00000000-0005-0000-0000-0000A4490000}"/>
    <cellStyle name="40% - Accent5 9 4 3" xfId="22778" xr:uid="{00000000-0005-0000-0000-0000A5490000}"/>
    <cellStyle name="40% - Accent5 9 5" xfId="4758" xr:uid="{00000000-0005-0000-0000-0000A6490000}"/>
    <cellStyle name="40% - Accent5 9 5 2" xfId="17106" xr:uid="{00000000-0005-0000-0000-0000A7490000}"/>
    <cellStyle name="40% - Accent5 9 5 2 2" xfId="30465" xr:uid="{00000000-0005-0000-0000-0000A8490000}"/>
    <cellStyle name="40% - Accent5 9 5 3" xfId="22777" xr:uid="{00000000-0005-0000-0000-0000A9490000}"/>
    <cellStyle name="40% - Accent5 9 6" xfId="9503" xr:uid="{00000000-0005-0000-0000-0000AA490000}"/>
    <cellStyle name="40% - Accent5 9 6 2" xfId="23978" xr:uid="{00000000-0005-0000-0000-0000AB490000}"/>
    <cellStyle name="40% - Accent5 9 7" xfId="22779" xr:uid="{00000000-0005-0000-0000-0000AC490000}"/>
    <cellStyle name="40% - Accent6" xfId="48" builtinId="51" customBuiltin="1"/>
    <cellStyle name="40% - Accent6 10" xfId="4759" xr:uid="{00000000-0005-0000-0000-0000AE490000}"/>
    <cellStyle name="40% - Accent6 10 2" xfId="4760" xr:uid="{00000000-0005-0000-0000-0000AF490000}"/>
    <cellStyle name="40% - Accent6 10 2 2" xfId="4761" xr:uid="{00000000-0005-0000-0000-0000B0490000}"/>
    <cellStyle name="40% - Accent6 10 2 2 2" xfId="13018" xr:uid="{00000000-0005-0000-0000-0000B1490000}"/>
    <cellStyle name="40% - Accent6 10 2 2 2 2" xfId="26730" xr:uid="{00000000-0005-0000-0000-0000B2490000}"/>
    <cellStyle name="40% - Accent6 10 2 2 3" xfId="24206" xr:uid="{00000000-0005-0000-0000-0000B3490000}"/>
    <cellStyle name="40% - Accent6 10 2 3" xfId="4762" xr:uid="{00000000-0005-0000-0000-0000B4490000}"/>
    <cellStyle name="40% - Accent6 10 2 3 2" xfId="15479" xr:uid="{00000000-0005-0000-0000-0000B5490000}"/>
    <cellStyle name="40% - Accent6 10 2 3 2 2" xfId="29028" xr:uid="{00000000-0005-0000-0000-0000B6490000}"/>
    <cellStyle name="40% - Accent6 10 2 3 3" xfId="22775" xr:uid="{00000000-0005-0000-0000-0000B7490000}"/>
    <cellStyle name="40% - Accent6 10 2 4" xfId="11232" xr:uid="{00000000-0005-0000-0000-0000B8490000}"/>
    <cellStyle name="40% - Accent6 10 2 4 2" xfId="25174" xr:uid="{00000000-0005-0000-0000-0000B9490000}"/>
    <cellStyle name="40% - Accent6 10 2 5" xfId="22776" xr:uid="{00000000-0005-0000-0000-0000BA490000}"/>
    <cellStyle name="40% - Accent6 10 3" xfId="4763" xr:uid="{00000000-0005-0000-0000-0000BB490000}"/>
    <cellStyle name="40% - Accent6 10 3 2" xfId="13017" xr:uid="{00000000-0005-0000-0000-0000BC490000}"/>
    <cellStyle name="40% - Accent6 10 3 2 2" xfId="26729" xr:uid="{00000000-0005-0000-0000-0000BD490000}"/>
    <cellStyle name="40% - Accent6 10 3 3" xfId="23244" xr:uid="{00000000-0005-0000-0000-0000BE490000}"/>
    <cellStyle name="40% - Accent6 10 4" xfId="4764" xr:uid="{00000000-0005-0000-0000-0000BF490000}"/>
    <cellStyle name="40% - Accent6 10 4 2" xfId="15478" xr:uid="{00000000-0005-0000-0000-0000C0490000}"/>
    <cellStyle name="40% - Accent6 10 4 2 2" xfId="29027" xr:uid="{00000000-0005-0000-0000-0000C1490000}"/>
    <cellStyle name="40% - Accent6 10 4 3" xfId="24204" xr:uid="{00000000-0005-0000-0000-0000C2490000}"/>
    <cellStyle name="40% - Accent6 10 5" xfId="4765" xr:uid="{00000000-0005-0000-0000-0000C3490000}"/>
    <cellStyle name="40% - Accent6 10 5 2" xfId="17196" xr:uid="{00000000-0005-0000-0000-0000C4490000}"/>
    <cellStyle name="40% - Accent6 10 5 2 2" xfId="30555" xr:uid="{00000000-0005-0000-0000-0000C5490000}"/>
    <cellStyle name="40% - Accent6 10 5 3" xfId="22774" xr:uid="{00000000-0005-0000-0000-0000C6490000}"/>
    <cellStyle name="40% - Accent6 10 6" xfId="9505" xr:uid="{00000000-0005-0000-0000-0000C7490000}"/>
    <cellStyle name="40% - Accent6 10 6 2" xfId="23980" xr:uid="{00000000-0005-0000-0000-0000C8490000}"/>
    <cellStyle name="40% - Accent6 10 7" xfId="24207" xr:uid="{00000000-0005-0000-0000-0000C9490000}"/>
    <cellStyle name="40% - Accent6 11" xfId="4766" xr:uid="{00000000-0005-0000-0000-0000CA490000}"/>
    <cellStyle name="40% - Accent6 11 2" xfId="4767" xr:uid="{00000000-0005-0000-0000-0000CB490000}"/>
    <cellStyle name="40% - Accent6 11 2 2" xfId="11233" xr:uid="{00000000-0005-0000-0000-0000CC490000}"/>
    <cellStyle name="40% - Accent6 11 2 2 2" xfId="25175" xr:uid="{00000000-0005-0000-0000-0000CD490000}"/>
    <cellStyle name="40% - Accent6 11 2 3" xfId="22773" xr:uid="{00000000-0005-0000-0000-0000CE490000}"/>
    <cellStyle name="40% - Accent6 11 3" xfId="4768" xr:uid="{00000000-0005-0000-0000-0000CF490000}"/>
    <cellStyle name="40% - Accent6 11 3 2" xfId="13019" xr:uid="{00000000-0005-0000-0000-0000D0490000}"/>
    <cellStyle name="40% - Accent6 11 3 2 2" xfId="26731" xr:uid="{00000000-0005-0000-0000-0000D1490000}"/>
    <cellStyle name="40% - Accent6 11 3 3" xfId="24202" xr:uid="{00000000-0005-0000-0000-0000D2490000}"/>
    <cellStyle name="40% - Accent6 11 4" xfId="4769" xr:uid="{00000000-0005-0000-0000-0000D3490000}"/>
    <cellStyle name="40% - Accent6 11 4 2" xfId="15480" xr:uid="{00000000-0005-0000-0000-0000D4490000}"/>
    <cellStyle name="40% - Accent6 11 4 2 2" xfId="29029" xr:uid="{00000000-0005-0000-0000-0000D5490000}"/>
    <cellStyle name="40% - Accent6 11 4 3" xfId="22772" xr:uid="{00000000-0005-0000-0000-0000D6490000}"/>
    <cellStyle name="40% - Accent6 11 5" xfId="4770" xr:uid="{00000000-0005-0000-0000-0000D7490000}"/>
    <cellStyle name="40% - Accent6 11 5 2" xfId="17285" xr:uid="{00000000-0005-0000-0000-0000D8490000}"/>
    <cellStyle name="40% - Accent6 11 5 2 2" xfId="30644" xr:uid="{00000000-0005-0000-0000-0000D9490000}"/>
    <cellStyle name="40% - Accent6 11 5 3" xfId="24201" xr:uid="{00000000-0005-0000-0000-0000DA490000}"/>
    <cellStyle name="40% - Accent6 11 6" xfId="9506" xr:uid="{00000000-0005-0000-0000-0000DB490000}"/>
    <cellStyle name="40% - Accent6 11 6 2" xfId="23981" xr:uid="{00000000-0005-0000-0000-0000DC490000}"/>
    <cellStyle name="40% - Accent6 11 7" xfId="24203" xr:uid="{00000000-0005-0000-0000-0000DD490000}"/>
    <cellStyle name="40% - Accent6 12" xfId="4771" xr:uid="{00000000-0005-0000-0000-0000DE490000}"/>
    <cellStyle name="40% - Accent6 12 2" xfId="4772" xr:uid="{00000000-0005-0000-0000-0000DF490000}"/>
    <cellStyle name="40% - Accent6 12 2 2" xfId="4773" xr:uid="{00000000-0005-0000-0000-0000E0490000}"/>
    <cellStyle name="40% - Accent6 12 2 2 2" xfId="11235" xr:uid="{00000000-0005-0000-0000-0000E1490000}"/>
    <cellStyle name="40% - Accent6 12 2 2 2 2" xfId="25177" xr:uid="{00000000-0005-0000-0000-0000E2490000}"/>
    <cellStyle name="40% - Accent6 12 2 2 3" xfId="24200" xr:uid="{00000000-0005-0000-0000-0000E3490000}"/>
    <cellStyle name="40% - Accent6 12 2 3" xfId="4774" xr:uid="{00000000-0005-0000-0000-0000E4490000}"/>
    <cellStyle name="40% - Accent6 12 2 3 2" xfId="13021" xr:uid="{00000000-0005-0000-0000-0000E5490000}"/>
    <cellStyle name="40% - Accent6 12 2 3 2 2" xfId="26733" xr:uid="{00000000-0005-0000-0000-0000E6490000}"/>
    <cellStyle name="40% - Accent6 12 2 3 3" xfId="22770" xr:uid="{00000000-0005-0000-0000-0000E7490000}"/>
    <cellStyle name="40% - Accent6 12 2 4" xfId="4775" xr:uid="{00000000-0005-0000-0000-0000E8490000}"/>
    <cellStyle name="40% - Accent6 12 2 4 2" xfId="15482" xr:uid="{00000000-0005-0000-0000-0000E9490000}"/>
    <cellStyle name="40% - Accent6 12 2 4 2 2" xfId="29031" xr:uid="{00000000-0005-0000-0000-0000EA490000}"/>
    <cellStyle name="40% - Accent6 12 2 4 3" xfId="22769" xr:uid="{00000000-0005-0000-0000-0000EB490000}"/>
    <cellStyle name="40% - Accent6 12 2 5" xfId="9508" xr:uid="{00000000-0005-0000-0000-0000EC490000}"/>
    <cellStyle name="40% - Accent6 12 2 5 2" xfId="23983" xr:uid="{00000000-0005-0000-0000-0000ED490000}"/>
    <cellStyle name="40% - Accent6 12 2 6" xfId="24199" xr:uid="{00000000-0005-0000-0000-0000EE490000}"/>
    <cellStyle name="40% - Accent6 12 3" xfId="4776" xr:uid="{00000000-0005-0000-0000-0000EF490000}"/>
    <cellStyle name="40% - Accent6 12 3 2" xfId="11234" xr:uid="{00000000-0005-0000-0000-0000F0490000}"/>
    <cellStyle name="40% - Accent6 12 3 2 2" xfId="25176" xr:uid="{00000000-0005-0000-0000-0000F1490000}"/>
    <cellStyle name="40% - Accent6 12 3 3" xfId="24198" xr:uid="{00000000-0005-0000-0000-0000F2490000}"/>
    <cellStyle name="40% - Accent6 12 4" xfId="4777" xr:uid="{00000000-0005-0000-0000-0000F3490000}"/>
    <cellStyle name="40% - Accent6 12 4 2" xfId="13020" xr:uid="{00000000-0005-0000-0000-0000F4490000}"/>
    <cellStyle name="40% - Accent6 12 4 2 2" xfId="26732" xr:uid="{00000000-0005-0000-0000-0000F5490000}"/>
    <cellStyle name="40% - Accent6 12 4 3" xfId="26826" xr:uid="{00000000-0005-0000-0000-0000F6490000}"/>
    <cellStyle name="40% - Accent6 12 5" xfId="4778" xr:uid="{00000000-0005-0000-0000-0000F7490000}"/>
    <cellStyle name="40% - Accent6 12 5 2" xfId="15481" xr:uid="{00000000-0005-0000-0000-0000F8490000}"/>
    <cellStyle name="40% - Accent6 12 5 2 2" xfId="29030" xr:uid="{00000000-0005-0000-0000-0000F9490000}"/>
    <cellStyle name="40% - Accent6 12 5 3" xfId="22768" xr:uid="{00000000-0005-0000-0000-0000FA490000}"/>
    <cellStyle name="40% - Accent6 12 6" xfId="4779" xr:uid="{00000000-0005-0000-0000-0000FB490000}"/>
    <cellStyle name="40% - Accent6 12 6 2" xfId="16437" xr:uid="{00000000-0005-0000-0000-0000FC490000}"/>
    <cellStyle name="40% - Accent6 12 6 2 2" xfId="29844" xr:uid="{00000000-0005-0000-0000-0000FD490000}"/>
    <cellStyle name="40% - Accent6 12 6 3" xfId="26827" xr:uid="{00000000-0005-0000-0000-0000FE490000}"/>
    <cellStyle name="40% - Accent6 12 7" xfId="9507" xr:uid="{00000000-0005-0000-0000-0000FF490000}"/>
    <cellStyle name="40% - Accent6 12 7 2" xfId="23982" xr:uid="{00000000-0005-0000-0000-0000004A0000}"/>
    <cellStyle name="40% - Accent6 12 8" xfId="22771" xr:uid="{00000000-0005-0000-0000-0000014A0000}"/>
    <cellStyle name="40% - Accent6 13" xfId="4780" xr:uid="{00000000-0005-0000-0000-0000024A0000}"/>
    <cellStyle name="40% - Accent6 13 2" xfId="4781" xr:uid="{00000000-0005-0000-0000-0000034A0000}"/>
    <cellStyle name="40% - Accent6 13 2 2" xfId="11236" xr:uid="{00000000-0005-0000-0000-0000044A0000}"/>
    <cellStyle name="40% - Accent6 13 2 2 2" xfId="25178" xr:uid="{00000000-0005-0000-0000-0000054A0000}"/>
    <cellStyle name="40% - Accent6 13 2 3" xfId="22766" xr:uid="{00000000-0005-0000-0000-0000064A0000}"/>
    <cellStyle name="40% - Accent6 13 3" xfId="4782" xr:uid="{00000000-0005-0000-0000-0000074A0000}"/>
    <cellStyle name="40% - Accent6 13 3 2" xfId="13022" xr:uid="{00000000-0005-0000-0000-0000084A0000}"/>
    <cellStyle name="40% - Accent6 13 3 2 2" xfId="26734" xr:uid="{00000000-0005-0000-0000-0000094A0000}"/>
    <cellStyle name="40% - Accent6 13 3 3" xfId="24196" xr:uid="{00000000-0005-0000-0000-00000A4A0000}"/>
    <cellStyle name="40% - Accent6 13 4" xfId="4783" xr:uid="{00000000-0005-0000-0000-00000B4A0000}"/>
    <cellStyle name="40% - Accent6 13 4 2" xfId="15483" xr:uid="{00000000-0005-0000-0000-00000C4A0000}"/>
    <cellStyle name="40% - Accent6 13 4 2 2" xfId="29032" xr:uid="{00000000-0005-0000-0000-00000D4A0000}"/>
    <cellStyle name="40% - Accent6 13 4 3" xfId="24197" xr:uid="{00000000-0005-0000-0000-00000E4A0000}"/>
    <cellStyle name="40% - Accent6 13 5" xfId="9509" xr:uid="{00000000-0005-0000-0000-00000F4A0000}"/>
    <cellStyle name="40% - Accent6 13 5 2" xfId="23984" xr:uid="{00000000-0005-0000-0000-0000104A0000}"/>
    <cellStyle name="40% - Accent6 13 6" xfId="22767" xr:uid="{00000000-0005-0000-0000-0000114A0000}"/>
    <cellStyle name="40% - Accent6 14" xfId="4784" xr:uid="{00000000-0005-0000-0000-0000124A0000}"/>
    <cellStyle name="40% - Accent6 14 2" xfId="4785" xr:uid="{00000000-0005-0000-0000-0000134A0000}"/>
    <cellStyle name="40% - Accent6 14 2 2" xfId="11237" xr:uid="{00000000-0005-0000-0000-0000144A0000}"/>
    <cellStyle name="40% - Accent6 14 2 2 2" xfId="25179" xr:uid="{00000000-0005-0000-0000-0000154A0000}"/>
    <cellStyle name="40% - Accent6 14 2 3" xfId="22764" xr:uid="{00000000-0005-0000-0000-0000164A0000}"/>
    <cellStyle name="40% - Accent6 14 3" xfId="4786" xr:uid="{00000000-0005-0000-0000-0000174A0000}"/>
    <cellStyle name="40% - Accent6 14 3 2" xfId="13023" xr:uid="{00000000-0005-0000-0000-0000184A0000}"/>
    <cellStyle name="40% - Accent6 14 3 2 2" xfId="26735" xr:uid="{00000000-0005-0000-0000-0000194A0000}"/>
    <cellStyle name="40% - Accent6 14 3 3" xfId="24195" xr:uid="{00000000-0005-0000-0000-00001A4A0000}"/>
    <cellStyle name="40% - Accent6 14 4" xfId="4787" xr:uid="{00000000-0005-0000-0000-00001B4A0000}"/>
    <cellStyle name="40% - Accent6 14 4 2" xfId="15484" xr:uid="{00000000-0005-0000-0000-00001C4A0000}"/>
    <cellStyle name="40% - Accent6 14 4 2 2" xfId="29033" xr:uid="{00000000-0005-0000-0000-00001D4A0000}"/>
    <cellStyle name="40% - Accent6 14 4 3" xfId="22763" xr:uid="{00000000-0005-0000-0000-00001E4A0000}"/>
    <cellStyle name="40% - Accent6 14 5" xfId="9510" xr:uid="{00000000-0005-0000-0000-00001F4A0000}"/>
    <cellStyle name="40% - Accent6 14 5 2" xfId="23985" xr:uid="{00000000-0005-0000-0000-0000204A0000}"/>
    <cellStyle name="40% - Accent6 14 6" xfId="22765" xr:uid="{00000000-0005-0000-0000-0000214A0000}"/>
    <cellStyle name="40% - Accent6 15" xfId="4788" xr:uid="{00000000-0005-0000-0000-0000224A0000}"/>
    <cellStyle name="40% - Accent6 15 2" xfId="4789" xr:uid="{00000000-0005-0000-0000-0000234A0000}"/>
    <cellStyle name="40% - Accent6 15 2 2" xfId="11238" xr:uid="{00000000-0005-0000-0000-0000244A0000}"/>
    <cellStyle name="40% - Accent6 15 2 2 2" xfId="25180" xr:uid="{00000000-0005-0000-0000-0000254A0000}"/>
    <cellStyle name="40% - Accent6 15 2 3" xfId="22762" xr:uid="{00000000-0005-0000-0000-0000264A0000}"/>
    <cellStyle name="40% - Accent6 15 3" xfId="4790" xr:uid="{00000000-0005-0000-0000-0000274A0000}"/>
    <cellStyle name="40% - Accent6 15 3 2" xfId="13024" xr:uid="{00000000-0005-0000-0000-0000284A0000}"/>
    <cellStyle name="40% - Accent6 15 3 2 2" xfId="26736" xr:uid="{00000000-0005-0000-0000-0000294A0000}"/>
    <cellStyle name="40% - Accent6 15 3 3" xfId="25254" xr:uid="{00000000-0005-0000-0000-00002A4A0000}"/>
    <cellStyle name="40% - Accent6 15 4" xfId="4791" xr:uid="{00000000-0005-0000-0000-00002B4A0000}"/>
    <cellStyle name="40% - Accent6 15 4 2" xfId="15485" xr:uid="{00000000-0005-0000-0000-00002C4A0000}"/>
    <cellStyle name="40% - Accent6 15 4 2 2" xfId="29034" xr:uid="{00000000-0005-0000-0000-00002D4A0000}"/>
    <cellStyle name="40% - Accent6 15 4 3" xfId="22761" xr:uid="{00000000-0005-0000-0000-00002E4A0000}"/>
    <cellStyle name="40% - Accent6 15 5" xfId="9511" xr:uid="{00000000-0005-0000-0000-00002F4A0000}"/>
    <cellStyle name="40% - Accent6 15 5 2" xfId="23986" xr:uid="{00000000-0005-0000-0000-0000304A0000}"/>
    <cellStyle name="40% - Accent6 15 6" xfId="24192" xr:uid="{00000000-0005-0000-0000-0000314A0000}"/>
    <cellStyle name="40% - Accent6 16" xfId="4792" xr:uid="{00000000-0005-0000-0000-0000324A0000}"/>
    <cellStyle name="40% - Accent6 16 2" xfId="4793" xr:uid="{00000000-0005-0000-0000-0000334A0000}"/>
    <cellStyle name="40% - Accent6 16 2 2" xfId="11239" xr:uid="{00000000-0005-0000-0000-0000344A0000}"/>
    <cellStyle name="40% - Accent6 16 2 2 2" xfId="25181" xr:uid="{00000000-0005-0000-0000-0000354A0000}"/>
    <cellStyle name="40% - Accent6 16 2 3" xfId="29140" xr:uid="{00000000-0005-0000-0000-0000364A0000}"/>
    <cellStyle name="40% - Accent6 16 3" xfId="4794" xr:uid="{00000000-0005-0000-0000-0000374A0000}"/>
    <cellStyle name="40% - Accent6 16 3 2" xfId="13025" xr:uid="{00000000-0005-0000-0000-0000384A0000}"/>
    <cellStyle name="40% - Accent6 16 3 2 2" xfId="26737" xr:uid="{00000000-0005-0000-0000-0000394A0000}"/>
    <cellStyle name="40% - Accent6 16 3 3" xfId="22760" xr:uid="{00000000-0005-0000-0000-00003A4A0000}"/>
    <cellStyle name="40% - Accent6 16 4" xfId="4795" xr:uid="{00000000-0005-0000-0000-00003B4A0000}"/>
    <cellStyle name="40% - Accent6 16 4 2" xfId="15486" xr:uid="{00000000-0005-0000-0000-00003C4A0000}"/>
    <cellStyle name="40% - Accent6 16 4 2 2" xfId="29035" xr:uid="{00000000-0005-0000-0000-00003D4A0000}"/>
    <cellStyle name="40% - Accent6 16 4 3" xfId="22759" xr:uid="{00000000-0005-0000-0000-00003E4A0000}"/>
    <cellStyle name="40% - Accent6 16 5" xfId="9512" xr:uid="{00000000-0005-0000-0000-00003F4A0000}"/>
    <cellStyle name="40% - Accent6 16 5 2" xfId="23987" xr:uid="{00000000-0005-0000-0000-0000404A0000}"/>
    <cellStyle name="40% - Accent6 16 6" xfId="24444" xr:uid="{00000000-0005-0000-0000-0000414A0000}"/>
    <cellStyle name="40% - Accent6 17" xfId="4796" xr:uid="{00000000-0005-0000-0000-0000424A0000}"/>
    <cellStyle name="40% - Accent6 17 2" xfId="4797" xr:uid="{00000000-0005-0000-0000-0000434A0000}"/>
    <cellStyle name="40% - Accent6 17 2 2" xfId="11240" xr:uid="{00000000-0005-0000-0000-0000444A0000}"/>
    <cellStyle name="40% - Accent6 17 2 2 2" xfId="25182" xr:uid="{00000000-0005-0000-0000-0000454A0000}"/>
    <cellStyle name="40% - Accent6 17 2 3" xfId="22758" xr:uid="{00000000-0005-0000-0000-0000464A0000}"/>
    <cellStyle name="40% - Accent6 17 3" xfId="4798" xr:uid="{00000000-0005-0000-0000-0000474A0000}"/>
    <cellStyle name="40% - Accent6 17 3 2" xfId="13026" xr:uid="{00000000-0005-0000-0000-0000484A0000}"/>
    <cellStyle name="40% - Accent6 17 3 2 2" xfId="26738" xr:uid="{00000000-0005-0000-0000-0000494A0000}"/>
    <cellStyle name="40% - Accent6 17 3 3" xfId="24193" xr:uid="{00000000-0005-0000-0000-00004A4A0000}"/>
    <cellStyle name="40% - Accent6 17 4" xfId="4799" xr:uid="{00000000-0005-0000-0000-00004B4A0000}"/>
    <cellStyle name="40% - Accent6 17 4 2" xfId="15487" xr:uid="{00000000-0005-0000-0000-00004C4A0000}"/>
    <cellStyle name="40% - Accent6 17 4 2 2" xfId="29036" xr:uid="{00000000-0005-0000-0000-00004D4A0000}"/>
    <cellStyle name="40% - Accent6 17 4 3" xfId="22757" xr:uid="{00000000-0005-0000-0000-00004E4A0000}"/>
    <cellStyle name="40% - Accent6 17 5" xfId="9513" xr:uid="{00000000-0005-0000-0000-00004F4A0000}"/>
    <cellStyle name="40% - Accent6 17 5 2" xfId="23988" xr:uid="{00000000-0005-0000-0000-0000504A0000}"/>
    <cellStyle name="40% - Accent6 17 6" xfId="24194" xr:uid="{00000000-0005-0000-0000-0000514A0000}"/>
    <cellStyle name="40% - Accent6 18" xfId="4800" xr:uid="{00000000-0005-0000-0000-0000524A0000}"/>
    <cellStyle name="40% - Accent6 18 2" xfId="4801" xr:uid="{00000000-0005-0000-0000-0000534A0000}"/>
    <cellStyle name="40% - Accent6 18 2 2" xfId="11241" xr:uid="{00000000-0005-0000-0000-0000544A0000}"/>
    <cellStyle name="40% - Accent6 18 2 2 2" xfId="25183" xr:uid="{00000000-0005-0000-0000-0000554A0000}"/>
    <cellStyle name="40% - Accent6 18 2 3" xfId="24191" xr:uid="{00000000-0005-0000-0000-0000564A0000}"/>
    <cellStyle name="40% - Accent6 18 3" xfId="4802" xr:uid="{00000000-0005-0000-0000-0000574A0000}"/>
    <cellStyle name="40% - Accent6 18 3 2" xfId="13027" xr:uid="{00000000-0005-0000-0000-0000584A0000}"/>
    <cellStyle name="40% - Accent6 18 3 2 2" xfId="26739" xr:uid="{00000000-0005-0000-0000-0000594A0000}"/>
    <cellStyle name="40% - Accent6 18 3 3" xfId="22756" xr:uid="{00000000-0005-0000-0000-00005A4A0000}"/>
    <cellStyle name="40% - Accent6 18 4" xfId="4803" xr:uid="{00000000-0005-0000-0000-00005B4A0000}"/>
    <cellStyle name="40% - Accent6 18 4 2" xfId="15488" xr:uid="{00000000-0005-0000-0000-00005C4A0000}"/>
    <cellStyle name="40% - Accent6 18 4 2 2" xfId="29037" xr:uid="{00000000-0005-0000-0000-00005D4A0000}"/>
    <cellStyle name="40% - Accent6 18 4 3" xfId="24190" xr:uid="{00000000-0005-0000-0000-00005E4A0000}"/>
    <cellStyle name="40% - Accent6 18 5" xfId="9514" xr:uid="{00000000-0005-0000-0000-00005F4A0000}"/>
    <cellStyle name="40% - Accent6 18 5 2" xfId="23989" xr:uid="{00000000-0005-0000-0000-0000604A0000}"/>
    <cellStyle name="40% - Accent6 18 6" xfId="23243" xr:uid="{00000000-0005-0000-0000-0000614A0000}"/>
    <cellStyle name="40% - Accent6 19" xfId="4804" xr:uid="{00000000-0005-0000-0000-0000624A0000}"/>
    <cellStyle name="40% - Accent6 19 2" xfId="4805" xr:uid="{00000000-0005-0000-0000-0000634A0000}"/>
    <cellStyle name="40% - Accent6 19 2 2" xfId="11721" xr:uid="{00000000-0005-0000-0000-0000644A0000}"/>
    <cellStyle name="40% - Accent6 19 2 2 2" xfId="25441" xr:uid="{00000000-0005-0000-0000-0000654A0000}"/>
    <cellStyle name="40% - Accent6 19 2 3" xfId="24189" xr:uid="{00000000-0005-0000-0000-0000664A0000}"/>
    <cellStyle name="40% - Accent6 19 3" xfId="4806" xr:uid="{00000000-0005-0000-0000-0000674A0000}"/>
    <cellStyle name="40% - Accent6 19 3 2" xfId="13028" xr:uid="{00000000-0005-0000-0000-0000684A0000}"/>
    <cellStyle name="40% - Accent6 19 3 2 2" xfId="26740" xr:uid="{00000000-0005-0000-0000-0000694A0000}"/>
    <cellStyle name="40% - Accent6 19 3 3" xfId="22754" xr:uid="{00000000-0005-0000-0000-00006A4A0000}"/>
    <cellStyle name="40% - Accent6 19 4" xfId="4807" xr:uid="{00000000-0005-0000-0000-00006B4A0000}"/>
    <cellStyle name="40% - Accent6 19 4 2" xfId="15489" xr:uid="{00000000-0005-0000-0000-00006C4A0000}"/>
    <cellStyle name="40% - Accent6 19 4 2 2" xfId="29038" xr:uid="{00000000-0005-0000-0000-00006D4A0000}"/>
    <cellStyle name="40% - Accent6 19 4 3" xfId="24188" xr:uid="{00000000-0005-0000-0000-00006E4A0000}"/>
    <cellStyle name="40% - Accent6 19 5" xfId="10473" xr:uid="{00000000-0005-0000-0000-00006F4A0000}"/>
    <cellStyle name="40% - Accent6 19 5 2" xfId="24432" xr:uid="{00000000-0005-0000-0000-0000704A0000}"/>
    <cellStyle name="40% - Accent6 19 6" xfId="22755" xr:uid="{00000000-0005-0000-0000-0000714A0000}"/>
    <cellStyle name="40% - Accent6 2" xfId="4808" xr:uid="{00000000-0005-0000-0000-0000724A0000}"/>
    <cellStyle name="40% - Accent6 2 10" xfId="4809" xr:uid="{00000000-0005-0000-0000-0000734A0000}"/>
    <cellStyle name="40% - Accent6 2 10 2" xfId="4810" xr:uid="{00000000-0005-0000-0000-0000744A0000}"/>
    <cellStyle name="40% - Accent6 2 10 2 2" xfId="15491" xr:uid="{00000000-0005-0000-0000-0000754A0000}"/>
    <cellStyle name="40% - Accent6 2 10 2 2 2" xfId="29040" xr:uid="{00000000-0005-0000-0000-0000764A0000}"/>
    <cellStyle name="40% - Accent6 2 10 2 3" xfId="24187" xr:uid="{00000000-0005-0000-0000-0000774A0000}"/>
    <cellStyle name="40% - Accent6 2 10 3" xfId="11849" xr:uid="{00000000-0005-0000-0000-0000784A0000}"/>
    <cellStyle name="40% - Accent6 2 10 3 2" xfId="25564" xr:uid="{00000000-0005-0000-0000-0000794A0000}"/>
    <cellStyle name="40% - Accent6 2 10 4" xfId="24186" xr:uid="{00000000-0005-0000-0000-00007A4A0000}"/>
    <cellStyle name="40% - Accent6 2 11" xfId="4811" xr:uid="{00000000-0005-0000-0000-00007B4A0000}"/>
    <cellStyle name="40% - Accent6 2 11 2" xfId="13029" xr:uid="{00000000-0005-0000-0000-00007C4A0000}"/>
    <cellStyle name="40% - Accent6 2 11 2 2" xfId="26741" xr:uid="{00000000-0005-0000-0000-00007D4A0000}"/>
    <cellStyle name="40% - Accent6 2 11 3" xfId="22752" xr:uid="{00000000-0005-0000-0000-00007E4A0000}"/>
    <cellStyle name="40% - Accent6 2 12" xfId="4812" xr:uid="{00000000-0005-0000-0000-00007F4A0000}"/>
    <cellStyle name="40% - Accent6 2 12 2" xfId="13446" xr:uid="{00000000-0005-0000-0000-0000804A0000}"/>
    <cellStyle name="40% - Accent6 2 12 2 2" xfId="26995" xr:uid="{00000000-0005-0000-0000-0000814A0000}"/>
    <cellStyle name="40% - Accent6 2 12 3" xfId="22751" xr:uid="{00000000-0005-0000-0000-0000824A0000}"/>
    <cellStyle name="40% - Accent6 2 13" xfId="4813" xr:uid="{00000000-0005-0000-0000-0000834A0000}"/>
    <cellStyle name="40% - Accent6 2 13 2" xfId="14027" xr:uid="{00000000-0005-0000-0000-0000844A0000}"/>
    <cellStyle name="40% - Accent6 2 13 2 2" xfId="27576" xr:uid="{00000000-0005-0000-0000-0000854A0000}"/>
    <cellStyle name="40% - Accent6 2 13 3" xfId="24185" xr:uid="{00000000-0005-0000-0000-0000864A0000}"/>
    <cellStyle name="40% - Accent6 2 14" xfId="4814" xr:uid="{00000000-0005-0000-0000-0000874A0000}"/>
    <cellStyle name="40% - Accent6 2 14 2" xfId="15490" xr:uid="{00000000-0005-0000-0000-0000884A0000}"/>
    <cellStyle name="40% - Accent6 2 14 2 2" xfId="29039" xr:uid="{00000000-0005-0000-0000-0000894A0000}"/>
    <cellStyle name="40% - Accent6 2 14 3" xfId="26824" xr:uid="{00000000-0005-0000-0000-00008A4A0000}"/>
    <cellStyle name="40% - Accent6 2 15" xfId="4815" xr:uid="{00000000-0005-0000-0000-00008B4A0000}"/>
    <cellStyle name="40% - Accent6 2 15 2" xfId="15913" xr:uid="{00000000-0005-0000-0000-00008C4A0000}"/>
    <cellStyle name="40% - Accent6 2 15 2 2" xfId="29320" xr:uid="{00000000-0005-0000-0000-00008D4A0000}"/>
    <cellStyle name="40% - Accent6 2 15 3" xfId="22750" xr:uid="{00000000-0005-0000-0000-00008E4A0000}"/>
    <cellStyle name="40% - Accent6 2 16" xfId="9515" xr:uid="{00000000-0005-0000-0000-00008F4A0000}"/>
    <cellStyle name="40% - Accent6 2 16 2" xfId="23990" xr:uid="{00000000-0005-0000-0000-0000904A0000}"/>
    <cellStyle name="40% - Accent6 2 17" xfId="22753" xr:uid="{00000000-0005-0000-0000-0000914A0000}"/>
    <cellStyle name="40% - Accent6 2 18" xfId="33083" xr:uid="{00000000-0005-0000-0000-0000924A0000}"/>
    <cellStyle name="40% - Accent6 2 2" xfId="4816" xr:uid="{00000000-0005-0000-0000-0000934A0000}"/>
    <cellStyle name="40% - Accent6 2 2 10" xfId="4817" xr:uid="{00000000-0005-0000-0000-0000944A0000}"/>
    <cellStyle name="40% - Accent6 2 2 10 2" xfId="15492" xr:uid="{00000000-0005-0000-0000-0000954A0000}"/>
    <cellStyle name="40% - Accent6 2 2 10 2 2" xfId="29041" xr:uid="{00000000-0005-0000-0000-0000964A0000}"/>
    <cellStyle name="40% - Accent6 2 2 10 3" xfId="22749" xr:uid="{00000000-0005-0000-0000-0000974A0000}"/>
    <cellStyle name="40% - Accent6 2 2 11" xfId="4818" xr:uid="{00000000-0005-0000-0000-0000984A0000}"/>
    <cellStyle name="40% - Accent6 2 2 11 2" xfId="15959" xr:uid="{00000000-0005-0000-0000-0000994A0000}"/>
    <cellStyle name="40% - Accent6 2 2 11 2 2" xfId="29366" xr:uid="{00000000-0005-0000-0000-00009A4A0000}"/>
    <cellStyle name="40% - Accent6 2 2 11 3" xfId="22748" xr:uid="{00000000-0005-0000-0000-00009B4A0000}"/>
    <cellStyle name="40% - Accent6 2 2 12" xfId="9516" xr:uid="{00000000-0005-0000-0000-00009C4A0000}"/>
    <cellStyle name="40% - Accent6 2 2 12 2" xfId="23991" xr:uid="{00000000-0005-0000-0000-00009D4A0000}"/>
    <cellStyle name="40% - Accent6 2 2 13" xfId="26825" xr:uid="{00000000-0005-0000-0000-00009E4A0000}"/>
    <cellStyle name="40% - Accent6 2 2 2" xfId="4819" xr:uid="{00000000-0005-0000-0000-00009F4A0000}"/>
    <cellStyle name="40% - Accent6 2 2 2 10" xfId="4820" xr:uid="{00000000-0005-0000-0000-0000A04A0000}"/>
    <cellStyle name="40% - Accent6 2 2 2 10 2" xfId="16102" xr:uid="{00000000-0005-0000-0000-0000A14A0000}"/>
    <cellStyle name="40% - Accent6 2 2 2 10 2 2" xfId="29509" xr:uid="{00000000-0005-0000-0000-0000A24A0000}"/>
    <cellStyle name="40% - Accent6 2 2 2 10 3" xfId="24184" xr:uid="{00000000-0005-0000-0000-0000A34A0000}"/>
    <cellStyle name="40% - Accent6 2 2 2 11" xfId="9517" xr:uid="{00000000-0005-0000-0000-0000A44A0000}"/>
    <cellStyle name="40% - Accent6 2 2 2 11 2" xfId="23992" xr:uid="{00000000-0005-0000-0000-0000A54A0000}"/>
    <cellStyle name="40% - Accent6 2 2 2 12" xfId="24183" xr:uid="{00000000-0005-0000-0000-0000A64A0000}"/>
    <cellStyle name="40% - Accent6 2 2 2 2" xfId="4821" xr:uid="{00000000-0005-0000-0000-0000A74A0000}"/>
    <cellStyle name="40% - Accent6 2 2 2 2 10" xfId="9518" xr:uid="{00000000-0005-0000-0000-0000A84A0000}"/>
    <cellStyle name="40% - Accent6 2 2 2 2 10 2" xfId="23993" xr:uid="{00000000-0005-0000-0000-0000A94A0000}"/>
    <cellStyle name="40% - Accent6 2 2 2 2 11" xfId="22747" xr:uid="{00000000-0005-0000-0000-0000AA4A0000}"/>
    <cellStyle name="40% - Accent6 2 2 2 2 2" xfId="4822" xr:uid="{00000000-0005-0000-0000-0000AB4A0000}"/>
    <cellStyle name="40% - Accent6 2 2 2 2 2 2" xfId="4823" xr:uid="{00000000-0005-0000-0000-0000AC4A0000}"/>
    <cellStyle name="40% - Accent6 2 2 2 2 2 2 2" xfId="11246" xr:uid="{00000000-0005-0000-0000-0000AD4A0000}"/>
    <cellStyle name="40% - Accent6 2 2 2 2 2 2 2 2" xfId="25188" xr:uid="{00000000-0005-0000-0000-0000AE4A0000}"/>
    <cellStyle name="40% - Accent6 2 2 2 2 2 2 3" xfId="24182" xr:uid="{00000000-0005-0000-0000-0000AF4A0000}"/>
    <cellStyle name="40% - Accent6 2 2 2 2 2 3" xfId="4824" xr:uid="{00000000-0005-0000-0000-0000B04A0000}"/>
    <cellStyle name="40% - Accent6 2 2 2 2 2 3 2" xfId="13033" xr:uid="{00000000-0005-0000-0000-0000B14A0000}"/>
    <cellStyle name="40% - Accent6 2 2 2 2 2 3 2 2" xfId="26745" xr:uid="{00000000-0005-0000-0000-0000B24A0000}"/>
    <cellStyle name="40% - Accent6 2 2 2 2 2 3 3" xfId="22745" xr:uid="{00000000-0005-0000-0000-0000B34A0000}"/>
    <cellStyle name="40% - Accent6 2 2 2 2 2 4" xfId="4825" xr:uid="{00000000-0005-0000-0000-0000B44A0000}"/>
    <cellStyle name="40% - Accent6 2 2 2 2 2 4 2" xfId="15495" xr:uid="{00000000-0005-0000-0000-0000B54A0000}"/>
    <cellStyle name="40% - Accent6 2 2 2 2 2 4 2 2" xfId="29044" xr:uid="{00000000-0005-0000-0000-0000B64A0000}"/>
    <cellStyle name="40% - Accent6 2 2 2 2 2 4 3" xfId="24179" xr:uid="{00000000-0005-0000-0000-0000B74A0000}"/>
    <cellStyle name="40% - Accent6 2 2 2 2 2 5" xfId="4826" xr:uid="{00000000-0005-0000-0000-0000B84A0000}"/>
    <cellStyle name="40% - Accent6 2 2 2 2 2 5 2" xfId="16972" xr:uid="{00000000-0005-0000-0000-0000B94A0000}"/>
    <cellStyle name="40% - Accent6 2 2 2 2 2 5 2 2" xfId="30379" xr:uid="{00000000-0005-0000-0000-0000BA4A0000}"/>
    <cellStyle name="40% - Accent6 2 2 2 2 2 5 3" xfId="22744" xr:uid="{00000000-0005-0000-0000-0000BB4A0000}"/>
    <cellStyle name="40% - Accent6 2 2 2 2 2 6" xfId="9519" xr:uid="{00000000-0005-0000-0000-0000BC4A0000}"/>
    <cellStyle name="40% - Accent6 2 2 2 2 2 6 2" xfId="23994" xr:uid="{00000000-0005-0000-0000-0000BD4A0000}"/>
    <cellStyle name="40% - Accent6 2 2 2 2 2 7" xfId="22746" xr:uid="{00000000-0005-0000-0000-0000BE4A0000}"/>
    <cellStyle name="40% - Accent6 2 2 2 2 3" xfId="4827" xr:uid="{00000000-0005-0000-0000-0000BF4A0000}"/>
    <cellStyle name="40% - Accent6 2 2 2 2 3 2" xfId="4828" xr:uid="{00000000-0005-0000-0000-0000C04A0000}"/>
    <cellStyle name="40% - Accent6 2 2 2 2 3 2 2" xfId="15496" xr:uid="{00000000-0005-0000-0000-0000C14A0000}"/>
    <cellStyle name="40% - Accent6 2 2 2 2 3 2 2 2" xfId="29045" xr:uid="{00000000-0005-0000-0000-0000C24A0000}"/>
    <cellStyle name="40% - Accent6 2 2 2 2 3 2 3" xfId="22743" xr:uid="{00000000-0005-0000-0000-0000C34A0000}"/>
    <cellStyle name="40% - Accent6 2 2 2 2 3 3" xfId="11245" xr:uid="{00000000-0005-0000-0000-0000C44A0000}"/>
    <cellStyle name="40% - Accent6 2 2 2 2 3 3 2" xfId="25187" xr:uid="{00000000-0005-0000-0000-0000C54A0000}"/>
    <cellStyle name="40% - Accent6 2 2 2 2 3 4" xfId="25253" xr:uid="{00000000-0005-0000-0000-0000C64A0000}"/>
    <cellStyle name="40% - Accent6 2 2 2 2 4" xfId="4829" xr:uid="{00000000-0005-0000-0000-0000C74A0000}"/>
    <cellStyle name="40% - Accent6 2 2 2 2 4 2" xfId="12360" xr:uid="{00000000-0005-0000-0000-0000C84A0000}"/>
    <cellStyle name="40% - Accent6 2 2 2 2 4 2 2" xfId="26072" xr:uid="{00000000-0005-0000-0000-0000C94A0000}"/>
    <cellStyle name="40% - Accent6 2 2 2 2 4 3" xfId="24443" xr:uid="{00000000-0005-0000-0000-0000CA4A0000}"/>
    <cellStyle name="40% - Accent6 2 2 2 2 5" xfId="4830" xr:uid="{00000000-0005-0000-0000-0000CB4A0000}"/>
    <cellStyle name="40% - Accent6 2 2 2 2 5 2" xfId="13032" xr:uid="{00000000-0005-0000-0000-0000CC4A0000}"/>
    <cellStyle name="40% - Accent6 2 2 2 2 5 2 2" xfId="26744" xr:uid="{00000000-0005-0000-0000-0000CD4A0000}"/>
    <cellStyle name="40% - Accent6 2 2 2 2 5 3" xfId="29139" xr:uid="{00000000-0005-0000-0000-0000CE4A0000}"/>
    <cellStyle name="40% - Accent6 2 2 2 2 6" xfId="4831" xr:uid="{00000000-0005-0000-0000-0000CF4A0000}"/>
    <cellStyle name="40% - Accent6 2 2 2 2 6 2" xfId="13924" xr:uid="{00000000-0005-0000-0000-0000D04A0000}"/>
    <cellStyle name="40% - Accent6 2 2 2 2 6 2 2" xfId="27473" xr:uid="{00000000-0005-0000-0000-0000D14A0000}"/>
    <cellStyle name="40% - Accent6 2 2 2 2 6 3" xfId="22742" xr:uid="{00000000-0005-0000-0000-0000D24A0000}"/>
    <cellStyle name="40% - Accent6 2 2 2 2 7" xfId="4832" xr:uid="{00000000-0005-0000-0000-0000D34A0000}"/>
    <cellStyle name="40% - Accent6 2 2 2 2 7 2" xfId="14505" xr:uid="{00000000-0005-0000-0000-0000D44A0000}"/>
    <cellStyle name="40% - Accent6 2 2 2 2 7 2 2" xfId="28054" xr:uid="{00000000-0005-0000-0000-0000D54A0000}"/>
    <cellStyle name="40% - Accent6 2 2 2 2 7 3" xfId="22741" xr:uid="{00000000-0005-0000-0000-0000D64A0000}"/>
    <cellStyle name="40% - Accent6 2 2 2 2 8" xfId="4833" xr:uid="{00000000-0005-0000-0000-0000D74A0000}"/>
    <cellStyle name="40% - Accent6 2 2 2 2 8 2" xfId="15494" xr:uid="{00000000-0005-0000-0000-0000D84A0000}"/>
    <cellStyle name="40% - Accent6 2 2 2 2 8 2 2" xfId="29043" xr:uid="{00000000-0005-0000-0000-0000D94A0000}"/>
    <cellStyle name="40% - Accent6 2 2 2 2 8 3" xfId="24181" xr:uid="{00000000-0005-0000-0000-0000DA4A0000}"/>
    <cellStyle name="40% - Accent6 2 2 2 2 9" xfId="4834" xr:uid="{00000000-0005-0000-0000-0000DB4A0000}"/>
    <cellStyle name="40% - Accent6 2 2 2 2 9 2" xfId="16391" xr:uid="{00000000-0005-0000-0000-0000DC4A0000}"/>
    <cellStyle name="40% - Accent6 2 2 2 2 9 2 2" xfId="29798" xr:uid="{00000000-0005-0000-0000-0000DD4A0000}"/>
    <cellStyle name="40% - Accent6 2 2 2 2 9 3" xfId="22740" xr:uid="{00000000-0005-0000-0000-0000DE4A0000}"/>
    <cellStyle name="40% - Accent6 2 2 2 3" xfId="4835" xr:uid="{00000000-0005-0000-0000-0000DF4A0000}"/>
    <cellStyle name="40% - Accent6 2 2 2 3 2" xfId="4836" xr:uid="{00000000-0005-0000-0000-0000E04A0000}"/>
    <cellStyle name="40% - Accent6 2 2 2 3 2 2" xfId="11247" xr:uid="{00000000-0005-0000-0000-0000E14A0000}"/>
    <cellStyle name="40% - Accent6 2 2 2 3 2 2 2" xfId="25189" xr:uid="{00000000-0005-0000-0000-0000E24A0000}"/>
    <cellStyle name="40% - Accent6 2 2 2 3 2 3" xfId="22739" xr:uid="{00000000-0005-0000-0000-0000E34A0000}"/>
    <cellStyle name="40% - Accent6 2 2 2 3 3" xfId="4837" xr:uid="{00000000-0005-0000-0000-0000E44A0000}"/>
    <cellStyle name="40% - Accent6 2 2 2 3 3 2" xfId="13034" xr:uid="{00000000-0005-0000-0000-0000E54A0000}"/>
    <cellStyle name="40% - Accent6 2 2 2 3 3 2 2" xfId="26746" xr:uid="{00000000-0005-0000-0000-0000E64A0000}"/>
    <cellStyle name="40% - Accent6 2 2 2 3 3 3" xfId="23262" xr:uid="{00000000-0005-0000-0000-0000E74A0000}"/>
    <cellStyle name="40% - Accent6 2 2 2 3 4" xfId="4838" xr:uid="{00000000-0005-0000-0000-0000E84A0000}"/>
    <cellStyle name="40% - Accent6 2 2 2 3 4 2" xfId="15497" xr:uid="{00000000-0005-0000-0000-0000E94A0000}"/>
    <cellStyle name="40% - Accent6 2 2 2 3 4 2 2" xfId="29046" xr:uid="{00000000-0005-0000-0000-0000EA4A0000}"/>
    <cellStyle name="40% - Accent6 2 2 2 3 4 3" xfId="23293" xr:uid="{00000000-0005-0000-0000-0000EB4A0000}"/>
    <cellStyle name="40% - Accent6 2 2 2 3 5" xfId="4839" xr:uid="{00000000-0005-0000-0000-0000EC4A0000}"/>
    <cellStyle name="40% - Accent6 2 2 2 3 5 2" xfId="16683" xr:uid="{00000000-0005-0000-0000-0000ED4A0000}"/>
    <cellStyle name="40% - Accent6 2 2 2 3 5 2 2" xfId="30090" xr:uid="{00000000-0005-0000-0000-0000EE4A0000}"/>
    <cellStyle name="40% - Accent6 2 2 2 3 5 3" xfId="22738" xr:uid="{00000000-0005-0000-0000-0000EF4A0000}"/>
    <cellStyle name="40% - Accent6 2 2 2 3 6" xfId="9520" xr:uid="{00000000-0005-0000-0000-0000F04A0000}"/>
    <cellStyle name="40% - Accent6 2 2 2 3 6 2" xfId="23995" xr:uid="{00000000-0005-0000-0000-0000F14A0000}"/>
    <cellStyle name="40% - Accent6 2 2 2 3 7" xfId="24180" xr:uid="{00000000-0005-0000-0000-0000F24A0000}"/>
    <cellStyle name="40% - Accent6 2 2 2 4" xfId="4840" xr:uid="{00000000-0005-0000-0000-0000F34A0000}"/>
    <cellStyle name="40% - Accent6 2 2 2 4 2" xfId="4841" xr:uid="{00000000-0005-0000-0000-0000F44A0000}"/>
    <cellStyle name="40% - Accent6 2 2 2 4 2 2" xfId="15498" xr:uid="{00000000-0005-0000-0000-0000F54A0000}"/>
    <cellStyle name="40% - Accent6 2 2 2 4 2 2 2" xfId="29047" xr:uid="{00000000-0005-0000-0000-0000F64A0000}"/>
    <cellStyle name="40% - Accent6 2 2 2 4 2 3" xfId="22737" xr:uid="{00000000-0005-0000-0000-0000F74A0000}"/>
    <cellStyle name="40% - Accent6 2 2 2 4 3" xfId="11244" xr:uid="{00000000-0005-0000-0000-0000F84A0000}"/>
    <cellStyle name="40% - Accent6 2 2 2 4 3 2" xfId="25186" xr:uid="{00000000-0005-0000-0000-0000F94A0000}"/>
    <cellStyle name="40% - Accent6 2 2 2 4 4" xfId="24178" xr:uid="{00000000-0005-0000-0000-0000FA4A0000}"/>
    <cellStyle name="40% - Accent6 2 2 2 5" xfId="4842" xr:uid="{00000000-0005-0000-0000-0000FB4A0000}"/>
    <cellStyle name="40% - Accent6 2 2 2 5 2" xfId="12060" xr:uid="{00000000-0005-0000-0000-0000FC4A0000}"/>
    <cellStyle name="40% - Accent6 2 2 2 5 2 2" xfId="25775" xr:uid="{00000000-0005-0000-0000-0000FD4A0000}"/>
    <cellStyle name="40% - Accent6 2 2 2 5 3" xfId="24177" xr:uid="{00000000-0005-0000-0000-0000FE4A0000}"/>
    <cellStyle name="40% - Accent6 2 2 2 6" xfId="4843" xr:uid="{00000000-0005-0000-0000-0000FF4A0000}"/>
    <cellStyle name="40% - Accent6 2 2 2 6 2" xfId="13031" xr:uid="{00000000-0005-0000-0000-0000004B0000}"/>
    <cellStyle name="40% - Accent6 2 2 2 6 2 2" xfId="26743" xr:uid="{00000000-0005-0000-0000-0000014B0000}"/>
    <cellStyle name="40% - Accent6 2 2 2 6 3" xfId="22736" xr:uid="{00000000-0005-0000-0000-0000024B0000}"/>
    <cellStyle name="40% - Accent6 2 2 2 7" xfId="4844" xr:uid="{00000000-0005-0000-0000-0000034B0000}"/>
    <cellStyle name="40% - Accent6 2 2 2 7 2" xfId="13635" xr:uid="{00000000-0005-0000-0000-0000044B0000}"/>
    <cellStyle name="40% - Accent6 2 2 2 7 2 2" xfId="27184" xr:uid="{00000000-0005-0000-0000-0000054B0000}"/>
    <cellStyle name="40% - Accent6 2 2 2 7 3" xfId="24176" xr:uid="{00000000-0005-0000-0000-0000064B0000}"/>
    <cellStyle name="40% - Accent6 2 2 2 8" xfId="4845" xr:uid="{00000000-0005-0000-0000-0000074B0000}"/>
    <cellStyle name="40% - Accent6 2 2 2 8 2" xfId="14216" xr:uid="{00000000-0005-0000-0000-0000084B0000}"/>
    <cellStyle name="40% - Accent6 2 2 2 8 2 2" xfId="27765" xr:uid="{00000000-0005-0000-0000-0000094B0000}"/>
    <cellStyle name="40% - Accent6 2 2 2 8 3" xfId="22735" xr:uid="{00000000-0005-0000-0000-00000A4B0000}"/>
    <cellStyle name="40% - Accent6 2 2 2 9" xfId="4846" xr:uid="{00000000-0005-0000-0000-00000B4B0000}"/>
    <cellStyle name="40% - Accent6 2 2 2 9 2" xfId="15493" xr:uid="{00000000-0005-0000-0000-00000C4B0000}"/>
    <cellStyle name="40% - Accent6 2 2 2 9 2 2" xfId="29042" xr:uid="{00000000-0005-0000-0000-00000D4B0000}"/>
    <cellStyle name="40% - Accent6 2 2 2 9 3" xfId="24175" xr:uid="{00000000-0005-0000-0000-00000E4B0000}"/>
    <cellStyle name="40% - Accent6 2 2 3" xfId="4847" xr:uid="{00000000-0005-0000-0000-00000F4B0000}"/>
    <cellStyle name="40% - Accent6 2 2 3 10" xfId="9521" xr:uid="{00000000-0005-0000-0000-0000104B0000}"/>
    <cellStyle name="40% - Accent6 2 2 3 10 2" xfId="23996" xr:uid="{00000000-0005-0000-0000-0000114B0000}"/>
    <cellStyle name="40% - Accent6 2 2 3 11" xfId="22734" xr:uid="{00000000-0005-0000-0000-0000124B0000}"/>
    <cellStyle name="40% - Accent6 2 2 3 2" xfId="4848" xr:uid="{00000000-0005-0000-0000-0000134B0000}"/>
    <cellStyle name="40% - Accent6 2 2 3 2 2" xfId="4849" xr:uid="{00000000-0005-0000-0000-0000144B0000}"/>
    <cellStyle name="40% - Accent6 2 2 3 2 2 2" xfId="11249" xr:uid="{00000000-0005-0000-0000-0000154B0000}"/>
    <cellStyle name="40% - Accent6 2 2 3 2 2 2 2" xfId="25191" xr:uid="{00000000-0005-0000-0000-0000164B0000}"/>
    <cellStyle name="40% - Accent6 2 2 3 2 2 3" xfId="24174" xr:uid="{00000000-0005-0000-0000-0000174B0000}"/>
    <cellStyle name="40% - Accent6 2 2 3 2 3" xfId="4850" xr:uid="{00000000-0005-0000-0000-0000184B0000}"/>
    <cellStyle name="40% - Accent6 2 2 3 2 3 2" xfId="13036" xr:uid="{00000000-0005-0000-0000-0000194B0000}"/>
    <cellStyle name="40% - Accent6 2 2 3 2 3 2 2" xfId="26748" xr:uid="{00000000-0005-0000-0000-00001A4B0000}"/>
    <cellStyle name="40% - Accent6 2 2 3 2 3 3" xfId="22733" xr:uid="{00000000-0005-0000-0000-00001B4B0000}"/>
    <cellStyle name="40% - Accent6 2 2 3 2 4" xfId="4851" xr:uid="{00000000-0005-0000-0000-00001C4B0000}"/>
    <cellStyle name="40% - Accent6 2 2 3 2 4 2" xfId="15500" xr:uid="{00000000-0005-0000-0000-00001D4B0000}"/>
    <cellStyle name="40% - Accent6 2 2 3 2 4 2 2" xfId="29049" xr:uid="{00000000-0005-0000-0000-00001E4B0000}"/>
    <cellStyle name="40% - Accent6 2 2 3 2 4 3" xfId="22732" xr:uid="{00000000-0005-0000-0000-00001F4B0000}"/>
    <cellStyle name="40% - Accent6 2 2 3 2 5" xfId="4852" xr:uid="{00000000-0005-0000-0000-0000204B0000}"/>
    <cellStyle name="40% - Accent6 2 2 3 2 5 2" xfId="16829" xr:uid="{00000000-0005-0000-0000-0000214B0000}"/>
    <cellStyle name="40% - Accent6 2 2 3 2 5 2 2" xfId="30236" xr:uid="{00000000-0005-0000-0000-0000224B0000}"/>
    <cellStyle name="40% - Accent6 2 2 3 2 5 3" xfId="24172" xr:uid="{00000000-0005-0000-0000-0000234B0000}"/>
    <cellStyle name="40% - Accent6 2 2 3 2 6" xfId="9522" xr:uid="{00000000-0005-0000-0000-0000244B0000}"/>
    <cellStyle name="40% - Accent6 2 2 3 2 6 2" xfId="23997" xr:uid="{00000000-0005-0000-0000-0000254B0000}"/>
    <cellStyle name="40% - Accent6 2 2 3 2 7" xfId="24173" xr:uid="{00000000-0005-0000-0000-0000264B0000}"/>
    <cellStyle name="40% - Accent6 2 2 3 3" xfId="4853" xr:uid="{00000000-0005-0000-0000-0000274B0000}"/>
    <cellStyle name="40% - Accent6 2 2 3 3 2" xfId="4854" xr:uid="{00000000-0005-0000-0000-0000284B0000}"/>
    <cellStyle name="40% - Accent6 2 2 3 3 2 2" xfId="15501" xr:uid="{00000000-0005-0000-0000-0000294B0000}"/>
    <cellStyle name="40% - Accent6 2 2 3 3 2 2 2" xfId="29050" xr:uid="{00000000-0005-0000-0000-00002A4B0000}"/>
    <cellStyle name="40% - Accent6 2 2 3 3 2 3" xfId="22731" xr:uid="{00000000-0005-0000-0000-00002B4B0000}"/>
    <cellStyle name="40% - Accent6 2 2 3 3 3" xfId="11248" xr:uid="{00000000-0005-0000-0000-00002C4B0000}"/>
    <cellStyle name="40% - Accent6 2 2 3 3 3 2" xfId="25190" xr:uid="{00000000-0005-0000-0000-00002D4B0000}"/>
    <cellStyle name="40% - Accent6 2 2 3 3 4" xfId="26822" xr:uid="{00000000-0005-0000-0000-00002E4B0000}"/>
    <cellStyle name="40% - Accent6 2 2 3 4" xfId="4855" xr:uid="{00000000-0005-0000-0000-00002F4B0000}"/>
    <cellStyle name="40% - Accent6 2 2 3 4 2" xfId="12217" xr:uid="{00000000-0005-0000-0000-0000304B0000}"/>
    <cellStyle name="40% - Accent6 2 2 3 4 2 2" xfId="25929" xr:uid="{00000000-0005-0000-0000-0000314B0000}"/>
    <cellStyle name="40% - Accent6 2 2 3 4 3" xfId="26823" xr:uid="{00000000-0005-0000-0000-0000324B0000}"/>
    <cellStyle name="40% - Accent6 2 2 3 5" xfId="4856" xr:uid="{00000000-0005-0000-0000-0000334B0000}"/>
    <cellStyle name="40% - Accent6 2 2 3 5 2" xfId="13035" xr:uid="{00000000-0005-0000-0000-0000344B0000}"/>
    <cellStyle name="40% - Accent6 2 2 3 5 2 2" xfId="26747" xr:uid="{00000000-0005-0000-0000-0000354B0000}"/>
    <cellStyle name="40% - Accent6 2 2 3 5 3" xfId="22730" xr:uid="{00000000-0005-0000-0000-0000364B0000}"/>
    <cellStyle name="40% - Accent6 2 2 3 6" xfId="4857" xr:uid="{00000000-0005-0000-0000-0000374B0000}"/>
    <cellStyle name="40% - Accent6 2 2 3 6 2" xfId="13781" xr:uid="{00000000-0005-0000-0000-0000384B0000}"/>
    <cellStyle name="40% - Accent6 2 2 3 6 2 2" xfId="27330" xr:uid="{00000000-0005-0000-0000-0000394B0000}"/>
    <cellStyle name="40% - Accent6 2 2 3 6 3" xfId="22729" xr:uid="{00000000-0005-0000-0000-00003A4B0000}"/>
    <cellStyle name="40% - Accent6 2 2 3 7" xfId="4858" xr:uid="{00000000-0005-0000-0000-00003B4B0000}"/>
    <cellStyle name="40% - Accent6 2 2 3 7 2" xfId="14362" xr:uid="{00000000-0005-0000-0000-00003C4B0000}"/>
    <cellStyle name="40% - Accent6 2 2 3 7 2 2" xfId="27911" xr:uid="{00000000-0005-0000-0000-00003D4B0000}"/>
    <cellStyle name="40% - Accent6 2 2 3 7 3" xfId="24170" xr:uid="{00000000-0005-0000-0000-00003E4B0000}"/>
    <cellStyle name="40% - Accent6 2 2 3 8" xfId="4859" xr:uid="{00000000-0005-0000-0000-00003F4B0000}"/>
    <cellStyle name="40% - Accent6 2 2 3 8 2" xfId="15499" xr:uid="{00000000-0005-0000-0000-0000404B0000}"/>
    <cellStyle name="40% - Accent6 2 2 3 8 2 2" xfId="29048" xr:uid="{00000000-0005-0000-0000-0000414B0000}"/>
    <cellStyle name="40% - Accent6 2 2 3 8 3" xfId="24171" xr:uid="{00000000-0005-0000-0000-0000424B0000}"/>
    <cellStyle name="40% - Accent6 2 2 3 9" xfId="4860" xr:uid="{00000000-0005-0000-0000-0000434B0000}"/>
    <cellStyle name="40% - Accent6 2 2 3 9 2" xfId="16248" xr:uid="{00000000-0005-0000-0000-0000444B0000}"/>
    <cellStyle name="40% - Accent6 2 2 3 9 2 2" xfId="29655" xr:uid="{00000000-0005-0000-0000-0000454B0000}"/>
    <cellStyle name="40% - Accent6 2 2 3 9 3" xfId="22728" xr:uid="{00000000-0005-0000-0000-0000464B0000}"/>
    <cellStyle name="40% - Accent6 2 2 4" xfId="4861" xr:uid="{00000000-0005-0000-0000-0000474B0000}"/>
    <cellStyle name="40% - Accent6 2 2 4 2" xfId="4862" xr:uid="{00000000-0005-0000-0000-0000484B0000}"/>
    <cellStyle name="40% - Accent6 2 2 4 2 2" xfId="11250" xr:uid="{00000000-0005-0000-0000-0000494B0000}"/>
    <cellStyle name="40% - Accent6 2 2 4 2 2 2" xfId="25192" xr:uid="{00000000-0005-0000-0000-00004A4B0000}"/>
    <cellStyle name="40% - Accent6 2 2 4 2 3" xfId="24169" xr:uid="{00000000-0005-0000-0000-00004B4B0000}"/>
    <cellStyle name="40% - Accent6 2 2 4 3" xfId="4863" xr:uid="{00000000-0005-0000-0000-00004C4B0000}"/>
    <cellStyle name="40% - Accent6 2 2 4 3 2" xfId="13037" xr:uid="{00000000-0005-0000-0000-00004D4B0000}"/>
    <cellStyle name="40% - Accent6 2 2 4 3 2 2" xfId="26749" xr:uid="{00000000-0005-0000-0000-00004E4B0000}"/>
    <cellStyle name="40% - Accent6 2 2 4 3 3" xfId="22726" xr:uid="{00000000-0005-0000-0000-00004F4B0000}"/>
    <cellStyle name="40% - Accent6 2 2 4 4" xfId="4864" xr:uid="{00000000-0005-0000-0000-0000504B0000}"/>
    <cellStyle name="40% - Accent6 2 2 4 4 2" xfId="15502" xr:uid="{00000000-0005-0000-0000-0000514B0000}"/>
    <cellStyle name="40% - Accent6 2 2 4 4 2 2" xfId="29051" xr:uid="{00000000-0005-0000-0000-0000524B0000}"/>
    <cellStyle name="40% - Accent6 2 2 4 4 3" xfId="24166" xr:uid="{00000000-0005-0000-0000-0000534B0000}"/>
    <cellStyle name="40% - Accent6 2 2 4 5" xfId="4865" xr:uid="{00000000-0005-0000-0000-0000544B0000}"/>
    <cellStyle name="40% - Accent6 2 2 4 5 2" xfId="17176" xr:uid="{00000000-0005-0000-0000-0000554B0000}"/>
    <cellStyle name="40% - Accent6 2 2 4 5 2 2" xfId="30535" xr:uid="{00000000-0005-0000-0000-0000564B0000}"/>
    <cellStyle name="40% - Accent6 2 2 4 5 3" xfId="22725" xr:uid="{00000000-0005-0000-0000-0000574B0000}"/>
    <cellStyle name="40% - Accent6 2 2 4 6" xfId="9523" xr:uid="{00000000-0005-0000-0000-0000584B0000}"/>
    <cellStyle name="40% - Accent6 2 2 4 6 2" xfId="23998" xr:uid="{00000000-0005-0000-0000-0000594B0000}"/>
    <cellStyle name="40% - Accent6 2 2 4 7" xfId="22727" xr:uid="{00000000-0005-0000-0000-00005A4B0000}"/>
    <cellStyle name="40% - Accent6 2 2 5" xfId="4866" xr:uid="{00000000-0005-0000-0000-00005B4B0000}"/>
    <cellStyle name="40% - Accent6 2 2 5 2" xfId="4867" xr:uid="{00000000-0005-0000-0000-00005C4B0000}"/>
    <cellStyle name="40% - Accent6 2 2 5 2 2" xfId="15503" xr:uid="{00000000-0005-0000-0000-00005D4B0000}"/>
    <cellStyle name="40% - Accent6 2 2 5 2 2 2" xfId="29052" xr:uid="{00000000-0005-0000-0000-00005E4B0000}"/>
    <cellStyle name="40% - Accent6 2 2 5 2 3" xfId="22724" xr:uid="{00000000-0005-0000-0000-00005F4B0000}"/>
    <cellStyle name="40% - Accent6 2 2 5 3" xfId="4868" xr:uid="{00000000-0005-0000-0000-0000604B0000}"/>
    <cellStyle name="40% - Accent6 2 2 5 3 2" xfId="17265" xr:uid="{00000000-0005-0000-0000-0000614B0000}"/>
    <cellStyle name="40% - Accent6 2 2 5 3 2 2" xfId="30624" xr:uid="{00000000-0005-0000-0000-0000624B0000}"/>
    <cellStyle name="40% - Accent6 2 2 5 3 3" xfId="24442" xr:uid="{00000000-0005-0000-0000-0000634B0000}"/>
    <cellStyle name="40% - Accent6 2 2 5 4" xfId="11243" xr:uid="{00000000-0005-0000-0000-0000644B0000}"/>
    <cellStyle name="40% - Accent6 2 2 5 4 2" xfId="25185" xr:uid="{00000000-0005-0000-0000-0000654B0000}"/>
    <cellStyle name="40% - Accent6 2 2 5 5" xfId="25252" xr:uid="{00000000-0005-0000-0000-0000664B0000}"/>
    <cellStyle name="40% - Accent6 2 2 6" xfId="4869" xr:uid="{00000000-0005-0000-0000-0000674B0000}"/>
    <cellStyle name="40% - Accent6 2 2 6 2" xfId="4870" xr:uid="{00000000-0005-0000-0000-0000684B0000}"/>
    <cellStyle name="40% - Accent6 2 2 6 2 2" xfId="16540" xr:uid="{00000000-0005-0000-0000-0000694B0000}"/>
    <cellStyle name="40% - Accent6 2 2 6 2 2 2" xfId="29947" xr:uid="{00000000-0005-0000-0000-00006A4B0000}"/>
    <cellStyle name="40% - Accent6 2 2 6 2 3" xfId="22723" xr:uid="{00000000-0005-0000-0000-00006B4B0000}"/>
    <cellStyle name="40% - Accent6 2 2 6 3" xfId="11915" xr:uid="{00000000-0005-0000-0000-00006C4B0000}"/>
    <cellStyle name="40% - Accent6 2 2 6 3 2" xfId="25630" xr:uid="{00000000-0005-0000-0000-00006D4B0000}"/>
    <cellStyle name="40% - Accent6 2 2 6 4" xfId="29138" xr:uid="{00000000-0005-0000-0000-00006E4B0000}"/>
    <cellStyle name="40% - Accent6 2 2 7" xfId="4871" xr:uid="{00000000-0005-0000-0000-00006F4B0000}"/>
    <cellStyle name="40% - Accent6 2 2 7 2" xfId="13030" xr:uid="{00000000-0005-0000-0000-0000704B0000}"/>
    <cellStyle name="40% - Accent6 2 2 7 2 2" xfId="26742" xr:uid="{00000000-0005-0000-0000-0000714B0000}"/>
    <cellStyle name="40% - Accent6 2 2 7 3" xfId="22722" xr:uid="{00000000-0005-0000-0000-0000724B0000}"/>
    <cellStyle name="40% - Accent6 2 2 8" xfId="4872" xr:uid="{00000000-0005-0000-0000-0000734B0000}"/>
    <cellStyle name="40% - Accent6 2 2 8 2" xfId="13492" xr:uid="{00000000-0005-0000-0000-0000744B0000}"/>
    <cellStyle name="40% - Accent6 2 2 8 2 2" xfId="27041" xr:uid="{00000000-0005-0000-0000-0000754B0000}"/>
    <cellStyle name="40% - Accent6 2 2 8 3" xfId="24168" xr:uid="{00000000-0005-0000-0000-0000764B0000}"/>
    <cellStyle name="40% - Accent6 2 2 9" xfId="4873" xr:uid="{00000000-0005-0000-0000-0000774B0000}"/>
    <cellStyle name="40% - Accent6 2 2 9 2" xfId="14073" xr:uid="{00000000-0005-0000-0000-0000784B0000}"/>
    <cellStyle name="40% - Accent6 2 2 9 2 2" xfId="27622" xr:uid="{00000000-0005-0000-0000-0000794B0000}"/>
    <cellStyle name="40% - Accent6 2 2 9 3" xfId="22721" xr:uid="{00000000-0005-0000-0000-00007A4B0000}"/>
    <cellStyle name="40% - Accent6 2 3" xfId="4874" xr:uid="{00000000-0005-0000-0000-00007B4B0000}"/>
    <cellStyle name="40% - Accent6 2 3 10" xfId="4875" xr:uid="{00000000-0005-0000-0000-00007C4B0000}"/>
    <cellStyle name="40% - Accent6 2 3 10 2" xfId="16056" xr:uid="{00000000-0005-0000-0000-00007D4B0000}"/>
    <cellStyle name="40% - Accent6 2 3 10 2 2" xfId="29463" xr:uid="{00000000-0005-0000-0000-00007E4B0000}"/>
    <cellStyle name="40% - Accent6 2 3 10 3" xfId="22720" xr:uid="{00000000-0005-0000-0000-00007F4B0000}"/>
    <cellStyle name="40% - Accent6 2 3 11" xfId="9524" xr:uid="{00000000-0005-0000-0000-0000804B0000}"/>
    <cellStyle name="40% - Accent6 2 3 11 2" xfId="23999" xr:uid="{00000000-0005-0000-0000-0000814B0000}"/>
    <cellStyle name="40% - Accent6 2 3 12" xfId="24167" xr:uid="{00000000-0005-0000-0000-0000824B0000}"/>
    <cellStyle name="40% - Accent6 2 3 2" xfId="4876" xr:uid="{00000000-0005-0000-0000-0000834B0000}"/>
    <cellStyle name="40% - Accent6 2 3 2 10" xfId="9525" xr:uid="{00000000-0005-0000-0000-0000844B0000}"/>
    <cellStyle name="40% - Accent6 2 3 2 10 2" xfId="24000" xr:uid="{00000000-0005-0000-0000-0000854B0000}"/>
    <cellStyle name="40% - Accent6 2 3 2 11" xfId="23256" xr:uid="{00000000-0005-0000-0000-0000864B0000}"/>
    <cellStyle name="40% - Accent6 2 3 2 2" xfId="4877" xr:uid="{00000000-0005-0000-0000-0000874B0000}"/>
    <cellStyle name="40% - Accent6 2 3 2 2 2" xfId="4878" xr:uid="{00000000-0005-0000-0000-0000884B0000}"/>
    <cellStyle name="40% - Accent6 2 3 2 2 2 2" xfId="11253" xr:uid="{00000000-0005-0000-0000-0000894B0000}"/>
    <cellStyle name="40% - Accent6 2 3 2 2 2 2 2" xfId="25195" xr:uid="{00000000-0005-0000-0000-00008A4B0000}"/>
    <cellStyle name="40% - Accent6 2 3 2 2 2 3" xfId="22719" xr:uid="{00000000-0005-0000-0000-00008B4B0000}"/>
    <cellStyle name="40% - Accent6 2 3 2 2 3" xfId="4879" xr:uid="{00000000-0005-0000-0000-00008C4B0000}"/>
    <cellStyle name="40% - Accent6 2 3 2 2 3 2" xfId="13040" xr:uid="{00000000-0005-0000-0000-00008D4B0000}"/>
    <cellStyle name="40% - Accent6 2 3 2 2 3 2 2" xfId="26752" xr:uid="{00000000-0005-0000-0000-00008E4B0000}"/>
    <cellStyle name="40% - Accent6 2 3 2 2 3 3" xfId="24164" xr:uid="{00000000-0005-0000-0000-00008F4B0000}"/>
    <cellStyle name="40% - Accent6 2 3 2 2 4" xfId="4880" xr:uid="{00000000-0005-0000-0000-0000904B0000}"/>
    <cellStyle name="40% - Accent6 2 3 2 2 4 2" xfId="15506" xr:uid="{00000000-0005-0000-0000-0000914B0000}"/>
    <cellStyle name="40% - Accent6 2 3 2 2 4 2 2" xfId="29055" xr:uid="{00000000-0005-0000-0000-0000924B0000}"/>
    <cellStyle name="40% - Accent6 2 3 2 2 4 3" xfId="22718" xr:uid="{00000000-0005-0000-0000-0000934B0000}"/>
    <cellStyle name="40% - Accent6 2 3 2 2 5" xfId="4881" xr:uid="{00000000-0005-0000-0000-0000944B0000}"/>
    <cellStyle name="40% - Accent6 2 3 2 2 5 2" xfId="16926" xr:uid="{00000000-0005-0000-0000-0000954B0000}"/>
    <cellStyle name="40% - Accent6 2 3 2 2 5 2 2" xfId="30333" xr:uid="{00000000-0005-0000-0000-0000964B0000}"/>
    <cellStyle name="40% - Accent6 2 3 2 2 5 3" xfId="24163" xr:uid="{00000000-0005-0000-0000-0000974B0000}"/>
    <cellStyle name="40% - Accent6 2 3 2 2 6" xfId="9526" xr:uid="{00000000-0005-0000-0000-0000984B0000}"/>
    <cellStyle name="40% - Accent6 2 3 2 2 6 2" xfId="24001" xr:uid="{00000000-0005-0000-0000-0000994B0000}"/>
    <cellStyle name="40% - Accent6 2 3 2 2 7" xfId="24165" xr:uid="{00000000-0005-0000-0000-00009A4B0000}"/>
    <cellStyle name="40% - Accent6 2 3 2 3" xfId="4882" xr:uid="{00000000-0005-0000-0000-00009B4B0000}"/>
    <cellStyle name="40% - Accent6 2 3 2 3 2" xfId="4883" xr:uid="{00000000-0005-0000-0000-00009C4B0000}"/>
    <cellStyle name="40% - Accent6 2 3 2 3 2 2" xfId="15507" xr:uid="{00000000-0005-0000-0000-00009D4B0000}"/>
    <cellStyle name="40% - Accent6 2 3 2 3 2 2 2" xfId="29056" xr:uid="{00000000-0005-0000-0000-00009E4B0000}"/>
    <cellStyle name="40% - Accent6 2 3 2 3 2 3" xfId="24162" xr:uid="{00000000-0005-0000-0000-00009F4B0000}"/>
    <cellStyle name="40% - Accent6 2 3 2 3 3" xfId="11252" xr:uid="{00000000-0005-0000-0000-0000A04B0000}"/>
    <cellStyle name="40% - Accent6 2 3 2 3 3 2" xfId="25194" xr:uid="{00000000-0005-0000-0000-0000A14B0000}"/>
    <cellStyle name="40% - Accent6 2 3 2 3 4" xfId="22717" xr:uid="{00000000-0005-0000-0000-0000A24B0000}"/>
    <cellStyle name="40% - Accent6 2 3 2 4" xfId="4884" xr:uid="{00000000-0005-0000-0000-0000A34B0000}"/>
    <cellStyle name="40% - Accent6 2 3 2 4 2" xfId="12314" xr:uid="{00000000-0005-0000-0000-0000A44B0000}"/>
    <cellStyle name="40% - Accent6 2 3 2 4 2 2" xfId="26026" xr:uid="{00000000-0005-0000-0000-0000A54B0000}"/>
    <cellStyle name="40% - Accent6 2 3 2 4 3" xfId="22716" xr:uid="{00000000-0005-0000-0000-0000A64B0000}"/>
    <cellStyle name="40% - Accent6 2 3 2 5" xfId="4885" xr:uid="{00000000-0005-0000-0000-0000A74B0000}"/>
    <cellStyle name="40% - Accent6 2 3 2 5 2" xfId="13039" xr:uid="{00000000-0005-0000-0000-0000A84B0000}"/>
    <cellStyle name="40% - Accent6 2 3 2 5 2 2" xfId="26751" xr:uid="{00000000-0005-0000-0000-0000A94B0000}"/>
    <cellStyle name="40% - Accent6 2 3 2 5 3" xfId="24160" xr:uid="{00000000-0005-0000-0000-0000AA4B0000}"/>
    <cellStyle name="40% - Accent6 2 3 2 6" xfId="4886" xr:uid="{00000000-0005-0000-0000-0000AB4B0000}"/>
    <cellStyle name="40% - Accent6 2 3 2 6 2" xfId="13878" xr:uid="{00000000-0005-0000-0000-0000AC4B0000}"/>
    <cellStyle name="40% - Accent6 2 3 2 6 2 2" xfId="27427" xr:uid="{00000000-0005-0000-0000-0000AD4B0000}"/>
    <cellStyle name="40% - Accent6 2 3 2 6 3" xfId="24161" xr:uid="{00000000-0005-0000-0000-0000AE4B0000}"/>
    <cellStyle name="40% - Accent6 2 3 2 7" xfId="4887" xr:uid="{00000000-0005-0000-0000-0000AF4B0000}"/>
    <cellStyle name="40% - Accent6 2 3 2 7 2" xfId="14459" xr:uid="{00000000-0005-0000-0000-0000B04B0000}"/>
    <cellStyle name="40% - Accent6 2 3 2 7 2 2" xfId="28008" xr:uid="{00000000-0005-0000-0000-0000B14B0000}"/>
    <cellStyle name="40% - Accent6 2 3 2 7 3" xfId="22715" xr:uid="{00000000-0005-0000-0000-0000B24B0000}"/>
    <cellStyle name="40% - Accent6 2 3 2 8" xfId="4888" xr:uid="{00000000-0005-0000-0000-0000B34B0000}"/>
    <cellStyle name="40% - Accent6 2 3 2 8 2" xfId="15505" xr:uid="{00000000-0005-0000-0000-0000B44B0000}"/>
    <cellStyle name="40% - Accent6 2 3 2 8 2 2" xfId="29054" xr:uid="{00000000-0005-0000-0000-0000B54B0000}"/>
    <cellStyle name="40% - Accent6 2 3 2 8 3" xfId="22714" xr:uid="{00000000-0005-0000-0000-0000B64B0000}"/>
    <cellStyle name="40% - Accent6 2 3 2 9" xfId="4889" xr:uid="{00000000-0005-0000-0000-0000B74B0000}"/>
    <cellStyle name="40% - Accent6 2 3 2 9 2" xfId="16345" xr:uid="{00000000-0005-0000-0000-0000B84B0000}"/>
    <cellStyle name="40% - Accent6 2 3 2 9 2 2" xfId="29752" xr:uid="{00000000-0005-0000-0000-0000B94B0000}"/>
    <cellStyle name="40% - Accent6 2 3 2 9 3" xfId="24159" xr:uid="{00000000-0005-0000-0000-0000BA4B0000}"/>
    <cellStyle name="40% - Accent6 2 3 3" xfId="4890" xr:uid="{00000000-0005-0000-0000-0000BB4B0000}"/>
    <cellStyle name="40% - Accent6 2 3 3 2" xfId="4891" xr:uid="{00000000-0005-0000-0000-0000BC4B0000}"/>
    <cellStyle name="40% - Accent6 2 3 3 2 2" xfId="11254" xr:uid="{00000000-0005-0000-0000-0000BD4B0000}"/>
    <cellStyle name="40% - Accent6 2 3 3 2 2 2" xfId="25196" xr:uid="{00000000-0005-0000-0000-0000BE4B0000}"/>
    <cellStyle name="40% - Accent6 2 3 3 2 3" xfId="22713" xr:uid="{00000000-0005-0000-0000-0000BF4B0000}"/>
    <cellStyle name="40% - Accent6 2 3 3 3" xfId="4892" xr:uid="{00000000-0005-0000-0000-0000C04B0000}"/>
    <cellStyle name="40% - Accent6 2 3 3 3 2" xfId="13041" xr:uid="{00000000-0005-0000-0000-0000C14B0000}"/>
    <cellStyle name="40% - Accent6 2 3 3 3 2 2" xfId="26753" xr:uid="{00000000-0005-0000-0000-0000C24B0000}"/>
    <cellStyle name="40% - Accent6 2 3 3 3 3" xfId="26821" xr:uid="{00000000-0005-0000-0000-0000C34B0000}"/>
    <cellStyle name="40% - Accent6 2 3 3 4" xfId="4893" xr:uid="{00000000-0005-0000-0000-0000C44B0000}"/>
    <cellStyle name="40% - Accent6 2 3 3 4 2" xfId="15508" xr:uid="{00000000-0005-0000-0000-0000C54B0000}"/>
    <cellStyle name="40% - Accent6 2 3 3 4 2 2" xfId="29057" xr:uid="{00000000-0005-0000-0000-0000C64B0000}"/>
    <cellStyle name="40% - Accent6 2 3 3 4 3" xfId="22712" xr:uid="{00000000-0005-0000-0000-0000C74B0000}"/>
    <cellStyle name="40% - Accent6 2 3 3 5" xfId="4894" xr:uid="{00000000-0005-0000-0000-0000C84B0000}"/>
    <cellStyle name="40% - Accent6 2 3 3 5 2" xfId="16637" xr:uid="{00000000-0005-0000-0000-0000C94B0000}"/>
    <cellStyle name="40% - Accent6 2 3 3 5 2 2" xfId="30044" xr:uid="{00000000-0005-0000-0000-0000CA4B0000}"/>
    <cellStyle name="40% - Accent6 2 3 3 5 3" xfId="22711" xr:uid="{00000000-0005-0000-0000-0000CB4B0000}"/>
    <cellStyle name="40% - Accent6 2 3 3 6" xfId="9527" xr:uid="{00000000-0005-0000-0000-0000CC4B0000}"/>
    <cellStyle name="40% - Accent6 2 3 3 6 2" xfId="24002" xr:uid="{00000000-0005-0000-0000-0000CD4B0000}"/>
    <cellStyle name="40% - Accent6 2 3 3 7" xfId="26820" xr:uid="{00000000-0005-0000-0000-0000CE4B0000}"/>
    <cellStyle name="40% - Accent6 2 3 4" xfId="4895" xr:uid="{00000000-0005-0000-0000-0000CF4B0000}"/>
    <cellStyle name="40% - Accent6 2 3 4 2" xfId="4896" xr:uid="{00000000-0005-0000-0000-0000D04B0000}"/>
    <cellStyle name="40% - Accent6 2 3 4 2 2" xfId="15509" xr:uid="{00000000-0005-0000-0000-0000D14B0000}"/>
    <cellStyle name="40% - Accent6 2 3 4 2 2 2" xfId="29058" xr:uid="{00000000-0005-0000-0000-0000D24B0000}"/>
    <cellStyle name="40% - Accent6 2 3 4 2 3" xfId="24158" xr:uid="{00000000-0005-0000-0000-0000D34B0000}"/>
    <cellStyle name="40% - Accent6 2 3 4 3" xfId="11251" xr:uid="{00000000-0005-0000-0000-0000D44B0000}"/>
    <cellStyle name="40% - Accent6 2 3 4 3 2" xfId="25193" xr:uid="{00000000-0005-0000-0000-0000D54B0000}"/>
    <cellStyle name="40% - Accent6 2 3 4 4" xfId="24157" xr:uid="{00000000-0005-0000-0000-0000D64B0000}"/>
    <cellStyle name="40% - Accent6 2 3 5" xfId="4897" xr:uid="{00000000-0005-0000-0000-0000D74B0000}"/>
    <cellStyle name="40% - Accent6 2 3 5 2" xfId="12014" xr:uid="{00000000-0005-0000-0000-0000D84B0000}"/>
    <cellStyle name="40% - Accent6 2 3 5 2 2" xfId="25729" xr:uid="{00000000-0005-0000-0000-0000D94B0000}"/>
    <cellStyle name="40% - Accent6 2 3 5 3" xfId="22710" xr:uid="{00000000-0005-0000-0000-0000DA4B0000}"/>
    <cellStyle name="40% - Accent6 2 3 6" xfId="4898" xr:uid="{00000000-0005-0000-0000-0000DB4B0000}"/>
    <cellStyle name="40% - Accent6 2 3 6 2" xfId="13038" xr:uid="{00000000-0005-0000-0000-0000DC4B0000}"/>
    <cellStyle name="40% - Accent6 2 3 6 2 2" xfId="26750" xr:uid="{00000000-0005-0000-0000-0000DD4B0000}"/>
    <cellStyle name="40% - Accent6 2 3 6 3" xfId="22709" xr:uid="{00000000-0005-0000-0000-0000DE4B0000}"/>
    <cellStyle name="40% - Accent6 2 3 7" xfId="4899" xr:uid="{00000000-0005-0000-0000-0000DF4B0000}"/>
    <cellStyle name="40% - Accent6 2 3 7 2" xfId="13589" xr:uid="{00000000-0005-0000-0000-0000E04B0000}"/>
    <cellStyle name="40% - Accent6 2 3 7 2 2" xfId="27138" xr:uid="{00000000-0005-0000-0000-0000E14B0000}"/>
    <cellStyle name="40% - Accent6 2 3 7 3" xfId="24156" xr:uid="{00000000-0005-0000-0000-0000E24B0000}"/>
    <cellStyle name="40% - Accent6 2 3 8" xfId="4900" xr:uid="{00000000-0005-0000-0000-0000E34B0000}"/>
    <cellStyle name="40% - Accent6 2 3 8 2" xfId="14170" xr:uid="{00000000-0005-0000-0000-0000E44B0000}"/>
    <cellStyle name="40% - Accent6 2 3 8 2 2" xfId="27719" xr:uid="{00000000-0005-0000-0000-0000E54B0000}"/>
    <cellStyle name="40% - Accent6 2 3 8 3" xfId="22708" xr:uid="{00000000-0005-0000-0000-0000E64B0000}"/>
    <cellStyle name="40% - Accent6 2 3 9" xfId="4901" xr:uid="{00000000-0005-0000-0000-0000E74B0000}"/>
    <cellStyle name="40% - Accent6 2 3 9 2" xfId="15504" xr:uid="{00000000-0005-0000-0000-0000E84B0000}"/>
    <cellStyle name="40% - Accent6 2 3 9 2 2" xfId="29053" xr:uid="{00000000-0005-0000-0000-0000E94B0000}"/>
    <cellStyle name="40% - Accent6 2 3 9 3" xfId="24153" xr:uid="{00000000-0005-0000-0000-0000EA4B0000}"/>
    <cellStyle name="40% - Accent6 2 4" xfId="4902" xr:uid="{00000000-0005-0000-0000-0000EB4B0000}"/>
    <cellStyle name="40% - Accent6 2 4 10" xfId="9528" xr:uid="{00000000-0005-0000-0000-0000EC4B0000}"/>
    <cellStyle name="40% - Accent6 2 4 10 2" xfId="24003" xr:uid="{00000000-0005-0000-0000-0000ED4B0000}"/>
    <cellStyle name="40% - Accent6 2 4 11" xfId="22707" xr:uid="{00000000-0005-0000-0000-0000EE4B0000}"/>
    <cellStyle name="40% - Accent6 2 4 2" xfId="4903" xr:uid="{00000000-0005-0000-0000-0000EF4B0000}"/>
    <cellStyle name="40% - Accent6 2 4 2 2" xfId="4904" xr:uid="{00000000-0005-0000-0000-0000F04B0000}"/>
    <cellStyle name="40% - Accent6 2 4 2 2 2" xfId="11256" xr:uid="{00000000-0005-0000-0000-0000F14B0000}"/>
    <cellStyle name="40% - Accent6 2 4 2 2 2 2" xfId="25198" xr:uid="{00000000-0005-0000-0000-0000F24B0000}"/>
    <cellStyle name="40% - Accent6 2 4 2 2 3" xfId="22706" xr:uid="{00000000-0005-0000-0000-0000F34B0000}"/>
    <cellStyle name="40% - Accent6 2 4 2 3" xfId="4905" xr:uid="{00000000-0005-0000-0000-0000F44B0000}"/>
    <cellStyle name="40% - Accent6 2 4 2 3 2" xfId="13043" xr:uid="{00000000-0005-0000-0000-0000F54B0000}"/>
    <cellStyle name="40% - Accent6 2 4 2 3 2 2" xfId="26755" xr:uid="{00000000-0005-0000-0000-0000F64B0000}"/>
    <cellStyle name="40% - Accent6 2 4 2 3 3" xfId="24441" xr:uid="{00000000-0005-0000-0000-0000F74B0000}"/>
    <cellStyle name="40% - Accent6 2 4 2 4" xfId="4906" xr:uid="{00000000-0005-0000-0000-0000F84B0000}"/>
    <cellStyle name="40% - Accent6 2 4 2 4 2" xfId="15511" xr:uid="{00000000-0005-0000-0000-0000F94B0000}"/>
    <cellStyle name="40% - Accent6 2 4 2 4 2 2" xfId="29060" xr:uid="{00000000-0005-0000-0000-0000FA4B0000}"/>
    <cellStyle name="40% - Accent6 2 4 2 4 3" xfId="29137" xr:uid="{00000000-0005-0000-0000-0000FB4B0000}"/>
    <cellStyle name="40% - Accent6 2 4 2 5" xfId="4907" xr:uid="{00000000-0005-0000-0000-0000FC4B0000}"/>
    <cellStyle name="40% - Accent6 2 4 2 5 2" xfId="16783" xr:uid="{00000000-0005-0000-0000-0000FD4B0000}"/>
    <cellStyle name="40% - Accent6 2 4 2 5 2 2" xfId="30190" xr:uid="{00000000-0005-0000-0000-0000FE4B0000}"/>
    <cellStyle name="40% - Accent6 2 4 2 5 3" xfId="22705" xr:uid="{00000000-0005-0000-0000-0000FF4B0000}"/>
    <cellStyle name="40% - Accent6 2 4 2 6" xfId="9529" xr:uid="{00000000-0005-0000-0000-0000004C0000}"/>
    <cellStyle name="40% - Accent6 2 4 2 6 2" xfId="24004" xr:uid="{00000000-0005-0000-0000-0000014C0000}"/>
    <cellStyle name="40% - Accent6 2 4 2 7" xfId="25251" xr:uid="{00000000-0005-0000-0000-0000024C0000}"/>
    <cellStyle name="40% - Accent6 2 4 3" xfId="4908" xr:uid="{00000000-0005-0000-0000-0000034C0000}"/>
    <cellStyle name="40% - Accent6 2 4 3 2" xfId="4909" xr:uid="{00000000-0005-0000-0000-0000044C0000}"/>
    <cellStyle name="40% - Accent6 2 4 3 2 2" xfId="15512" xr:uid="{00000000-0005-0000-0000-0000054C0000}"/>
    <cellStyle name="40% - Accent6 2 4 3 2 2 2" xfId="29061" xr:uid="{00000000-0005-0000-0000-0000064C0000}"/>
    <cellStyle name="40% - Accent6 2 4 3 2 3" xfId="24155" xr:uid="{00000000-0005-0000-0000-0000074C0000}"/>
    <cellStyle name="40% - Accent6 2 4 3 3" xfId="11255" xr:uid="{00000000-0005-0000-0000-0000084C0000}"/>
    <cellStyle name="40% - Accent6 2 4 3 3 2" xfId="25197" xr:uid="{00000000-0005-0000-0000-0000094C0000}"/>
    <cellStyle name="40% - Accent6 2 4 3 4" xfId="22704" xr:uid="{00000000-0005-0000-0000-00000A4C0000}"/>
    <cellStyle name="40% - Accent6 2 4 4" xfId="4910" xr:uid="{00000000-0005-0000-0000-00000B4C0000}"/>
    <cellStyle name="40% - Accent6 2 4 4 2" xfId="12171" xr:uid="{00000000-0005-0000-0000-00000C4C0000}"/>
    <cellStyle name="40% - Accent6 2 4 4 2 2" xfId="25883" xr:uid="{00000000-0005-0000-0000-00000D4C0000}"/>
    <cellStyle name="40% - Accent6 2 4 4 3" xfId="22703" xr:uid="{00000000-0005-0000-0000-00000E4C0000}"/>
    <cellStyle name="40% - Accent6 2 4 5" xfId="4911" xr:uid="{00000000-0005-0000-0000-00000F4C0000}"/>
    <cellStyle name="40% - Accent6 2 4 5 2" xfId="13042" xr:uid="{00000000-0005-0000-0000-0000104C0000}"/>
    <cellStyle name="40% - Accent6 2 4 5 2 2" xfId="26754" xr:uid="{00000000-0005-0000-0000-0000114C0000}"/>
    <cellStyle name="40% - Accent6 2 4 5 3" xfId="24154" xr:uid="{00000000-0005-0000-0000-0000124C0000}"/>
    <cellStyle name="40% - Accent6 2 4 6" xfId="4912" xr:uid="{00000000-0005-0000-0000-0000134C0000}"/>
    <cellStyle name="40% - Accent6 2 4 6 2" xfId="13735" xr:uid="{00000000-0005-0000-0000-0000144C0000}"/>
    <cellStyle name="40% - Accent6 2 4 6 2 2" xfId="27284" xr:uid="{00000000-0005-0000-0000-0000154C0000}"/>
    <cellStyle name="40% - Accent6 2 4 6 3" xfId="22702" xr:uid="{00000000-0005-0000-0000-0000164C0000}"/>
    <cellStyle name="40% - Accent6 2 4 7" xfId="4913" xr:uid="{00000000-0005-0000-0000-0000174C0000}"/>
    <cellStyle name="40% - Accent6 2 4 7 2" xfId="14316" xr:uid="{00000000-0005-0000-0000-0000184C0000}"/>
    <cellStyle name="40% - Accent6 2 4 7 2 2" xfId="27865" xr:uid="{00000000-0005-0000-0000-0000194C0000}"/>
    <cellStyle name="40% - Accent6 2 4 7 3" xfId="23252" xr:uid="{00000000-0005-0000-0000-00001A4C0000}"/>
    <cellStyle name="40% - Accent6 2 4 8" xfId="4914" xr:uid="{00000000-0005-0000-0000-00001B4C0000}"/>
    <cellStyle name="40% - Accent6 2 4 8 2" xfId="15510" xr:uid="{00000000-0005-0000-0000-00001C4C0000}"/>
    <cellStyle name="40% - Accent6 2 4 8 2 2" xfId="29059" xr:uid="{00000000-0005-0000-0000-00001D4C0000}"/>
    <cellStyle name="40% - Accent6 2 4 8 3" xfId="24152" xr:uid="{00000000-0005-0000-0000-00001E4C0000}"/>
    <cellStyle name="40% - Accent6 2 4 9" xfId="4915" xr:uid="{00000000-0005-0000-0000-00001F4C0000}"/>
    <cellStyle name="40% - Accent6 2 4 9 2" xfId="16202" xr:uid="{00000000-0005-0000-0000-0000204C0000}"/>
    <cellStyle name="40% - Accent6 2 4 9 2 2" xfId="29609" xr:uid="{00000000-0005-0000-0000-0000214C0000}"/>
    <cellStyle name="40% - Accent6 2 4 9 3" xfId="22701" xr:uid="{00000000-0005-0000-0000-0000224C0000}"/>
    <cellStyle name="40% - Accent6 2 5" xfId="4916" xr:uid="{00000000-0005-0000-0000-0000234C0000}"/>
    <cellStyle name="40% - Accent6 2 5 2" xfId="4917" xr:uid="{00000000-0005-0000-0000-0000244C0000}"/>
    <cellStyle name="40% - Accent6 2 5 2 2" xfId="4918" xr:uid="{00000000-0005-0000-0000-0000254C0000}"/>
    <cellStyle name="40% - Accent6 2 5 2 2 2" xfId="11258" xr:uid="{00000000-0005-0000-0000-0000264C0000}"/>
    <cellStyle name="40% - Accent6 2 5 2 2 2 2" xfId="25200" xr:uid="{00000000-0005-0000-0000-0000274C0000}"/>
    <cellStyle name="40% - Accent6 2 5 2 2 3" xfId="24150" xr:uid="{00000000-0005-0000-0000-0000284C0000}"/>
    <cellStyle name="40% - Accent6 2 5 2 3" xfId="4919" xr:uid="{00000000-0005-0000-0000-0000294C0000}"/>
    <cellStyle name="40% - Accent6 2 5 2 3 2" xfId="13045" xr:uid="{00000000-0005-0000-0000-00002A4C0000}"/>
    <cellStyle name="40% - Accent6 2 5 2 3 2 2" xfId="26757" xr:uid="{00000000-0005-0000-0000-00002B4C0000}"/>
    <cellStyle name="40% - Accent6 2 5 2 3 3" xfId="22699" xr:uid="{00000000-0005-0000-0000-00002C4C0000}"/>
    <cellStyle name="40% - Accent6 2 5 2 4" xfId="4920" xr:uid="{00000000-0005-0000-0000-00002D4C0000}"/>
    <cellStyle name="40% - Accent6 2 5 2 4 2" xfId="15514" xr:uid="{00000000-0005-0000-0000-00002E4C0000}"/>
    <cellStyle name="40% - Accent6 2 5 2 4 2 2" xfId="29063" xr:uid="{00000000-0005-0000-0000-00002F4C0000}"/>
    <cellStyle name="40% - Accent6 2 5 2 4 3" xfId="24149" xr:uid="{00000000-0005-0000-0000-0000304C0000}"/>
    <cellStyle name="40% - Accent6 2 5 2 5" xfId="9531" xr:uid="{00000000-0005-0000-0000-0000314C0000}"/>
    <cellStyle name="40% - Accent6 2 5 2 5 2" xfId="24006" xr:uid="{00000000-0005-0000-0000-0000324C0000}"/>
    <cellStyle name="40% - Accent6 2 5 2 6" xfId="22700" xr:uid="{00000000-0005-0000-0000-0000334C0000}"/>
    <cellStyle name="40% - Accent6 2 5 3" xfId="4921" xr:uid="{00000000-0005-0000-0000-0000344C0000}"/>
    <cellStyle name="40% - Accent6 2 5 3 2" xfId="11257" xr:uid="{00000000-0005-0000-0000-0000354C0000}"/>
    <cellStyle name="40% - Accent6 2 5 3 2 2" xfId="25199" xr:uid="{00000000-0005-0000-0000-0000364C0000}"/>
    <cellStyle name="40% - Accent6 2 5 3 3" xfId="22698" xr:uid="{00000000-0005-0000-0000-0000374C0000}"/>
    <cellStyle name="40% - Accent6 2 5 4" xfId="4922" xr:uid="{00000000-0005-0000-0000-0000384C0000}"/>
    <cellStyle name="40% - Accent6 2 5 4 2" xfId="13044" xr:uid="{00000000-0005-0000-0000-0000394C0000}"/>
    <cellStyle name="40% - Accent6 2 5 4 2 2" xfId="26756" xr:uid="{00000000-0005-0000-0000-00003A4C0000}"/>
    <cellStyle name="40% - Accent6 2 5 4 3" xfId="24147" xr:uid="{00000000-0005-0000-0000-00003B4C0000}"/>
    <cellStyle name="40% - Accent6 2 5 5" xfId="4923" xr:uid="{00000000-0005-0000-0000-00003C4C0000}"/>
    <cellStyle name="40% - Accent6 2 5 5 2" xfId="15513" xr:uid="{00000000-0005-0000-0000-00003D4C0000}"/>
    <cellStyle name="40% - Accent6 2 5 5 2 2" xfId="29062" xr:uid="{00000000-0005-0000-0000-00003E4C0000}"/>
    <cellStyle name="40% - Accent6 2 5 5 3" xfId="24148" xr:uid="{00000000-0005-0000-0000-00003F4C0000}"/>
    <cellStyle name="40% - Accent6 2 5 6" xfId="4924" xr:uid="{00000000-0005-0000-0000-0000404C0000}"/>
    <cellStyle name="40% - Accent6 2 5 6 2" xfId="17018" xr:uid="{00000000-0005-0000-0000-0000414C0000}"/>
    <cellStyle name="40% - Accent6 2 5 6 2 2" xfId="30425" xr:uid="{00000000-0005-0000-0000-0000424C0000}"/>
    <cellStyle name="40% - Accent6 2 5 6 3" xfId="22697" xr:uid="{00000000-0005-0000-0000-0000434C0000}"/>
    <cellStyle name="40% - Accent6 2 5 7" xfId="9530" xr:uid="{00000000-0005-0000-0000-0000444C0000}"/>
    <cellStyle name="40% - Accent6 2 5 7 2" xfId="24005" xr:uid="{00000000-0005-0000-0000-0000454C0000}"/>
    <cellStyle name="40% - Accent6 2 5 8" xfId="24151" xr:uid="{00000000-0005-0000-0000-0000464C0000}"/>
    <cellStyle name="40% - Accent6 2 6" xfId="4925" xr:uid="{00000000-0005-0000-0000-0000474C0000}"/>
    <cellStyle name="40% - Accent6 2 6 2" xfId="4926" xr:uid="{00000000-0005-0000-0000-0000484C0000}"/>
    <cellStyle name="40% - Accent6 2 6 2 2" xfId="11259" xr:uid="{00000000-0005-0000-0000-0000494C0000}"/>
    <cellStyle name="40% - Accent6 2 6 2 2 2" xfId="25201" xr:uid="{00000000-0005-0000-0000-00004A4C0000}"/>
    <cellStyle name="40% - Accent6 2 6 2 3" xfId="24146" xr:uid="{00000000-0005-0000-0000-00004B4C0000}"/>
    <cellStyle name="40% - Accent6 2 6 3" xfId="4927" xr:uid="{00000000-0005-0000-0000-00004C4C0000}"/>
    <cellStyle name="40% - Accent6 2 6 3 2" xfId="13046" xr:uid="{00000000-0005-0000-0000-00004D4C0000}"/>
    <cellStyle name="40% - Accent6 2 6 3 2 2" xfId="26758" xr:uid="{00000000-0005-0000-0000-00004E4C0000}"/>
    <cellStyle name="40% - Accent6 2 6 3 3" xfId="26818" xr:uid="{00000000-0005-0000-0000-00004F4C0000}"/>
    <cellStyle name="40% - Accent6 2 6 4" xfId="4928" xr:uid="{00000000-0005-0000-0000-0000504C0000}"/>
    <cellStyle name="40% - Accent6 2 6 4 2" xfId="15515" xr:uid="{00000000-0005-0000-0000-0000514C0000}"/>
    <cellStyle name="40% - Accent6 2 6 4 2 2" xfId="29064" xr:uid="{00000000-0005-0000-0000-0000524C0000}"/>
    <cellStyle name="40% - Accent6 2 6 4 3" xfId="22695" xr:uid="{00000000-0005-0000-0000-0000534C0000}"/>
    <cellStyle name="40% - Accent6 2 6 5" xfId="4929" xr:uid="{00000000-0005-0000-0000-0000544C0000}"/>
    <cellStyle name="40% - Accent6 2 6 5 2" xfId="17130" xr:uid="{00000000-0005-0000-0000-0000554C0000}"/>
    <cellStyle name="40% - Accent6 2 6 5 2 2" xfId="30489" xr:uid="{00000000-0005-0000-0000-0000564C0000}"/>
    <cellStyle name="40% - Accent6 2 6 5 3" xfId="26819" xr:uid="{00000000-0005-0000-0000-0000574C0000}"/>
    <cellStyle name="40% - Accent6 2 6 6" xfId="9532" xr:uid="{00000000-0005-0000-0000-0000584C0000}"/>
    <cellStyle name="40% - Accent6 2 6 6 2" xfId="24007" xr:uid="{00000000-0005-0000-0000-0000594C0000}"/>
    <cellStyle name="40% - Accent6 2 6 7" xfId="22696" xr:uid="{00000000-0005-0000-0000-00005A4C0000}"/>
    <cellStyle name="40% - Accent6 2 7" xfId="4930" xr:uid="{00000000-0005-0000-0000-00005B4C0000}"/>
    <cellStyle name="40% - Accent6 2 7 2" xfId="4931" xr:uid="{00000000-0005-0000-0000-00005C4C0000}"/>
    <cellStyle name="40% - Accent6 2 7 2 2" xfId="11260" xr:uid="{00000000-0005-0000-0000-00005D4C0000}"/>
    <cellStyle name="40% - Accent6 2 7 2 2 2" xfId="25202" xr:uid="{00000000-0005-0000-0000-00005E4C0000}"/>
    <cellStyle name="40% - Accent6 2 7 2 3" xfId="22693" xr:uid="{00000000-0005-0000-0000-00005F4C0000}"/>
    <cellStyle name="40% - Accent6 2 7 3" xfId="4932" xr:uid="{00000000-0005-0000-0000-0000604C0000}"/>
    <cellStyle name="40% - Accent6 2 7 3 2" xfId="13047" xr:uid="{00000000-0005-0000-0000-0000614C0000}"/>
    <cellStyle name="40% - Accent6 2 7 3 2 2" xfId="26759" xr:uid="{00000000-0005-0000-0000-0000624C0000}"/>
    <cellStyle name="40% - Accent6 2 7 3 3" xfId="24144" xr:uid="{00000000-0005-0000-0000-0000634C0000}"/>
    <cellStyle name="40% - Accent6 2 7 4" xfId="4933" xr:uid="{00000000-0005-0000-0000-0000644C0000}"/>
    <cellStyle name="40% - Accent6 2 7 4 2" xfId="15516" xr:uid="{00000000-0005-0000-0000-0000654C0000}"/>
    <cellStyle name="40% - Accent6 2 7 4 2 2" xfId="29065" xr:uid="{00000000-0005-0000-0000-0000664C0000}"/>
    <cellStyle name="40% - Accent6 2 7 4 3" xfId="24145" xr:uid="{00000000-0005-0000-0000-0000674C0000}"/>
    <cellStyle name="40% - Accent6 2 7 5" xfId="4934" xr:uid="{00000000-0005-0000-0000-0000684C0000}"/>
    <cellStyle name="40% - Accent6 2 7 5 2" xfId="17219" xr:uid="{00000000-0005-0000-0000-0000694C0000}"/>
    <cellStyle name="40% - Accent6 2 7 5 2 2" xfId="30578" xr:uid="{00000000-0005-0000-0000-00006A4C0000}"/>
    <cellStyle name="40% - Accent6 2 7 5 3" xfId="22692" xr:uid="{00000000-0005-0000-0000-00006B4C0000}"/>
    <cellStyle name="40% - Accent6 2 7 6" xfId="9533" xr:uid="{00000000-0005-0000-0000-00006C4C0000}"/>
    <cellStyle name="40% - Accent6 2 7 6 2" xfId="24008" xr:uid="{00000000-0005-0000-0000-00006D4C0000}"/>
    <cellStyle name="40% - Accent6 2 7 7" xfId="22694" xr:uid="{00000000-0005-0000-0000-00006E4C0000}"/>
    <cellStyle name="40% - Accent6 2 8" xfId="4935" xr:uid="{00000000-0005-0000-0000-00006F4C0000}"/>
    <cellStyle name="40% - Accent6 2 8 2" xfId="4936" xr:uid="{00000000-0005-0000-0000-0000704C0000}"/>
    <cellStyle name="40% - Accent6 2 8 2 2" xfId="13048" xr:uid="{00000000-0005-0000-0000-0000714C0000}"/>
    <cellStyle name="40% - Accent6 2 8 2 2 2" xfId="26760" xr:uid="{00000000-0005-0000-0000-0000724C0000}"/>
    <cellStyle name="40% - Accent6 2 8 2 3" xfId="24143" xr:uid="{00000000-0005-0000-0000-0000734C0000}"/>
    <cellStyle name="40% - Accent6 2 8 3" xfId="4937" xr:uid="{00000000-0005-0000-0000-0000744C0000}"/>
    <cellStyle name="40% - Accent6 2 8 3 2" xfId="15517" xr:uid="{00000000-0005-0000-0000-0000754C0000}"/>
    <cellStyle name="40% - Accent6 2 8 3 2 2" xfId="29066" xr:uid="{00000000-0005-0000-0000-0000764C0000}"/>
    <cellStyle name="40% - Accent6 2 8 3 3" xfId="22690" xr:uid="{00000000-0005-0000-0000-0000774C0000}"/>
    <cellStyle name="40% - Accent6 2 8 4" xfId="4938" xr:uid="{00000000-0005-0000-0000-0000784C0000}"/>
    <cellStyle name="40% - Accent6 2 8 4 2" xfId="16494" xr:uid="{00000000-0005-0000-0000-0000794C0000}"/>
    <cellStyle name="40% - Accent6 2 8 4 2 2" xfId="29901" xr:uid="{00000000-0005-0000-0000-00007A4C0000}"/>
    <cellStyle name="40% - Accent6 2 8 4 3" xfId="24140" xr:uid="{00000000-0005-0000-0000-00007B4C0000}"/>
    <cellStyle name="40% - Accent6 2 8 5" xfId="10539" xr:uid="{00000000-0005-0000-0000-00007C4C0000}"/>
    <cellStyle name="40% - Accent6 2 8 5 2" xfId="24481" xr:uid="{00000000-0005-0000-0000-00007D4C0000}"/>
    <cellStyle name="40% - Accent6 2 8 6" xfId="22691" xr:uid="{00000000-0005-0000-0000-00007E4C0000}"/>
    <cellStyle name="40% - Accent6 2 9" xfId="4939" xr:uid="{00000000-0005-0000-0000-00007F4C0000}"/>
    <cellStyle name="40% - Accent6 2 9 2" xfId="4940" xr:uid="{00000000-0005-0000-0000-0000804C0000}"/>
    <cellStyle name="40% - Accent6 2 9 2 2" xfId="13049" xr:uid="{00000000-0005-0000-0000-0000814C0000}"/>
    <cellStyle name="40% - Accent6 2 9 2 2 2" xfId="26761" xr:uid="{00000000-0005-0000-0000-0000824C0000}"/>
    <cellStyle name="40% - Accent6 2 9 2 3" xfId="25250" xr:uid="{00000000-0005-0000-0000-0000834C0000}"/>
    <cellStyle name="40% - Accent6 2 9 3" xfId="4941" xr:uid="{00000000-0005-0000-0000-0000844C0000}"/>
    <cellStyle name="40% - Accent6 2 9 3 2" xfId="15518" xr:uid="{00000000-0005-0000-0000-0000854C0000}"/>
    <cellStyle name="40% - Accent6 2 9 3 2 2" xfId="29067" xr:uid="{00000000-0005-0000-0000-0000864C0000}"/>
    <cellStyle name="40% - Accent6 2 9 3 3" xfId="22688" xr:uid="{00000000-0005-0000-0000-0000874C0000}"/>
    <cellStyle name="40% - Accent6 2 9 4" xfId="11242" xr:uid="{00000000-0005-0000-0000-0000884C0000}"/>
    <cellStyle name="40% - Accent6 2 9 4 2" xfId="25184" xr:uid="{00000000-0005-0000-0000-0000894C0000}"/>
    <cellStyle name="40% - Accent6 2 9 5" xfId="22689" xr:uid="{00000000-0005-0000-0000-00008A4C0000}"/>
    <cellStyle name="40% - Accent6 20" xfId="4942" xr:uid="{00000000-0005-0000-0000-00008B4C0000}"/>
    <cellStyle name="40% - Accent6 20 2" xfId="4943" xr:uid="{00000000-0005-0000-0000-00008C4C0000}"/>
    <cellStyle name="40% - Accent6 20 2 2" xfId="13050" xr:uid="{00000000-0005-0000-0000-00008D4C0000}"/>
    <cellStyle name="40% - Accent6 20 2 2 2" xfId="26762" xr:uid="{00000000-0005-0000-0000-00008E4C0000}"/>
    <cellStyle name="40% - Accent6 20 2 3" xfId="29136" xr:uid="{00000000-0005-0000-0000-00008F4C0000}"/>
    <cellStyle name="40% - Accent6 20 3" xfId="4944" xr:uid="{00000000-0005-0000-0000-0000904C0000}"/>
    <cellStyle name="40% - Accent6 20 3 2" xfId="15519" xr:uid="{00000000-0005-0000-0000-0000914C0000}"/>
    <cellStyle name="40% - Accent6 20 3 2 2" xfId="29068" xr:uid="{00000000-0005-0000-0000-0000924C0000}"/>
    <cellStyle name="40% - Accent6 20 3 3" xfId="22687" xr:uid="{00000000-0005-0000-0000-0000934C0000}"/>
    <cellStyle name="40% - Accent6 20 4" xfId="10514" xr:uid="{00000000-0005-0000-0000-0000944C0000}"/>
    <cellStyle name="40% - Accent6 20 4 2" xfId="24462" xr:uid="{00000000-0005-0000-0000-0000954C0000}"/>
    <cellStyle name="40% - Accent6 20 5" xfId="24440" xr:uid="{00000000-0005-0000-0000-0000964C0000}"/>
    <cellStyle name="40% - Accent6 21" xfId="4945" xr:uid="{00000000-0005-0000-0000-0000974C0000}"/>
    <cellStyle name="40% - Accent6 21 2" xfId="4946" xr:uid="{00000000-0005-0000-0000-0000984C0000}"/>
    <cellStyle name="40% - Accent6 21 2 2" xfId="13051" xr:uid="{00000000-0005-0000-0000-0000994C0000}"/>
    <cellStyle name="40% - Accent6 21 2 2 2" xfId="26763" xr:uid="{00000000-0005-0000-0000-00009A4C0000}"/>
    <cellStyle name="40% - Accent6 21 2 3" xfId="24142" xr:uid="{00000000-0005-0000-0000-00009B4C0000}"/>
    <cellStyle name="40% - Accent6 21 3" xfId="4947" xr:uid="{00000000-0005-0000-0000-00009C4C0000}"/>
    <cellStyle name="40% - Accent6 21 3 2" xfId="15520" xr:uid="{00000000-0005-0000-0000-00009D4C0000}"/>
    <cellStyle name="40% - Accent6 21 3 2 2" xfId="29069" xr:uid="{00000000-0005-0000-0000-00009E4C0000}"/>
    <cellStyle name="40% - Accent6 21 3 3" xfId="22685" xr:uid="{00000000-0005-0000-0000-00009F4C0000}"/>
    <cellStyle name="40% - Accent6 21 4" xfId="11231" xr:uid="{00000000-0005-0000-0000-0000A04C0000}"/>
    <cellStyle name="40% - Accent6 21 4 2" xfId="25173" xr:uid="{00000000-0005-0000-0000-0000A14C0000}"/>
    <cellStyle name="40% - Accent6 21 5" xfId="22686" xr:uid="{00000000-0005-0000-0000-0000A24C0000}"/>
    <cellStyle name="40% - Accent6 22" xfId="4948" xr:uid="{00000000-0005-0000-0000-0000A34C0000}"/>
    <cellStyle name="40% - Accent6 22 2" xfId="11750" xr:uid="{00000000-0005-0000-0000-0000A44C0000}"/>
    <cellStyle name="40% - Accent6 22 2 2" xfId="25465" xr:uid="{00000000-0005-0000-0000-0000A54C0000}"/>
    <cellStyle name="40% - Accent6 22 3" xfId="24141" xr:uid="{00000000-0005-0000-0000-0000A64C0000}"/>
    <cellStyle name="40% - Accent6 23" xfId="4949" xr:uid="{00000000-0005-0000-0000-0000A74C0000}"/>
    <cellStyle name="40% - Accent6 23 2" xfId="13016" xr:uid="{00000000-0005-0000-0000-0000A84C0000}"/>
    <cellStyle name="40% - Accent6 23 2 2" xfId="26728" xr:uid="{00000000-0005-0000-0000-0000A94C0000}"/>
    <cellStyle name="40% - Accent6 23 3" xfId="22684" xr:uid="{00000000-0005-0000-0000-0000AA4C0000}"/>
    <cellStyle name="40% - Accent6 24" xfId="4950" xr:uid="{00000000-0005-0000-0000-0000AB4C0000}"/>
    <cellStyle name="40% - Accent6 24 2" xfId="13389" xr:uid="{00000000-0005-0000-0000-0000AC4C0000}"/>
    <cellStyle name="40% - Accent6 24 2 2" xfId="26938" xr:uid="{00000000-0005-0000-0000-0000AD4C0000}"/>
    <cellStyle name="40% - Accent6 24 3" xfId="23249" xr:uid="{00000000-0005-0000-0000-0000AE4C0000}"/>
    <cellStyle name="40% - Accent6 25" xfId="4951" xr:uid="{00000000-0005-0000-0000-0000AF4C0000}"/>
    <cellStyle name="40% - Accent6 25 2" xfId="13970" xr:uid="{00000000-0005-0000-0000-0000B04C0000}"/>
    <cellStyle name="40% - Accent6 25 2 2" xfId="27519" xr:uid="{00000000-0005-0000-0000-0000B14C0000}"/>
    <cellStyle name="40% - Accent6 25 3" xfId="24139" xr:uid="{00000000-0005-0000-0000-0000B24C0000}"/>
    <cellStyle name="40% - Accent6 26" xfId="4952" xr:uid="{00000000-0005-0000-0000-0000B34C0000}"/>
    <cellStyle name="40% - Accent6 26 2" xfId="15477" xr:uid="{00000000-0005-0000-0000-0000B44C0000}"/>
    <cellStyle name="40% - Accent6 26 2 2" xfId="29026" xr:uid="{00000000-0005-0000-0000-0000B54C0000}"/>
    <cellStyle name="40% - Accent6 26 3" xfId="22683" xr:uid="{00000000-0005-0000-0000-0000B64C0000}"/>
    <cellStyle name="40% - Accent6 27" xfId="4953" xr:uid="{00000000-0005-0000-0000-0000B74C0000}"/>
    <cellStyle name="40% - Accent6 27 2" xfId="15830" xr:uid="{00000000-0005-0000-0000-0000B84C0000}"/>
    <cellStyle name="40% - Accent6 27 2 2" xfId="29237" xr:uid="{00000000-0005-0000-0000-0000B94C0000}"/>
    <cellStyle name="40% - Accent6 27 3" xfId="24138" xr:uid="{00000000-0005-0000-0000-0000BA4C0000}"/>
    <cellStyle name="40% - Accent6 28" xfId="4954" xr:uid="{00000000-0005-0000-0000-0000BB4C0000}"/>
    <cellStyle name="40% - Accent6 28 2" xfId="15856" xr:uid="{00000000-0005-0000-0000-0000BC4C0000}"/>
    <cellStyle name="40% - Accent6 28 2 2" xfId="29263" xr:uid="{00000000-0005-0000-0000-0000BD4C0000}"/>
    <cellStyle name="40% - Accent6 28 3" xfId="22682" xr:uid="{00000000-0005-0000-0000-0000BE4C0000}"/>
    <cellStyle name="40% - Accent6 29" xfId="4955" xr:uid="{00000000-0005-0000-0000-0000BF4C0000}"/>
    <cellStyle name="40% - Accent6 29 2" xfId="9504" xr:uid="{00000000-0005-0000-0000-0000C04C0000}"/>
    <cellStyle name="40% - Accent6 29 2 2" xfId="23979" xr:uid="{00000000-0005-0000-0000-0000C14C0000}"/>
    <cellStyle name="40% - Accent6 29 3" xfId="24137" xr:uid="{00000000-0005-0000-0000-0000C24C0000}"/>
    <cellStyle name="40% - Accent6 3" xfId="4956" xr:uid="{00000000-0005-0000-0000-0000C34C0000}"/>
    <cellStyle name="40% - Accent6 3 10" xfId="4957" xr:uid="{00000000-0005-0000-0000-0000C44C0000}"/>
    <cellStyle name="40% - Accent6 3 10 2" xfId="14050" xr:uid="{00000000-0005-0000-0000-0000C54C0000}"/>
    <cellStyle name="40% - Accent6 3 10 2 2" xfId="27599" xr:uid="{00000000-0005-0000-0000-0000C64C0000}"/>
    <cellStyle name="40% - Accent6 3 10 3" xfId="24136" xr:uid="{00000000-0005-0000-0000-0000C74C0000}"/>
    <cellStyle name="40% - Accent6 3 11" xfId="4958" xr:uid="{00000000-0005-0000-0000-0000C84C0000}"/>
    <cellStyle name="40% - Accent6 3 11 2" xfId="15521" xr:uid="{00000000-0005-0000-0000-0000C94C0000}"/>
    <cellStyle name="40% - Accent6 3 11 2 2" xfId="29070" xr:uid="{00000000-0005-0000-0000-0000CA4C0000}"/>
    <cellStyle name="40% - Accent6 3 11 3" xfId="22680" xr:uid="{00000000-0005-0000-0000-0000CB4C0000}"/>
    <cellStyle name="40% - Accent6 3 12" xfId="4959" xr:uid="{00000000-0005-0000-0000-0000CC4C0000}"/>
    <cellStyle name="40% - Accent6 3 12 2" xfId="15936" xr:uid="{00000000-0005-0000-0000-0000CD4C0000}"/>
    <cellStyle name="40% - Accent6 3 12 2 2" xfId="29343" xr:uid="{00000000-0005-0000-0000-0000CE4C0000}"/>
    <cellStyle name="40% - Accent6 3 12 3" xfId="24134" xr:uid="{00000000-0005-0000-0000-0000CF4C0000}"/>
    <cellStyle name="40% - Accent6 3 13" xfId="9534" xr:uid="{00000000-0005-0000-0000-0000D04C0000}"/>
    <cellStyle name="40% - Accent6 3 13 2" xfId="24009" xr:uid="{00000000-0005-0000-0000-0000D14C0000}"/>
    <cellStyle name="40% - Accent6 3 14" xfId="22681" xr:uid="{00000000-0005-0000-0000-0000D24C0000}"/>
    <cellStyle name="40% - Accent6 3 2" xfId="4960" xr:uid="{00000000-0005-0000-0000-0000D34C0000}"/>
    <cellStyle name="40% - Accent6 3 2 10" xfId="4961" xr:uid="{00000000-0005-0000-0000-0000D44C0000}"/>
    <cellStyle name="40% - Accent6 3 2 10 2" xfId="16079" xr:uid="{00000000-0005-0000-0000-0000D54C0000}"/>
    <cellStyle name="40% - Accent6 3 2 10 2 2" xfId="29486" xr:uid="{00000000-0005-0000-0000-0000D64C0000}"/>
    <cellStyle name="40% - Accent6 3 2 10 3" xfId="22679" xr:uid="{00000000-0005-0000-0000-0000D74C0000}"/>
    <cellStyle name="40% - Accent6 3 2 11" xfId="9535" xr:uid="{00000000-0005-0000-0000-0000D84C0000}"/>
    <cellStyle name="40% - Accent6 3 2 11 2" xfId="24010" xr:uid="{00000000-0005-0000-0000-0000D94C0000}"/>
    <cellStyle name="40% - Accent6 3 2 12" xfId="24135" xr:uid="{00000000-0005-0000-0000-0000DA4C0000}"/>
    <cellStyle name="40% - Accent6 3 2 2" xfId="4962" xr:uid="{00000000-0005-0000-0000-0000DB4C0000}"/>
    <cellStyle name="40% - Accent6 3 2 2 10" xfId="9536" xr:uid="{00000000-0005-0000-0000-0000DC4C0000}"/>
    <cellStyle name="40% - Accent6 3 2 2 10 2" xfId="24011" xr:uid="{00000000-0005-0000-0000-0000DD4C0000}"/>
    <cellStyle name="40% - Accent6 3 2 2 11" xfId="22678" xr:uid="{00000000-0005-0000-0000-0000DE4C0000}"/>
    <cellStyle name="40% - Accent6 3 2 2 2" xfId="4963" xr:uid="{00000000-0005-0000-0000-0000DF4C0000}"/>
    <cellStyle name="40% - Accent6 3 2 2 2 2" xfId="4964" xr:uid="{00000000-0005-0000-0000-0000E04C0000}"/>
    <cellStyle name="40% - Accent6 3 2 2 2 2 2" xfId="11264" xr:uid="{00000000-0005-0000-0000-0000E14C0000}"/>
    <cellStyle name="40% - Accent6 3 2 2 2 2 2 2" xfId="25206" xr:uid="{00000000-0005-0000-0000-0000E24C0000}"/>
    <cellStyle name="40% - Accent6 3 2 2 2 2 3" xfId="26816" xr:uid="{00000000-0005-0000-0000-0000E34C0000}"/>
    <cellStyle name="40% - Accent6 3 2 2 2 3" xfId="4965" xr:uid="{00000000-0005-0000-0000-0000E44C0000}"/>
    <cellStyle name="40% - Accent6 3 2 2 2 3 2" xfId="13055" xr:uid="{00000000-0005-0000-0000-0000E54C0000}"/>
    <cellStyle name="40% - Accent6 3 2 2 2 3 2 2" xfId="26767" xr:uid="{00000000-0005-0000-0000-0000E64C0000}"/>
    <cellStyle name="40% - Accent6 3 2 2 2 3 3" xfId="22677" xr:uid="{00000000-0005-0000-0000-0000E74C0000}"/>
    <cellStyle name="40% - Accent6 3 2 2 2 4" xfId="4966" xr:uid="{00000000-0005-0000-0000-0000E84C0000}"/>
    <cellStyle name="40% - Accent6 3 2 2 2 4 2" xfId="15524" xr:uid="{00000000-0005-0000-0000-0000E94C0000}"/>
    <cellStyle name="40% - Accent6 3 2 2 2 4 2 2" xfId="29073" xr:uid="{00000000-0005-0000-0000-0000EA4C0000}"/>
    <cellStyle name="40% - Accent6 3 2 2 2 4 3" xfId="26817" xr:uid="{00000000-0005-0000-0000-0000EB4C0000}"/>
    <cellStyle name="40% - Accent6 3 2 2 2 5" xfId="4967" xr:uid="{00000000-0005-0000-0000-0000EC4C0000}"/>
    <cellStyle name="40% - Accent6 3 2 2 2 5 2" xfId="16949" xr:uid="{00000000-0005-0000-0000-0000ED4C0000}"/>
    <cellStyle name="40% - Accent6 3 2 2 2 5 2 2" xfId="30356" xr:uid="{00000000-0005-0000-0000-0000EE4C0000}"/>
    <cellStyle name="40% - Accent6 3 2 2 2 5 3" xfId="22676" xr:uid="{00000000-0005-0000-0000-0000EF4C0000}"/>
    <cellStyle name="40% - Accent6 3 2 2 2 6" xfId="9537" xr:uid="{00000000-0005-0000-0000-0000F04C0000}"/>
    <cellStyle name="40% - Accent6 3 2 2 2 6 2" xfId="24012" xr:uid="{00000000-0005-0000-0000-0000F14C0000}"/>
    <cellStyle name="40% - Accent6 3 2 2 2 7" xfId="24133" xr:uid="{00000000-0005-0000-0000-0000F24C0000}"/>
    <cellStyle name="40% - Accent6 3 2 2 3" xfId="4968" xr:uid="{00000000-0005-0000-0000-0000F34C0000}"/>
    <cellStyle name="40% - Accent6 3 2 2 3 2" xfId="4969" xr:uid="{00000000-0005-0000-0000-0000F44C0000}"/>
    <cellStyle name="40% - Accent6 3 2 2 3 2 2" xfId="15525" xr:uid="{00000000-0005-0000-0000-0000F54C0000}"/>
    <cellStyle name="40% - Accent6 3 2 2 3 2 2 2" xfId="29074" xr:uid="{00000000-0005-0000-0000-0000F64C0000}"/>
    <cellStyle name="40% - Accent6 3 2 2 3 2 3" xfId="24131" xr:uid="{00000000-0005-0000-0000-0000F74C0000}"/>
    <cellStyle name="40% - Accent6 3 2 2 3 3" xfId="11263" xr:uid="{00000000-0005-0000-0000-0000F84C0000}"/>
    <cellStyle name="40% - Accent6 3 2 2 3 3 2" xfId="25205" xr:uid="{00000000-0005-0000-0000-0000F94C0000}"/>
    <cellStyle name="40% - Accent6 3 2 2 3 4" xfId="22675" xr:uid="{00000000-0005-0000-0000-0000FA4C0000}"/>
    <cellStyle name="40% - Accent6 3 2 2 4" xfId="4970" xr:uid="{00000000-0005-0000-0000-0000FB4C0000}"/>
    <cellStyle name="40% - Accent6 3 2 2 4 2" xfId="12337" xr:uid="{00000000-0005-0000-0000-0000FC4C0000}"/>
    <cellStyle name="40% - Accent6 3 2 2 4 2 2" xfId="26049" xr:uid="{00000000-0005-0000-0000-0000FD4C0000}"/>
    <cellStyle name="40% - Accent6 3 2 2 4 3" xfId="24132" xr:uid="{00000000-0005-0000-0000-0000FE4C0000}"/>
    <cellStyle name="40% - Accent6 3 2 2 5" xfId="4971" xr:uid="{00000000-0005-0000-0000-0000FF4C0000}"/>
    <cellStyle name="40% - Accent6 3 2 2 5 2" xfId="13054" xr:uid="{00000000-0005-0000-0000-0000004D0000}"/>
    <cellStyle name="40% - Accent6 3 2 2 5 2 2" xfId="26766" xr:uid="{00000000-0005-0000-0000-0000014D0000}"/>
    <cellStyle name="40% - Accent6 3 2 2 5 3" xfId="22674" xr:uid="{00000000-0005-0000-0000-0000024D0000}"/>
    <cellStyle name="40% - Accent6 3 2 2 6" xfId="4972" xr:uid="{00000000-0005-0000-0000-0000034D0000}"/>
    <cellStyle name="40% - Accent6 3 2 2 6 2" xfId="13901" xr:uid="{00000000-0005-0000-0000-0000044D0000}"/>
    <cellStyle name="40% - Accent6 3 2 2 6 2 2" xfId="27450" xr:uid="{00000000-0005-0000-0000-0000054D0000}"/>
    <cellStyle name="40% - Accent6 3 2 2 6 3" xfId="22673" xr:uid="{00000000-0005-0000-0000-0000064D0000}"/>
    <cellStyle name="40% - Accent6 3 2 2 7" xfId="4973" xr:uid="{00000000-0005-0000-0000-0000074D0000}"/>
    <cellStyle name="40% - Accent6 3 2 2 7 2" xfId="14482" xr:uid="{00000000-0005-0000-0000-0000084D0000}"/>
    <cellStyle name="40% - Accent6 3 2 2 7 2 2" xfId="28031" xr:uid="{00000000-0005-0000-0000-0000094D0000}"/>
    <cellStyle name="40% - Accent6 3 2 2 7 3" xfId="24130" xr:uid="{00000000-0005-0000-0000-00000A4D0000}"/>
    <cellStyle name="40% - Accent6 3 2 2 8" xfId="4974" xr:uid="{00000000-0005-0000-0000-00000B4D0000}"/>
    <cellStyle name="40% - Accent6 3 2 2 8 2" xfId="15523" xr:uid="{00000000-0005-0000-0000-00000C4D0000}"/>
    <cellStyle name="40% - Accent6 3 2 2 8 2 2" xfId="29072" xr:uid="{00000000-0005-0000-0000-00000D4D0000}"/>
    <cellStyle name="40% - Accent6 3 2 2 8 3" xfId="22672" xr:uid="{00000000-0005-0000-0000-00000E4D0000}"/>
    <cellStyle name="40% - Accent6 3 2 2 9" xfId="4975" xr:uid="{00000000-0005-0000-0000-00000F4D0000}"/>
    <cellStyle name="40% - Accent6 3 2 2 9 2" xfId="16368" xr:uid="{00000000-0005-0000-0000-0000104D0000}"/>
    <cellStyle name="40% - Accent6 3 2 2 9 2 2" xfId="29775" xr:uid="{00000000-0005-0000-0000-0000114D0000}"/>
    <cellStyle name="40% - Accent6 3 2 2 9 3" xfId="24127" xr:uid="{00000000-0005-0000-0000-0000124D0000}"/>
    <cellStyle name="40% - Accent6 3 2 3" xfId="4976" xr:uid="{00000000-0005-0000-0000-0000134D0000}"/>
    <cellStyle name="40% - Accent6 3 2 3 2" xfId="4977" xr:uid="{00000000-0005-0000-0000-0000144D0000}"/>
    <cellStyle name="40% - Accent6 3 2 3 2 2" xfId="11265" xr:uid="{00000000-0005-0000-0000-0000154D0000}"/>
    <cellStyle name="40% - Accent6 3 2 3 2 2 2" xfId="25207" xr:uid="{00000000-0005-0000-0000-0000164D0000}"/>
    <cellStyle name="40% - Accent6 3 2 3 2 3" xfId="25249" xr:uid="{00000000-0005-0000-0000-0000174D0000}"/>
    <cellStyle name="40% - Accent6 3 2 3 3" xfId="4978" xr:uid="{00000000-0005-0000-0000-0000184D0000}"/>
    <cellStyle name="40% - Accent6 3 2 3 3 2" xfId="13056" xr:uid="{00000000-0005-0000-0000-0000194D0000}"/>
    <cellStyle name="40% - Accent6 3 2 3 3 2 2" xfId="26768" xr:uid="{00000000-0005-0000-0000-00001A4D0000}"/>
    <cellStyle name="40% - Accent6 3 2 3 3 3" xfId="22670" xr:uid="{00000000-0005-0000-0000-00001B4D0000}"/>
    <cellStyle name="40% - Accent6 3 2 3 4" xfId="4979" xr:uid="{00000000-0005-0000-0000-00001C4D0000}"/>
    <cellStyle name="40% - Accent6 3 2 3 4 2" xfId="15526" xr:uid="{00000000-0005-0000-0000-00001D4D0000}"/>
    <cellStyle name="40% - Accent6 3 2 3 4 2 2" xfId="29075" xr:uid="{00000000-0005-0000-0000-00001E4D0000}"/>
    <cellStyle name="40% - Accent6 3 2 3 4 3" xfId="24439" xr:uid="{00000000-0005-0000-0000-00001F4D0000}"/>
    <cellStyle name="40% - Accent6 3 2 3 5" xfId="4980" xr:uid="{00000000-0005-0000-0000-0000204D0000}"/>
    <cellStyle name="40% - Accent6 3 2 3 5 2" xfId="16660" xr:uid="{00000000-0005-0000-0000-0000214D0000}"/>
    <cellStyle name="40% - Accent6 3 2 3 5 2 2" xfId="30067" xr:uid="{00000000-0005-0000-0000-0000224D0000}"/>
    <cellStyle name="40% - Accent6 3 2 3 5 3" xfId="29135" xr:uid="{00000000-0005-0000-0000-0000234D0000}"/>
    <cellStyle name="40% - Accent6 3 2 3 6" xfId="9538" xr:uid="{00000000-0005-0000-0000-0000244D0000}"/>
    <cellStyle name="40% - Accent6 3 2 3 6 2" xfId="24013" xr:uid="{00000000-0005-0000-0000-0000254D0000}"/>
    <cellStyle name="40% - Accent6 3 2 3 7" xfId="22671" xr:uid="{00000000-0005-0000-0000-0000264D0000}"/>
    <cellStyle name="40% - Accent6 3 2 4" xfId="4981" xr:uid="{00000000-0005-0000-0000-0000274D0000}"/>
    <cellStyle name="40% - Accent6 3 2 4 2" xfId="4982" xr:uid="{00000000-0005-0000-0000-0000284D0000}"/>
    <cellStyle name="40% - Accent6 3 2 4 2 2" xfId="15527" xr:uid="{00000000-0005-0000-0000-0000294D0000}"/>
    <cellStyle name="40% - Accent6 3 2 4 2 2 2" xfId="29076" xr:uid="{00000000-0005-0000-0000-00002A4D0000}"/>
    <cellStyle name="40% - Accent6 3 2 4 2 3" xfId="22668" xr:uid="{00000000-0005-0000-0000-00002B4D0000}"/>
    <cellStyle name="40% - Accent6 3 2 4 3" xfId="11262" xr:uid="{00000000-0005-0000-0000-00002C4D0000}"/>
    <cellStyle name="40% - Accent6 3 2 4 3 2" xfId="25204" xr:uid="{00000000-0005-0000-0000-00002D4D0000}"/>
    <cellStyle name="40% - Accent6 3 2 4 4" xfId="22669" xr:uid="{00000000-0005-0000-0000-00002E4D0000}"/>
    <cellStyle name="40% - Accent6 3 2 5" xfId="4983" xr:uid="{00000000-0005-0000-0000-00002F4D0000}"/>
    <cellStyle name="40% - Accent6 3 2 5 2" xfId="12037" xr:uid="{00000000-0005-0000-0000-0000304D0000}"/>
    <cellStyle name="40% - Accent6 3 2 5 2 2" xfId="25752" xr:uid="{00000000-0005-0000-0000-0000314D0000}"/>
    <cellStyle name="40% - Accent6 3 2 5 3" xfId="24129" xr:uid="{00000000-0005-0000-0000-0000324D0000}"/>
    <cellStyle name="40% - Accent6 3 2 6" xfId="4984" xr:uid="{00000000-0005-0000-0000-0000334D0000}"/>
    <cellStyle name="40% - Accent6 3 2 6 2" xfId="13053" xr:uid="{00000000-0005-0000-0000-0000344D0000}"/>
    <cellStyle name="40% - Accent6 3 2 6 2 2" xfId="26765" xr:uid="{00000000-0005-0000-0000-0000354D0000}"/>
    <cellStyle name="40% - Accent6 3 2 6 3" xfId="22667" xr:uid="{00000000-0005-0000-0000-0000364D0000}"/>
    <cellStyle name="40% - Accent6 3 2 7" xfId="4985" xr:uid="{00000000-0005-0000-0000-0000374D0000}"/>
    <cellStyle name="40% - Accent6 3 2 7 2" xfId="13612" xr:uid="{00000000-0005-0000-0000-0000384D0000}"/>
    <cellStyle name="40% - Accent6 3 2 7 2 2" xfId="27161" xr:uid="{00000000-0005-0000-0000-0000394D0000}"/>
    <cellStyle name="40% - Accent6 3 2 7 3" xfId="24128" xr:uid="{00000000-0005-0000-0000-00003A4D0000}"/>
    <cellStyle name="40% - Accent6 3 2 8" xfId="4986" xr:uid="{00000000-0005-0000-0000-00003B4D0000}"/>
    <cellStyle name="40% - Accent6 3 2 8 2" xfId="14193" xr:uid="{00000000-0005-0000-0000-00003C4D0000}"/>
    <cellStyle name="40% - Accent6 3 2 8 2 2" xfId="27742" xr:uid="{00000000-0005-0000-0000-00003D4D0000}"/>
    <cellStyle name="40% - Accent6 3 2 8 3" xfId="22666" xr:uid="{00000000-0005-0000-0000-00003E4D0000}"/>
    <cellStyle name="40% - Accent6 3 2 9" xfId="4987" xr:uid="{00000000-0005-0000-0000-00003F4D0000}"/>
    <cellStyle name="40% - Accent6 3 2 9 2" xfId="15522" xr:uid="{00000000-0005-0000-0000-0000404D0000}"/>
    <cellStyle name="40% - Accent6 3 2 9 2 2" xfId="29071" xr:uid="{00000000-0005-0000-0000-0000414D0000}"/>
    <cellStyle name="40% - Accent6 3 2 9 3" xfId="23245" xr:uid="{00000000-0005-0000-0000-0000424D0000}"/>
    <cellStyle name="40% - Accent6 3 3" xfId="4988" xr:uid="{00000000-0005-0000-0000-0000434D0000}"/>
    <cellStyle name="40% - Accent6 3 3 10" xfId="9539" xr:uid="{00000000-0005-0000-0000-0000444D0000}"/>
    <cellStyle name="40% - Accent6 3 3 10 2" xfId="24014" xr:uid="{00000000-0005-0000-0000-0000454D0000}"/>
    <cellStyle name="40% - Accent6 3 3 11" xfId="24126" xr:uid="{00000000-0005-0000-0000-0000464D0000}"/>
    <cellStyle name="40% - Accent6 3 3 2" xfId="4989" xr:uid="{00000000-0005-0000-0000-0000474D0000}"/>
    <cellStyle name="40% - Accent6 3 3 2 2" xfId="4990" xr:uid="{00000000-0005-0000-0000-0000484D0000}"/>
    <cellStyle name="40% - Accent6 3 3 2 2 2" xfId="11267" xr:uid="{00000000-0005-0000-0000-0000494D0000}"/>
    <cellStyle name="40% - Accent6 3 3 2 2 2 2" xfId="25209" xr:uid="{00000000-0005-0000-0000-00004A4D0000}"/>
    <cellStyle name="40% - Accent6 3 3 2 2 3" xfId="24125" xr:uid="{00000000-0005-0000-0000-00004B4D0000}"/>
    <cellStyle name="40% - Accent6 3 3 2 3" xfId="4991" xr:uid="{00000000-0005-0000-0000-00004C4D0000}"/>
    <cellStyle name="40% - Accent6 3 3 2 3 2" xfId="13058" xr:uid="{00000000-0005-0000-0000-00004D4D0000}"/>
    <cellStyle name="40% - Accent6 3 3 2 3 2 2" xfId="26770" xr:uid="{00000000-0005-0000-0000-00004E4D0000}"/>
    <cellStyle name="40% - Accent6 3 3 2 3 3" xfId="22664" xr:uid="{00000000-0005-0000-0000-00004F4D0000}"/>
    <cellStyle name="40% - Accent6 3 3 2 4" xfId="4992" xr:uid="{00000000-0005-0000-0000-0000504D0000}"/>
    <cellStyle name="40% - Accent6 3 3 2 4 2" xfId="15529" xr:uid="{00000000-0005-0000-0000-0000514D0000}"/>
    <cellStyle name="40% - Accent6 3 3 2 4 2 2" xfId="29078" xr:uid="{00000000-0005-0000-0000-0000524D0000}"/>
    <cellStyle name="40% - Accent6 3 3 2 4 3" xfId="24124" xr:uid="{00000000-0005-0000-0000-0000534D0000}"/>
    <cellStyle name="40% - Accent6 3 3 2 5" xfId="4993" xr:uid="{00000000-0005-0000-0000-0000544D0000}"/>
    <cellStyle name="40% - Accent6 3 3 2 5 2" xfId="16806" xr:uid="{00000000-0005-0000-0000-0000554D0000}"/>
    <cellStyle name="40% - Accent6 3 3 2 5 2 2" xfId="30213" xr:uid="{00000000-0005-0000-0000-0000564D0000}"/>
    <cellStyle name="40% - Accent6 3 3 2 5 3" xfId="22663" xr:uid="{00000000-0005-0000-0000-0000574D0000}"/>
    <cellStyle name="40% - Accent6 3 3 2 6" xfId="9540" xr:uid="{00000000-0005-0000-0000-0000584D0000}"/>
    <cellStyle name="40% - Accent6 3 3 2 6 2" xfId="24015" xr:uid="{00000000-0005-0000-0000-0000594D0000}"/>
    <cellStyle name="40% - Accent6 3 3 2 7" xfId="22665" xr:uid="{00000000-0005-0000-0000-00005A4D0000}"/>
    <cellStyle name="40% - Accent6 3 3 3" xfId="4994" xr:uid="{00000000-0005-0000-0000-00005B4D0000}"/>
    <cellStyle name="40% - Accent6 3 3 3 2" xfId="4995" xr:uid="{00000000-0005-0000-0000-00005C4D0000}"/>
    <cellStyle name="40% - Accent6 3 3 3 2 2" xfId="15530" xr:uid="{00000000-0005-0000-0000-00005D4D0000}"/>
    <cellStyle name="40% - Accent6 3 3 3 2 2 2" xfId="29079" xr:uid="{00000000-0005-0000-0000-00005E4D0000}"/>
    <cellStyle name="40% - Accent6 3 3 3 2 3" xfId="22662" xr:uid="{00000000-0005-0000-0000-00005F4D0000}"/>
    <cellStyle name="40% - Accent6 3 3 3 3" xfId="11266" xr:uid="{00000000-0005-0000-0000-0000604D0000}"/>
    <cellStyle name="40% - Accent6 3 3 3 3 2" xfId="25208" xr:uid="{00000000-0005-0000-0000-0000614D0000}"/>
    <cellStyle name="40% - Accent6 3 3 3 4" xfId="24123" xr:uid="{00000000-0005-0000-0000-0000624D0000}"/>
    <cellStyle name="40% - Accent6 3 3 4" xfId="4996" xr:uid="{00000000-0005-0000-0000-0000634D0000}"/>
    <cellStyle name="40% - Accent6 3 3 4 2" xfId="12194" xr:uid="{00000000-0005-0000-0000-0000644D0000}"/>
    <cellStyle name="40% - Accent6 3 3 4 2 2" xfId="25906" xr:uid="{00000000-0005-0000-0000-0000654D0000}"/>
    <cellStyle name="40% - Accent6 3 3 4 3" xfId="24121" xr:uid="{00000000-0005-0000-0000-0000664D0000}"/>
    <cellStyle name="40% - Accent6 3 3 5" xfId="4997" xr:uid="{00000000-0005-0000-0000-0000674D0000}"/>
    <cellStyle name="40% - Accent6 3 3 5 2" xfId="13057" xr:uid="{00000000-0005-0000-0000-0000684D0000}"/>
    <cellStyle name="40% - Accent6 3 3 5 2 2" xfId="26769" xr:uid="{00000000-0005-0000-0000-0000694D0000}"/>
    <cellStyle name="40% - Accent6 3 3 5 3" xfId="24122" xr:uid="{00000000-0005-0000-0000-00006A4D0000}"/>
    <cellStyle name="40% - Accent6 3 3 6" xfId="4998" xr:uid="{00000000-0005-0000-0000-00006B4D0000}"/>
    <cellStyle name="40% - Accent6 3 3 6 2" xfId="13758" xr:uid="{00000000-0005-0000-0000-00006C4D0000}"/>
    <cellStyle name="40% - Accent6 3 3 6 2 2" xfId="27307" xr:uid="{00000000-0005-0000-0000-00006D4D0000}"/>
    <cellStyle name="40% - Accent6 3 3 6 3" xfId="22661" xr:uid="{00000000-0005-0000-0000-00006E4D0000}"/>
    <cellStyle name="40% - Accent6 3 3 7" xfId="4999" xr:uid="{00000000-0005-0000-0000-00006F4D0000}"/>
    <cellStyle name="40% - Accent6 3 3 7 2" xfId="14339" xr:uid="{00000000-0005-0000-0000-0000704D0000}"/>
    <cellStyle name="40% - Accent6 3 3 7 2 2" xfId="27888" xr:uid="{00000000-0005-0000-0000-0000714D0000}"/>
    <cellStyle name="40% - Accent6 3 3 7 3" xfId="22660" xr:uid="{00000000-0005-0000-0000-0000724D0000}"/>
    <cellStyle name="40% - Accent6 3 3 8" xfId="5000" xr:uid="{00000000-0005-0000-0000-0000734D0000}"/>
    <cellStyle name="40% - Accent6 3 3 8 2" xfId="15528" xr:uid="{00000000-0005-0000-0000-0000744D0000}"/>
    <cellStyle name="40% - Accent6 3 3 8 2 2" xfId="29077" xr:uid="{00000000-0005-0000-0000-0000754D0000}"/>
    <cellStyle name="40% - Accent6 3 3 8 3" xfId="24120" xr:uid="{00000000-0005-0000-0000-0000764D0000}"/>
    <cellStyle name="40% - Accent6 3 3 9" xfId="5001" xr:uid="{00000000-0005-0000-0000-0000774D0000}"/>
    <cellStyle name="40% - Accent6 3 3 9 2" xfId="16225" xr:uid="{00000000-0005-0000-0000-0000784D0000}"/>
    <cellStyle name="40% - Accent6 3 3 9 2 2" xfId="29632" xr:uid="{00000000-0005-0000-0000-0000794D0000}"/>
    <cellStyle name="40% - Accent6 3 3 9 3" xfId="26814" xr:uid="{00000000-0005-0000-0000-00007A4D0000}"/>
    <cellStyle name="40% - Accent6 3 4" xfId="5002" xr:uid="{00000000-0005-0000-0000-00007B4D0000}"/>
    <cellStyle name="40% - Accent6 3 4 2" xfId="5003" xr:uid="{00000000-0005-0000-0000-00007C4D0000}"/>
    <cellStyle name="40% - Accent6 3 4 2 2" xfId="11268" xr:uid="{00000000-0005-0000-0000-00007D4D0000}"/>
    <cellStyle name="40% - Accent6 3 4 2 2 2" xfId="25210" xr:uid="{00000000-0005-0000-0000-00007E4D0000}"/>
    <cellStyle name="40% - Accent6 3 4 2 3" xfId="26815" xr:uid="{00000000-0005-0000-0000-00007F4D0000}"/>
    <cellStyle name="40% - Accent6 3 4 3" xfId="5004" xr:uid="{00000000-0005-0000-0000-0000804D0000}"/>
    <cellStyle name="40% - Accent6 3 4 3 2" xfId="13059" xr:uid="{00000000-0005-0000-0000-0000814D0000}"/>
    <cellStyle name="40% - Accent6 3 4 3 2 2" xfId="26771" xr:uid="{00000000-0005-0000-0000-0000824D0000}"/>
    <cellStyle name="40% - Accent6 3 4 3 3" xfId="22658" xr:uid="{00000000-0005-0000-0000-0000834D0000}"/>
    <cellStyle name="40% - Accent6 3 4 4" xfId="5005" xr:uid="{00000000-0005-0000-0000-0000844D0000}"/>
    <cellStyle name="40% - Accent6 3 4 4 2" xfId="15531" xr:uid="{00000000-0005-0000-0000-0000854D0000}"/>
    <cellStyle name="40% - Accent6 3 4 4 2 2" xfId="29080" xr:uid="{00000000-0005-0000-0000-0000864D0000}"/>
    <cellStyle name="40% - Accent6 3 4 4 3" xfId="22657" xr:uid="{00000000-0005-0000-0000-0000874D0000}"/>
    <cellStyle name="40% - Accent6 3 4 5" xfId="5006" xr:uid="{00000000-0005-0000-0000-0000884D0000}"/>
    <cellStyle name="40% - Accent6 3 4 5 2" xfId="17153" xr:uid="{00000000-0005-0000-0000-0000894D0000}"/>
    <cellStyle name="40% - Accent6 3 4 5 2 2" xfId="30512" xr:uid="{00000000-0005-0000-0000-00008A4D0000}"/>
    <cellStyle name="40% - Accent6 3 4 5 3" xfId="24118" xr:uid="{00000000-0005-0000-0000-00008B4D0000}"/>
    <cellStyle name="40% - Accent6 3 4 6" xfId="9541" xr:uid="{00000000-0005-0000-0000-00008C4D0000}"/>
    <cellStyle name="40% - Accent6 3 4 6 2" xfId="24016" xr:uid="{00000000-0005-0000-0000-00008D4D0000}"/>
    <cellStyle name="40% - Accent6 3 4 7" xfId="22659" xr:uid="{00000000-0005-0000-0000-00008E4D0000}"/>
    <cellStyle name="40% - Accent6 3 5" xfId="5007" xr:uid="{00000000-0005-0000-0000-00008F4D0000}"/>
    <cellStyle name="40% - Accent6 3 5 2" xfId="5008" xr:uid="{00000000-0005-0000-0000-0000904D0000}"/>
    <cellStyle name="40% - Accent6 3 5 2 2" xfId="11269" xr:uid="{00000000-0005-0000-0000-0000914D0000}"/>
    <cellStyle name="40% - Accent6 3 5 2 2 2" xfId="25211" xr:uid="{00000000-0005-0000-0000-0000924D0000}"/>
    <cellStyle name="40% - Accent6 3 5 2 3" xfId="22656" xr:uid="{00000000-0005-0000-0000-0000934D0000}"/>
    <cellStyle name="40% - Accent6 3 5 3" xfId="5009" xr:uid="{00000000-0005-0000-0000-0000944D0000}"/>
    <cellStyle name="40% - Accent6 3 5 3 2" xfId="13060" xr:uid="{00000000-0005-0000-0000-0000954D0000}"/>
    <cellStyle name="40% - Accent6 3 5 3 2 2" xfId="26772" xr:uid="{00000000-0005-0000-0000-0000964D0000}"/>
    <cellStyle name="40% - Accent6 3 5 3 3" xfId="22655" xr:uid="{00000000-0005-0000-0000-0000974D0000}"/>
    <cellStyle name="40% - Accent6 3 5 4" xfId="5010" xr:uid="{00000000-0005-0000-0000-0000984D0000}"/>
    <cellStyle name="40% - Accent6 3 5 4 2" xfId="15532" xr:uid="{00000000-0005-0000-0000-0000994D0000}"/>
    <cellStyle name="40% - Accent6 3 5 4 2 2" xfId="29081" xr:uid="{00000000-0005-0000-0000-00009A4D0000}"/>
    <cellStyle name="40% - Accent6 3 5 4 3" xfId="24117" xr:uid="{00000000-0005-0000-0000-00009B4D0000}"/>
    <cellStyle name="40% - Accent6 3 5 5" xfId="5011" xr:uid="{00000000-0005-0000-0000-00009C4D0000}"/>
    <cellStyle name="40% - Accent6 3 5 5 2" xfId="17242" xr:uid="{00000000-0005-0000-0000-00009D4D0000}"/>
    <cellStyle name="40% - Accent6 3 5 5 2 2" xfId="30601" xr:uid="{00000000-0005-0000-0000-00009E4D0000}"/>
    <cellStyle name="40% - Accent6 3 5 5 3" xfId="22654" xr:uid="{00000000-0005-0000-0000-00009F4D0000}"/>
    <cellStyle name="40% - Accent6 3 5 6" xfId="9542" xr:uid="{00000000-0005-0000-0000-0000A04D0000}"/>
    <cellStyle name="40% - Accent6 3 5 6 2" xfId="24017" xr:uid="{00000000-0005-0000-0000-0000A14D0000}"/>
    <cellStyle name="40% - Accent6 3 5 7" xfId="24119" xr:uid="{00000000-0005-0000-0000-0000A24D0000}"/>
    <cellStyle name="40% - Accent6 3 6" xfId="5012" xr:uid="{00000000-0005-0000-0000-0000A34D0000}"/>
    <cellStyle name="40% - Accent6 3 6 2" xfId="5013" xr:uid="{00000000-0005-0000-0000-0000A44D0000}"/>
    <cellStyle name="40% - Accent6 3 6 2 2" xfId="15533" xr:uid="{00000000-0005-0000-0000-0000A54D0000}"/>
    <cellStyle name="40% - Accent6 3 6 2 2 2" xfId="29082" xr:uid="{00000000-0005-0000-0000-0000A64D0000}"/>
    <cellStyle name="40% - Accent6 3 6 2 3" xfId="22653" xr:uid="{00000000-0005-0000-0000-0000A74D0000}"/>
    <cellStyle name="40% - Accent6 3 6 3" xfId="5014" xr:uid="{00000000-0005-0000-0000-0000A84D0000}"/>
    <cellStyle name="40% - Accent6 3 6 3 2" xfId="16517" xr:uid="{00000000-0005-0000-0000-0000A94D0000}"/>
    <cellStyle name="40% - Accent6 3 6 3 2 2" xfId="29924" xr:uid="{00000000-0005-0000-0000-0000AA4D0000}"/>
    <cellStyle name="40% - Accent6 3 6 3 3" xfId="25248" xr:uid="{00000000-0005-0000-0000-0000AB4D0000}"/>
    <cellStyle name="40% - Accent6 3 6 4" xfId="11261" xr:uid="{00000000-0005-0000-0000-0000AC4D0000}"/>
    <cellStyle name="40% - Accent6 3 6 4 2" xfId="25203" xr:uid="{00000000-0005-0000-0000-0000AD4D0000}"/>
    <cellStyle name="40% - Accent6 3 6 5" xfId="24114" xr:uid="{00000000-0005-0000-0000-0000AE4D0000}"/>
    <cellStyle name="40% - Accent6 3 7" xfId="5015" xr:uid="{00000000-0005-0000-0000-0000AF4D0000}"/>
    <cellStyle name="40% - Accent6 3 7 2" xfId="11889" xr:uid="{00000000-0005-0000-0000-0000B04D0000}"/>
    <cellStyle name="40% - Accent6 3 7 2 2" xfId="25604" xr:uid="{00000000-0005-0000-0000-0000B14D0000}"/>
    <cellStyle name="40% - Accent6 3 7 3" xfId="22652" xr:uid="{00000000-0005-0000-0000-0000B24D0000}"/>
    <cellStyle name="40% - Accent6 3 8" xfId="5016" xr:uid="{00000000-0005-0000-0000-0000B34D0000}"/>
    <cellStyle name="40% - Accent6 3 8 2" xfId="13052" xr:uid="{00000000-0005-0000-0000-0000B44D0000}"/>
    <cellStyle name="40% - Accent6 3 8 2 2" xfId="26764" xr:uid="{00000000-0005-0000-0000-0000B54D0000}"/>
    <cellStyle name="40% - Accent6 3 8 3" xfId="24438" xr:uid="{00000000-0005-0000-0000-0000B64D0000}"/>
    <cellStyle name="40% - Accent6 3 9" xfId="5017" xr:uid="{00000000-0005-0000-0000-0000B74D0000}"/>
    <cellStyle name="40% - Accent6 3 9 2" xfId="13469" xr:uid="{00000000-0005-0000-0000-0000B84D0000}"/>
    <cellStyle name="40% - Accent6 3 9 2 2" xfId="27018" xr:uid="{00000000-0005-0000-0000-0000B94D0000}"/>
    <cellStyle name="40% - Accent6 3 9 3" xfId="29134" xr:uid="{00000000-0005-0000-0000-0000BA4D0000}"/>
    <cellStyle name="40% - Accent6 30" xfId="23264" xr:uid="{00000000-0005-0000-0000-0000BB4D0000}"/>
    <cellStyle name="40% - Accent6 4" xfId="5018" xr:uid="{00000000-0005-0000-0000-0000BC4D0000}"/>
    <cellStyle name="40% - Accent6 4 10" xfId="5019" xr:uid="{00000000-0005-0000-0000-0000BD4D0000}"/>
    <cellStyle name="40% - Accent6 4 10 2" xfId="15534" xr:uid="{00000000-0005-0000-0000-0000BE4D0000}"/>
    <cellStyle name="40% - Accent6 4 10 2 2" xfId="29083" xr:uid="{00000000-0005-0000-0000-0000BF4D0000}"/>
    <cellStyle name="40% - Accent6 4 10 3" xfId="22650" xr:uid="{00000000-0005-0000-0000-0000C04D0000}"/>
    <cellStyle name="40% - Accent6 4 11" xfId="5020" xr:uid="{00000000-0005-0000-0000-0000C14D0000}"/>
    <cellStyle name="40% - Accent6 4 11 2" xfId="15890" xr:uid="{00000000-0005-0000-0000-0000C24D0000}"/>
    <cellStyle name="40% - Accent6 4 11 2 2" xfId="29297" xr:uid="{00000000-0005-0000-0000-0000C34D0000}"/>
    <cellStyle name="40% - Accent6 4 11 3" xfId="24116" xr:uid="{00000000-0005-0000-0000-0000C44D0000}"/>
    <cellStyle name="40% - Accent6 4 12" xfId="9543" xr:uid="{00000000-0005-0000-0000-0000C54D0000}"/>
    <cellStyle name="40% - Accent6 4 12 2" xfId="24018" xr:uid="{00000000-0005-0000-0000-0000C64D0000}"/>
    <cellStyle name="40% - Accent6 4 13" xfId="22651" xr:uid="{00000000-0005-0000-0000-0000C74D0000}"/>
    <cellStyle name="40% - Accent6 4 2" xfId="5021" xr:uid="{00000000-0005-0000-0000-0000C84D0000}"/>
    <cellStyle name="40% - Accent6 4 2 10" xfId="5022" xr:uid="{00000000-0005-0000-0000-0000C94D0000}"/>
    <cellStyle name="40% - Accent6 4 2 10 2" xfId="16033" xr:uid="{00000000-0005-0000-0000-0000CA4D0000}"/>
    <cellStyle name="40% - Accent6 4 2 10 2 2" xfId="29440" xr:uid="{00000000-0005-0000-0000-0000CB4D0000}"/>
    <cellStyle name="40% - Accent6 4 2 10 3" xfId="24115" xr:uid="{00000000-0005-0000-0000-0000CC4D0000}"/>
    <cellStyle name="40% - Accent6 4 2 11" xfId="9544" xr:uid="{00000000-0005-0000-0000-0000CD4D0000}"/>
    <cellStyle name="40% - Accent6 4 2 11 2" xfId="24019" xr:uid="{00000000-0005-0000-0000-0000CE4D0000}"/>
    <cellStyle name="40% - Accent6 4 2 12" xfId="22649" xr:uid="{00000000-0005-0000-0000-0000CF4D0000}"/>
    <cellStyle name="40% - Accent6 4 2 2" xfId="5023" xr:uid="{00000000-0005-0000-0000-0000D04D0000}"/>
    <cellStyle name="40% - Accent6 4 2 2 10" xfId="9545" xr:uid="{00000000-0005-0000-0000-0000D14D0000}"/>
    <cellStyle name="40% - Accent6 4 2 2 10 2" xfId="24020" xr:uid="{00000000-0005-0000-0000-0000D24D0000}"/>
    <cellStyle name="40% - Accent6 4 2 2 11" xfId="22648" xr:uid="{00000000-0005-0000-0000-0000D34D0000}"/>
    <cellStyle name="40% - Accent6 4 2 2 2" xfId="5024" xr:uid="{00000000-0005-0000-0000-0000D44D0000}"/>
    <cellStyle name="40% - Accent6 4 2 2 2 2" xfId="5025" xr:uid="{00000000-0005-0000-0000-0000D54D0000}"/>
    <cellStyle name="40% - Accent6 4 2 2 2 2 2" xfId="11273" xr:uid="{00000000-0005-0000-0000-0000D64D0000}"/>
    <cellStyle name="40% - Accent6 4 2 2 2 2 2 2" xfId="25215" xr:uid="{00000000-0005-0000-0000-0000D74D0000}"/>
    <cellStyle name="40% - Accent6 4 2 2 2 2 3" xfId="24113" xr:uid="{00000000-0005-0000-0000-0000D84D0000}"/>
    <cellStyle name="40% - Accent6 4 2 2 2 3" xfId="5026" xr:uid="{00000000-0005-0000-0000-0000D94D0000}"/>
    <cellStyle name="40% - Accent6 4 2 2 2 3 2" xfId="13064" xr:uid="{00000000-0005-0000-0000-0000DA4D0000}"/>
    <cellStyle name="40% - Accent6 4 2 2 2 3 2 2" xfId="26776" xr:uid="{00000000-0005-0000-0000-0000DB4D0000}"/>
    <cellStyle name="40% - Accent6 4 2 2 2 3 3" xfId="22647" xr:uid="{00000000-0005-0000-0000-0000DC4D0000}"/>
    <cellStyle name="40% - Accent6 4 2 2 2 4" xfId="5027" xr:uid="{00000000-0005-0000-0000-0000DD4D0000}"/>
    <cellStyle name="40% - Accent6 4 2 2 2 4 2" xfId="15537" xr:uid="{00000000-0005-0000-0000-0000DE4D0000}"/>
    <cellStyle name="40% - Accent6 4 2 2 2 4 2 2" xfId="29086" xr:uid="{00000000-0005-0000-0000-0000DF4D0000}"/>
    <cellStyle name="40% - Accent6 4 2 2 2 4 3" xfId="24112" xr:uid="{00000000-0005-0000-0000-0000E04D0000}"/>
    <cellStyle name="40% - Accent6 4 2 2 2 5" xfId="5028" xr:uid="{00000000-0005-0000-0000-0000E14D0000}"/>
    <cellStyle name="40% - Accent6 4 2 2 2 5 2" xfId="16903" xr:uid="{00000000-0005-0000-0000-0000E24D0000}"/>
    <cellStyle name="40% - Accent6 4 2 2 2 5 2 2" xfId="30310" xr:uid="{00000000-0005-0000-0000-0000E34D0000}"/>
    <cellStyle name="40% - Accent6 4 2 2 2 5 3" xfId="22646" xr:uid="{00000000-0005-0000-0000-0000E44D0000}"/>
    <cellStyle name="40% - Accent6 4 2 2 2 6" xfId="9546" xr:uid="{00000000-0005-0000-0000-0000E54D0000}"/>
    <cellStyle name="40% - Accent6 4 2 2 2 6 2" xfId="24021" xr:uid="{00000000-0005-0000-0000-0000E64D0000}"/>
    <cellStyle name="40% - Accent6 4 2 2 2 7" xfId="23265" xr:uid="{00000000-0005-0000-0000-0000E74D0000}"/>
    <cellStyle name="40% - Accent6 4 2 2 3" xfId="5029" xr:uid="{00000000-0005-0000-0000-0000E84D0000}"/>
    <cellStyle name="40% - Accent6 4 2 2 3 2" xfId="5030" xr:uid="{00000000-0005-0000-0000-0000E94D0000}"/>
    <cellStyle name="40% - Accent6 4 2 2 3 2 2" xfId="15538" xr:uid="{00000000-0005-0000-0000-0000EA4D0000}"/>
    <cellStyle name="40% - Accent6 4 2 2 3 2 2 2" xfId="29087" xr:uid="{00000000-0005-0000-0000-0000EB4D0000}"/>
    <cellStyle name="40% - Accent6 4 2 2 3 2 3" xfId="22645" xr:uid="{00000000-0005-0000-0000-0000EC4D0000}"/>
    <cellStyle name="40% - Accent6 4 2 2 3 3" xfId="11272" xr:uid="{00000000-0005-0000-0000-0000ED4D0000}"/>
    <cellStyle name="40% - Accent6 4 2 2 3 3 2" xfId="25214" xr:uid="{00000000-0005-0000-0000-0000EE4D0000}"/>
    <cellStyle name="40% - Accent6 4 2 2 3 4" xfId="24111" xr:uid="{00000000-0005-0000-0000-0000EF4D0000}"/>
    <cellStyle name="40% - Accent6 4 2 2 4" xfId="5031" xr:uid="{00000000-0005-0000-0000-0000F04D0000}"/>
    <cellStyle name="40% - Accent6 4 2 2 4 2" xfId="12291" xr:uid="{00000000-0005-0000-0000-0000F14D0000}"/>
    <cellStyle name="40% - Accent6 4 2 2 4 2 2" xfId="26003" xr:uid="{00000000-0005-0000-0000-0000F24D0000}"/>
    <cellStyle name="40% - Accent6 4 2 2 4 3" xfId="24110" xr:uid="{00000000-0005-0000-0000-0000F34D0000}"/>
    <cellStyle name="40% - Accent6 4 2 2 5" xfId="5032" xr:uid="{00000000-0005-0000-0000-0000F44D0000}"/>
    <cellStyle name="40% - Accent6 4 2 2 5 2" xfId="13063" xr:uid="{00000000-0005-0000-0000-0000F54D0000}"/>
    <cellStyle name="40% - Accent6 4 2 2 5 2 2" xfId="26775" xr:uid="{00000000-0005-0000-0000-0000F64D0000}"/>
    <cellStyle name="40% - Accent6 4 2 2 5 3" xfId="22644" xr:uid="{00000000-0005-0000-0000-0000F74D0000}"/>
    <cellStyle name="40% - Accent6 4 2 2 6" xfId="5033" xr:uid="{00000000-0005-0000-0000-0000F84D0000}"/>
    <cellStyle name="40% - Accent6 4 2 2 6 2" xfId="13855" xr:uid="{00000000-0005-0000-0000-0000F94D0000}"/>
    <cellStyle name="40% - Accent6 4 2 2 6 2 2" xfId="27404" xr:uid="{00000000-0005-0000-0000-0000FA4D0000}"/>
    <cellStyle name="40% - Accent6 4 2 2 6 3" xfId="24108" xr:uid="{00000000-0005-0000-0000-0000FB4D0000}"/>
    <cellStyle name="40% - Accent6 4 2 2 7" xfId="5034" xr:uid="{00000000-0005-0000-0000-0000FC4D0000}"/>
    <cellStyle name="40% - Accent6 4 2 2 7 2" xfId="14436" xr:uid="{00000000-0005-0000-0000-0000FD4D0000}"/>
    <cellStyle name="40% - Accent6 4 2 2 7 2 2" xfId="27985" xr:uid="{00000000-0005-0000-0000-0000FE4D0000}"/>
    <cellStyle name="40% - Accent6 4 2 2 7 3" xfId="24109" xr:uid="{00000000-0005-0000-0000-0000FF4D0000}"/>
    <cellStyle name="40% - Accent6 4 2 2 8" xfId="5035" xr:uid="{00000000-0005-0000-0000-0000004E0000}"/>
    <cellStyle name="40% - Accent6 4 2 2 8 2" xfId="15536" xr:uid="{00000000-0005-0000-0000-0000014E0000}"/>
    <cellStyle name="40% - Accent6 4 2 2 8 2 2" xfId="29085" xr:uid="{00000000-0005-0000-0000-0000024E0000}"/>
    <cellStyle name="40% - Accent6 4 2 2 8 3" xfId="22643" xr:uid="{00000000-0005-0000-0000-0000034E0000}"/>
    <cellStyle name="40% - Accent6 4 2 2 9" xfId="5036" xr:uid="{00000000-0005-0000-0000-0000044E0000}"/>
    <cellStyle name="40% - Accent6 4 2 2 9 2" xfId="16322" xr:uid="{00000000-0005-0000-0000-0000054E0000}"/>
    <cellStyle name="40% - Accent6 4 2 2 9 2 2" xfId="29729" xr:uid="{00000000-0005-0000-0000-0000064E0000}"/>
    <cellStyle name="40% - Accent6 4 2 2 9 3" xfId="22642" xr:uid="{00000000-0005-0000-0000-0000074E0000}"/>
    <cellStyle name="40% - Accent6 4 2 3" xfId="5037" xr:uid="{00000000-0005-0000-0000-0000084E0000}"/>
    <cellStyle name="40% - Accent6 4 2 3 2" xfId="5038" xr:uid="{00000000-0005-0000-0000-0000094E0000}"/>
    <cellStyle name="40% - Accent6 4 2 3 2 2" xfId="11274" xr:uid="{00000000-0005-0000-0000-00000A4E0000}"/>
    <cellStyle name="40% - Accent6 4 2 3 2 2 2" xfId="25216" xr:uid="{00000000-0005-0000-0000-00000B4E0000}"/>
    <cellStyle name="40% - Accent6 4 2 3 2 3" xfId="26812" xr:uid="{00000000-0005-0000-0000-00000C4E0000}"/>
    <cellStyle name="40% - Accent6 4 2 3 3" xfId="5039" xr:uid="{00000000-0005-0000-0000-00000D4E0000}"/>
    <cellStyle name="40% - Accent6 4 2 3 3 2" xfId="13065" xr:uid="{00000000-0005-0000-0000-00000E4E0000}"/>
    <cellStyle name="40% - Accent6 4 2 3 3 2 2" xfId="26777" xr:uid="{00000000-0005-0000-0000-00000F4E0000}"/>
    <cellStyle name="40% - Accent6 4 2 3 3 3" xfId="22641" xr:uid="{00000000-0005-0000-0000-0000104E0000}"/>
    <cellStyle name="40% - Accent6 4 2 3 4" xfId="5040" xr:uid="{00000000-0005-0000-0000-0000114E0000}"/>
    <cellStyle name="40% - Accent6 4 2 3 4 2" xfId="15539" xr:uid="{00000000-0005-0000-0000-0000124E0000}"/>
    <cellStyle name="40% - Accent6 4 2 3 4 2 2" xfId="29088" xr:uid="{00000000-0005-0000-0000-0000134E0000}"/>
    <cellStyle name="40% - Accent6 4 2 3 4 3" xfId="26813" xr:uid="{00000000-0005-0000-0000-0000144E0000}"/>
    <cellStyle name="40% - Accent6 4 2 3 5" xfId="5041" xr:uid="{00000000-0005-0000-0000-0000154E0000}"/>
    <cellStyle name="40% - Accent6 4 2 3 5 2" xfId="16614" xr:uid="{00000000-0005-0000-0000-0000164E0000}"/>
    <cellStyle name="40% - Accent6 4 2 3 5 2 2" xfId="30021" xr:uid="{00000000-0005-0000-0000-0000174E0000}"/>
    <cellStyle name="40% - Accent6 4 2 3 5 3" xfId="22640" xr:uid="{00000000-0005-0000-0000-0000184E0000}"/>
    <cellStyle name="40% - Accent6 4 2 3 6" xfId="9547" xr:uid="{00000000-0005-0000-0000-0000194E0000}"/>
    <cellStyle name="40% - Accent6 4 2 3 6 2" xfId="24022" xr:uid="{00000000-0005-0000-0000-00001A4E0000}"/>
    <cellStyle name="40% - Accent6 4 2 3 7" xfId="24107" xr:uid="{00000000-0005-0000-0000-00001B4E0000}"/>
    <cellStyle name="40% - Accent6 4 2 4" xfId="5042" xr:uid="{00000000-0005-0000-0000-00001C4E0000}"/>
    <cellStyle name="40% - Accent6 4 2 4 2" xfId="5043" xr:uid="{00000000-0005-0000-0000-00001D4E0000}"/>
    <cellStyle name="40% - Accent6 4 2 4 2 2" xfId="15540" xr:uid="{00000000-0005-0000-0000-00001E4E0000}"/>
    <cellStyle name="40% - Accent6 4 2 4 2 2 2" xfId="29089" xr:uid="{00000000-0005-0000-0000-00001F4E0000}"/>
    <cellStyle name="40% - Accent6 4 2 4 2 3" xfId="24105" xr:uid="{00000000-0005-0000-0000-0000204E0000}"/>
    <cellStyle name="40% - Accent6 4 2 4 3" xfId="11271" xr:uid="{00000000-0005-0000-0000-0000214E0000}"/>
    <cellStyle name="40% - Accent6 4 2 4 3 2" xfId="25213" xr:uid="{00000000-0005-0000-0000-0000224E0000}"/>
    <cellStyle name="40% - Accent6 4 2 4 4" xfId="22639" xr:uid="{00000000-0005-0000-0000-0000234E0000}"/>
    <cellStyle name="40% - Accent6 4 2 5" xfId="5044" xr:uid="{00000000-0005-0000-0000-0000244E0000}"/>
    <cellStyle name="40% - Accent6 4 2 5 2" xfId="11991" xr:uid="{00000000-0005-0000-0000-0000254E0000}"/>
    <cellStyle name="40% - Accent6 4 2 5 2 2" xfId="25706" xr:uid="{00000000-0005-0000-0000-0000264E0000}"/>
    <cellStyle name="40% - Accent6 4 2 5 3" xfId="24106" xr:uid="{00000000-0005-0000-0000-0000274E0000}"/>
    <cellStyle name="40% - Accent6 4 2 6" xfId="5045" xr:uid="{00000000-0005-0000-0000-0000284E0000}"/>
    <cellStyle name="40% - Accent6 4 2 6 2" xfId="13062" xr:uid="{00000000-0005-0000-0000-0000294E0000}"/>
    <cellStyle name="40% - Accent6 4 2 6 2 2" xfId="26774" xr:uid="{00000000-0005-0000-0000-00002A4E0000}"/>
    <cellStyle name="40% - Accent6 4 2 6 3" xfId="22638" xr:uid="{00000000-0005-0000-0000-00002B4E0000}"/>
    <cellStyle name="40% - Accent6 4 2 7" xfId="5046" xr:uid="{00000000-0005-0000-0000-00002C4E0000}"/>
    <cellStyle name="40% - Accent6 4 2 7 2" xfId="13566" xr:uid="{00000000-0005-0000-0000-00002D4E0000}"/>
    <cellStyle name="40% - Accent6 4 2 7 2 2" xfId="27115" xr:uid="{00000000-0005-0000-0000-00002E4E0000}"/>
    <cellStyle name="40% - Accent6 4 2 7 3" xfId="22637" xr:uid="{00000000-0005-0000-0000-00002F4E0000}"/>
    <cellStyle name="40% - Accent6 4 2 8" xfId="5047" xr:uid="{00000000-0005-0000-0000-0000304E0000}"/>
    <cellStyle name="40% - Accent6 4 2 8 2" xfId="14147" xr:uid="{00000000-0005-0000-0000-0000314E0000}"/>
    <cellStyle name="40% - Accent6 4 2 8 2 2" xfId="27696" xr:uid="{00000000-0005-0000-0000-0000324E0000}"/>
    <cellStyle name="40% - Accent6 4 2 8 3" xfId="24104" xr:uid="{00000000-0005-0000-0000-0000334E0000}"/>
    <cellStyle name="40% - Accent6 4 2 9" xfId="5048" xr:uid="{00000000-0005-0000-0000-0000344E0000}"/>
    <cellStyle name="40% - Accent6 4 2 9 2" xfId="15535" xr:uid="{00000000-0005-0000-0000-0000354E0000}"/>
    <cellStyle name="40% - Accent6 4 2 9 2 2" xfId="29084" xr:uid="{00000000-0005-0000-0000-0000364E0000}"/>
    <cellStyle name="40% - Accent6 4 2 9 3" xfId="22636" xr:uid="{00000000-0005-0000-0000-0000374E0000}"/>
    <cellStyle name="40% - Accent6 4 3" xfId="5049" xr:uid="{00000000-0005-0000-0000-0000384E0000}"/>
    <cellStyle name="40% - Accent6 4 3 10" xfId="9548" xr:uid="{00000000-0005-0000-0000-0000394E0000}"/>
    <cellStyle name="40% - Accent6 4 3 10 2" xfId="24023" xr:uid="{00000000-0005-0000-0000-00003A4E0000}"/>
    <cellStyle name="40% - Accent6 4 3 11" xfId="24101" xr:uid="{00000000-0005-0000-0000-00003B4E0000}"/>
    <cellStyle name="40% - Accent6 4 3 2" xfId="5050" xr:uid="{00000000-0005-0000-0000-00003C4E0000}"/>
    <cellStyle name="40% - Accent6 4 3 2 2" xfId="5051" xr:uid="{00000000-0005-0000-0000-00003D4E0000}"/>
    <cellStyle name="40% - Accent6 4 3 2 2 2" xfId="11276" xr:uid="{00000000-0005-0000-0000-00003E4E0000}"/>
    <cellStyle name="40% - Accent6 4 3 2 2 2 2" xfId="25218" xr:uid="{00000000-0005-0000-0000-00003F4E0000}"/>
    <cellStyle name="40% - Accent6 4 3 2 2 3" xfId="25247" xr:uid="{00000000-0005-0000-0000-0000404E0000}"/>
    <cellStyle name="40% - Accent6 4 3 2 3" xfId="5052" xr:uid="{00000000-0005-0000-0000-0000414E0000}"/>
    <cellStyle name="40% - Accent6 4 3 2 3 2" xfId="13067" xr:uid="{00000000-0005-0000-0000-0000424E0000}"/>
    <cellStyle name="40% - Accent6 4 3 2 3 2 2" xfId="26779" xr:uid="{00000000-0005-0000-0000-0000434E0000}"/>
    <cellStyle name="40% - Accent6 4 3 2 3 3" xfId="22634" xr:uid="{00000000-0005-0000-0000-0000444E0000}"/>
    <cellStyle name="40% - Accent6 4 3 2 4" xfId="5053" xr:uid="{00000000-0005-0000-0000-0000454E0000}"/>
    <cellStyle name="40% - Accent6 4 3 2 4 2" xfId="15542" xr:uid="{00000000-0005-0000-0000-0000464E0000}"/>
    <cellStyle name="40% - Accent6 4 3 2 4 2 2" xfId="29091" xr:uid="{00000000-0005-0000-0000-0000474E0000}"/>
    <cellStyle name="40% - Accent6 4 3 2 4 3" xfId="24437" xr:uid="{00000000-0005-0000-0000-0000484E0000}"/>
    <cellStyle name="40% - Accent6 4 3 2 5" xfId="5054" xr:uid="{00000000-0005-0000-0000-0000494E0000}"/>
    <cellStyle name="40% - Accent6 4 3 2 5 2" xfId="16763" xr:uid="{00000000-0005-0000-0000-00004A4E0000}"/>
    <cellStyle name="40% - Accent6 4 3 2 5 2 2" xfId="30170" xr:uid="{00000000-0005-0000-0000-00004B4E0000}"/>
    <cellStyle name="40% - Accent6 4 3 2 5 3" xfId="29133" xr:uid="{00000000-0005-0000-0000-00004C4E0000}"/>
    <cellStyle name="40% - Accent6 4 3 2 6" xfId="9549" xr:uid="{00000000-0005-0000-0000-00004D4E0000}"/>
    <cellStyle name="40% - Accent6 4 3 2 6 2" xfId="24024" xr:uid="{00000000-0005-0000-0000-00004E4E0000}"/>
    <cellStyle name="40% - Accent6 4 3 2 7" xfId="22635" xr:uid="{00000000-0005-0000-0000-00004F4E0000}"/>
    <cellStyle name="40% - Accent6 4 3 3" xfId="5055" xr:uid="{00000000-0005-0000-0000-0000504E0000}"/>
    <cellStyle name="40% - Accent6 4 3 3 2" xfId="5056" xr:uid="{00000000-0005-0000-0000-0000514E0000}"/>
    <cellStyle name="40% - Accent6 4 3 3 2 2" xfId="15543" xr:uid="{00000000-0005-0000-0000-0000524E0000}"/>
    <cellStyle name="40% - Accent6 4 3 3 2 2 2" xfId="29092" xr:uid="{00000000-0005-0000-0000-0000534E0000}"/>
    <cellStyle name="40% - Accent6 4 3 3 2 3" xfId="22632" xr:uid="{00000000-0005-0000-0000-0000544E0000}"/>
    <cellStyle name="40% - Accent6 4 3 3 3" xfId="11275" xr:uid="{00000000-0005-0000-0000-0000554E0000}"/>
    <cellStyle name="40% - Accent6 4 3 3 3 2" xfId="25217" xr:uid="{00000000-0005-0000-0000-0000564E0000}"/>
    <cellStyle name="40% - Accent6 4 3 3 4" xfId="22633" xr:uid="{00000000-0005-0000-0000-0000574E0000}"/>
    <cellStyle name="40% - Accent6 4 3 4" xfId="5057" xr:uid="{00000000-0005-0000-0000-0000584E0000}"/>
    <cellStyle name="40% - Accent6 4 3 4 2" xfId="12151" xr:uid="{00000000-0005-0000-0000-0000594E0000}"/>
    <cellStyle name="40% - Accent6 4 3 4 2 2" xfId="25863" xr:uid="{00000000-0005-0000-0000-00005A4E0000}"/>
    <cellStyle name="40% - Accent6 4 3 4 3" xfId="24103" xr:uid="{00000000-0005-0000-0000-00005B4E0000}"/>
    <cellStyle name="40% - Accent6 4 3 5" xfId="5058" xr:uid="{00000000-0005-0000-0000-00005C4E0000}"/>
    <cellStyle name="40% - Accent6 4 3 5 2" xfId="13066" xr:uid="{00000000-0005-0000-0000-00005D4E0000}"/>
    <cellStyle name="40% - Accent6 4 3 5 2 2" xfId="26778" xr:uid="{00000000-0005-0000-0000-00005E4E0000}"/>
    <cellStyle name="40% - Accent6 4 3 5 3" xfId="22631" xr:uid="{00000000-0005-0000-0000-00005F4E0000}"/>
    <cellStyle name="40% - Accent6 4 3 6" xfId="5059" xr:uid="{00000000-0005-0000-0000-0000604E0000}"/>
    <cellStyle name="40% - Accent6 4 3 6 2" xfId="13715" xr:uid="{00000000-0005-0000-0000-0000614E0000}"/>
    <cellStyle name="40% - Accent6 4 3 6 2 2" xfId="27264" xr:uid="{00000000-0005-0000-0000-0000624E0000}"/>
    <cellStyle name="40% - Accent6 4 3 6 3" xfId="24102" xr:uid="{00000000-0005-0000-0000-0000634E0000}"/>
    <cellStyle name="40% - Accent6 4 3 7" xfId="5060" xr:uid="{00000000-0005-0000-0000-0000644E0000}"/>
    <cellStyle name="40% - Accent6 4 3 7 2" xfId="14296" xr:uid="{00000000-0005-0000-0000-0000654E0000}"/>
    <cellStyle name="40% - Accent6 4 3 7 2 2" xfId="27845" xr:uid="{00000000-0005-0000-0000-0000664E0000}"/>
    <cellStyle name="40% - Accent6 4 3 7 3" xfId="22630" xr:uid="{00000000-0005-0000-0000-0000674E0000}"/>
    <cellStyle name="40% - Accent6 4 3 8" xfId="5061" xr:uid="{00000000-0005-0000-0000-0000684E0000}"/>
    <cellStyle name="40% - Accent6 4 3 8 2" xfId="15541" xr:uid="{00000000-0005-0000-0000-0000694E0000}"/>
    <cellStyle name="40% - Accent6 4 3 8 2 2" xfId="29090" xr:uid="{00000000-0005-0000-0000-00006A4E0000}"/>
    <cellStyle name="40% - Accent6 4 3 8 3" xfId="23261" xr:uid="{00000000-0005-0000-0000-00006B4E0000}"/>
    <cellStyle name="40% - Accent6 4 3 9" xfId="5062" xr:uid="{00000000-0005-0000-0000-00006C4E0000}"/>
    <cellStyle name="40% - Accent6 4 3 9 2" xfId="16182" xr:uid="{00000000-0005-0000-0000-00006D4E0000}"/>
    <cellStyle name="40% - Accent6 4 3 9 2 2" xfId="29589" xr:uid="{00000000-0005-0000-0000-00006E4E0000}"/>
    <cellStyle name="40% - Accent6 4 3 9 3" xfId="24100" xr:uid="{00000000-0005-0000-0000-00006F4E0000}"/>
    <cellStyle name="40% - Accent6 4 4" xfId="5063" xr:uid="{00000000-0005-0000-0000-0000704E0000}"/>
    <cellStyle name="40% - Accent6 4 4 2" xfId="5064" xr:uid="{00000000-0005-0000-0000-0000714E0000}"/>
    <cellStyle name="40% - Accent6 4 4 2 2" xfId="11277" xr:uid="{00000000-0005-0000-0000-0000724E0000}"/>
    <cellStyle name="40% - Accent6 4 4 2 2 2" xfId="25219" xr:uid="{00000000-0005-0000-0000-0000734E0000}"/>
    <cellStyle name="40% - Accent6 4 4 2 3" xfId="24099" xr:uid="{00000000-0005-0000-0000-0000744E0000}"/>
    <cellStyle name="40% - Accent6 4 4 3" xfId="5065" xr:uid="{00000000-0005-0000-0000-0000754E0000}"/>
    <cellStyle name="40% - Accent6 4 4 3 2" xfId="13068" xr:uid="{00000000-0005-0000-0000-0000764E0000}"/>
    <cellStyle name="40% - Accent6 4 4 3 2 2" xfId="26780" xr:uid="{00000000-0005-0000-0000-0000774E0000}"/>
    <cellStyle name="40% - Accent6 4 4 3 3" xfId="22628" xr:uid="{00000000-0005-0000-0000-0000784E0000}"/>
    <cellStyle name="40% - Accent6 4 4 4" xfId="5066" xr:uid="{00000000-0005-0000-0000-0000794E0000}"/>
    <cellStyle name="40% - Accent6 4 4 4 2" xfId="15544" xr:uid="{00000000-0005-0000-0000-00007A4E0000}"/>
    <cellStyle name="40% - Accent6 4 4 4 2 2" xfId="29093" xr:uid="{00000000-0005-0000-0000-00007B4E0000}"/>
    <cellStyle name="40% - Accent6 4 4 4 3" xfId="24098" xr:uid="{00000000-0005-0000-0000-00007C4E0000}"/>
    <cellStyle name="40% - Accent6 4 4 5" xfId="5067" xr:uid="{00000000-0005-0000-0000-00007D4E0000}"/>
    <cellStyle name="40% - Accent6 4 4 5 2" xfId="16471" xr:uid="{00000000-0005-0000-0000-00007E4E0000}"/>
    <cellStyle name="40% - Accent6 4 4 5 2 2" xfId="29878" xr:uid="{00000000-0005-0000-0000-00007F4E0000}"/>
    <cellStyle name="40% - Accent6 4 4 5 3" xfId="22627" xr:uid="{00000000-0005-0000-0000-0000804E0000}"/>
    <cellStyle name="40% - Accent6 4 4 6" xfId="9550" xr:uid="{00000000-0005-0000-0000-0000814E0000}"/>
    <cellStyle name="40% - Accent6 4 4 6 2" xfId="24025" xr:uid="{00000000-0005-0000-0000-0000824E0000}"/>
    <cellStyle name="40% - Accent6 4 4 7" xfId="22629" xr:uid="{00000000-0005-0000-0000-0000834E0000}"/>
    <cellStyle name="40% - Accent6 4 5" xfId="5068" xr:uid="{00000000-0005-0000-0000-0000844E0000}"/>
    <cellStyle name="40% - Accent6 4 5 2" xfId="5069" xr:uid="{00000000-0005-0000-0000-0000854E0000}"/>
    <cellStyle name="40% - Accent6 4 5 2 2" xfId="15545" xr:uid="{00000000-0005-0000-0000-0000864E0000}"/>
    <cellStyle name="40% - Accent6 4 5 2 2 2" xfId="29094" xr:uid="{00000000-0005-0000-0000-0000874E0000}"/>
    <cellStyle name="40% - Accent6 4 5 2 3" xfId="22626" xr:uid="{00000000-0005-0000-0000-0000884E0000}"/>
    <cellStyle name="40% - Accent6 4 5 3" xfId="11270" xr:uid="{00000000-0005-0000-0000-0000894E0000}"/>
    <cellStyle name="40% - Accent6 4 5 3 2" xfId="25212" xr:uid="{00000000-0005-0000-0000-00008A4E0000}"/>
    <cellStyle name="40% - Accent6 4 5 4" xfId="24097" xr:uid="{00000000-0005-0000-0000-00008B4E0000}"/>
    <cellStyle name="40% - Accent6 4 6" xfId="5070" xr:uid="{00000000-0005-0000-0000-00008C4E0000}"/>
    <cellStyle name="40% - Accent6 4 6 2" xfId="11822" xr:uid="{00000000-0005-0000-0000-00008D4E0000}"/>
    <cellStyle name="40% - Accent6 4 6 2 2" xfId="25537" xr:uid="{00000000-0005-0000-0000-00008E4E0000}"/>
    <cellStyle name="40% - Accent6 4 6 3" xfId="24095" xr:uid="{00000000-0005-0000-0000-00008F4E0000}"/>
    <cellStyle name="40% - Accent6 4 7" xfId="5071" xr:uid="{00000000-0005-0000-0000-0000904E0000}"/>
    <cellStyle name="40% - Accent6 4 7 2" xfId="13061" xr:uid="{00000000-0005-0000-0000-0000914E0000}"/>
    <cellStyle name="40% - Accent6 4 7 2 2" xfId="26773" xr:uid="{00000000-0005-0000-0000-0000924E0000}"/>
    <cellStyle name="40% - Accent6 4 7 3" xfId="24096" xr:uid="{00000000-0005-0000-0000-0000934E0000}"/>
    <cellStyle name="40% - Accent6 4 8" xfId="5072" xr:uid="{00000000-0005-0000-0000-0000944E0000}"/>
    <cellStyle name="40% - Accent6 4 8 2" xfId="13423" xr:uid="{00000000-0005-0000-0000-0000954E0000}"/>
    <cellStyle name="40% - Accent6 4 8 2 2" xfId="26972" xr:uid="{00000000-0005-0000-0000-0000964E0000}"/>
    <cellStyle name="40% - Accent6 4 8 3" xfId="22625" xr:uid="{00000000-0005-0000-0000-0000974E0000}"/>
    <cellStyle name="40% - Accent6 4 9" xfId="5073" xr:uid="{00000000-0005-0000-0000-0000984E0000}"/>
    <cellStyle name="40% - Accent6 4 9 2" xfId="14004" xr:uid="{00000000-0005-0000-0000-0000994E0000}"/>
    <cellStyle name="40% - Accent6 4 9 2 2" xfId="27553" xr:uid="{00000000-0005-0000-0000-00009A4E0000}"/>
    <cellStyle name="40% - Accent6 4 9 3" xfId="22624" xr:uid="{00000000-0005-0000-0000-00009B4E0000}"/>
    <cellStyle name="40% - Accent6 5" xfId="5074" xr:uid="{00000000-0005-0000-0000-00009C4E0000}"/>
    <cellStyle name="40% - Accent6 5 10" xfId="5075" xr:uid="{00000000-0005-0000-0000-00009D4E0000}"/>
    <cellStyle name="40% - Accent6 5 10 2" xfId="15546" xr:uid="{00000000-0005-0000-0000-00009E4E0000}"/>
    <cellStyle name="40% - Accent6 5 10 2 2" xfId="29095" xr:uid="{00000000-0005-0000-0000-00009F4E0000}"/>
    <cellStyle name="40% - Accent6 5 10 3" xfId="26810" xr:uid="{00000000-0005-0000-0000-0000A04E0000}"/>
    <cellStyle name="40% - Accent6 5 11" xfId="5076" xr:uid="{00000000-0005-0000-0000-0000A14E0000}"/>
    <cellStyle name="40% - Accent6 5 11 2" xfId="15873" xr:uid="{00000000-0005-0000-0000-0000A24E0000}"/>
    <cellStyle name="40% - Accent6 5 11 2 2" xfId="29280" xr:uid="{00000000-0005-0000-0000-0000A34E0000}"/>
    <cellStyle name="40% - Accent6 5 11 3" xfId="22623" xr:uid="{00000000-0005-0000-0000-0000A44E0000}"/>
    <cellStyle name="40% - Accent6 5 12" xfId="9551" xr:uid="{00000000-0005-0000-0000-0000A54E0000}"/>
    <cellStyle name="40% - Accent6 5 12 2" xfId="24026" xr:uid="{00000000-0005-0000-0000-0000A64E0000}"/>
    <cellStyle name="40% - Accent6 5 13" xfId="24094" xr:uid="{00000000-0005-0000-0000-0000A74E0000}"/>
    <cellStyle name="40% - Accent6 5 2" xfId="5077" xr:uid="{00000000-0005-0000-0000-0000A84E0000}"/>
    <cellStyle name="40% - Accent6 5 2 10" xfId="5078" xr:uid="{00000000-0005-0000-0000-0000A94E0000}"/>
    <cellStyle name="40% - Accent6 5 2 10 2" xfId="16016" xr:uid="{00000000-0005-0000-0000-0000AA4E0000}"/>
    <cellStyle name="40% - Accent6 5 2 10 2 2" xfId="29423" xr:uid="{00000000-0005-0000-0000-0000AB4E0000}"/>
    <cellStyle name="40% - Accent6 5 2 10 3" xfId="22622" xr:uid="{00000000-0005-0000-0000-0000AC4E0000}"/>
    <cellStyle name="40% - Accent6 5 2 11" xfId="9552" xr:uid="{00000000-0005-0000-0000-0000AD4E0000}"/>
    <cellStyle name="40% - Accent6 5 2 11 2" xfId="24027" xr:uid="{00000000-0005-0000-0000-0000AE4E0000}"/>
    <cellStyle name="40% - Accent6 5 2 12" xfId="26811" xr:uid="{00000000-0005-0000-0000-0000AF4E0000}"/>
    <cellStyle name="40% - Accent6 5 2 2" xfId="5079" xr:uid="{00000000-0005-0000-0000-0000B04E0000}"/>
    <cellStyle name="40% - Accent6 5 2 2 10" xfId="9553" xr:uid="{00000000-0005-0000-0000-0000B14E0000}"/>
    <cellStyle name="40% - Accent6 5 2 2 10 2" xfId="24028" xr:uid="{00000000-0005-0000-0000-0000B24E0000}"/>
    <cellStyle name="40% - Accent6 5 2 2 11" xfId="22621" xr:uid="{00000000-0005-0000-0000-0000B34E0000}"/>
    <cellStyle name="40% - Accent6 5 2 2 2" xfId="5080" xr:uid="{00000000-0005-0000-0000-0000B44E0000}"/>
    <cellStyle name="40% - Accent6 5 2 2 2 2" xfId="5081" xr:uid="{00000000-0005-0000-0000-0000B54E0000}"/>
    <cellStyle name="40% - Accent6 5 2 2 2 2 2" xfId="11281" xr:uid="{00000000-0005-0000-0000-0000B64E0000}"/>
    <cellStyle name="40% - Accent6 5 2 2 2 2 2 2" xfId="25223" xr:uid="{00000000-0005-0000-0000-0000B74E0000}"/>
    <cellStyle name="40% - Accent6 5 2 2 2 2 3" xfId="24093" xr:uid="{00000000-0005-0000-0000-0000B84E0000}"/>
    <cellStyle name="40% - Accent6 5 2 2 2 3" xfId="5082" xr:uid="{00000000-0005-0000-0000-0000B94E0000}"/>
    <cellStyle name="40% - Accent6 5 2 2 2 3 2" xfId="13072" xr:uid="{00000000-0005-0000-0000-0000BA4E0000}"/>
    <cellStyle name="40% - Accent6 5 2 2 2 3 2 2" xfId="26784" xr:uid="{00000000-0005-0000-0000-0000BB4E0000}"/>
    <cellStyle name="40% - Accent6 5 2 2 2 3 3" xfId="22620" xr:uid="{00000000-0005-0000-0000-0000BC4E0000}"/>
    <cellStyle name="40% - Accent6 5 2 2 2 4" xfId="5083" xr:uid="{00000000-0005-0000-0000-0000BD4E0000}"/>
    <cellStyle name="40% - Accent6 5 2 2 2 4 2" xfId="15549" xr:uid="{00000000-0005-0000-0000-0000BE4E0000}"/>
    <cellStyle name="40% - Accent6 5 2 2 2 4 2 2" xfId="29098" xr:uid="{00000000-0005-0000-0000-0000BF4E0000}"/>
    <cellStyle name="40% - Accent6 5 2 2 2 4 3" xfId="22619" xr:uid="{00000000-0005-0000-0000-0000C04E0000}"/>
    <cellStyle name="40% - Accent6 5 2 2 2 5" xfId="5084" xr:uid="{00000000-0005-0000-0000-0000C14E0000}"/>
    <cellStyle name="40% - Accent6 5 2 2 2 5 2" xfId="16886" xr:uid="{00000000-0005-0000-0000-0000C24E0000}"/>
    <cellStyle name="40% - Accent6 5 2 2 2 5 2 2" xfId="30293" xr:uid="{00000000-0005-0000-0000-0000C34E0000}"/>
    <cellStyle name="40% - Accent6 5 2 2 2 5 3" xfId="24091" xr:uid="{00000000-0005-0000-0000-0000C44E0000}"/>
    <cellStyle name="40% - Accent6 5 2 2 2 6" xfId="9554" xr:uid="{00000000-0005-0000-0000-0000C54E0000}"/>
    <cellStyle name="40% - Accent6 5 2 2 2 6 2" xfId="24029" xr:uid="{00000000-0005-0000-0000-0000C64E0000}"/>
    <cellStyle name="40% - Accent6 5 2 2 2 7" xfId="24092" xr:uid="{00000000-0005-0000-0000-0000C74E0000}"/>
    <cellStyle name="40% - Accent6 5 2 2 3" xfId="5085" xr:uid="{00000000-0005-0000-0000-0000C84E0000}"/>
    <cellStyle name="40% - Accent6 5 2 2 3 2" xfId="5086" xr:uid="{00000000-0005-0000-0000-0000C94E0000}"/>
    <cellStyle name="40% - Accent6 5 2 2 3 2 2" xfId="15550" xr:uid="{00000000-0005-0000-0000-0000CA4E0000}"/>
    <cellStyle name="40% - Accent6 5 2 2 3 2 2 2" xfId="29099" xr:uid="{00000000-0005-0000-0000-0000CB4E0000}"/>
    <cellStyle name="40% - Accent6 5 2 2 3 2 3" xfId="24088" xr:uid="{00000000-0005-0000-0000-0000CC4E0000}"/>
    <cellStyle name="40% - Accent6 5 2 2 3 3" xfId="11280" xr:uid="{00000000-0005-0000-0000-0000CD4E0000}"/>
    <cellStyle name="40% - Accent6 5 2 2 3 3 2" xfId="25222" xr:uid="{00000000-0005-0000-0000-0000CE4E0000}"/>
    <cellStyle name="40% - Accent6 5 2 2 3 4" xfId="22618" xr:uid="{00000000-0005-0000-0000-0000CF4E0000}"/>
    <cellStyle name="40% - Accent6 5 2 2 4" xfId="5087" xr:uid="{00000000-0005-0000-0000-0000D04E0000}"/>
    <cellStyle name="40% - Accent6 5 2 2 4 2" xfId="12274" xr:uid="{00000000-0005-0000-0000-0000D14E0000}"/>
    <cellStyle name="40% - Accent6 5 2 2 4 2 2" xfId="25986" xr:uid="{00000000-0005-0000-0000-0000D24E0000}"/>
    <cellStyle name="40% - Accent6 5 2 2 4 3" xfId="22617" xr:uid="{00000000-0005-0000-0000-0000D34E0000}"/>
    <cellStyle name="40% - Accent6 5 2 2 5" xfId="5088" xr:uid="{00000000-0005-0000-0000-0000D44E0000}"/>
    <cellStyle name="40% - Accent6 5 2 2 5 2" xfId="13071" xr:uid="{00000000-0005-0000-0000-0000D54E0000}"/>
    <cellStyle name="40% - Accent6 5 2 2 5 2 2" xfId="26783" xr:uid="{00000000-0005-0000-0000-0000D64E0000}"/>
    <cellStyle name="40% - Accent6 5 2 2 5 3" xfId="25246" xr:uid="{00000000-0005-0000-0000-0000D74E0000}"/>
    <cellStyle name="40% - Accent6 5 2 2 6" xfId="5089" xr:uid="{00000000-0005-0000-0000-0000D84E0000}"/>
    <cellStyle name="40% - Accent6 5 2 2 6 2" xfId="13838" xr:uid="{00000000-0005-0000-0000-0000D94E0000}"/>
    <cellStyle name="40% - Accent6 5 2 2 6 2 2" xfId="27387" xr:uid="{00000000-0005-0000-0000-0000DA4E0000}"/>
    <cellStyle name="40% - Accent6 5 2 2 6 3" xfId="22616" xr:uid="{00000000-0005-0000-0000-0000DB4E0000}"/>
    <cellStyle name="40% - Accent6 5 2 2 7" xfId="5090" xr:uid="{00000000-0005-0000-0000-0000DC4E0000}"/>
    <cellStyle name="40% - Accent6 5 2 2 7 2" xfId="14419" xr:uid="{00000000-0005-0000-0000-0000DD4E0000}"/>
    <cellStyle name="40% - Accent6 5 2 2 7 2 2" xfId="27968" xr:uid="{00000000-0005-0000-0000-0000DE4E0000}"/>
    <cellStyle name="40% - Accent6 5 2 2 7 3" xfId="24436" xr:uid="{00000000-0005-0000-0000-0000DF4E0000}"/>
    <cellStyle name="40% - Accent6 5 2 2 8" xfId="5091" xr:uid="{00000000-0005-0000-0000-0000E04E0000}"/>
    <cellStyle name="40% - Accent6 5 2 2 8 2" xfId="15548" xr:uid="{00000000-0005-0000-0000-0000E14E0000}"/>
    <cellStyle name="40% - Accent6 5 2 2 8 2 2" xfId="29097" xr:uid="{00000000-0005-0000-0000-0000E24E0000}"/>
    <cellStyle name="40% - Accent6 5 2 2 8 3" xfId="29132" xr:uid="{00000000-0005-0000-0000-0000E34E0000}"/>
    <cellStyle name="40% - Accent6 5 2 2 9" xfId="5092" xr:uid="{00000000-0005-0000-0000-0000E44E0000}"/>
    <cellStyle name="40% - Accent6 5 2 2 9 2" xfId="16305" xr:uid="{00000000-0005-0000-0000-0000E54E0000}"/>
    <cellStyle name="40% - Accent6 5 2 2 9 2 2" xfId="29712" xr:uid="{00000000-0005-0000-0000-0000E64E0000}"/>
    <cellStyle name="40% - Accent6 5 2 2 9 3" xfId="22615" xr:uid="{00000000-0005-0000-0000-0000E74E0000}"/>
    <cellStyle name="40% - Accent6 5 2 3" xfId="5093" xr:uid="{00000000-0005-0000-0000-0000E84E0000}"/>
    <cellStyle name="40% - Accent6 5 2 3 2" xfId="5094" xr:uid="{00000000-0005-0000-0000-0000E94E0000}"/>
    <cellStyle name="40% - Accent6 5 2 3 2 2" xfId="11282" xr:uid="{00000000-0005-0000-0000-0000EA4E0000}"/>
    <cellStyle name="40% - Accent6 5 2 3 2 2 2" xfId="25224" xr:uid="{00000000-0005-0000-0000-0000EB4E0000}"/>
    <cellStyle name="40% - Accent6 5 2 3 2 3" xfId="24090" xr:uid="{00000000-0005-0000-0000-0000EC4E0000}"/>
    <cellStyle name="40% - Accent6 5 2 3 3" xfId="5095" xr:uid="{00000000-0005-0000-0000-0000ED4E0000}"/>
    <cellStyle name="40% - Accent6 5 2 3 3 2" xfId="13073" xr:uid="{00000000-0005-0000-0000-0000EE4E0000}"/>
    <cellStyle name="40% - Accent6 5 2 3 3 2 2" xfId="26785" xr:uid="{00000000-0005-0000-0000-0000EF4E0000}"/>
    <cellStyle name="40% - Accent6 5 2 3 3 3" xfId="22613" xr:uid="{00000000-0005-0000-0000-0000F04E0000}"/>
    <cellStyle name="40% - Accent6 5 2 3 4" xfId="5096" xr:uid="{00000000-0005-0000-0000-0000F14E0000}"/>
    <cellStyle name="40% - Accent6 5 2 3 4 2" xfId="15551" xr:uid="{00000000-0005-0000-0000-0000F24E0000}"/>
    <cellStyle name="40% - Accent6 5 2 3 4 2 2" xfId="29100" xr:uid="{00000000-0005-0000-0000-0000F34E0000}"/>
    <cellStyle name="40% - Accent6 5 2 3 4 3" xfId="24089" xr:uid="{00000000-0005-0000-0000-0000F44E0000}"/>
    <cellStyle name="40% - Accent6 5 2 3 5" xfId="5097" xr:uid="{00000000-0005-0000-0000-0000F54E0000}"/>
    <cellStyle name="40% - Accent6 5 2 3 5 2" xfId="16597" xr:uid="{00000000-0005-0000-0000-0000F64E0000}"/>
    <cellStyle name="40% - Accent6 5 2 3 5 2 2" xfId="30004" xr:uid="{00000000-0005-0000-0000-0000F74E0000}"/>
    <cellStyle name="40% - Accent6 5 2 3 5 3" xfId="22612" xr:uid="{00000000-0005-0000-0000-0000F84E0000}"/>
    <cellStyle name="40% - Accent6 5 2 3 6" xfId="9555" xr:uid="{00000000-0005-0000-0000-0000F94E0000}"/>
    <cellStyle name="40% - Accent6 5 2 3 6 2" xfId="24030" xr:uid="{00000000-0005-0000-0000-0000FA4E0000}"/>
    <cellStyle name="40% - Accent6 5 2 3 7" xfId="22614" xr:uid="{00000000-0005-0000-0000-0000FB4E0000}"/>
    <cellStyle name="40% - Accent6 5 2 4" xfId="5098" xr:uid="{00000000-0005-0000-0000-0000FC4E0000}"/>
    <cellStyle name="40% - Accent6 5 2 4 2" xfId="5099" xr:uid="{00000000-0005-0000-0000-0000FD4E0000}"/>
    <cellStyle name="40% - Accent6 5 2 4 2 2" xfId="15552" xr:uid="{00000000-0005-0000-0000-0000FE4E0000}"/>
    <cellStyle name="40% - Accent6 5 2 4 2 2 2" xfId="29101" xr:uid="{00000000-0005-0000-0000-0000FF4E0000}"/>
    <cellStyle name="40% - Accent6 5 2 4 2 3" xfId="24087" xr:uid="{00000000-0005-0000-0000-0000004F0000}"/>
    <cellStyle name="40% - Accent6 5 2 4 3" xfId="11279" xr:uid="{00000000-0005-0000-0000-0000014F0000}"/>
    <cellStyle name="40% - Accent6 5 2 4 3 2" xfId="25221" xr:uid="{00000000-0005-0000-0000-0000024F0000}"/>
    <cellStyle name="40% - Accent6 5 2 4 4" xfId="23259" xr:uid="{00000000-0005-0000-0000-0000034F0000}"/>
    <cellStyle name="40% - Accent6 5 2 5" xfId="5100" xr:uid="{00000000-0005-0000-0000-0000044F0000}"/>
    <cellStyle name="40% - Accent6 5 2 5 2" xfId="11974" xr:uid="{00000000-0005-0000-0000-0000054F0000}"/>
    <cellStyle name="40% - Accent6 5 2 5 2 2" xfId="25689" xr:uid="{00000000-0005-0000-0000-0000064F0000}"/>
    <cellStyle name="40% - Accent6 5 2 5 3" xfId="22611" xr:uid="{00000000-0005-0000-0000-0000074F0000}"/>
    <cellStyle name="40% - Accent6 5 2 6" xfId="5101" xr:uid="{00000000-0005-0000-0000-0000084F0000}"/>
    <cellStyle name="40% - Accent6 5 2 6 2" xfId="13070" xr:uid="{00000000-0005-0000-0000-0000094F0000}"/>
    <cellStyle name="40% - Accent6 5 2 6 2 2" xfId="26782" xr:uid="{00000000-0005-0000-0000-00000A4F0000}"/>
    <cellStyle name="40% - Accent6 5 2 6 3" xfId="24086" xr:uid="{00000000-0005-0000-0000-00000B4F0000}"/>
    <cellStyle name="40% - Accent6 5 2 7" xfId="5102" xr:uid="{00000000-0005-0000-0000-00000C4F0000}"/>
    <cellStyle name="40% - Accent6 5 2 7 2" xfId="13549" xr:uid="{00000000-0005-0000-0000-00000D4F0000}"/>
    <cellStyle name="40% - Accent6 5 2 7 2 2" xfId="27098" xr:uid="{00000000-0005-0000-0000-00000E4F0000}"/>
    <cellStyle name="40% - Accent6 5 2 7 3" xfId="22610" xr:uid="{00000000-0005-0000-0000-00000F4F0000}"/>
    <cellStyle name="40% - Accent6 5 2 8" xfId="5103" xr:uid="{00000000-0005-0000-0000-0000104F0000}"/>
    <cellStyle name="40% - Accent6 5 2 8 2" xfId="14130" xr:uid="{00000000-0005-0000-0000-0000114F0000}"/>
    <cellStyle name="40% - Accent6 5 2 8 2 2" xfId="27679" xr:uid="{00000000-0005-0000-0000-0000124F0000}"/>
    <cellStyle name="40% - Accent6 5 2 8 3" xfId="24085" xr:uid="{00000000-0005-0000-0000-0000134F0000}"/>
    <cellStyle name="40% - Accent6 5 2 9" xfId="5104" xr:uid="{00000000-0005-0000-0000-0000144F0000}"/>
    <cellStyle name="40% - Accent6 5 2 9 2" xfId="15547" xr:uid="{00000000-0005-0000-0000-0000154F0000}"/>
    <cellStyle name="40% - Accent6 5 2 9 2 2" xfId="29096" xr:uid="{00000000-0005-0000-0000-0000164F0000}"/>
    <cellStyle name="40% - Accent6 5 2 9 3" xfId="22609" xr:uid="{00000000-0005-0000-0000-0000174F0000}"/>
    <cellStyle name="40% - Accent6 5 3" xfId="5105" xr:uid="{00000000-0005-0000-0000-0000184F0000}"/>
    <cellStyle name="40% - Accent6 5 3 10" xfId="9556" xr:uid="{00000000-0005-0000-0000-0000194F0000}"/>
    <cellStyle name="40% - Accent6 5 3 10 2" xfId="24031" xr:uid="{00000000-0005-0000-0000-00001A4F0000}"/>
    <cellStyle name="40% - Accent6 5 3 11" xfId="24084" xr:uid="{00000000-0005-0000-0000-00001B4F0000}"/>
    <cellStyle name="40% - Accent6 5 3 2" xfId="5106" xr:uid="{00000000-0005-0000-0000-00001C4F0000}"/>
    <cellStyle name="40% - Accent6 5 3 2 2" xfId="5107" xr:uid="{00000000-0005-0000-0000-00001D4F0000}"/>
    <cellStyle name="40% - Accent6 5 3 2 2 2" xfId="11284" xr:uid="{00000000-0005-0000-0000-00001E4F0000}"/>
    <cellStyle name="40% - Accent6 5 3 2 2 2 2" xfId="25226" xr:uid="{00000000-0005-0000-0000-00001F4F0000}"/>
    <cellStyle name="40% - Accent6 5 3 2 2 3" xfId="24082" xr:uid="{00000000-0005-0000-0000-0000204F0000}"/>
    <cellStyle name="40% - Accent6 5 3 2 3" xfId="5108" xr:uid="{00000000-0005-0000-0000-0000214F0000}"/>
    <cellStyle name="40% - Accent6 5 3 2 3 2" xfId="13075" xr:uid="{00000000-0005-0000-0000-0000224F0000}"/>
    <cellStyle name="40% - Accent6 5 3 2 3 2 2" xfId="26787" xr:uid="{00000000-0005-0000-0000-0000234F0000}"/>
    <cellStyle name="40% - Accent6 5 3 2 3 3" xfId="24083" xr:uid="{00000000-0005-0000-0000-0000244F0000}"/>
    <cellStyle name="40% - Accent6 5 3 2 4" xfId="5109" xr:uid="{00000000-0005-0000-0000-0000254F0000}"/>
    <cellStyle name="40% - Accent6 5 3 2 4 2" xfId="15554" xr:uid="{00000000-0005-0000-0000-0000264F0000}"/>
    <cellStyle name="40% - Accent6 5 3 2 4 2 2" xfId="29103" xr:uid="{00000000-0005-0000-0000-0000274F0000}"/>
    <cellStyle name="40% - Accent6 5 3 2 4 3" xfId="22607" xr:uid="{00000000-0005-0000-0000-0000284F0000}"/>
    <cellStyle name="40% - Accent6 5 3 2 5" xfId="5110" xr:uid="{00000000-0005-0000-0000-0000294F0000}"/>
    <cellStyle name="40% - Accent6 5 3 2 5 2" xfId="16746" xr:uid="{00000000-0005-0000-0000-00002A4F0000}"/>
    <cellStyle name="40% - Accent6 5 3 2 5 2 2" xfId="30153" xr:uid="{00000000-0005-0000-0000-00002B4F0000}"/>
    <cellStyle name="40% - Accent6 5 3 2 5 3" xfId="22606" xr:uid="{00000000-0005-0000-0000-00002C4F0000}"/>
    <cellStyle name="40% - Accent6 5 3 2 6" xfId="9557" xr:uid="{00000000-0005-0000-0000-00002D4F0000}"/>
    <cellStyle name="40% - Accent6 5 3 2 6 2" xfId="24032" xr:uid="{00000000-0005-0000-0000-00002E4F0000}"/>
    <cellStyle name="40% - Accent6 5 3 2 7" xfId="22608" xr:uid="{00000000-0005-0000-0000-00002F4F0000}"/>
    <cellStyle name="40% - Accent6 5 3 3" xfId="5111" xr:uid="{00000000-0005-0000-0000-0000304F0000}"/>
    <cellStyle name="40% - Accent6 5 3 3 2" xfId="5112" xr:uid="{00000000-0005-0000-0000-0000314F0000}"/>
    <cellStyle name="40% - Accent6 5 3 3 2 2" xfId="15555" xr:uid="{00000000-0005-0000-0000-0000324F0000}"/>
    <cellStyle name="40% - Accent6 5 3 3 2 2 2" xfId="29104" xr:uid="{00000000-0005-0000-0000-0000334F0000}"/>
    <cellStyle name="40% - Accent6 5 3 3 2 3" xfId="26808" xr:uid="{00000000-0005-0000-0000-0000344F0000}"/>
    <cellStyle name="40% - Accent6 5 3 3 3" xfId="11283" xr:uid="{00000000-0005-0000-0000-0000354F0000}"/>
    <cellStyle name="40% - Accent6 5 3 3 3 2" xfId="25225" xr:uid="{00000000-0005-0000-0000-0000364F0000}"/>
    <cellStyle name="40% - Accent6 5 3 3 4" xfId="24081" xr:uid="{00000000-0005-0000-0000-0000374F0000}"/>
    <cellStyle name="40% - Accent6 5 3 4" xfId="5113" xr:uid="{00000000-0005-0000-0000-0000384F0000}"/>
    <cellStyle name="40% - Accent6 5 3 4 2" xfId="12134" xr:uid="{00000000-0005-0000-0000-0000394F0000}"/>
    <cellStyle name="40% - Accent6 5 3 4 2 2" xfId="25846" xr:uid="{00000000-0005-0000-0000-00003A4F0000}"/>
    <cellStyle name="40% - Accent6 5 3 4 3" xfId="22605" xr:uid="{00000000-0005-0000-0000-00003B4F0000}"/>
    <cellStyle name="40% - Accent6 5 3 5" xfId="5114" xr:uid="{00000000-0005-0000-0000-00003C4F0000}"/>
    <cellStyle name="40% - Accent6 5 3 5 2" xfId="13074" xr:uid="{00000000-0005-0000-0000-00003D4F0000}"/>
    <cellStyle name="40% - Accent6 5 3 5 2 2" xfId="26786" xr:uid="{00000000-0005-0000-0000-00003E4F0000}"/>
    <cellStyle name="40% - Accent6 5 3 5 3" xfId="26809" xr:uid="{00000000-0005-0000-0000-00003F4F0000}"/>
    <cellStyle name="40% - Accent6 5 3 6" xfId="5115" xr:uid="{00000000-0005-0000-0000-0000404F0000}"/>
    <cellStyle name="40% - Accent6 5 3 6 2" xfId="13698" xr:uid="{00000000-0005-0000-0000-0000414F0000}"/>
    <cellStyle name="40% - Accent6 5 3 6 2 2" xfId="27247" xr:uid="{00000000-0005-0000-0000-0000424F0000}"/>
    <cellStyle name="40% - Accent6 5 3 6 3" xfId="22604" xr:uid="{00000000-0005-0000-0000-0000434F0000}"/>
    <cellStyle name="40% - Accent6 5 3 7" xfId="5116" xr:uid="{00000000-0005-0000-0000-0000444F0000}"/>
    <cellStyle name="40% - Accent6 5 3 7 2" xfId="14279" xr:uid="{00000000-0005-0000-0000-0000454F0000}"/>
    <cellStyle name="40% - Accent6 5 3 7 2 2" xfId="27828" xr:uid="{00000000-0005-0000-0000-0000464F0000}"/>
    <cellStyle name="40% - Accent6 5 3 7 3" xfId="22603" xr:uid="{00000000-0005-0000-0000-0000474F0000}"/>
    <cellStyle name="40% - Accent6 5 3 8" xfId="5117" xr:uid="{00000000-0005-0000-0000-0000484F0000}"/>
    <cellStyle name="40% - Accent6 5 3 8 2" xfId="15553" xr:uid="{00000000-0005-0000-0000-0000494F0000}"/>
    <cellStyle name="40% - Accent6 5 3 8 2 2" xfId="29102" xr:uid="{00000000-0005-0000-0000-00004A4F0000}"/>
    <cellStyle name="40% - Accent6 5 3 8 3" xfId="24079" xr:uid="{00000000-0005-0000-0000-00004B4F0000}"/>
    <cellStyle name="40% - Accent6 5 3 9" xfId="5118" xr:uid="{00000000-0005-0000-0000-00004C4F0000}"/>
    <cellStyle name="40% - Accent6 5 3 9 2" xfId="16165" xr:uid="{00000000-0005-0000-0000-00004D4F0000}"/>
    <cellStyle name="40% - Accent6 5 3 9 2 2" xfId="29572" xr:uid="{00000000-0005-0000-0000-00004E4F0000}"/>
    <cellStyle name="40% - Accent6 5 3 9 3" xfId="24080" xr:uid="{00000000-0005-0000-0000-00004F4F0000}"/>
    <cellStyle name="40% - Accent6 5 4" xfId="5119" xr:uid="{00000000-0005-0000-0000-0000504F0000}"/>
    <cellStyle name="40% - Accent6 5 4 2" xfId="5120" xr:uid="{00000000-0005-0000-0000-0000514F0000}"/>
    <cellStyle name="40% - Accent6 5 4 2 2" xfId="11285" xr:uid="{00000000-0005-0000-0000-0000524F0000}"/>
    <cellStyle name="40% - Accent6 5 4 2 2 2" xfId="25227" xr:uid="{00000000-0005-0000-0000-0000534F0000}"/>
    <cellStyle name="40% - Accent6 5 4 2 3" xfId="22601" xr:uid="{00000000-0005-0000-0000-0000544F0000}"/>
    <cellStyle name="40% - Accent6 5 4 3" xfId="5121" xr:uid="{00000000-0005-0000-0000-0000554F0000}"/>
    <cellStyle name="40% - Accent6 5 4 3 2" xfId="13076" xr:uid="{00000000-0005-0000-0000-0000564F0000}"/>
    <cellStyle name="40% - Accent6 5 4 3 2 2" xfId="26788" xr:uid="{00000000-0005-0000-0000-0000574F0000}"/>
    <cellStyle name="40% - Accent6 5 4 3 3" xfId="24078" xr:uid="{00000000-0005-0000-0000-0000584F0000}"/>
    <cellStyle name="40% - Accent6 5 4 4" xfId="5122" xr:uid="{00000000-0005-0000-0000-0000594F0000}"/>
    <cellStyle name="40% - Accent6 5 4 4 2" xfId="15556" xr:uid="{00000000-0005-0000-0000-00005A4F0000}"/>
    <cellStyle name="40% - Accent6 5 4 4 2 2" xfId="29105" xr:uid="{00000000-0005-0000-0000-00005B4F0000}"/>
    <cellStyle name="40% - Accent6 5 4 4 3" xfId="22600" xr:uid="{00000000-0005-0000-0000-00005C4F0000}"/>
    <cellStyle name="40% - Accent6 5 4 5" xfId="5123" xr:uid="{00000000-0005-0000-0000-00005D4F0000}"/>
    <cellStyle name="40% - Accent6 5 4 5 2" xfId="16454" xr:uid="{00000000-0005-0000-0000-00005E4F0000}"/>
    <cellStyle name="40% - Accent6 5 4 5 2 2" xfId="29861" xr:uid="{00000000-0005-0000-0000-00005F4F0000}"/>
    <cellStyle name="40% - Accent6 5 4 5 3" xfId="24075" xr:uid="{00000000-0005-0000-0000-0000604F0000}"/>
    <cellStyle name="40% - Accent6 5 4 6" xfId="9558" xr:uid="{00000000-0005-0000-0000-0000614F0000}"/>
    <cellStyle name="40% - Accent6 5 4 6 2" xfId="24033" xr:uid="{00000000-0005-0000-0000-0000624F0000}"/>
    <cellStyle name="40% - Accent6 5 4 7" xfId="22602" xr:uid="{00000000-0005-0000-0000-0000634F0000}"/>
    <cellStyle name="40% - Accent6 5 5" xfId="5124" xr:uid="{00000000-0005-0000-0000-0000644F0000}"/>
    <cellStyle name="40% - Accent6 5 5 2" xfId="5125" xr:uid="{00000000-0005-0000-0000-0000654F0000}"/>
    <cellStyle name="40% - Accent6 5 5 2 2" xfId="15557" xr:uid="{00000000-0005-0000-0000-0000664F0000}"/>
    <cellStyle name="40% - Accent6 5 5 2 2 2" xfId="29106" xr:uid="{00000000-0005-0000-0000-0000674F0000}"/>
    <cellStyle name="40% - Accent6 5 5 2 3" xfId="25245" xr:uid="{00000000-0005-0000-0000-0000684F0000}"/>
    <cellStyle name="40% - Accent6 5 5 3" xfId="11278" xr:uid="{00000000-0005-0000-0000-0000694F0000}"/>
    <cellStyle name="40% - Accent6 5 5 3 2" xfId="25220" xr:uid="{00000000-0005-0000-0000-00006A4F0000}"/>
    <cellStyle name="40% - Accent6 5 5 4" xfId="22599" xr:uid="{00000000-0005-0000-0000-00006B4F0000}"/>
    <cellStyle name="40% - Accent6 5 6" xfId="5126" xr:uid="{00000000-0005-0000-0000-00006C4F0000}"/>
    <cellStyle name="40% - Accent6 5 6 2" xfId="11805" xr:uid="{00000000-0005-0000-0000-00006D4F0000}"/>
    <cellStyle name="40% - Accent6 5 6 2 2" xfId="25520" xr:uid="{00000000-0005-0000-0000-00006E4F0000}"/>
    <cellStyle name="40% - Accent6 5 6 3" xfId="22598" xr:uid="{00000000-0005-0000-0000-00006F4F0000}"/>
    <cellStyle name="40% - Accent6 5 7" xfId="5127" xr:uid="{00000000-0005-0000-0000-0000704F0000}"/>
    <cellStyle name="40% - Accent6 5 7 2" xfId="13069" xr:uid="{00000000-0005-0000-0000-0000714F0000}"/>
    <cellStyle name="40% - Accent6 5 7 2 2" xfId="26781" xr:uid="{00000000-0005-0000-0000-0000724F0000}"/>
    <cellStyle name="40% - Accent6 5 7 3" xfId="24435" xr:uid="{00000000-0005-0000-0000-0000734F0000}"/>
    <cellStyle name="40% - Accent6 5 8" xfId="5128" xr:uid="{00000000-0005-0000-0000-0000744F0000}"/>
    <cellStyle name="40% - Accent6 5 8 2" xfId="13406" xr:uid="{00000000-0005-0000-0000-0000754F0000}"/>
    <cellStyle name="40% - Accent6 5 8 2 2" xfId="26955" xr:uid="{00000000-0005-0000-0000-0000764F0000}"/>
    <cellStyle name="40% - Accent6 5 8 3" xfId="29131" xr:uid="{00000000-0005-0000-0000-0000774F0000}"/>
    <cellStyle name="40% - Accent6 5 9" xfId="5129" xr:uid="{00000000-0005-0000-0000-0000784F0000}"/>
    <cellStyle name="40% - Accent6 5 9 2" xfId="13987" xr:uid="{00000000-0005-0000-0000-0000794F0000}"/>
    <cellStyle name="40% - Accent6 5 9 2 2" xfId="27536" xr:uid="{00000000-0005-0000-0000-00007A4F0000}"/>
    <cellStyle name="40% - Accent6 5 9 3" xfId="22597" xr:uid="{00000000-0005-0000-0000-00007B4F0000}"/>
    <cellStyle name="40% - Accent6 6" xfId="5130" xr:uid="{00000000-0005-0000-0000-00007C4F0000}"/>
    <cellStyle name="40% - Accent6 6 10" xfId="5131" xr:uid="{00000000-0005-0000-0000-00007D4F0000}"/>
    <cellStyle name="40% - Accent6 6 10 2" xfId="15558" xr:uid="{00000000-0005-0000-0000-00007E4F0000}"/>
    <cellStyle name="40% - Accent6 6 10 2 2" xfId="29107" xr:uid="{00000000-0005-0000-0000-00007F4F0000}"/>
    <cellStyle name="40% - Accent6 6 10 3" xfId="24077" xr:uid="{00000000-0005-0000-0000-0000804F0000}"/>
    <cellStyle name="40% - Accent6 6 11" xfId="5132" xr:uid="{00000000-0005-0000-0000-0000814F0000}"/>
    <cellStyle name="40% - Accent6 6 11 2" xfId="15979" xr:uid="{00000000-0005-0000-0000-0000824F0000}"/>
    <cellStyle name="40% - Accent6 6 11 2 2" xfId="29386" xr:uid="{00000000-0005-0000-0000-0000834F0000}"/>
    <cellStyle name="40% - Accent6 6 11 3" xfId="22595" xr:uid="{00000000-0005-0000-0000-0000844F0000}"/>
    <cellStyle name="40% - Accent6 6 12" xfId="9559" xr:uid="{00000000-0005-0000-0000-0000854F0000}"/>
    <cellStyle name="40% - Accent6 6 12 2" xfId="24034" xr:uid="{00000000-0005-0000-0000-0000864F0000}"/>
    <cellStyle name="40% - Accent6 6 13" xfId="22596" xr:uid="{00000000-0005-0000-0000-0000874F0000}"/>
    <cellStyle name="40% - Accent6 6 2" xfId="5133" xr:uid="{00000000-0005-0000-0000-0000884F0000}"/>
    <cellStyle name="40% - Accent6 6 2 10" xfId="5134" xr:uid="{00000000-0005-0000-0000-0000894F0000}"/>
    <cellStyle name="40% - Accent6 6 2 10 2" xfId="16122" xr:uid="{00000000-0005-0000-0000-00008A4F0000}"/>
    <cellStyle name="40% - Accent6 6 2 10 2 2" xfId="29529" xr:uid="{00000000-0005-0000-0000-00008B4F0000}"/>
    <cellStyle name="40% - Accent6 6 2 10 3" xfId="22594" xr:uid="{00000000-0005-0000-0000-00008C4F0000}"/>
    <cellStyle name="40% - Accent6 6 2 11" xfId="9560" xr:uid="{00000000-0005-0000-0000-00008D4F0000}"/>
    <cellStyle name="40% - Accent6 6 2 11 2" xfId="24035" xr:uid="{00000000-0005-0000-0000-00008E4F0000}"/>
    <cellStyle name="40% - Accent6 6 2 12" xfId="24076" xr:uid="{00000000-0005-0000-0000-00008F4F0000}"/>
    <cellStyle name="40% - Accent6 6 2 2" xfId="5135" xr:uid="{00000000-0005-0000-0000-0000904F0000}"/>
    <cellStyle name="40% - Accent6 6 2 2 10" xfId="9561" xr:uid="{00000000-0005-0000-0000-0000914F0000}"/>
    <cellStyle name="40% - Accent6 6 2 2 10 2" xfId="24036" xr:uid="{00000000-0005-0000-0000-0000924F0000}"/>
    <cellStyle name="40% - Accent6 6 2 2 11" xfId="23255" xr:uid="{00000000-0005-0000-0000-0000934F0000}"/>
    <cellStyle name="40% - Accent6 6 2 2 2" xfId="5136" xr:uid="{00000000-0005-0000-0000-0000944F0000}"/>
    <cellStyle name="40% - Accent6 6 2 2 2 2" xfId="5137" xr:uid="{00000000-0005-0000-0000-0000954F0000}"/>
    <cellStyle name="40% - Accent6 6 2 2 2 2 2" xfId="11289" xr:uid="{00000000-0005-0000-0000-0000964F0000}"/>
    <cellStyle name="40% - Accent6 6 2 2 2 2 2 2" xfId="25231" xr:uid="{00000000-0005-0000-0000-0000974F0000}"/>
    <cellStyle name="40% - Accent6 6 2 2 2 2 3" xfId="22593" xr:uid="{00000000-0005-0000-0000-0000984F0000}"/>
    <cellStyle name="40% - Accent6 6 2 2 2 3" xfId="5138" xr:uid="{00000000-0005-0000-0000-0000994F0000}"/>
    <cellStyle name="40% - Accent6 6 2 2 2 3 2" xfId="13080" xr:uid="{00000000-0005-0000-0000-00009A4F0000}"/>
    <cellStyle name="40% - Accent6 6 2 2 2 3 2 2" xfId="26792" xr:uid="{00000000-0005-0000-0000-00009B4F0000}"/>
    <cellStyle name="40% - Accent6 6 2 2 2 3 3" xfId="24073" xr:uid="{00000000-0005-0000-0000-00009C4F0000}"/>
    <cellStyle name="40% - Accent6 6 2 2 2 4" xfId="5139" xr:uid="{00000000-0005-0000-0000-00009D4F0000}"/>
    <cellStyle name="40% - Accent6 6 2 2 2 4 2" xfId="15561" xr:uid="{00000000-0005-0000-0000-00009E4F0000}"/>
    <cellStyle name="40% - Accent6 6 2 2 2 4 2 2" xfId="29110" xr:uid="{00000000-0005-0000-0000-00009F4F0000}"/>
    <cellStyle name="40% - Accent6 6 2 2 2 4 3" xfId="22592" xr:uid="{00000000-0005-0000-0000-0000A04F0000}"/>
    <cellStyle name="40% - Accent6 6 2 2 2 5" xfId="5140" xr:uid="{00000000-0005-0000-0000-0000A14F0000}"/>
    <cellStyle name="40% - Accent6 6 2 2 2 5 2" xfId="16992" xr:uid="{00000000-0005-0000-0000-0000A24F0000}"/>
    <cellStyle name="40% - Accent6 6 2 2 2 5 2 2" xfId="30399" xr:uid="{00000000-0005-0000-0000-0000A34F0000}"/>
    <cellStyle name="40% - Accent6 6 2 2 2 5 3" xfId="24072" xr:uid="{00000000-0005-0000-0000-0000A44F0000}"/>
    <cellStyle name="40% - Accent6 6 2 2 2 6" xfId="9562" xr:uid="{00000000-0005-0000-0000-0000A54F0000}"/>
    <cellStyle name="40% - Accent6 6 2 2 2 6 2" xfId="24037" xr:uid="{00000000-0005-0000-0000-0000A64F0000}"/>
    <cellStyle name="40% - Accent6 6 2 2 2 7" xfId="24074" xr:uid="{00000000-0005-0000-0000-0000A74F0000}"/>
    <cellStyle name="40% - Accent6 6 2 2 3" xfId="5141" xr:uid="{00000000-0005-0000-0000-0000A84F0000}"/>
    <cellStyle name="40% - Accent6 6 2 2 3 2" xfId="5142" xr:uid="{00000000-0005-0000-0000-0000A94F0000}"/>
    <cellStyle name="40% - Accent6 6 2 2 3 2 2" xfId="15562" xr:uid="{00000000-0005-0000-0000-0000AA4F0000}"/>
    <cellStyle name="40% - Accent6 6 2 2 3 2 2 2" xfId="29111" xr:uid="{00000000-0005-0000-0000-0000AB4F0000}"/>
    <cellStyle name="40% - Accent6 6 2 2 3 2 3" xfId="24071" xr:uid="{00000000-0005-0000-0000-0000AC4F0000}"/>
    <cellStyle name="40% - Accent6 6 2 2 3 3" xfId="11288" xr:uid="{00000000-0005-0000-0000-0000AD4F0000}"/>
    <cellStyle name="40% - Accent6 6 2 2 3 3 2" xfId="25230" xr:uid="{00000000-0005-0000-0000-0000AE4F0000}"/>
    <cellStyle name="40% - Accent6 6 2 2 3 4" xfId="22591" xr:uid="{00000000-0005-0000-0000-0000AF4F0000}"/>
    <cellStyle name="40% - Accent6 6 2 2 4" xfId="5143" xr:uid="{00000000-0005-0000-0000-0000B04F0000}"/>
    <cellStyle name="40% - Accent6 6 2 2 4 2" xfId="12380" xr:uid="{00000000-0005-0000-0000-0000B14F0000}"/>
    <cellStyle name="40% - Accent6 6 2 2 4 2 2" xfId="26092" xr:uid="{00000000-0005-0000-0000-0000B24F0000}"/>
    <cellStyle name="40% - Accent6 6 2 2 4 3" xfId="22590" xr:uid="{00000000-0005-0000-0000-0000B34F0000}"/>
    <cellStyle name="40% - Accent6 6 2 2 5" xfId="5144" xr:uid="{00000000-0005-0000-0000-0000B44F0000}"/>
    <cellStyle name="40% - Accent6 6 2 2 5 2" xfId="13079" xr:uid="{00000000-0005-0000-0000-0000B54F0000}"/>
    <cellStyle name="40% - Accent6 6 2 2 5 2 2" xfId="26791" xr:uid="{00000000-0005-0000-0000-0000B64F0000}"/>
    <cellStyle name="40% - Accent6 6 2 2 5 3" xfId="24069" xr:uid="{00000000-0005-0000-0000-0000B74F0000}"/>
    <cellStyle name="40% - Accent6 6 2 2 6" xfId="5145" xr:uid="{00000000-0005-0000-0000-0000B84F0000}"/>
    <cellStyle name="40% - Accent6 6 2 2 6 2" xfId="13944" xr:uid="{00000000-0005-0000-0000-0000B94F0000}"/>
    <cellStyle name="40% - Accent6 6 2 2 6 2 2" xfId="27493" xr:uid="{00000000-0005-0000-0000-0000BA4F0000}"/>
    <cellStyle name="40% - Accent6 6 2 2 6 3" xfId="24070" xr:uid="{00000000-0005-0000-0000-0000BB4F0000}"/>
    <cellStyle name="40% - Accent6 6 2 2 7" xfId="5146" xr:uid="{00000000-0005-0000-0000-0000BC4F0000}"/>
    <cellStyle name="40% - Accent6 6 2 2 7 2" xfId="14525" xr:uid="{00000000-0005-0000-0000-0000BD4F0000}"/>
    <cellStyle name="40% - Accent6 6 2 2 7 2 2" xfId="28074" xr:uid="{00000000-0005-0000-0000-0000BE4F0000}"/>
    <cellStyle name="40% - Accent6 6 2 2 7 3" xfId="22589" xr:uid="{00000000-0005-0000-0000-0000BF4F0000}"/>
    <cellStyle name="40% - Accent6 6 2 2 8" xfId="5147" xr:uid="{00000000-0005-0000-0000-0000C04F0000}"/>
    <cellStyle name="40% - Accent6 6 2 2 8 2" xfId="15560" xr:uid="{00000000-0005-0000-0000-0000C14F0000}"/>
    <cellStyle name="40% - Accent6 6 2 2 8 2 2" xfId="29109" xr:uid="{00000000-0005-0000-0000-0000C24F0000}"/>
    <cellStyle name="40% - Accent6 6 2 2 8 3" xfId="22588" xr:uid="{00000000-0005-0000-0000-0000C34F0000}"/>
    <cellStyle name="40% - Accent6 6 2 2 9" xfId="5148" xr:uid="{00000000-0005-0000-0000-0000C44F0000}"/>
    <cellStyle name="40% - Accent6 6 2 2 9 2" xfId="16411" xr:uid="{00000000-0005-0000-0000-0000C54F0000}"/>
    <cellStyle name="40% - Accent6 6 2 2 9 2 2" xfId="29818" xr:uid="{00000000-0005-0000-0000-0000C64F0000}"/>
    <cellStyle name="40% - Accent6 6 2 2 9 3" xfId="24068" xr:uid="{00000000-0005-0000-0000-0000C74F0000}"/>
    <cellStyle name="40% - Accent6 6 2 3" xfId="5149" xr:uid="{00000000-0005-0000-0000-0000C84F0000}"/>
    <cellStyle name="40% - Accent6 6 2 3 2" xfId="5150" xr:uid="{00000000-0005-0000-0000-0000C94F0000}"/>
    <cellStyle name="40% - Accent6 6 2 3 2 2" xfId="11290" xr:uid="{00000000-0005-0000-0000-0000CA4F0000}"/>
    <cellStyle name="40% - Accent6 6 2 3 2 2 2" xfId="25232" xr:uid="{00000000-0005-0000-0000-0000CB4F0000}"/>
    <cellStyle name="40% - Accent6 6 2 3 2 3" xfId="22587" xr:uid="{00000000-0005-0000-0000-0000CC4F0000}"/>
    <cellStyle name="40% - Accent6 6 2 3 3" xfId="5151" xr:uid="{00000000-0005-0000-0000-0000CD4F0000}"/>
    <cellStyle name="40% - Accent6 6 2 3 3 2" xfId="13081" xr:uid="{00000000-0005-0000-0000-0000CE4F0000}"/>
    <cellStyle name="40% - Accent6 6 2 3 3 2 2" xfId="26793" xr:uid="{00000000-0005-0000-0000-0000CF4F0000}"/>
    <cellStyle name="40% - Accent6 6 2 3 3 3" xfId="26807" xr:uid="{00000000-0005-0000-0000-0000D04F0000}"/>
    <cellStyle name="40% - Accent6 6 2 3 4" xfId="5152" xr:uid="{00000000-0005-0000-0000-0000D14F0000}"/>
    <cellStyle name="40% - Accent6 6 2 3 4 2" xfId="15563" xr:uid="{00000000-0005-0000-0000-0000D24F0000}"/>
    <cellStyle name="40% - Accent6 6 2 3 4 2 2" xfId="29112" xr:uid="{00000000-0005-0000-0000-0000D34F0000}"/>
    <cellStyle name="40% - Accent6 6 2 3 4 3" xfId="22586" xr:uid="{00000000-0005-0000-0000-0000D44F0000}"/>
    <cellStyle name="40% - Accent6 6 2 3 5" xfId="5153" xr:uid="{00000000-0005-0000-0000-0000D54F0000}"/>
    <cellStyle name="40% - Accent6 6 2 3 5 2" xfId="16703" xr:uid="{00000000-0005-0000-0000-0000D64F0000}"/>
    <cellStyle name="40% - Accent6 6 2 3 5 2 2" xfId="30110" xr:uid="{00000000-0005-0000-0000-0000D74F0000}"/>
    <cellStyle name="40% - Accent6 6 2 3 5 3" xfId="22585" xr:uid="{00000000-0005-0000-0000-0000D84F0000}"/>
    <cellStyle name="40% - Accent6 6 2 3 6" xfId="9563" xr:uid="{00000000-0005-0000-0000-0000D94F0000}"/>
    <cellStyle name="40% - Accent6 6 2 3 6 2" xfId="24038" xr:uid="{00000000-0005-0000-0000-0000DA4F0000}"/>
    <cellStyle name="40% - Accent6 6 2 3 7" xfId="26806" xr:uid="{00000000-0005-0000-0000-0000DB4F0000}"/>
    <cellStyle name="40% - Accent6 6 2 4" xfId="5154" xr:uid="{00000000-0005-0000-0000-0000DC4F0000}"/>
    <cellStyle name="40% - Accent6 6 2 4 2" xfId="5155" xr:uid="{00000000-0005-0000-0000-0000DD4F0000}"/>
    <cellStyle name="40% - Accent6 6 2 4 2 2" xfId="15564" xr:uid="{00000000-0005-0000-0000-0000DE4F0000}"/>
    <cellStyle name="40% - Accent6 6 2 4 2 2 2" xfId="29113" xr:uid="{00000000-0005-0000-0000-0000DF4F0000}"/>
    <cellStyle name="40% - Accent6 6 2 4 2 3" xfId="24067" xr:uid="{00000000-0005-0000-0000-0000E04F0000}"/>
    <cellStyle name="40% - Accent6 6 2 4 3" xfId="11287" xr:uid="{00000000-0005-0000-0000-0000E14F0000}"/>
    <cellStyle name="40% - Accent6 6 2 4 3 2" xfId="25229" xr:uid="{00000000-0005-0000-0000-0000E24F0000}"/>
    <cellStyle name="40% - Accent6 6 2 4 4" xfId="24066" xr:uid="{00000000-0005-0000-0000-0000E34F0000}"/>
    <cellStyle name="40% - Accent6 6 2 5" xfId="5156" xr:uid="{00000000-0005-0000-0000-0000E44F0000}"/>
    <cellStyle name="40% - Accent6 6 2 5 2" xfId="12080" xr:uid="{00000000-0005-0000-0000-0000E54F0000}"/>
    <cellStyle name="40% - Accent6 6 2 5 2 2" xfId="25795" xr:uid="{00000000-0005-0000-0000-0000E64F0000}"/>
    <cellStyle name="40% - Accent6 6 2 5 3" xfId="22584" xr:uid="{00000000-0005-0000-0000-0000E74F0000}"/>
    <cellStyle name="40% - Accent6 6 2 6" xfId="5157" xr:uid="{00000000-0005-0000-0000-0000E84F0000}"/>
    <cellStyle name="40% - Accent6 6 2 6 2" xfId="13078" xr:uid="{00000000-0005-0000-0000-0000E94F0000}"/>
    <cellStyle name="40% - Accent6 6 2 6 2 2" xfId="26790" xr:uid="{00000000-0005-0000-0000-0000EA4F0000}"/>
    <cellStyle name="40% - Accent6 6 2 6 3" xfId="22583" xr:uid="{00000000-0005-0000-0000-0000EB4F0000}"/>
    <cellStyle name="40% - Accent6 6 2 7" xfId="5158" xr:uid="{00000000-0005-0000-0000-0000EC4F0000}"/>
    <cellStyle name="40% - Accent6 6 2 7 2" xfId="13655" xr:uid="{00000000-0005-0000-0000-0000ED4F0000}"/>
    <cellStyle name="40% - Accent6 6 2 7 2 2" xfId="27204" xr:uid="{00000000-0005-0000-0000-0000EE4F0000}"/>
    <cellStyle name="40% - Accent6 6 2 7 3" xfId="24065" xr:uid="{00000000-0005-0000-0000-0000EF4F0000}"/>
    <cellStyle name="40% - Accent6 6 2 8" xfId="5159" xr:uid="{00000000-0005-0000-0000-0000F04F0000}"/>
    <cellStyle name="40% - Accent6 6 2 8 2" xfId="14236" xr:uid="{00000000-0005-0000-0000-0000F14F0000}"/>
    <cellStyle name="40% - Accent6 6 2 8 2 2" xfId="27785" xr:uid="{00000000-0005-0000-0000-0000F24F0000}"/>
    <cellStyle name="40% - Accent6 6 2 8 3" xfId="22582" xr:uid="{00000000-0005-0000-0000-0000F34F0000}"/>
    <cellStyle name="40% - Accent6 6 2 9" xfId="5160" xr:uid="{00000000-0005-0000-0000-0000F44F0000}"/>
    <cellStyle name="40% - Accent6 6 2 9 2" xfId="15559" xr:uid="{00000000-0005-0000-0000-0000F54F0000}"/>
    <cellStyle name="40% - Accent6 6 2 9 2 2" xfId="29108" xr:uid="{00000000-0005-0000-0000-0000F64F0000}"/>
    <cellStyle name="40% - Accent6 6 2 9 3" xfId="24062" xr:uid="{00000000-0005-0000-0000-0000F74F0000}"/>
    <cellStyle name="40% - Accent6 6 3" xfId="5161" xr:uid="{00000000-0005-0000-0000-0000F84F0000}"/>
    <cellStyle name="40% - Accent6 6 3 10" xfId="9564" xr:uid="{00000000-0005-0000-0000-0000F94F0000}"/>
    <cellStyle name="40% - Accent6 6 3 10 2" xfId="24039" xr:uid="{00000000-0005-0000-0000-0000FA4F0000}"/>
    <cellStyle name="40% - Accent6 6 3 11" xfId="22581" xr:uid="{00000000-0005-0000-0000-0000FB4F0000}"/>
    <cellStyle name="40% - Accent6 6 3 2" xfId="5162" xr:uid="{00000000-0005-0000-0000-0000FC4F0000}"/>
    <cellStyle name="40% - Accent6 6 3 2 2" xfId="5163" xr:uid="{00000000-0005-0000-0000-0000FD4F0000}"/>
    <cellStyle name="40% - Accent6 6 3 2 2 2" xfId="11292" xr:uid="{00000000-0005-0000-0000-0000FE4F0000}"/>
    <cellStyle name="40% - Accent6 6 3 2 2 2 2" xfId="25234" xr:uid="{00000000-0005-0000-0000-0000FF4F0000}"/>
    <cellStyle name="40% - Accent6 6 3 2 2 3" xfId="22580" xr:uid="{00000000-0005-0000-0000-000000500000}"/>
    <cellStyle name="40% - Accent6 6 3 2 3" xfId="5164" xr:uid="{00000000-0005-0000-0000-000001500000}"/>
    <cellStyle name="40% - Accent6 6 3 2 3 2" xfId="13083" xr:uid="{00000000-0005-0000-0000-000002500000}"/>
    <cellStyle name="40% - Accent6 6 3 2 3 2 2" xfId="26795" xr:uid="{00000000-0005-0000-0000-000003500000}"/>
    <cellStyle name="40% - Accent6 6 3 2 3 3" xfId="24434" xr:uid="{00000000-0005-0000-0000-000004500000}"/>
    <cellStyle name="40% - Accent6 6 3 2 4" xfId="5165" xr:uid="{00000000-0005-0000-0000-000005500000}"/>
    <cellStyle name="40% - Accent6 6 3 2 4 2" xfId="15566" xr:uid="{00000000-0005-0000-0000-000006500000}"/>
    <cellStyle name="40% - Accent6 6 3 2 4 2 2" xfId="29115" xr:uid="{00000000-0005-0000-0000-000007500000}"/>
    <cellStyle name="40% - Accent6 6 3 2 4 3" xfId="29130" xr:uid="{00000000-0005-0000-0000-000008500000}"/>
    <cellStyle name="40% - Accent6 6 3 2 5" xfId="5166" xr:uid="{00000000-0005-0000-0000-000009500000}"/>
    <cellStyle name="40% - Accent6 6 3 2 5 2" xfId="16849" xr:uid="{00000000-0005-0000-0000-00000A500000}"/>
    <cellStyle name="40% - Accent6 6 3 2 5 2 2" xfId="30256" xr:uid="{00000000-0005-0000-0000-00000B500000}"/>
    <cellStyle name="40% - Accent6 6 3 2 5 3" xfId="22579" xr:uid="{00000000-0005-0000-0000-00000C500000}"/>
    <cellStyle name="40% - Accent6 6 3 2 6" xfId="9565" xr:uid="{00000000-0005-0000-0000-00000D500000}"/>
    <cellStyle name="40% - Accent6 6 3 2 6 2" xfId="24040" xr:uid="{00000000-0005-0000-0000-00000E500000}"/>
    <cellStyle name="40% - Accent6 6 3 2 7" xfId="25244" xr:uid="{00000000-0005-0000-0000-00000F500000}"/>
    <cellStyle name="40% - Accent6 6 3 3" xfId="5167" xr:uid="{00000000-0005-0000-0000-000010500000}"/>
    <cellStyle name="40% - Accent6 6 3 3 2" xfId="5168" xr:uid="{00000000-0005-0000-0000-000011500000}"/>
    <cellStyle name="40% - Accent6 6 3 3 2 2" xfId="15567" xr:uid="{00000000-0005-0000-0000-000012500000}"/>
    <cellStyle name="40% - Accent6 6 3 3 2 2 2" xfId="29116" xr:uid="{00000000-0005-0000-0000-000013500000}"/>
    <cellStyle name="40% - Accent6 6 3 3 2 3" xfId="24064" xr:uid="{00000000-0005-0000-0000-000014500000}"/>
    <cellStyle name="40% - Accent6 6 3 3 3" xfId="11291" xr:uid="{00000000-0005-0000-0000-000015500000}"/>
    <cellStyle name="40% - Accent6 6 3 3 3 2" xfId="25233" xr:uid="{00000000-0005-0000-0000-000016500000}"/>
    <cellStyle name="40% - Accent6 6 3 3 4" xfId="22578" xr:uid="{00000000-0005-0000-0000-000017500000}"/>
    <cellStyle name="40% - Accent6 6 3 4" xfId="5169" xr:uid="{00000000-0005-0000-0000-000018500000}"/>
    <cellStyle name="40% - Accent6 6 3 4 2" xfId="12237" xr:uid="{00000000-0005-0000-0000-000019500000}"/>
    <cellStyle name="40% - Accent6 6 3 4 2 2" xfId="25949" xr:uid="{00000000-0005-0000-0000-00001A500000}"/>
    <cellStyle name="40% - Accent6 6 3 4 3" xfId="22577" xr:uid="{00000000-0005-0000-0000-00001B500000}"/>
    <cellStyle name="40% - Accent6 6 3 5" xfId="5170" xr:uid="{00000000-0005-0000-0000-00001C500000}"/>
    <cellStyle name="40% - Accent6 6 3 5 2" xfId="13082" xr:uid="{00000000-0005-0000-0000-00001D500000}"/>
    <cellStyle name="40% - Accent6 6 3 5 2 2" xfId="26794" xr:uid="{00000000-0005-0000-0000-00001E500000}"/>
    <cellStyle name="40% - Accent6 6 3 5 3" xfId="24063" xr:uid="{00000000-0005-0000-0000-00001F500000}"/>
    <cellStyle name="40% - Accent6 6 3 6" xfId="5171" xr:uid="{00000000-0005-0000-0000-000020500000}"/>
    <cellStyle name="40% - Accent6 6 3 6 2" xfId="13801" xr:uid="{00000000-0005-0000-0000-000021500000}"/>
    <cellStyle name="40% - Accent6 6 3 6 2 2" xfId="27350" xr:uid="{00000000-0005-0000-0000-000022500000}"/>
    <cellStyle name="40% - Accent6 6 3 6 3" xfId="22576" xr:uid="{00000000-0005-0000-0000-000023500000}"/>
    <cellStyle name="40% - Accent6 6 3 7" xfId="5172" xr:uid="{00000000-0005-0000-0000-000024500000}"/>
    <cellStyle name="40% - Accent6 6 3 7 2" xfId="14382" xr:uid="{00000000-0005-0000-0000-000025500000}"/>
    <cellStyle name="40% - Accent6 6 3 7 2 2" xfId="27931" xr:uid="{00000000-0005-0000-0000-000026500000}"/>
    <cellStyle name="40% - Accent6 6 3 7 3" xfId="23251" xr:uid="{00000000-0005-0000-0000-000027500000}"/>
    <cellStyle name="40% - Accent6 6 3 8" xfId="5173" xr:uid="{00000000-0005-0000-0000-000028500000}"/>
    <cellStyle name="40% - Accent6 6 3 8 2" xfId="15565" xr:uid="{00000000-0005-0000-0000-000029500000}"/>
    <cellStyle name="40% - Accent6 6 3 8 2 2" xfId="29114" xr:uid="{00000000-0005-0000-0000-00002A500000}"/>
    <cellStyle name="40% - Accent6 6 3 8 3" xfId="24061" xr:uid="{00000000-0005-0000-0000-00002B500000}"/>
    <cellStyle name="40% - Accent6 6 3 9" xfId="5174" xr:uid="{00000000-0005-0000-0000-00002C500000}"/>
    <cellStyle name="40% - Accent6 6 3 9 2" xfId="16268" xr:uid="{00000000-0005-0000-0000-00002D500000}"/>
    <cellStyle name="40% - Accent6 6 3 9 2 2" xfId="29675" xr:uid="{00000000-0005-0000-0000-00002E500000}"/>
    <cellStyle name="40% - Accent6 6 3 9 3" xfId="22575" xr:uid="{00000000-0005-0000-0000-00002F500000}"/>
    <cellStyle name="40% - Accent6 6 4" xfId="5175" xr:uid="{00000000-0005-0000-0000-000030500000}"/>
    <cellStyle name="40% - Accent6 6 4 2" xfId="5176" xr:uid="{00000000-0005-0000-0000-000031500000}"/>
    <cellStyle name="40% - Accent6 6 4 2 2" xfId="11293" xr:uid="{00000000-0005-0000-0000-000032500000}"/>
    <cellStyle name="40% - Accent6 6 4 2 2 2" xfId="25235" xr:uid="{00000000-0005-0000-0000-000033500000}"/>
    <cellStyle name="40% - Accent6 6 4 2 3" xfId="22574" xr:uid="{00000000-0005-0000-0000-000034500000}"/>
    <cellStyle name="40% - Accent6 6 4 3" xfId="5177" xr:uid="{00000000-0005-0000-0000-000035500000}"/>
    <cellStyle name="40% - Accent6 6 4 3 2" xfId="13084" xr:uid="{00000000-0005-0000-0000-000036500000}"/>
    <cellStyle name="40% - Accent6 6 4 3 2 2" xfId="26796" xr:uid="{00000000-0005-0000-0000-000037500000}"/>
    <cellStyle name="40% - Accent6 6 4 3 3" xfId="24059" xr:uid="{00000000-0005-0000-0000-000038500000}"/>
    <cellStyle name="40% - Accent6 6 4 4" xfId="5178" xr:uid="{00000000-0005-0000-0000-000039500000}"/>
    <cellStyle name="40% - Accent6 6 4 4 2" xfId="15568" xr:uid="{00000000-0005-0000-0000-00003A500000}"/>
    <cellStyle name="40% - Accent6 6 4 4 2 2" xfId="29117" xr:uid="{00000000-0005-0000-0000-00003B500000}"/>
    <cellStyle name="40% - Accent6 6 4 4 3" xfId="22573" xr:uid="{00000000-0005-0000-0000-00003C500000}"/>
    <cellStyle name="40% - Accent6 6 4 5" xfId="5179" xr:uid="{00000000-0005-0000-0000-00003D500000}"/>
    <cellStyle name="40% - Accent6 6 4 5 2" xfId="16560" xr:uid="{00000000-0005-0000-0000-00003E500000}"/>
    <cellStyle name="40% - Accent6 6 4 5 2 2" xfId="29967" xr:uid="{00000000-0005-0000-0000-00003F500000}"/>
    <cellStyle name="40% - Accent6 6 4 5 3" xfId="24058" xr:uid="{00000000-0005-0000-0000-000040500000}"/>
    <cellStyle name="40% - Accent6 6 4 6" xfId="9566" xr:uid="{00000000-0005-0000-0000-000041500000}"/>
    <cellStyle name="40% - Accent6 6 4 6 2" xfId="24041" xr:uid="{00000000-0005-0000-0000-000042500000}"/>
    <cellStyle name="40% - Accent6 6 4 7" xfId="24060" xr:uid="{00000000-0005-0000-0000-000043500000}"/>
    <cellStyle name="40% - Accent6 6 5" xfId="5180" xr:uid="{00000000-0005-0000-0000-000044500000}"/>
    <cellStyle name="40% - Accent6 6 5 2" xfId="5181" xr:uid="{00000000-0005-0000-0000-000045500000}"/>
    <cellStyle name="40% - Accent6 6 5 2 2" xfId="15569" xr:uid="{00000000-0005-0000-0000-000046500000}"/>
    <cellStyle name="40% - Accent6 6 5 2 2 2" xfId="29118" xr:uid="{00000000-0005-0000-0000-000047500000}"/>
    <cellStyle name="40% - Accent6 6 5 2 3" xfId="24056" xr:uid="{00000000-0005-0000-0000-000048500000}"/>
    <cellStyle name="40% - Accent6 6 5 3" xfId="11286" xr:uid="{00000000-0005-0000-0000-000049500000}"/>
    <cellStyle name="40% - Accent6 6 5 3 2" xfId="25228" xr:uid="{00000000-0005-0000-0000-00004A500000}"/>
    <cellStyle name="40% - Accent6 6 5 4" xfId="22572" xr:uid="{00000000-0005-0000-0000-00004B500000}"/>
    <cellStyle name="40% - Accent6 6 6" xfId="5182" xr:uid="{00000000-0005-0000-0000-00004C500000}"/>
    <cellStyle name="40% - Accent6 6 6 2" xfId="11935" xr:uid="{00000000-0005-0000-0000-00004D500000}"/>
    <cellStyle name="40% - Accent6 6 6 2 2" xfId="25650" xr:uid="{00000000-0005-0000-0000-00004E500000}"/>
    <cellStyle name="40% - Accent6 6 6 3" xfId="24057" xr:uid="{00000000-0005-0000-0000-00004F500000}"/>
    <cellStyle name="40% - Accent6 6 7" xfId="5183" xr:uid="{00000000-0005-0000-0000-000050500000}"/>
    <cellStyle name="40% - Accent6 6 7 2" xfId="13077" xr:uid="{00000000-0005-0000-0000-000051500000}"/>
    <cellStyle name="40% - Accent6 6 7 2 2" xfId="26789" xr:uid="{00000000-0005-0000-0000-000052500000}"/>
    <cellStyle name="40% - Accent6 6 7 3" xfId="22571" xr:uid="{00000000-0005-0000-0000-000053500000}"/>
    <cellStyle name="40% - Accent6 6 8" xfId="5184" xr:uid="{00000000-0005-0000-0000-000054500000}"/>
    <cellStyle name="40% - Accent6 6 8 2" xfId="13512" xr:uid="{00000000-0005-0000-0000-000055500000}"/>
    <cellStyle name="40% - Accent6 6 8 2 2" xfId="27061" xr:uid="{00000000-0005-0000-0000-000056500000}"/>
    <cellStyle name="40% - Accent6 6 8 3" xfId="22570" xr:uid="{00000000-0005-0000-0000-000057500000}"/>
    <cellStyle name="40% - Accent6 6 9" xfId="5185" xr:uid="{00000000-0005-0000-0000-000058500000}"/>
    <cellStyle name="40% - Accent6 6 9 2" xfId="14093" xr:uid="{00000000-0005-0000-0000-000059500000}"/>
    <cellStyle name="40% - Accent6 6 9 2 2" xfId="27642" xr:uid="{00000000-0005-0000-0000-00005A500000}"/>
    <cellStyle name="40% - Accent6 6 9 3" xfId="24055" xr:uid="{00000000-0005-0000-0000-00005B500000}"/>
    <cellStyle name="40% - Accent6 7" xfId="5186" xr:uid="{00000000-0005-0000-0000-00005C500000}"/>
    <cellStyle name="40% - Accent6 7 10" xfId="5187" xr:uid="{00000000-0005-0000-0000-00005D500000}"/>
    <cellStyle name="40% - Accent6 7 10 2" xfId="15999" xr:uid="{00000000-0005-0000-0000-00005E500000}"/>
    <cellStyle name="40% - Accent6 7 10 2 2" xfId="29406" xr:uid="{00000000-0005-0000-0000-00005F500000}"/>
    <cellStyle name="40% - Accent6 7 10 3" xfId="22569" xr:uid="{00000000-0005-0000-0000-000060500000}"/>
    <cellStyle name="40% - Accent6 7 11" xfId="9567" xr:uid="{00000000-0005-0000-0000-000061500000}"/>
    <cellStyle name="40% - Accent6 7 11 2" xfId="24042" xr:uid="{00000000-0005-0000-0000-000062500000}"/>
    <cellStyle name="40% - Accent6 7 12" xfId="26804" xr:uid="{00000000-0005-0000-0000-000063500000}"/>
    <cellStyle name="40% - Accent6 7 2" xfId="5188" xr:uid="{00000000-0005-0000-0000-000064500000}"/>
    <cellStyle name="40% - Accent6 7 2 10" xfId="9568" xr:uid="{00000000-0005-0000-0000-000065500000}"/>
    <cellStyle name="40% - Accent6 7 2 10 2" xfId="24043" xr:uid="{00000000-0005-0000-0000-000066500000}"/>
    <cellStyle name="40% - Accent6 7 2 11" xfId="26805" xr:uid="{00000000-0005-0000-0000-000067500000}"/>
    <cellStyle name="40% - Accent6 7 2 2" xfId="5189" xr:uid="{00000000-0005-0000-0000-000068500000}"/>
    <cellStyle name="40% - Accent6 7 2 2 2" xfId="5190" xr:uid="{00000000-0005-0000-0000-000069500000}"/>
    <cellStyle name="40% - Accent6 7 2 2 2 2" xfId="11296" xr:uid="{00000000-0005-0000-0000-00006A500000}"/>
    <cellStyle name="40% - Accent6 7 2 2 2 2 2" xfId="25238" xr:uid="{00000000-0005-0000-0000-00006B500000}"/>
    <cellStyle name="40% - Accent6 7 2 2 2 3" xfId="22567" xr:uid="{00000000-0005-0000-0000-00006C500000}"/>
    <cellStyle name="40% - Accent6 7 2 2 3" xfId="5191" xr:uid="{00000000-0005-0000-0000-00006D500000}"/>
    <cellStyle name="40% - Accent6 7 2 2 3 2" xfId="13087" xr:uid="{00000000-0005-0000-0000-00006E500000}"/>
    <cellStyle name="40% - Accent6 7 2 2 3 2 2" xfId="26799" xr:uid="{00000000-0005-0000-0000-00006F500000}"/>
    <cellStyle name="40% - Accent6 7 2 2 3 3" xfId="24053" xr:uid="{00000000-0005-0000-0000-000070500000}"/>
    <cellStyle name="40% - Accent6 7 2 2 4" xfId="5192" xr:uid="{00000000-0005-0000-0000-000071500000}"/>
    <cellStyle name="40% - Accent6 7 2 2 4 2" xfId="15572" xr:uid="{00000000-0005-0000-0000-000072500000}"/>
    <cellStyle name="40% - Accent6 7 2 2 4 2 2" xfId="29121" xr:uid="{00000000-0005-0000-0000-000073500000}"/>
    <cellStyle name="40% - Accent6 7 2 2 4 3" xfId="24054" xr:uid="{00000000-0005-0000-0000-000074500000}"/>
    <cellStyle name="40% - Accent6 7 2 2 5" xfId="5193" xr:uid="{00000000-0005-0000-0000-000075500000}"/>
    <cellStyle name="40% - Accent6 7 2 2 5 2" xfId="16869" xr:uid="{00000000-0005-0000-0000-000076500000}"/>
    <cellStyle name="40% - Accent6 7 2 2 5 2 2" xfId="30276" xr:uid="{00000000-0005-0000-0000-000077500000}"/>
    <cellStyle name="40% - Accent6 7 2 2 5 3" xfId="22566" xr:uid="{00000000-0005-0000-0000-000078500000}"/>
    <cellStyle name="40% - Accent6 7 2 2 6" xfId="9569" xr:uid="{00000000-0005-0000-0000-000079500000}"/>
    <cellStyle name="40% - Accent6 7 2 2 6 2" xfId="24044" xr:uid="{00000000-0005-0000-0000-00007A500000}"/>
    <cellStyle name="40% - Accent6 7 2 2 7" xfId="22568" xr:uid="{00000000-0005-0000-0000-00007B500000}"/>
    <cellStyle name="40% - Accent6 7 2 3" xfId="5194" xr:uid="{00000000-0005-0000-0000-00007C500000}"/>
    <cellStyle name="40% - Accent6 7 2 3 2" xfId="5195" xr:uid="{00000000-0005-0000-0000-00007D500000}"/>
    <cellStyle name="40% - Accent6 7 2 3 2 2" xfId="15573" xr:uid="{00000000-0005-0000-0000-00007E500000}"/>
    <cellStyle name="40% - Accent6 7 2 3 2 2 2" xfId="29122" xr:uid="{00000000-0005-0000-0000-00007F500000}"/>
    <cellStyle name="40% - Accent6 7 2 3 2 3" xfId="24052" xr:uid="{00000000-0005-0000-0000-000080500000}"/>
    <cellStyle name="40% - Accent6 7 2 3 3" xfId="11295" xr:uid="{00000000-0005-0000-0000-000081500000}"/>
    <cellStyle name="40% - Accent6 7 2 3 3 2" xfId="25237" xr:uid="{00000000-0005-0000-0000-000082500000}"/>
    <cellStyle name="40% - Accent6 7 2 3 4" xfId="22565" xr:uid="{00000000-0005-0000-0000-000083500000}"/>
    <cellStyle name="40% - Accent6 7 2 4" xfId="5196" xr:uid="{00000000-0005-0000-0000-000084500000}"/>
    <cellStyle name="40% - Accent6 7 2 4 2" xfId="12257" xr:uid="{00000000-0005-0000-0000-000085500000}"/>
    <cellStyle name="40% - Accent6 7 2 4 2 2" xfId="25969" xr:uid="{00000000-0005-0000-0000-000086500000}"/>
    <cellStyle name="40% - Accent6 7 2 4 3" xfId="22564" xr:uid="{00000000-0005-0000-0000-000087500000}"/>
    <cellStyle name="40% - Accent6 7 2 5" xfId="5197" xr:uid="{00000000-0005-0000-0000-000088500000}"/>
    <cellStyle name="40% - Accent6 7 2 5 2" xfId="13086" xr:uid="{00000000-0005-0000-0000-000089500000}"/>
    <cellStyle name="40% - Accent6 7 2 5 2 2" xfId="26798" xr:uid="{00000000-0005-0000-0000-00008A500000}"/>
    <cellStyle name="40% - Accent6 7 2 5 3" xfId="24049" xr:uid="{00000000-0005-0000-0000-00008B500000}"/>
    <cellStyle name="40% - Accent6 7 2 6" xfId="5198" xr:uid="{00000000-0005-0000-0000-00008C500000}"/>
    <cellStyle name="40% - Accent6 7 2 6 2" xfId="13821" xr:uid="{00000000-0005-0000-0000-00008D500000}"/>
    <cellStyle name="40% - Accent6 7 2 6 2 2" xfId="27370" xr:uid="{00000000-0005-0000-0000-00008E500000}"/>
    <cellStyle name="40% - Accent6 7 2 6 3" xfId="22563" xr:uid="{00000000-0005-0000-0000-00008F500000}"/>
    <cellStyle name="40% - Accent6 7 2 7" xfId="5199" xr:uid="{00000000-0005-0000-0000-000090500000}"/>
    <cellStyle name="40% - Accent6 7 2 7 2" xfId="14402" xr:uid="{00000000-0005-0000-0000-000091500000}"/>
    <cellStyle name="40% - Accent6 7 2 7 2 2" xfId="27951" xr:uid="{00000000-0005-0000-0000-000092500000}"/>
    <cellStyle name="40% - Accent6 7 2 7 3" xfId="25243" xr:uid="{00000000-0005-0000-0000-000093500000}"/>
    <cellStyle name="40% - Accent6 7 2 8" xfId="5200" xr:uid="{00000000-0005-0000-0000-000094500000}"/>
    <cellStyle name="40% - Accent6 7 2 8 2" xfId="15571" xr:uid="{00000000-0005-0000-0000-000095500000}"/>
    <cellStyle name="40% - Accent6 7 2 8 2 2" xfId="29120" xr:uid="{00000000-0005-0000-0000-000096500000}"/>
    <cellStyle name="40% - Accent6 7 2 8 3" xfId="22562" xr:uid="{00000000-0005-0000-0000-000097500000}"/>
    <cellStyle name="40% - Accent6 7 2 9" xfId="5201" xr:uid="{00000000-0005-0000-0000-000098500000}"/>
    <cellStyle name="40% - Accent6 7 2 9 2" xfId="16288" xr:uid="{00000000-0005-0000-0000-000099500000}"/>
    <cellStyle name="40% - Accent6 7 2 9 2 2" xfId="29695" xr:uid="{00000000-0005-0000-0000-00009A500000}"/>
    <cellStyle name="40% - Accent6 7 2 9 3" xfId="24433" xr:uid="{00000000-0005-0000-0000-00009B500000}"/>
    <cellStyle name="40% - Accent6 7 3" xfId="5202" xr:uid="{00000000-0005-0000-0000-00009C500000}"/>
    <cellStyle name="40% - Accent6 7 3 2" xfId="5203" xr:uid="{00000000-0005-0000-0000-00009D500000}"/>
    <cellStyle name="40% - Accent6 7 3 2 2" xfId="11297" xr:uid="{00000000-0005-0000-0000-00009E500000}"/>
    <cellStyle name="40% - Accent6 7 3 2 2 2" xfId="25239" xr:uid="{00000000-0005-0000-0000-00009F500000}"/>
    <cellStyle name="40% - Accent6 7 3 2 3" xfId="22561" xr:uid="{00000000-0005-0000-0000-0000A0500000}"/>
    <cellStyle name="40% - Accent6 7 3 3" xfId="5204" xr:uid="{00000000-0005-0000-0000-0000A1500000}"/>
    <cellStyle name="40% - Accent6 7 3 3 2" xfId="13088" xr:uid="{00000000-0005-0000-0000-0000A2500000}"/>
    <cellStyle name="40% - Accent6 7 3 3 2 2" xfId="26800" xr:uid="{00000000-0005-0000-0000-0000A3500000}"/>
    <cellStyle name="40% - Accent6 7 3 3 3" xfId="22560" xr:uid="{00000000-0005-0000-0000-0000A4500000}"/>
    <cellStyle name="40% - Accent6 7 3 4" xfId="5205" xr:uid="{00000000-0005-0000-0000-0000A5500000}"/>
    <cellStyle name="40% - Accent6 7 3 4 2" xfId="15574" xr:uid="{00000000-0005-0000-0000-0000A6500000}"/>
    <cellStyle name="40% - Accent6 7 3 4 2 2" xfId="29123" xr:uid="{00000000-0005-0000-0000-0000A7500000}"/>
    <cellStyle name="40% - Accent6 7 3 4 3" xfId="24051" xr:uid="{00000000-0005-0000-0000-0000A8500000}"/>
    <cellStyle name="40% - Accent6 7 3 5" xfId="5206" xr:uid="{00000000-0005-0000-0000-0000A9500000}"/>
    <cellStyle name="40% - Accent6 7 3 5 2" xfId="16580" xr:uid="{00000000-0005-0000-0000-0000AA500000}"/>
    <cellStyle name="40% - Accent6 7 3 5 2 2" xfId="29987" xr:uid="{00000000-0005-0000-0000-0000AB500000}"/>
    <cellStyle name="40% - Accent6 7 3 5 3" xfId="22559" xr:uid="{00000000-0005-0000-0000-0000AC500000}"/>
    <cellStyle name="40% - Accent6 7 3 6" xfId="9570" xr:uid="{00000000-0005-0000-0000-0000AD500000}"/>
    <cellStyle name="40% - Accent6 7 3 6 2" xfId="24045" xr:uid="{00000000-0005-0000-0000-0000AE500000}"/>
    <cellStyle name="40% - Accent6 7 3 7" xfId="29129" xr:uid="{00000000-0005-0000-0000-0000AF500000}"/>
    <cellStyle name="40% - Accent6 7 4" xfId="5207" xr:uid="{00000000-0005-0000-0000-0000B0500000}"/>
    <cellStyle name="40% - Accent6 7 4 2" xfId="5208" xr:uid="{00000000-0005-0000-0000-0000B1500000}"/>
    <cellStyle name="40% - Accent6 7 4 2 2" xfId="15575" xr:uid="{00000000-0005-0000-0000-0000B2500000}"/>
    <cellStyle name="40% - Accent6 7 4 2 2 2" xfId="29124" xr:uid="{00000000-0005-0000-0000-0000B3500000}"/>
    <cellStyle name="40% - Accent6 7 4 2 3" xfId="22558" xr:uid="{00000000-0005-0000-0000-0000B4500000}"/>
    <cellStyle name="40% - Accent6 7 4 3" xfId="11294" xr:uid="{00000000-0005-0000-0000-0000B5500000}"/>
    <cellStyle name="40% - Accent6 7 4 3 2" xfId="25236" xr:uid="{00000000-0005-0000-0000-0000B6500000}"/>
    <cellStyle name="40% - Accent6 7 4 4" xfId="24050" xr:uid="{00000000-0005-0000-0000-0000B7500000}"/>
    <cellStyle name="40% - Accent6 7 5" xfId="5209" xr:uid="{00000000-0005-0000-0000-0000B8500000}"/>
    <cellStyle name="40% - Accent6 7 5 2" xfId="11955" xr:uid="{00000000-0005-0000-0000-0000B9500000}"/>
    <cellStyle name="40% - Accent6 7 5 2 2" xfId="25670" xr:uid="{00000000-0005-0000-0000-0000BA500000}"/>
    <cellStyle name="40% - Accent6 7 5 3" xfId="23248" xr:uid="{00000000-0005-0000-0000-0000BB500000}"/>
    <cellStyle name="40% - Accent6 7 6" xfId="5210" xr:uid="{00000000-0005-0000-0000-0000BC500000}"/>
    <cellStyle name="40% - Accent6 7 6 2" xfId="13085" xr:uid="{00000000-0005-0000-0000-0000BD500000}"/>
    <cellStyle name="40% - Accent6 7 6 2 2" xfId="26797" xr:uid="{00000000-0005-0000-0000-0000BE500000}"/>
    <cellStyle name="40% - Accent6 7 6 3" xfId="22557" xr:uid="{00000000-0005-0000-0000-0000BF500000}"/>
    <cellStyle name="40% - Accent6 7 7" xfId="5211" xr:uid="{00000000-0005-0000-0000-0000C0500000}"/>
    <cellStyle name="40% - Accent6 7 7 2" xfId="13532" xr:uid="{00000000-0005-0000-0000-0000C1500000}"/>
    <cellStyle name="40% - Accent6 7 7 2 2" xfId="27081" xr:uid="{00000000-0005-0000-0000-0000C2500000}"/>
    <cellStyle name="40% - Accent6 7 7 3" xfId="22556" xr:uid="{00000000-0005-0000-0000-0000C3500000}"/>
    <cellStyle name="40% - Accent6 7 8" xfId="5212" xr:uid="{00000000-0005-0000-0000-0000C4500000}"/>
    <cellStyle name="40% - Accent6 7 8 2" xfId="14113" xr:uid="{00000000-0005-0000-0000-0000C5500000}"/>
    <cellStyle name="40% - Accent6 7 8 2 2" xfId="27662" xr:uid="{00000000-0005-0000-0000-0000C6500000}"/>
    <cellStyle name="40% - Accent6 7 8 3" xfId="22555" xr:uid="{00000000-0005-0000-0000-0000C7500000}"/>
    <cellStyle name="40% - Accent6 7 9" xfId="5213" xr:uid="{00000000-0005-0000-0000-0000C8500000}"/>
    <cellStyle name="40% - Accent6 7 9 2" xfId="15570" xr:uid="{00000000-0005-0000-0000-0000C9500000}"/>
    <cellStyle name="40% - Accent6 7 9 2 2" xfId="29119" xr:uid="{00000000-0005-0000-0000-0000CA500000}"/>
    <cellStyle name="40% - Accent6 7 9 3" xfId="22554" xr:uid="{00000000-0005-0000-0000-0000CB500000}"/>
    <cellStyle name="40% - Accent6 8" xfId="5214" xr:uid="{00000000-0005-0000-0000-0000CC500000}"/>
    <cellStyle name="40% - Accent6 8 10" xfId="9571" xr:uid="{00000000-0005-0000-0000-0000CD500000}"/>
    <cellStyle name="40% - Accent6 8 10 2" xfId="24046" xr:uid="{00000000-0005-0000-0000-0000CE500000}"/>
    <cellStyle name="40% - Accent6 8 11" xfId="22553" xr:uid="{00000000-0005-0000-0000-0000CF500000}"/>
    <cellStyle name="40% - Accent6 8 2" xfId="5215" xr:uid="{00000000-0005-0000-0000-0000D0500000}"/>
    <cellStyle name="40% - Accent6 8 2 2" xfId="5216" xr:uid="{00000000-0005-0000-0000-0000D1500000}"/>
    <cellStyle name="40% - Accent6 8 2 2 2" xfId="11299" xr:uid="{00000000-0005-0000-0000-0000D2500000}"/>
    <cellStyle name="40% - Accent6 8 2 2 2 2" xfId="25241" xr:uid="{00000000-0005-0000-0000-0000D3500000}"/>
    <cellStyle name="40% - Accent6 8 2 2 3" xfId="22551" xr:uid="{00000000-0005-0000-0000-0000D4500000}"/>
    <cellStyle name="40% - Accent6 8 2 3" xfId="5217" xr:uid="{00000000-0005-0000-0000-0000D5500000}"/>
    <cellStyle name="40% - Accent6 8 2 3 2" xfId="13090" xr:uid="{00000000-0005-0000-0000-0000D6500000}"/>
    <cellStyle name="40% - Accent6 8 2 3 2 2" xfId="26802" xr:uid="{00000000-0005-0000-0000-0000D7500000}"/>
    <cellStyle name="40% - Accent6 8 2 3 3" xfId="22550" xr:uid="{00000000-0005-0000-0000-0000D8500000}"/>
    <cellStyle name="40% - Accent6 8 2 4" xfId="5218" xr:uid="{00000000-0005-0000-0000-0000D9500000}"/>
    <cellStyle name="40% - Accent6 8 2 4 2" xfId="15577" xr:uid="{00000000-0005-0000-0000-0000DA500000}"/>
    <cellStyle name="40% - Accent6 8 2 4 2 2" xfId="29126" xr:uid="{00000000-0005-0000-0000-0000DB500000}"/>
    <cellStyle name="40% - Accent6 8 2 4 3" xfId="22549" xr:uid="{00000000-0005-0000-0000-0000DC500000}"/>
    <cellStyle name="40% - Accent6 8 2 5" xfId="5219" xr:uid="{00000000-0005-0000-0000-0000DD500000}"/>
    <cellStyle name="40% - Accent6 8 2 5 2" xfId="16723" xr:uid="{00000000-0005-0000-0000-0000DE500000}"/>
    <cellStyle name="40% - Accent6 8 2 5 2 2" xfId="30130" xr:uid="{00000000-0005-0000-0000-0000DF500000}"/>
    <cellStyle name="40% - Accent6 8 2 5 3" xfId="22548" xr:uid="{00000000-0005-0000-0000-0000E0500000}"/>
    <cellStyle name="40% - Accent6 8 2 6" xfId="9572" xr:uid="{00000000-0005-0000-0000-0000E1500000}"/>
    <cellStyle name="40% - Accent6 8 2 6 2" xfId="24047" xr:uid="{00000000-0005-0000-0000-0000E2500000}"/>
    <cellStyle name="40% - Accent6 8 2 7" xfId="22552" xr:uid="{00000000-0005-0000-0000-0000E3500000}"/>
    <cellStyle name="40% - Accent6 8 3" xfId="5220" xr:uid="{00000000-0005-0000-0000-0000E4500000}"/>
    <cellStyle name="40% - Accent6 8 3 2" xfId="5221" xr:uid="{00000000-0005-0000-0000-0000E5500000}"/>
    <cellStyle name="40% - Accent6 8 3 2 2" xfId="15578" xr:uid="{00000000-0005-0000-0000-0000E6500000}"/>
    <cellStyle name="40% - Accent6 8 3 2 2 2" xfId="29127" xr:uid="{00000000-0005-0000-0000-0000E7500000}"/>
    <cellStyle name="40% - Accent6 8 3 2 3" xfId="22546" xr:uid="{00000000-0005-0000-0000-0000E8500000}"/>
    <cellStyle name="40% - Accent6 8 3 3" xfId="11298" xr:uid="{00000000-0005-0000-0000-0000E9500000}"/>
    <cellStyle name="40% - Accent6 8 3 3 2" xfId="25240" xr:uid="{00000000-0005-0000-0000-0000EA500000}"/>
    <cellStyle name="40% - Accent6 8 3 4" xfId="22547" xr:uid="{00000000-0005-0000-0000-0000EB500000}"/>
    <cellStyle name="40% - Accent6 8 4" xfId="5222" xr:uid="{00000000-0005-0000-0000-0000EC500000}"/>
    <cellStyle name="40% - Accent6 8 4 2" xfId="12101" xr:uid="{00000000-0005-0000-0000-0000ED500000}"/>
    <cellStyle name="40% - Accent6 8 4 2 2" xfId="25815" xr:uid="{00000000-0005-0000-0000-0000EE500000}"/>
    <cellStyle name="40% - Accent6 8 4 3" xfId="22545" xr:uid="{00000000-0005-0000-0000-0000EF500000}"/>
    <cellStyle name="40% - Accent6 8 5" xfId="5223" xr:uid="{00000000-0005-0000-0000-0000F0500000}"/>
    <cellStyle name="40% - Accent6 8 5 2" xfId="13089" xr:uid="{00000000-0005-0000-0000-0000F1500000}"/>
    <cellStyle name="40% - Accent6 8 5 2 2" xfId="26801" xr:uid="{00000000-0005-0000-0000-0000F2500000}"/>
    <cellStyle name="40% - Accent6 8 5 3" xfId="22544" xr:uid="{00000000-0005-0000-0000-0000F3500000}"/>
    <cellStyle name="40% - Accent6 8 6" xfId="5224" xr:uid="{00000000-0005-0000-0000-0000F4500000}"/>
    <cellStyle name="40% - Accent6 8 6 2" xfId="13675" xr:uid="{00000000-0005-0000-0000-0000F5500000}"/>
    <cellStyle name="40% - Accent6 8 6 2 2" xfId="27224" xr:uid="{00000000-0005-0000-0000-0000F6500000}"/>
    <cellStyle name="40% - Accent6 8 6 3" xfId="22543" xr:uid="{00000000-0005-0000-0000-0000F7500000}"/>
    <cellStyle name="40% - Accent6 8 7" xfId="5225" xr:uid="{00000000-0005-0000-0000-0000F8500000}"/>
    <cellStyle name="40% - Accent6 8 7 2" xfId="14256" xr:uid="{00000000-0005-0000-0000-0000F9500000}"/>
    <cellStyle name="40% - Accent6 8 7 2 2" xfId="27805" xr:uid="{00000000-0005-0000-0000-0000FA500000}"/>
    <cellStyle name="40% - Accent6 8 7 3" xfId="22542" xr:uid="{00000000-0005-0000-0000-0000FB500000}"/>
    <cellStyle name="40% - Accent6 8 8" xfId="5226" xr:uid="{00000000-0005-0000-0000-0000FC500000}"/>
    <cellStyle name="40% - Accent6 8 8 2" xfId="15576" xr:uid="{00000000-0005-0000-0000-0000FD500000}"/>
    <cellStyle name="40% - Accent6 8 8 2 2" xfId="29125" xr:uid="{00000000-0005-0000-0000-0000FE500000}"/>
    <cellStyle name="40% - Accent6 8 8 3" xfId="22541" xr:uid="{00000000-0005-0000-0000-0000FF500000}"/>
    <cellStyle name="40% - Accent6 8 9" xfId="5227" xr:uid="{00000000-0005-0000-0000-000000510000}"/>
    <cellStyle name="40% - Accent6 8 9 2" xfId="16142" xr:uid="{00000000-0005-0000-0000-000001510000}"/>
    <cellStyle name="40% - Accent6 8 9 2 2" xfId="29549" xr:uid="{00000000-0005-0000-0000-000002510000}"/>
    <cellStyle name="40% - Accent6 8 9 3" xfId="22540" xr:uid="{00000000-0005-0000-0000-000003510000}"/>
    <cellStyle name="40% - Accent6 9" xfId="5228" xr:uid="{00000000-0005-0000-0000-000004510000}"/>
    <cellStyle name="40% - Accent6 9 2" xfId="5229" xr:uid="{00000000-0005-0000-0000-000005510000}"/>
    <cellStyle name="40% - Accent6 9 2 2" xfId="11300" xr:uid="{00000000-0005-0000-0000-000006510000}"/>
    <cellStyle name="40% - Accent6 9 2 2 2" xfId="25242" xr:uid="{00000000-0005-0000-0000-000007510000}"/>
    <cellStyle name="40% - Accent6 9 2 3" xfId="22538" xr:uid="{00000000-0005-0000-0000-000008510000}"/>
    <cellStyle name="40% - Accent6 9 3" xfId="5230" xr:uid="{00000000-0005-0000-0000-000009510000}"/>
    <cellStyle name="40% - Accent6 9 3 2" xfId="13091" xr:uid="{00000000-0005-0000-0000-00000A510000}"/>
    <cellStyle name="40% - Accent6 9 3 2 2" xfId="26803" xr:uid="{00000000-0005-0000-0000-00000B510000}"/>
    <cellStyle name="40% - Accent6 9 3 3" xfId="22537" xr:uid="{00000000-0005-0000-0000-00000C510000}"/>
    <cellStyle name="40% - Accent6 9 4" xfId="5231" xr:uid="{00000000-0005-0000-0000-00000D510000}"/>
    <cellStyle name="40% - Accent6 9 4 2" xfId="15579" xr:uid="{00000000-0005-0000-0000-00000E510000}"/>
    <cellStyle name="40% - Accent6 9 4 2 2" xfId="29128" xr:uid="{00000000-0005-0000-0000-00000F510000}"/>
    <cellStyle name="40% - Accent6 9 4 3" xfId="22536" xr:uid="{00000000-0005-0000-0000-000010510000}"/>
    <cellStyle name="40% - Accent6 9 5" xfId="5232" xr:uid="{00000000-0005-0000-0000-000011510000}"/>
    <cellStyle name="40% - Accent6 9 5 2" xfId="17107" xr:uid="{00000000-0005-0000-0000-000012510000}"/>
    <cellStyle name="40% - Accent6 9 5 2 2" xfId="30466" xr:uid="{00000000-0005-0000-0000-000013510000}"/>
    <cellStyle name="40% - Accent6 9 5 3" xfId="22535" xr:uid="{00000000-0005-0000-0000-000014510000}"/>
    <cellStyle name="40% - Accent6 9 6" xfId="9573" xr:uid="{00000000-0005-0000-0000-000015510000}"/>
    <cellStyle name="40% - Accent6 9 6 2" xfId="24048" xr:uid="{00000000-0005-0000-0000-000016510000}"/>
    <cellStyle name="40% - Accent6 9 7" xfId="22539" xr:uid="{00000000-0005-0000-0000-000017510000}"/>
    <cellStyle name="60% - Accent1" xfId="30" builtinId="32" customBuiltin="1"/>
    <cellStyle name="60% - Accent1 10" xfId="5233" xr:uid="{00000000-0005-0000-0000-000019510000}"/>
    <cellStyle name="60% - Accent1 10 2" xfId="9575" xr:uid="{00000000-0005-0000-0000-00001A510000}"/>
    <cellStyle name="60% - Accent1 10 3" xfId="22534" xr:uid="{00000000-0005-0000-0000-00001B510000}"/>
    <cellStyle name="60% - Accent1 11" xfId="5234" xr:uid="{00000000-0005-0000-0000-00001C510000}"/>
    <cellStyle name="60% - Accent1 11 2" xfId="9576" xr:uid="{00000000-0005-0000-0000-00001D510000}"/>
    <cellStyle name="60% - Accent1 11 3" xfId="22533" xr:uid="{00000000-0005-0000-0000-00001E510000}"/>
    <cellStyle name="60% - Accent1 12" xfId="5235" xr:uid="{00000000-0005-0000-0000-00001F510000}"/>
    <cellStyle name="60% - Accent1 12 2" xfId="5236" xr:uid="{00000000-0005-0000-0000-000020510000}"/>
    <cellStyle name="60% - Accent1 12 2 2" xfId="15580" xr:uid="{00000000-0005-0000-0000-000021510000}"/>
    <cellStyle name="60% - Accent1 12 2 3" xfId="22531" xr:uid="{00000000-0005-0000-0000-000022510000}"/>
    <cellStyle name="60% - Accent1 12 3" xfId="10474" xr:uid="{00000000-0005-0000-0000-000023510000}"/>
    <cellStyle name="60% - Accent1 12 4" xfId="22532" xr:uid="{00000000-0005-0000-0000-000024510000}"/>
    <cellStyle name="60% - Accent1 13" xfId="5237" xr:uid="{00000000-0005-0000-0000-000025510000}"/>
    <cellStyle name="60% - Accent1 13 2" xfId="11301" xr:uid="{00000000-0005-0000-0000-000026510000}"/>
    <cellStyle name="60% - Accent1 13 3" xfId="22530" xr:uid="{00000000-0005-0000-0000-000027510000}"/>
    <cellStyle name="60% - Accent1 14" xfId="5238" xr:uid="{00000000-0005-0000-0000-000028510000}"/>
    <cellStyle name="60% - Accent1 14 2" xfId="9574" xr:uid="{00000000-0005-0000-0000-000029510000}"/>
    <cellStyle name="60% - Accent1 14 3" xfId="22529" xr:uid="{00000000-0005-0000-0000-00002A510000}"/>
    <cellStyle name="60% - Accent1 2" xfId="5239" xr:uid="{00000000-0005-0000-0000-00002B510000}"/>
    <cellStyle name="60% - Accent1 2 2" xfId="9577" xr:uid="{00000000-0005-0000-0000-00002C510000}"/>
    <cellStyle name="60% - Accent1 2 3" xfId="22528" xr:uid="{00000000-0005-0000-0000-00002D510000}"/>
    <cellStyle name="60% - Accent1 2 4" xfId="33064" xr:uid="{00000000-0005-0000-0000-00002E510000}"/>
    <cellStyle name="60% - Accent1 3" xfId="5240" xr:uid="{00000000-0005-0000-0000-00002F510000}"/>
    <cellStyle name="60% - Accent1 3 2" xfId="5241" xr:uid="{00000000-0005-0000-0000-000030510000}"/>
    <cellStyle name="60% - Accent1 3 2 2" xfId="9579" xr:uid="{00000000-0005-0000-0000-000031510000}"/>
    <cellStyle name="60% - Accent1 3 2 3" xfId="22526" xr:uid="{00000000-0005-0000-0000-000032510000}"/>
    <cellStyle name="60% - Accent1 3 3" xfId="9578" xr:uid="{00000000-0005-0000-0000-000033510000}"/>
    <cellStyle name="60% - Accent1 3 4" xfId="22527" xr:uid="{00000000-0005-0000-0000-000034510000}"/>
    <cellStyle name="60% - Accent1 3 5" xfId="33104" xr:uid="{00000000-0005-0000-0000-000035510000}"/>
    <cellStyle name="60% - Accent1 4" xfId="5242" xr:uid="{00000000-0005-0000-0000-000036510000}"/>
    <cellStyle name="60% - Accent1 4 2" xfId="5243" xr:uid="{00000000-0005-0000-0000-000037510000}"/>
    <cellStyle name="60% - Accent1 4 2 2" xfId="13093" xr:uid="{00000000-0005-0000-0000-000038510000}"/>
    <cellStyle name="60% - Accent1 4 2 3" xfId="22524" xr:uid="{00000000-0005-0000-0000-000039510000}"/>
    <cellStyle name="60% - Accent1 4 3" xfId="5244" xr:uid="{00000000-0005-0000-0000-00003A510000}"/>
    <cellStyle name="60% - Accent1 4 3 2" xfId="13092" xr:uid="{00000000-0005-0000-0000-00003B510000}"/>
    <cellStyle name="60% - Accent1 4 3 3" xfId="22523" xr:uid="{00000000-0005-0000-0000-00003C510000}"/>
    <cellStyle name="60% - Accent1 4 4" xfId="9580" xr:uid="{00000000-0005-0000-0000-00003D510000}"/>
    <cellStyle name="60% - Accent1 4 5" xfId="22525" xr:uid="{00000000-0005-0000-0000-00003E510000}"/>
    <cellStyle name="60% - Accent1 5" xfId="5245" xr:uid="{00000000-0005-0000-0000-00003F510000}"/>
    <cellStyle name="60% - Accent1 5 2" xfId="5246" xr:uid="{00000000-0005-0000-0000-000040510000}"/>
    <cellStyle name="60% - Accent1 5 2 2" xfId="9582" xr:uid="{00000000-0005-0000-0000-000041510000}"/>
    <cellStyle name="60% - Accent1 5 2 3" xfId="22521" xr:uid="{00000000-0005-0000-0000-000042510000}"/>
    <cellStyle name="60% - Accent1 5 3" xfId="9581" xr:uid="{00000000-0005-0000-0000-000043510000}"/>
    <cellStyle name="60% - Accent1 5 4" xfId="22522" xr:uid="{00000000-0005-0000-0000-000044510000}"/>
    <cellStyle name="60% - Accent1 6" xfId="5247" xr:uid="{00000000-0005-0000-0000-000045510000}"/>
    <cellStyle name="60% - Accent1 6 2" xfId="9583" xr:uid="{00000000-0005-0000-0000-000046510000}"/>
    <cellStyle name="60% - Accent1 6 3" xfId="22520" xr:uid="{00000000-0005-0000-0000-000047510000}"/>
    <cellStyle name="60% - Accent1 7" xfId="5248" xr:uid="{00000000-0005-0000-0000-000048510000}"/>
    <cellStyle name="60% - Accent1 7 2" xfId="9584" xr:uid="{00000000-0005-0000-0000-000049510000}"/>
    <cellStyle name="60% - Accent1 7 3" xfId="22519" xr:uid="{00000000-0005-0000-0000-00004A510000}"/>
    <cellStyle name="60% - Accent1 8" xfId="5249" xr:uid="{00000000-0005-0000-0000-00004B510000}"/>
    <cellStyle name="60% - Accent1 8 2" xfId="9585" xr:uid="{00000000-0005-0000-0000-00004C510000}"/>
    <cellStyle name="60% - Accent1 8 3" xfId="22518" xr:uid="{00000000-0005-0000-0000-00004D510000}"/>
    <cellStyle name="60% - Accent1 9" xfId="5250" xr:uid="{00000000-0005-0000-0000-00004E510000}"/>
    <cellStyle name="60% - Accent1 9 2" xfId="9586" xr:uid="{00000000-0005-0000-0000-00004F510000}"/>
    <cellStyle name="60% - Accent1 9 3" xfId="22517" xr:uid="{00000000-0005-0000-0000-000050510000}"/>
    <cellStyle name="60% - Accent2" xfId="34" builtinId="36" customBuiltin="1"/>
    <cellStyle name="60% - Accent2 10" xfId="5251" xr:uid="{00000000-0005-0000-0000-000052510000}"/>
    <cellStyle name="60% - Accent2 10 2" xfId="9588" xr:uid="{00000000-0005-0000-0000-000053510000}"/>
    <cellStyle name="60% - Accent2 10 3" xfId="22516" xr:uid="{00000000-0005-0000-0000-000054510000}"/>
    <cellStyle name="60% - Accent2 11" xfId="5252" xr:uid="{00000000-0005-0000-0000-000055510000}"/>
    <cellStyle name="60% - Accent2 11 2" xfId="9589" xr:uid="{00000000-0005-0000-0000-000056510000}"/>
    <cellStyle name="60% - Accent2 11 3" xfId="22515" xr:uid="{00000000-0005-0000-0000-000057510000}"/>
    <cellStyle name="60% - Accent2 12" xfId="5253" xr:uid="{00000000-0005-0000-0000-000058510000}"/>
    <cellStyle name="60% - Accent2 12 2" xfId="5254" xr:uid="{00000000-0005-0000-0000-000059510000}"/>
    <cellStyle name="60% - Accent2 12 2 2" xfId="15581" xr:uid="{00000000-0005-0000-0000-00005A510000}"/>
    <cellStyle name="60% - Accent2 12 2 3" xfId="22513" xr:uid="{00000000-0005-0000-0000-00005B510000}"/>
    <cellStyle name="60% - Accent2 12 3" xfId="10475" xr:uid="{00000000-0005-0000-0000-00005C510000}"/>
    <cellStyle name="60% - Accent2 12 4" xfId="22514" xr:uid="{00000000-0005-0000-0000-00005D510000}"/>
    <cellStyle name="60% - Accent2 13" xfId="5255" xr:uid="{00000000-0005-0000-0000-00005E510000}"/>
    <cellStyle name="60% - Accent2 13 2" xfId="11302" xr:uid="{00000000-0005-0000-0000-00005F510000}"/>
    <cellStyle name="60% - Accent2 13 3" xfId="22512" xr:uid="{00000000-0005-0000-0000-000060510000}"/>
    <cellStyle name="60% - Accent2 14" xfId="5256" xr:uid="{00000000-0005-0000-0000-000061510000}"/>
    <cellStyle name="60% - Accent2 14 2" xfId="9587" xr:uid="{00000000-0005-0000-0000-000062510000}"/>
    <cellStyle name="60% - Accent2 14 3" xfId="22511" xr:uid="{00000000-0005-0000-0000-000063510000}"/>
    <cellStyle name="60% - Accent2 2" xfId="5257" xr:uid="{00000000-0005-0000-0000-000064510000}"/>
    <cellStyle name="60% - Accent2 2 2" xfId="9590" xr:uid="{00000000-0005-0000-0000-000065510000}"/>
    <cellStyle name="60% - Accent2 2 3" xfId="22510" xr:uid="{00000000-0005-0000-0000-000066510000}"/>
    <cellStyle name="60% - Accent2 2 4" xfId="33068" xr:uid="{00000000-0005-0000-0000-000067510000}"/>
    <cellStyle name="60% - Accent2 3" xfId="5258" xr:uid="{00000000-0005-0000-0000-000068510000}"/>
    <cellStyle name="60% - Accent2 3 2" xfId="5259" xr:uid="{00000000-0005-0000-0000-000069510000}"/>
    <cellStyle name="60% - Accent2 3 2 2" xfId="9592" xr:uid="{00000000-0005-0000-0000-00006A510000}"/>
    <cellStyle name="60% - Accent2 3 2 3" xfId="22508" xr:uid="{00000000-0005-0000-0000-00006B510000}"/>
    <cellStyle name="60% - Accent2 3 3" xfId="9591" xr:uid="{00000000-0005-0000-0000-00006C510000}"/>
    <cellStyle name="60% - Accent2 3 4" xfId="22509" xr:uid="{00000000-0005-0000-0000-00006D510000}"/>
    <cellStyle name="60% - Accent2 3 5" xfId="33105" xr:uid="{00000000-0005-0000-0000-00006E510000}"/>
    <cellStyle name="60% - Accent2 4" xfId="5260" xr:uid="{00000000-0005-0000-0000-00006F510000}"/>
    <cellStyle name="60% - Accent2 4 2" xfId="5261" xr:uid="{00000000-0005-0000-0000-000070510000}"/>
    <cellStyle name="60% - Accent2 4 2 2" xfId="13095" xr:uid="{00000000-0005-0000-0000-000071510000}"/>
    <cellStyle name="60% - Accent2 4 2 3" xfId="22506" xr:uid="{00000000-0005-0000-0000-000072510000}"/>
    <cellStyle name="60% - Accent2 4 3" xfId="5262" xr:uid="{00000000-0005-0000-0000-000073510000}"/>
    <cellStyle name="60% - Accent2 4 3 2" xfId="13094" xr:uid="{00000000-0005-0000-0000-000074510000}"/>
    <cellStyle name="60% - Accent2 4 3 3" xfId="22505" xr:uid="{00000000-0005-0000-0000-000075510000}"/>
    <cellStyle name="60% - Accent2 4 4" xfId="9593" xr:uid="{00000000-0005-0000-0000-000076510000}"/>
    <cellStyle name="60% - Accent2 4 5" xfId="22507" xr:uid="{00000000-0005-0000-0000-000077510000}"/>
    <cellStyle name="60% - Accent2 5" xfId="5263" xr:uid="{00000000-0005-0000-0000-000078510000}"/>
    <cellStyle name="60% - Accent2 5 2" xfId="5264" xr:uid="{00000000-0005-0000-0000-000079510000}"/>
    <cellStyle name="60% - Accent2 5 2 2" xfId="9595" xr:uid="{00000000-0005-0000-0000-00007A510000}"/>
    <cellStyle name="60% - Accent2 5 2 3" xfId="22503" xr:uid="{00000000-0005-0000-0000-00007B510000}"/>
    <cellStyle name="60% - Accent2 5 3" xfId="9594" xr:uid="{00000000-0005-0000-0000-00007C510000}"/>
    <cellStyle name="60% - Accent2 5 4" xfId="22504" xr:uid="{00000000-0005-0000-0000-00007D510000}"/>
    <cellStyle name="60% - Accent2 6" xfId="5265" xr:uid="{00000000-0005-0000-0000-00007E510000}"/>
    <cellStyle name="60% - Accent2 6 2" xfId="9596" xr:uid="{00000000-0005-0000-0000-00007F510000}"/>
    <cellStyle name="60% - Accent2 6 3" xfId="22502" xr:uid="{00000000-0005-0000-0000-000080510000}"/>
    <cellStyle name="60% - Accent2 7" xfId="5266" xr:uid="{00000000-0005-0000-0000-000081510000}"/>
    <cellStyle name="60% - Accent2 7 2" xfId="9597" xr:uid="{00000000-0005-0000-0000-000082510000}"/>
    <cellStyle name="60% - Accent2 7 3" xfId="22501" xr:uid="{00000000-0005-0000-0000-000083510000}"/>
    <cellStyle name="60% - Accent2 8" xfId="5267" xr:uid="{00000000-0005-0000-0000-000084510000}"/>
    <cellStyle name="60% - Accent2 8 2" xfId="9598" xr:uid="{00000000-0005-0000-0000-000085510000}"/>
    <cellStyle name="60% - Accent2 8 3" xfId="22500" xr:uid="{00000000-0005-0000-0000-000086510000}"/>
    <cellStyle name="60% - Accent2 9" xfId="5268" xr:uid="{00000000-0005-0000-0000-000087510000}"/>
    <cellStyle name="60% - Accent2 9 2" xfId="9599" xr:uid="{00000000-0005-0000-0000-000088510000}"/>
    <cellStyle name="60% - Accent2 9 3" xfId="22499" xr:uid="{00000000-0005-0000-0000-000089510000}"/>
    <cellStyle name="60% - Accent3" xfId="38" builtinId="40" customBuiltin="1"/>
    <cellStyle name="60% - Accent3 10" xfId="5269" xr:uid="{00000000-0005-0000-0000-00008B510000}"/>
    <cellStyle name="60% - Accent3 10 2" xfId="9601" xr:uid="{00000000-0005-0000-0000-00008C510000}"/>
    <cellStyle name="60% - Accent3 10 3" xfId="22498" xr:uid="{00000000-0005-0000-0000-00008D510000}"/>
    <cellStyle name="60% - Accent3 11" xfId="5270" xr:uid="{00000000-0005-0000-0000-00008E510000}"/>
    <cellStyle name="60% - Accent3 11 2" xfId="9602" xr:uid="{00000000-0005-0000-0000-00008F510000}"/>
    <cellStyle name="60% - Accent3 11 3" xfId="22497" xr:uid="{00000000-0005-0000-0000-000090510000}"/>
    <cellStyle name="60% - Accent3 12" xfId="5271" xr:uid="{00000000-0005-0000-0000-000091510000}"/>
    <cellStyle name="60% - Accent3 12 2" xfId="5272" xr:uid="{00000000-0005-0000-0000-000092510000}"/>
    <cellStyle name="60% - Accent3 12 2 2" xfId="15582" xr:uid="{00000000-0005-0000-0000-000093510000}"/>
    <cellStyle name="60% - Accent3 12 2 3" xfId="22495" xr:uid="{00000000-0005-0000-0000-000094510000}"/>
    <cellStyle name="60% - Accent3 12 3" xfId="10476" xr:uid="{00000000-0005-0000-0000-000095510000}"/>
    <cellStyle name="60% - Accent3 12 4" xfId="22496" xr:uid="{00000000-0005-0000-0000-000096510000}"/>
    <cellStyle name="60% - Accent3 13" xfId="5273" xr:uid="{00000000-0005-0000-0000-000097510000}"/>
    <cellStyle name="60% - Accent3 13 2" xfId="11303" xr:uid="{00000000-0005-0000-0000-000098510000}"/>
    <cellStyle name="60% - Accent3 13 3" xfId="22494" xr:uid="{00000000-0005-0000-0000-000099510000}"/>
    <cellStyle name="60% - Accent3 14" xfId="5274" xr:uid="{00000000-0005-0000-0000-00009A510000}"/>
    <cellStyle name="60% - Accent3 14 2" xfId="9600" xr:uid="{00000000-0005-0000-0000-00009B510000}"/>
    <cellStyle name="60% - Accent3 14 3" xfId="22493" xr:uid="{00000000-0005-0000-0000-00009C510000}"/>
    <cellStyle name="60% - Accent3 2" xfId="5275" xr:uid="{00000000-0005-0000-0000-00009D510000}"/>
    <cellStyle name="60% - Accent3 2 2" xfId="9603" xr:uid="{00000000-0005-0000-0000-00009E510000}"/>
    <cellStyle name="60% - Accent3 2 3" xfId="22492" xr:uid="{00000000-0005-0000-0000-00009F510000}"/>
    <cellStyle name="60% - Accent3 2 4" xfId="33072" xr:uid="{00000000-0005-0000-0000-0000A0510000}"/>
    <cellStyle name="60% - Accent3 3" xfId="5276" xr:uid="{00000000-0005-0000-0000-0000A1510000}"/>
    <cellStyle name="60% - Accent3 3 2" xfId="5277" xr:uid="{00000000-0005-0000-0000-0000A2510000}"/>
    <cellStyle name="60% - Accent3 3 2 2" xfId="9605" xr:uid="{00000000-0005-0000-0000-0000A3510000}"/>
    <cellStyle name="60% - Accent3 3 2 3" xfId="22490" xr:uid="{00000000-0005-0000-0000-0000A4510000}"/>
    <cellStyle name="60% - Accent3 3 3" xfId="9604" xr:uid="{00000000-0005-0000-0000-0000A5510000}"/>
    <cellStyle name="60% - Accent3 3 4" xfId="22491" xr:uid="{00000000-0005-0000-0000-0000A6510000}"/>
    <cellStyle name="60% - Accent3 3 5" xfId="33106" xr:uid="{00000000-0005-0000-0000-0000A7510000}"/>
    <cellStyle name="60% - Accent3 4" xfId="5278" xr:uid="{00000000-0005-0000-0000-0000A8510000}"/>
    <cellStyle name="60% - Accent3 4 2" xfId="5279" xr:uid="{00000000-0005-0000-0000-0000A9510000}"/>
    <cellStyle name="60% - Accent3 4 2 2" xfId="13097" xr:uid="{00000000-0005-0000-0000-0000AA510000}"/>
    <cellStyle name="60% - Accent3 4 2 3" xfId="22488" xr:uid="{00000000-0005-0000-0000-0000AB510000}"/>
    <cellStyle name="60% - Accent3 4 3" xfId="5280" xr:uid="{00000000-0005-0000-0000-0000AC510000}"/>
    <cellStyle name="60% - Accent3 4 3 2" xfId="13096" xr:uid="{00000000-0005-0000-0000-0000AD510000}"/>
    <cellStyle name="60% - Accent3 4 3 3" xfId="22487" xr:uid="{00000000-0005-0000-0000-0000AE510000}"/>
    <cellStyle name="60% - Accent3 4 4" xfId="9606" xr:uid="{00000000-0005-0000-0000-0000AF510000}"/>
    <cellStyle name="60% - Accent3 4 5" xfId="22489" xr:uid="{00000000-0005-0000-0000-0000B0510000}"/>
    <cellStyle name="60% - Accent3 5" xfId="5281" xr:uid="{00000000-0005-0000-0000-0000B1510000}"/>
    <cellStyle name="60% - Accent3 5 2" xfId="5282" xr:uid="{00000000-0005-0000-0000-0000B2510000}"/>
    <cellStyle name="60% - Accent3 5 2 2" xfId="9608" xr:uid="{00000000-0005-0000-0000-0000B3510000}"/>
    <cellStyle name="60% - Accent3 5 2 3" xfId="22485" xr:uid="{00000000-0005-0000-0000-0000B4510000}"/>
    <cellStyle name="60% - Accent3 5 3" xfId="9607" xr:uid="{00000000-0005-0000-0000-0000B5510000}"/>
    <cellStyle name="60% - Accent3 5 4" xfId="22486" xr:uid="{00000000-0005-0000-0000-0000B6510000}"/>
    <cellStyle name="60% - Accent3 6" xfId="5283" xr:uid="{00000000-0005-0000-0000-0000B7510000}"/>
    <cellStyle name="60% - Accent3 6 2" xfId="9609" xr:uid="{00000000-0005-0000-0000-0000B8510000}"/>
    <cellStyle name="60% - Accent3 6 3" xfId="22484" xr:uid="{00000000-0005-0000-0000-0000B9510000}"/>
    <cellStyle name="60% - Accent3 7" xfId="5284" xr:uid="{00000000-0005-0000-0000-0000BA510000}"/>
    <cellStyle name="60% - Accent3 7 2" xfId="9610" xr:uid="{00000000-0005-0000-0000-0000BB510000}"/>
    <cellStyle name="60% - Accent3 7 3" xfId="22483" xr:uid="{00000000-0005-0000-0000-0000BC510000}"/>
    <cellStyle name="60% - Accent3 8" xfId="5285" xr:uid="{00000000-0005-0000-0000-0000BD510000}"/>
    <cellStyle name="60% - Accent3 8 2" xfId="9611" xr:uid="{00000000-0005-0000-0000-0000BE510000}"/>
    <cellStyle name="60% - Accent3 8 3" xfId="22482" xr:uid="{00000000-0005-0000-0000-0000BF510000}"/>
    <cellStyle name="60% - Accent3 9" xfId="5286" xr:uid="{00000000-0005-0000-0000-0000C0510000}"/>
    <cellStyle name="60% - Accent3 9 2" xfId="9612" xr:uid="{00000000-0005-0000-0000-0000C1510000}"/>
    <cellStyle name="60% - Accent3 9 3" xfId="22481" xr:uid="{00000000-0005-0000-0000-0000C2510000}"/>
    <cellStyle name="60% - Accent4" xfId="42" builtinId="44" customBuiltin="1"/>
    <cellStyle name="60% - Accent4 10" xfId="5287" xr:uid="{00000000-0005-0000-0000-0000C4510000}"/>
    <cellStyle name="60% - Accent4 10 2" xfId="9614" xr:uid="{00000000-0005-0000-0000-0000C5510000}"/>
    <cellStyle name="60% - Accent4 10 3" xfId="22480" xr:uid="{00000000-0005-0000-0000-0000C6510000}"/>
    <cellStyle name="60% - Accent4 11" xfId="5288" xr:uid="{00000000-0005-0000-0000-0000C7510000}"/>
    <cellStyle name="60% - Accent4 11 2" xfId="9615" xr:uid="{00000000-0005-0000-0000-0000C8510000}"/>
    <cellStyle name="60% - Accent4 11 3" xfId="22479" xr:uid="{00000000-0005-0000-0000-0000C9510000}"/>
    <cellStyle name="60% - Accent4 12" xfId="5289" xr:uid="{00000000-0005-0000-0000-0000CA510000}"/>
    <cellStyle name="60% - Accent4 12 2" xfId="5290" xr:uid="{00000000-0005-0000-0000-0000CB510000}"/>
    <cellStyle name="60% - Accent4 12 2 2" xfId="15583" xr:uid="{00000000-0005-0000-0000-0000CC510000}"/>
    <cellStyle name="60% - Accent4 12 2 3" xfId="22477" xr:uid="{00000000-0005-0000-0000-0000CD510000}"/>
    <cellStyle name="60% - Accent4 12 3" xfId="10477" xr:uid="{00000000-0005-0000-0000-0000CE510000}"/>
    <cellStyle name="60% - Accent4 12 4" xfId="22478" xr:uid="{00000000-0005-0000-0000-0000CF510000}"/>
    <cellStyle name="60% - Accent4 13" xfId="5291" xr:uid="{00000000-0005-0000-0000-0000D0510000}"/>
    <cellStyle name="60% - Accent4 13 2" xfId="11304" xr:uid="{00000000-0005-0000-0000-0000D1510000}"/>
    <cellStyle name="60% - Accent4 13 3" xfId="22476" xr:uid="{00000000-0005-0000-0000-0000D2510000}"/>
    <cellStyle name="60% - Accent4 14" xfId="5292" xr:uid="{00000000-0005-0000-0000-0000D3510000}"/>
    <cellStyle name="60% - Accent4 14 2" xfId="9613" xr:uid="{00000000-0005-0000-0000-0000D4510000}"/>
    <cellStyle name="60% - Accent4 14 3" xfId="22475" xr:uid="{00000000-0005-0000-0000-0000D5510000}"/>
    <cellStyle name="60% - Accent4 2" xfId="5293" xr:uid="{00000000-0005-0000-0000-0000D6510000}"/>
    <cellStyle name="60% - Accent4 2 2" xfId="9616" xr:uid="{00000000-0005-0000-0000-0000D7510000}"/>
    <cellStyle name="60% - Accent4 2 3" xfId="22474" xr:uid="{00000000-0005-0000-0000-0000D8510000}"/>
    <cellStyle name="60% - Accent4 2 4" xfId="33076" xr:uid="{00000000-0005-0000-0000-0000D9510000}"/>
    <cellStyle name="60% - Accent4 3" xfId="5294" xr:uid="{00000000-0005-0000-0000-0000DA510000}"/>
    <cellStyle name="60% - Accent4 3 2" xfId="5295" xr:uid="{00000000-0005-0000-0000-0000DB510000}"/>
    <cellStyle name="60% - Accent4 3 2 2" xfId="9618" xr:uid="{00000000-0005-0000-0000-0000DC510000}"/>
    <cellStyle name="60% - Accent4 3 2 3" xfId="22472" xr:uid="{00000000-0005-0000-0000-0000DD510000}"/>
    <cellStyle name="60% - Accent4 3 3" xfId="9617" xr:uid="{00000000-0005-0000-0000-0000DE510000}"/>
    <cellStyle name="60% - Accent4 3 4" xfId="22473" xr:uid="{00000000-0005-0000-0000-0000DF510000}"/>
    <cellStyle name="60% - Accent4 3 5" xfId="33107" xr:uid="{00000000-0005-0000-0000-0000E0510000}"/>
    <cellStyle name="60% - Accent4 4" xfId="5296" xr:uid="{00000000-0005-0000-0000-0000E1510000}"/>
    <cellStyle name="60% - Accent4 4 2" xfId="5297" xr:uid="{00000000-0005-0000-0000-0000E2510000}"/>
    <cellStyle name="60% - Accent4 4 2 2" xfId="13099" xr:uid="{00000000-0005-0000-0000-0000E3510000}"/>
    <cellStyle name="60% - Accent4 4 2 3" xfId="22470" xr:uid="{00000000-0005-0000-0000-0000E4510000}"/>
    <cellStyle name="60% - Accent4 4 3" xfId="5298" xr:uid="{00000000-0005-0000-0000-0000E5510000}"/>
    <cellStyle name="60% - Accent4 4 3 2" xfId="13098" xr:uid="{00000000-0005-0000-0000-0000E6510000}"/>
    <cellStyle name="60% - Accent4 4 3 3" xfId="22469" xr:uid="{00000000-0005-0000-0000-0000E7510000}"/>
    <cellStyle name="60% - Accent4 4 4" xfId="9619" xr:uid="{00000000-0005-0000-0000-0000E8510000}"/>
    <cellStyle name="60% - Accent4 4 5" xfId="22471" xr:uid="{00000000-0005-0000-0000-0000E9510000}"/>
    <cellStyle name="60% - Accent4 5" xfId="5299" xr:uid="{00000000-0005-0000-0000-0000EA510000}"/>
    <cellStyle name="60% - Accent4 5 2" xfId="5300" xr:uid="{00000000-0005-0000-0000-0000EB510000}"/>
    <cellStyle name="60% - Accent4 5 2 2" xfId="9621" xr:uid="{00000000-0005-0000-0000-0000EC510000}"/>
    <cellStyle name="60% - Accent4 5 2 3" xfId="22467" xr:uid="{00000000-0005-0000-0000-0000ED510000}"/>
    <cellStyle name="60% - Accent4 5 3" xfId="9620" xr:uid="{00000000-0005-0000-0000-0000EE510000}"/>
    <cellStyle name="60% - Accent4 5 4" xfId="22468" xr:uid="{00000000-0005-0000-0000-0000EF510000}"/>
    <cellStyle name="60% - Accent4 6" xfId="5301" xr:uid="{00000000-0005-0000-0000-0000F0510000}"/>
    <cellStyle name="60% - Accent4 6 2" xfId="9622" xr:uid="{00000000-0005-0000-0000-0000F1510000}"/>
    <cellStyle name="60% - Accent4 6 3" xfId="22466" xr:uid="{00000000-0005-0000-0000-0000F2510000}"/>
    <cellStyle name="60% - Accent4 7" xfId="5302" xr:uid="{00000000-0005-0000-0000-0000F3510000}"/>
    <cellStyle name="60% - Accent4 7 2" xfId="9623" xr:uid="{00000000-0005-0000-0000-0000F4510000}"/>
    <cellStyle name="60% - Accent4 7 3" xfId="22465" xr:uid="{00000000-0005-0000-0000-0000F5510000}"/>
    <cellStyle name="60% - Accent4 8" xfId="5303" xr:uid="{00000000-0005-0000-0000-0000F6510000}"/>
    <cellStyle name="60% - Accent4 8 2" xfId="9624" xr:uid="{00000000-0005-0000-0000-0000F7510000}"/>
    <cellStyle name="60% - Accent4 8 3" xfId="22464" xr:uid="{00000000-0005-0000-0000-0000F8510000}"/>
    <cellStyle name="60% - Accent4 9" xfId="5304" xr:uid="{00000000-0005-0000-0000-0000F9510000}"/>
    <cellStyle name="60% - Accent4 9 2" xfId="9625" xr:uid="{00000000-0005-0000-0000-0000FA510000}"/>
    <cellStyle name="60% - Accent4 9 3" xfId="22463" xr:uid="{00000000-0005-0000-0000-0000FB510000}"/>
    <cellStyle name="60% - Accent5" xfId="45" builtinId="48" customBuiltin="1"/>
    <cellStyle name="60% - Accent5 10" xfId="5305" xr:uid="{00000000-0005-0000-0000-0000FD510000}"/>
    <cellStyle name="60% - Accent5 10 2" xfId="9627" xr:uid="{00000000-0005-0000-0000-0000FE510000}"/>
    <cellStyle name="60% - Accent5 10 3" xfId="22462" xr:uid="{00000000-0005-0000-0000-0000FF510000}"/>
    <cellStyle name="60% - Accent5 11" xfId="5306" xr:uid="{00000000-0005-0000-0000-000000520000}"/>
    <cellStyle name="60% - Accent5 11 2" xfId="9628" xr:uid="{00000000-0005-0000-0000-000001520000}"/>
    <cellStyle name="60% - Accent5 11 3" xfId="22461" xr:uid="{00000000-0005-0000-0000-000002520000}"/>
    <cellStyle name="60% - Accent5 12" xfId="5307" xr:uid="{00000000-0005-0000-0000-000003520000}"/>
    <cellStyle name="60% - Accent5 12 2" xfId="5308" xr:uid="{00000000-0005-0000-0000-000004520000}"/>
    <cellStyle name="60% - Accent5 12 2 2" xfId="15584" xr:uid="{00000000-0005-0000-0000-000005520000}"/>
    <cellStyle name="60% - Accent5 12 2 3" xfId="22459" xr:uid="{00000000-0005-0000-0000-000006520000}"/>
    <cellStyle name="60% - Accent5 12 3" xfId="10478" xr:uid="{00000000-0005-0000-0000-000007520000}"/>
    <cellStyle name="60% - Accent5 12 4" xfId="22460" xr:uid="{00000000-0005-0000-0000-000008520000}"/>
    <cellStyle name="60% - Accent5 13" xfId="5309" xr:uid="{00000000-0005-0000-0000-000009520000}"/>
    <cellStyle name="60% - Accent5 13 2" xfId="11305" xr:uid="{00000000-0005-0000-0000-00000A520000}"/>
    <cellStyle name="60% - Accent5 13 3" xfId="22458" xr:uid="{00000000-0005-0000-0000-00000B520000}"/>
    <cellStyle name="60% - Accent5 14" xfId="5310" xr:uid="{00000000-0005-0000-0000-00000C520000}"/>
    <cellStyle name="60% - Accent5 14 2" xfId="9626" xr:uid="{00000000-0005-0000-0000-00000D520000}"/>
    <cellStyle name="60% - Accent5 14 3" xfId="22457" xr:uid="{00000000-0005-0000-0000-00000E520000}"/>
    <cellStyle name="60% - Accent5 2" xfId="5311" xr:uid="{00000000-0005-0000-0000-00000F520000}"/>
    <cellStyle name="60% - Accent5 2 2" xfId="9629" xr:uid="{00000000-0005-0000-0000-000010520000}"/>
    <cellStyle name="60% - Accent5 2 3" xfId="22456" xr:uid="{00000000-0005-0000-0000-000011520000}"/>
    <cellStyle name="60% - Accent5 2 4" xfId="33080" xr:uid="{00000000-0005-0000-0000-000012520000}"/>
    <cellStyle name="60% - Accent5 3" xfId="5312" xr:uid="{00000000-0005-0000-0000-000013520000}"/>
    <cellStyle name="60% - Accent5 3 2" xfId="5313" xr:uid="{00000000-0005-0000-0000-000014520000}"/>
    <cellStyle name="60% - Accent5 3 2 2" xfId="9631" xr:uid="{00000000-0005-0000-0000-000015520000}"/>
    <cellStyle name="60% - Accent5 3 2 3" xfId="22454" xr:uid="{00000000-0005-0000-0000-000016520000}"/>
    <cellStyle name="60% - Accent5 3 3" xfId="9630" xr:uid="{00000000-0005-0000-0000-000017520000}"/>
    <cellStyle name="60% - Accent5 3 4" xfId="22455" xr:uid="{00000000-0005-0000-0000-000018520000}"/>
    <cellStyle name="60% - Accent5 3 5" xfId="33108" xr:uid="{00000000-0005-0000-0000-000019520000}"/>
    <cellStyle name="60% - Accent5 4" xfId="5314" xr:uid="{00000000-0005-0000-0000-00001A520000}"/>
    <cellStyle name="60% - Accent5 4 2" xfId="5315" xr:uid="{00000000-0005-0000-0000-00001B520000}"/>
    <cellStyle name="60% - Accent5 4 2 2" xfId="13101" xr:uid="{00000000-0005-0000-0000-00001C520000}"/>
    <cellStyle name="60% - Accent5 4 2 3" xfId="22452" xr:uid="{00000000-0005-0000-0000-00001D520000}"/>
    <cellStyle name="60% - Accent5 4 3" xfId="5316" xr:uid="{00000000-0005-0000-0000-00001E520000}"/>
    <cellStyle name="60% - Accent5 4 3 2" xfId="13100" xr:uid="{00000000-0005-0000-0000-00001F520000}"/>
    <cellStyle name="60% - Accent5 4 3 3" xfId="22451" xr:uid="{00000000-0005-0000-0000-000020520000}"/>
    <cellStyle name="60% - Accent5 4 4" xfId="9632" xr:uid="{00000000-0005-0000-0000-000021520000}"/>
    <cellStyle name="60% - Accent5 4 5" xfId="22453" xr:uid="{00000000-0005-0000-0000-000022520000}"/>
    <cellStyle name="60% - Accent5 5" xfId="5317" xr:uid="{00000000-0005-0000-0000-000023520000}"/>
    <cellStyle name="60% - Accent5 5 2" xfId="5318" xr:uid="{00000000-0005-0000-0000-000024520000}"/>
    <cellStyle name="60% - Accent5 5 2 2" xfId="9634" xr:uid="{00000000-0005-0000-0000-000025520000}"/>
    <cellStyle name="60% - Accent5 5 2 3" xfId="22449" xr:uid="{00000000-0005-0000-0000-000026520000}"/>
    <cellStyle name="60% - Accent5 5 3" xfId="9633" xr:uid="{00000000-0005-0000-0000-000027520000}"/>
    <cellStyle name="60% - Accent5 5 4" xfId="22450" xr:uid="{00000000-0005-0000-0000-000028520000}"/>
    <cellStyle name="60% - Accent5 6" xfId="5319" xr:uid="{00000000-0005-0000-0000-000029520000}"/>
    <cellStyle name="60% - Accent5 6 2" xfId="9635" xr:uid="{00000000-0005-0000-0000-00002A520000}"/>
    <cellStyle name="60% - Accent5 6 3" xfId="22448" xr:uid="{00000000-0005-0000-0000-00002B520000}"/>
    <cellStyle name="60% - Accent5 7" xfId="5320" xr:uid="{00000000-0005-0000-0000-00002C520000}"/>
    <cellStyle name="60% - Accent5 7 2" xfId="9636" xr:uid="{00000000-0005-0000-0000-00002D520000}"/>
    <cellStyle name="60% - Accent5 7 3" xfId="22447" xr:uid="{00000000-0005-0000-0000-00002E520000}"/>
    <cellStyle name="60% - Accent5 8" xfId="5321" xr:uid="{00000000-0005-0000-0000-00002F520000}"/>
    <cellStyle name="60% - Accent5 8 2" xfId="9637" xr:uid="{00000000-0005-0000-0000-000030520000}"/>
    <cellStyle name="60% - Accent5 8 3" xfId="22446" xr:uid="{00000000-0005-0000-0000-000031520000}"/>
    <cellStyle name="60% - Accent5 9" xfId="5322" xr:uid="{00000000-0005-0000-0000-000032520000}"/>
    <cellStyle name="60% - Accent5 9 2" xfId="9638" xr:uid="{00000000-0005-0000-0000-000033520000}"/>
    <cellStyle name="60% - Accent5 9 3" xfId="22445" xr:uid="{00000000-0005-0000-0000-000034520000}"/>
    <cellStyle name="60% - Accent6" xfId="49" builtinId="52" customBuiltin="1"/>
    <cellStyle name="60% - Accent6 10" xfId="5323" xr:uid="{00000000-0005-0000-0000-000036520000}"/>
    <cellStyle name="60% - Accent6 10 2" xfId="9640" xr:uid="{00000000-0005-0000-0000-000037520000}"/>
    <cellStyle name="60% - Accent6 10 3" xfId="22444" xr:uid="{00000000-0005-0000-0000-000038520000}"/>
    <cellStyle name="60% - Accent6 11" xfId="5324" xr:uid="{00000000-0005-0000-0000-000039520000}"/>
    <cellStyle name="60% - Accent6 11 2" xfId="9641" xr:uid="{00000000-0005-0000-0000-00003A520000}"/>
    <cellStyle name="60% - Accent6 11 3" xfId="22443" xr:uid="{00000000-0005-0000-0000-00003B520000}"/>
    <cellStyle name="60% - Accent6 12" xfId="5325" xr:uid="{00000000-0005-0000-0000-00003C520000}"/>
    <cellStyle name="60% - Accent6 12 2" xfId="5326" xr:uid="{00000000-0005-0000-0000-00003D520000}"/>
    <cellStyle name="60% - Accent6 12 2 2" xfId="15585" xr:uid="{00000000-0005-0000-0000-00003E520000}"/>
    <cellStyle name="60% - Accent6 12 2 3" xfId="22441" xr:uid="{00000000-0005-0000-0000-00003F520000}"/>
    <cellStyle name="60% - Accent6 12 3" xfId="10479" xr:uid="{00000000-0005-0000-0000-000040520000}"/>
    <cellStyle name="60% - Accent6 12 4" xfId="22442" xr:uid="{00000000-0005-0000-0000-000041520000}"/>
    <cellStyle name="60% - Accent6 13" xfId="5327" xr:uid="{00000000-0005-0000-0000-000042520000}"/>
    <cellStyle name="60% - Accent6 13 2" xfId="11306" xr:uid="{00000000-0005-0000-0000-000043520000}"/>
    <cellStyle name="60% - Accent6 13 3" xfId="22440" xr:uid="{00000000-0005-0000-0000-000044520000}"/>
    <cellStyle name="60% - Accent6 14" xfId="5328" xr:uid="{00000000-0005-0000-0000-000045520000}"/>
    <cellStyle name="60% - Accent6 14 2" xfId="9639" xr:uid="{00000000-0005-0000-0000-000046520000}"/>
    <cellStyle name="60% - Accent6 14 3" xfId="22439" xr:uid="{00000000-0005-0000-0000-000047520000}"/>
    <cellStyle name="60% - Accent6 2" xfId="5329" xr:uid="{00000000-0005-0000-0000-000048520000}"/>
    <cellStyle name="60% - Accent6 2 2" xfId="9642" xr:uid="{00000000-0005-0000-0000-000049520000}"/>
    <cellStyle name="60% - Accent6 2 3" xfId="22438" xr:uid="{00000000-0005-0000-0000-00004A520000}"/>
    <cellStyle name="60% - Accent6 2 4" xfId="33084" xr:uid="{00000000-0005-0000-0000-00004B520000}"/>
    <cellStyle name="60% - Accent6 3" xfId="5330" xr:uid="{00000000-0005-0000-0000-00004C520000}"/>
    <cellStyle name="60% - Accent6 3 2" xfId="5331" xr:uid="{00000000-0005-0000-0000-00004D520000}"/>
    <cellStyle name="60% - Accent6 3 2 2" xfId="9644" xr:uid="{00000000-0005-0000-0000-00004E520000}"/>
    <cellStyle name="60% - Accent6 3 2 3" xfId="22436" xr:uid="{00000000-0005-0000-0000-00004F520000}"/>
    <cellStyle name="60% - Accent6 3 3" xfId="9643" xr:uid="{00000000-0005-0000-0000-000050520000}"/>
    <cellStyle name="60% - Accent6 3 4" xfId="22437" xr:uid="{00000000-0005-0000-0000-000051520000}"/>
    <cellStyle name="60% - Accent6 3 5" xfId="33109" xr:uid="{00000000-0005-0000-0000-000052520000}"/>
    <cellStyle name="60% - Accent6 4" xfId="5332" xr:uid="{00000000-0005-0000-0000-000053520000}"/>
    <cellStyle name="60% - Accent6 4 2" xfId="5333" xr:uid="{00000000-0005-0000-0000-000054520000}"/>
    <cellStyle name="60% - Accent6 4 2 2" xfId="13103" xr:uid="{00000000-0005-0000-0000-000055520000}"/>
    <cellStyle name="60% - Accent6 4 2 3" xfId="22434" xr:uid="{00000000-0005-0000-0000-000056520000}"/>
    <cellStyle name="60% - Accent6 4 3" xfId="5334" xr:uid="{00000000-0005-0000-0000-000057520000}"/>
    <cellStyle name="60% - Accent6 4 3 2" xfId="13102" xr:uid="{00000000-0005-0000-0000-000058520000}"/>
    <cellStyle name="60% - Accent6 4 3 3" xfId="22433" xr:uid="{00000000-0005-0000-0000-000059520000}"/>
    <cellStyle name="60% - Accent6 4 4" xfId="9645" xr:uid="{00000000-0005-0000-0000-00005A520000}"/>
    <cellStyle name="60% - Accent6 4 5" xfId="22435" xr:uid="{00000000-0005-0000-0000-00005B520000}"/>
    <cellStyle name="60% - Accent6 5" xfId="5335" xr:uid="{00000000-0005-0000-0000-00005C520000}"/>
    <cellStyle name="60% - Accent6 5 2" xfId="5336" xr:uid="{00000000-0005-0000-0000-00005D520000}"/>
    <cellStyle name="60% - Accent6 5 2 2" xfId="9647" xr:uid="{00000000-0005-0000-0000-00005E520000}"/>
    <cellStyle name="60% - Accent6 5 2 3" xfId="22431" xr:uid="{00000000-0005-0000-0000-00005F520000}"/>
    <cellStyle name="60% - Accent6 5 3" xfId="9646" xr:uid="{00000000-0005-0000-0000-000060520000}"/>
    <cellStyle name="60% - Accent6 5 4" xfId="22432" xr:uid="{00000000-0005-0000-0000-000061520000}"/>
    <cellStyle name="60% - Accent6 6" xfId="5337" xr:uid="{00000000-0005-0000-0000-000062520000}"/>
    <cellStyle name="60% - Accent6 6 2" xfId="9648" xr:uid="{00000000-0005-0000-0000-000063520000}"/>
    <cellStyle name="60% - Accent6 6 3" xfId="22430" xr:uid="{00000000-0005-0000-0000-000064520000}"/>
    <cellStyle name="60% - Accent6 7" xfId="5338" xr:uid="{00000000-0005-0000-0000-000065520000}"/>
    <cellStyle name="60% - Accent6 7 2" xfId="9649" xr:uid="{00000000-0005-0000-0000-000066520000}"/>
    <cellStyle name="60% - Accent6 7 3" xfId="22429" xr:uid="{00000000-0005-0000-0000-000067520000}"/>
    <cellStyle name="60% - Accent6 8" xfId="5339" xr:uid="{00000000-0005-0000-0000-000068520000}"/>
    <cellStyle name="60% - Accent6 8 2" xfId="9650" xr:uid="{00000000-0005-0000-0000-000069520000}"/>
    <cellStyle name="60% - Accent6 8 3" xfId="22428" xr:uid="{00000000-0005-0000-0000-00006A520000}"/>
    <cellStyle name="60% - Accent6 9" xfId="5340" xr:uid="{00000000-0005-0000-0000-00006B520000}"/>
    <cellStyle name="60% - Accent6 9 2" xfId="9651" xr:uid="{00000000-0005-0000-0000-00006C520000}"/>
    <cellStyle name="60% - Accent6 9 3" xfId="22427" xr:uid="{00000000-0005-0000-0000-00006D520000}"/>
    <cellStyle name="Accent1" xfId="27" builtinId="29" customBuiltin="1"/>
    <cellStyle name="Accent1 10" xfId="5341" xr:uid="{00000000-0005-0000-0000-00006F520000}"/>
    <cellStyle name="Accent1 10 2" xfId="9653" xr:uid="{00000000-0005-0000-0000-000070520000}"/>
    <cellStyle name="Accent1 10 3" xfId="22426" xr:uid="{00000000-0005-0000-0000-000071520000}"/>
    <cellStyle name="Accent1 11" xfId="5342" xr:uid="{00000000-0005-0000-0000-000072520000}"/>
    <cellStyle name="Accent1 11 2" xfId="9654" xr:uid="{00000000-0005-0000-0000-000073520000}"/>
    <cellStyle name="Accent1 11 3" xfId="22425" xr:uid="{00000000-0005-0000-0000-000074520000}"/>
    <cellStyle name="Accent1 12" xfId="5343" xr:uid="{00000000-0005-0000-0000-000075520000}"/>
    <cellStyle name="Accent1 12 2" xfId="5344" xr:uid="{00000000-0005-0000-0000-000076520000}"/>
    <cellStyle name="Accent1 12 2 2" xfId="15586" xr:uid="{00000000-0005-0000-0000-000077520000}"/>
    <cellStyle name="Accent1 12 2 3" xfId="22423" xr:uid="{00000000-0005-0000-0000-000078520000}"/>
    <cellStyle name="Accent1 12 3" xfId="10480" xr:uid="{00000000-0005-0000-0000-000079520000}"/>
    <cellStyle name="Accent1 12 4" xfId="22424" xr:uid="{00000000-0005-0000-0000-00007A520000}"/>
    <cellStyle name="Accent1 13" xfId="5345" xr:uid="{00000000-0005-0000-0000-00007B520000}"/>
    <cellStyle name="Accent1 13 2" xfId="11307" xr:uid="{00000000-0005-0000-0000-00007C520000}"/>
    <cellStyle name="Accent1 13 3" xfId="22422" xr:uid="{00000000-0005-0000-0000-00007D520000}"/>
    <cellStyle name="Accent1 14" xfId="5346" xr:uid="{00000000-0005-0000-0000-00007E520000}"/>
    <cellStyle name="Accent1 14 2" xfId="9652" xr:uid="{00000000-0005-0000-0000-00007F520000}"/>
    <cellStyle name="Accent1 14 3" xfId="22421" xr:uid="{00000000-0005-0000-0000-000080520000}"/>
    <cellStyle name="Accent1 2" xfId="5347" xr:uid="{00000000-0005-0000-0000-000081520000}"/>
    <cellStyle name="Accent1 2 2" xfId="9655" xr:uid="{00000000-0005-0000-0000-000082520000}"/>
    <cellStyle name="Accent1 2 3" xfId="22420" xr:uid="{00000000-0005-0000-0000-000083520000}"/>
    <cellStyle name="Accent1 2 4" xfId="33061" xr:uid="{00000000-0005-0000-0000-000084520000}"/>
    <cellStyle name="Accent1 3" xfId="5348" xr:uid="{00000000-0005-0000-0000-000085520000}"/>
    <cellStyle name="Accent1 3 2" xfId="5349" xr:uid="{00000000-0005-0000-0000-000086520000}"/>
    <cellStyle name="Accent1 3 2 2" xfId="9657" xr:uid="{00000000-0005-0000-0000-000087520000}"/>
    <cellStyle name="Accent1 3 2 3" xfId="22418" xr:uid="{00000000-0005-0000-0000-000088520000}"/>
    <cellStyle name="Accent1 3 3" xfId="9656" xr:uid="{00000000-0005-0000-0000-000089520000}"/>
    <cellStyle name="Accent1 3 4" xfId="22419" xr:uid="{00000000-0005-0000-0000-00008A520000}"/>
    <cellStyle name="Accent1 4" xfId="5350" xr:uid="{00000000-0005-0000-0000-00008B520000}"/>
    <cellStyle name="Accent1 4 2" xfId="5351" xr:uid="{00000000-0005-0000-0000-00008C520000}"/>
    <cellStyle name="Accent1 4 2 2" xfId="13105" xr:uid="{00000000-0005-0000-0000-00008D520000}"/>
    <cellStyle name="Accent1 4 2 3" xfId="22416" xr:uid="{00000000-0005-0000-0000-00008E520000}"/>
    <cellStyle name="Accent1 4 3" xfId="5352" xr:uid="{00000000-0005-0000-0000-00008F520000}"/>
    <cellStyle name="Accent1 4 3 2" xfId="13104" xr:uid="{00000000-0005-0000-0000-000090520000}"/>
    <cellStyle name="Accent1 4 3 3" xfId="22415" xr:uid="{00000000-0005-0000-0000-000091520000}"/>
    <cellStyle name="Accent1 4 4" xfId="9658" xr:uid="{00000000-0005-0000-0000-000092520000}"/>
    <cellStyle name="Accent1 4 5" xfId="22417" xr:uid="{00000000-0005-0000-0000-000093520000}"/>
    <cellStyle name="Accent1 5" xfId="5353" xr:uid="{00000000-0005-0000-0000-000094520000}"/>
    <cellStyle name="Accent1 5 2" xfId="5354" xr:uid="{00000000-0005-0000-0000-000095520000}"/>
    <cellStyle name="Accent1 5 2 2" xfId="9660" xr:uid="{00000000-0005-0000-0000-000096520000}"/>
    <cellStyle name="Accent1 5 2 3" xfId="22413" xr:uid="{00000000-0005-0000-0000-000097520000}"/>
    <cellStyle name="Accent1 5 3" xfId="9659" xr:uid="{00000000-0005-0000-0000-000098520000}"/>
    <cellStyle name="Accent1 5 4" xfId="22414" xr:uid="{00000000-0005-0000-0000-000099520000}"/>
    <cellStyle name="Accent1 6" xfId="5355" xr:uid="{00000000-0005-0000-0000-00009A520000}"/>
    <cellStyle name="Accent1 6 2" xfId="9661" xr:uid="{00000000-0005-0000-0000-00009B520000}"/>
    <cellStyle name="Accent1 6 3" xfId="22412" xr:uid="{00000000-0005-0000-0000-00009C520000}"/>
    <cellStyle name="Accent1 7" xfId="5356" xr:uid="{00000000-0005-0000-0000-00009D520000}"/>
    <cellStyle name="Accent1 7 2" xfId="9662" xr:uid="{00000000-0005-0000-0000-00009E520000}"/>
    <cellStyle name="Accent1 7 3" xfId="22411" xr:uid="{00000000-0005-0000-0000-00009F520000}"/>
    <cellStyle name="Accent1 8" xfId="5357" xr:uid="{00000000-0005-0000-0000-0000A0520000}"/>
    <cellStyle name="Accent1 8 2" xfId="9663" xr:uid="{00000000-0005-0000-0000-0000A1520000}"/>
    <cellStyle name="Accent1 8 3" xfId="22410" xr:uid="{00000000-0005-0000-0000-0000A2520000}"/>
    <cellStyle name="Accent1 9" xfId="5358" xr:uid="{00000000-0005-0000-0000-0000A3520000}"/>
    <cellStyle name="Accent1 9 2" xfId="9664" xr:uid="{00000000-0005-0000-0000-0000A4520000}"/>
    <cellStyle name="Accent1 9 3" xfId="22409" xr:uid="{00000000-0005-0000-0000-0000A5520000}"/>
    <cellStyle name="Accent2" xfId="31" builtinId="33" customBuiltin="1"/>
    <cellStyle name="Accent2 10" xfId="5359" xr:uid="{00000000-0005-0000-0000-0000A7520000}"/>
    <cellStyle name="Accent2 10 2" xfId="9666" xr:uid="{00000000-0005-0000-0000-0000A8520000}"/>
    <cellStyle name="Accent2 10 3" xfId="22408" xr:uid="{00000000-0005-0000-0000-0000A9520000}"/>
    <cellStyle name="Accent2 11" xfId="5360" xr:uid="{00000000-0005-0000-0000-0000AA520000}"/>
    <cellStyle name="Accent2 11 2" xfId="9667" xr:uid="{00000000-0005-0000-0000-0000AB520000}"/>
    <cellStyle name="Accent2 11 3" xfId="22407" xr:uid="{00000000-0005-0000-0000-0000AC520000}"/>
    <cellStyle name="Accent2 12" xfId="5361" xr:uid="{00000000-0005-0000-0000-0000AD520000}"/>
    <cellStyle name="Accent2 12 2" xfId="5362" xr:uid="{00000000-0005-0000-0000-0000AE520000}"/>
    <cellStyle name="Accent2 12 2 2" xfId="15587" xr:uid="{00000000-0005-0000-0000-0000AF520000}"/>
    <cellStyle name="Accent2 12 2 3" xfId="22405" xr:uid="{00000000-0005-0000-0000-0000B0520000}"/>
    <cellStyle name="Accent2 12 3" xfId="10481" xr:uid="{00000000-0005-0000-0000-0000B1520000}"/>
    <cellStyle name="Accent2 12 4" xfId="22406" xr:uid="{00000000-0005-0000-0000-0000B2520000}"/>
    <cellStyle name="Accent2 13" xfId="5363" xr:uid="{00000000-0005-0000-0000-0000B3520000}"/>
    <cellStyle name="Accent2 13 2" xfId="11308" xr:uid="{00000000-0005-0000-0000-0000B4520000}"/>
    <cellStyle name="Accent2 13 3" xfId="22404" xr:uid="{00000000-0005-0000-0000-0000B5520000}"/>
    <cellStyle name="Accent2 14" xfId="5364" xr:uid="{00000000-0005-0000-0000-0000B6520000}"/>
    <cellStyle name="Accent2 14 2" xfId="9665" xr:uid="{00000000-0005-0000-0000-0000B7520000}"/>
    <cellStyle name="Accent2 14 3" xfId="22403" xr:uid="{00000000-0005-0000-0000-0000B8520000}"/>
    <cellStyle name="Accent2 2" xfId="5365" xr:uid="{00000000-0005-0000-0000-0000B9520000}"/>
    <cellStyle name="Accent2 2 2" xfId="9668" xr:uid="{00000000-0005-0000-0000-0000BA520000}"/>
    <cellStyle name="Accent2 2 3" xfId="22402" xr:uid="{00000000-0005-0000-0000-0000BB520000}"/>
    <cellStyle name="Accent2 2 4" xfId="33065" xr:uid="{00000000-0005-0000-0000-0000BC520000}"/>
    <cellStyle name="Accent2 3" xfId="5366" xr:uid="{00000000-0005-0000-0000-0000BD520000}"/>
    <cellStyle name="Accent2 3 2" xfId="5367" xr:uid="{00000000-0005-0000-0000-0000BE520000}"/>
    <cellStyle name="Accent2 3 2 2" xfId="9670" xr:uid="{00000000-0005-0000-0000-0000BF520000}"/>
    <cellStyle name="Accent2 3 2 3" xfId="22400" xr:uid="{00000000-0005-0000-0000-0000C0520000}"/>
    <cellStyle name="Accent2 3 3" xfId="9669" xr:uid="{00000000-0005-0000-0000-0000C1520000}"/>
    <cellStyle name="Accent2 3 4" xfId="22401" xr:uid="{00000000-0005-0000-0000-0000C2520000}"/>
    <cellStyle name="Accent2 4" xfId="5368" xr:uid="{00000000-0005-0000-0000-0000C3520000}"/>
    <cellStyle name="Accent2 4 2" xfId="5369" xr:uid="{00000000-0005-0000-0000-0000C4520000}"/>
    <cellStyle name="Accent2 4 2 2" xfId="13107" xr:uid="{00000000-0005-0000-0000-0000C5520000}"/>
    <cellStyle name="Accent2 4 2 3" xfId="22398" xr:uid="{00000000-0005-0000-0000-0000C6520000}"/>
    <cellStyle name="Accent2 4 3" xfId="5370" xr:uid="{00000000-0005-0000-0000-0000C7520000}"/>
    <cellStyle name="Accent2 4 3 2" xfId="13106" xr:uid="{00000000-0005-0000-0000-0000C8520000}"/>
    <cellStyle name="Accent2 4 3 3" xfId="22397" xr:uid="{00000000-0005-0000-0000-0000C9520000}"/>
    <cellStyle name="Accent2 4 4" xfId="9671" xr:uid="{00000000-0005-0000-0000-0000CA520000}"/>
    <cellStyle name="Accent2 4 5" xfId="22399" xr:uid="{00000000-0005-0000-0000-0000CB520000}"/>
    <cellStyle name="Accent2 5" xfId="5371" xr:uid="{00000000-0005-0000-0000-0000CC520000}"/>
    <cellStyle name="Accent2 5 2" xfId="5372" xr:uid="{00000000-0005-0000-0000-0000CD520000}"/>
    <cellStyle name="Accent2 5 2 2" xfId="9673" xr:uid="{00000000-0005-0000-0000-0000CE520000}"/>
    <cellStyle name="Accent2 5 2 3" xfId="22395" xr:uid="{00000000-0005-0000-0000-0000CF520000}"/>
    <cellStyle name="Accent2 5 3" xfId="9672" xr:uid="{00000000-0005-0000-0000-0000D0520000}"/>
    <cellStyle name="Accent2 5 4" xfId="22396" xr:uid="{00000000-0005-0000-0000-0000D1520000}"/>
    <cellStyle name="Accent2 6" xfId="5373" xr:uid="{00000000-0005-0000-0000-0000D2520000}"/>
    <cellStyle name="Accent2 6 2" xfId="9674" xr:uid="{00000000-0005-0000-0000-0000D3520000}"/>
    <cellStyle name="Accent2 6 3" xfId="22394" xr:uid="{00000000-0005-0000-0000-0000D4520000}"/>
    <cellStyle name="Accent2 7" xfId="5374" xr:uid="{00000000-0005-0000-0000-0000D5520000}"/>
    <cellStyle name="Accent2 7 2" xfId="9675" xr:uid="{00000000-0005-0000-0000-0000D6520000}"/>
    <cellStyle name="Accent2 7 3" xfId="22393" xr:uid="{00000000-0005-0000-0000-0000D7520000}"/>
    <cellStyle name="Accent2 8" xfId="5375" xr:uid="{00000000-0005-0000-0000-0000D8520000}"/>
    <cellStyle name="Accent2 8 2" xfId="9676" xr:uid="{00000000-0005-0000-0000-0000D9520000}"/>
    <cellStyle name="Accent2 8 3" xfId="22392" xr:uid="{00000000-0005-0000-0000-0000DA520000}"/>
    <cellStyle name="Accent2 9" xfId="5376" xr:uid="{00000000-0005-0000-0000-0000DB520000}"/>
    <cellStyle name="Accent2 9 2" xfId="9677" xr:uid="{00000000-0005-0000-0000-0000DC520000}"/>
    <cellStyle name="Accent2 9 3" xfId="22391" xr:uid="{00000000-0005-0000-0000-0000DD520000}"/>
    <cellStyle name="Accent3" xfId="35" builtinId="37" customBuiltin="1"/>
    <cellStyle name="Accent3 10" xfId="5377" xr:uid="{00000000-0005-0000-0000-0000DF520000}"/>
    <cellStyle name="Accent3 10 2" xfId="9679" xr:uid="{00000000-0005-0000-0000-0000E0520000}"/>
    <cellStyle name="Accent3 10 3" xfId="22390" xr:uid="{00000000-0005-0000-0000-0000E1520000}"/>
    <cellStyle name="Accent3 11" xfId="5378" xr:uid="{00000000-0005-0000-0000-0000E2520000}"/>
    <cellStyle name="Accent3 11 2" xfId="9680" xr:uid="{00000000-0005-0000-0000-0000E3520000}"/>
    <cellStyle name="Accent3 11 3" xfId="22389" xr:uid="{00000000-0005-0000-0000-0000E4520000}"/>
    <cellStyle name="Accent3 12" xfId="5379" xr:uid="{00000000-0005-0000-0000-0000E5520000}"/>
    <cellStyle name="Accent3 12 2" xfId="5380" xr:uid="{00000000-0005-0000-0000-0000E6520000}"/>
    <cellStyle name="Accent3 12 2 2" xfId="15588" xr:uid="{00000000-0005-0000-0000-0000E7520000}"/>
    <cellStyle name="Accent3 12 2 3" xfId="22387" xr:uid="{00000000-0005-0000-0000-0000E8520000}"/>
    <cellStyle name="Accent3 12 3" xfId="10482" xr:uid="{00000000-0005-0000-0000-0000E9520000}"/>
    <cellStyle name="Accent3 12 4" xfId="22388" xr:uid="{00000000-0005-0000-0000-0000EA520000}"/>
    <cellStyle name="Accent3 13" xfId="5381" xr:uid="{00000000-0005-0000-0000-0000EB520000}"/>
    <cellStyle name="Accent3 13 2" xfId="11309" xr:uid="{00000000-0005-0000-0000-0000EC520000}"/>
    <cellStyle name="Accent3 13 3" xfId="22386" xr:uid="{00000000-0005-0000-0000-0000ED520000}"/>
    <cellStyle name="Accent3 14" xfId="5382" xr:uid="{00000000-0005-0000-0000-0000EE520000}"/>
    <cellStyle name="Accent3 14 2" xfId="9678" xr:uid="{00000000-0005-0000-0000-0000EF520000}"/>
    <cellStyle name="Accent3 14 3" xfId="22385" xr:uid="{00000000-0005-0000-0000-0000F0520000}"/>
    <cellStyle name="Accent3 2" xfId="5383" xr:uid="{00000000-0005-0000-0000-0000F1520000}"/>
    <cellStyle name="Accent3 2 2" xfId="9681" xr:uid="{00000000-0005-0000-0000-0000F2520000}"/>
    <cellStyle name="Accent3 2 3" xfId="22384" xr:uid="{00000000-0005-0000-0000-0000F3520000}"/>
    <cellStyle name="Accent3 2 4" xfId="33069" xr:uid="{00000000-0005-0000-0000-0000F4520000}"/>
    <cellStyle name="Accent3 3" xfId="5384" xr:uid="{00000000-0005-0000-0000-0000F5520000}"/>
    <cellStyle name="Accent3 3 2" xfId="5385" xr:uid="{00000000-0005-0000-0000-0000F6520000}"/>
    <cellStyle name="Accent3 3 2 2" xfId="9683" xr:uid="{00000000-0005-0000-0000-0000F7520000}"/>
    <cellStyle name="Accent3 3 2 3" xfId="22382" xr:uid="{00000000-0005-0000-0000-0000F8520000}"/>
    <cellStyle name="Accent3 3 3" xfId="9682" xr:uid="{00000000-0005-0000-0000-0000F9520000}"/>
    <cellStyle name="Accent3 3 4" xfId="22383" xr:uid="{00000000-0005-0000-0000-0000FA520000}"/>
    <cellStyle name="Accent3 4" xfId="5386" xr:uid="{00000000-0005-0000-0000-0000FB520000}"/>
    <cellStyle name="Accent3 4 2" xfId="5387" xr:uid="{00000000-0005-0000-0000-0000FC520000}"/>
    <cellStyle name="Accent3 4 2 2" xfId="13109" xr:uid="{00000000-0005-0000-0000-0000FD520000}"/>
    <cellStyle name="Accent3 4 2 3" xfId="22380" xr:uid="{00000000-0005-0000-0000-0000FE520000}"/>
    <cellStyle name="Accent3 4 3" xfId="5388" xr:uid="{00000000-0005-0000-0000-0000FF520000}"/>
    <cellStyle name="Accent3 4 3 2" xfId="13108" xr:uid="{00000000-0005-0000-0000-000000530000}"/>
    <cellStyle name="Accent3 4 3 3" xfId="22379" xr:uid="{00000000-0005-0000-0000-000001530000}"/>
    <cellStyle name="Accent3 4 4" xfId="9684" xr:uid="{00000000-0005-0000-0000-000002530000}"/>
    <cellStyle name="Accent3 4 5" xfId="22381" xr:uid="{00000000-0005-0000-0000-000003530000}"/>
    <cellStyle name="Accent3 5" xfId="5389" xr:uid="{00000000-0005-0000-0000-000004530000}"/>
    <cellStyle name="Accent3 5 2" xfId="5390" xr:uid="{00000000-0005-0000-0000-000005530000}"/>
    <cellStyle name="Accent3 5 2 2" xfId="9686" xr:uid="{00000000-0005-0000-0000-000006530000}"/>
    <cellStyle name="Accent3 5 2 3" xfId="22377" xr:uid="{00000000-0005-0000-0000-000007530000}"/>
    <cellStyle name="Accent3 5 3" xfId="9685" xr:uid="{00000000-0005-0000-0000-000008530000}"/>
    <cellStyle name="Accent3 5 4" xfId="22378" xr:uid="{00000000-0005-0000-0000-000009530000}"/>
    <cellStyle name="Accent3 6" xfId="5391" xr:uid="{00000000-0005-0000-0000-00000A530000}"/>
    <cellStyle name="Accent3 6 2" xfId="9687" xr:uid="{00000000-0005-0000-0000-00000B530000}"/>
    <cellStyle name="Accent3 6 3" xfId="22376" xr:uid="{00000000-0005-0000-0000-00000C530000}"/>
    <cellStyle name="Accent3 7" xfId="5392" xr:uid="{00000000-0005-0000-0000-00000D530000}"/>
    <cellStyle name="Accent3 7 2" xfId="9688" xr:uid="{00000000-0005-0000-0000-00000E530000}"/>
    <cellStyle name="Accent3 7 3" xfId="22375" xr:uid="{00000000-0005-0000-0000-00000F530000}"/>
    <cellStyle name="Accent3 8" xfId="5393" xr:uid="{00000000-0005-0000-0000-000010530000}"/>
    <cellStyle name="Accent3 8 2" xfId="9689" xr:uid="{00000000-0005-0000-0000-000011530000}"/>
    <cellStyle name="Accent3 8 3" xfId="22374" xr:uid="{00000000-0005-0000-0000-000012530000}"/>
    <cellStyle name="Accent3 9" xfId="5394" xr:uid="{00000000-0005-0000-0000-000013530000}"/>
    <cellStyle name="Accent3 9 2" xfId="9690" xr:uid="{00000000-0005-0000-0000-000014530000}"/>
    <cellStyle name="Accent3 9 3" xfId="22373" xr:uid="{00000000-0005-0000-0000-000015530000}"/>
    <cellStyle name="Accent4" xfId="39" builtinId="41" customBuiltin="1"/>
    <cellStyle name="Accent4 10" xfId="5395" xr:uid="{00000000-0005-0000-0000-000017530000}"/>
    <cellStyle name="Accent4 10 2" xfId="9692" xr:uid="{00000000-0005-0000-0000-000018530000}"/>
    <cellStyle name="Accent4 10 3" xfId="22372" xr:uid="{00000000-0005-0000-0000-000019530000}"/>
    <cellStyle name="Accent4 11" xfId="5396" xr:uid="{00000000-0005-0000-0000-00001A530000}"/>
    <cellStyle name="Accent4 11 2" xfId="9693" xr:uid="{00000000-0005-0000-0000-00001B530000}"/>
    <cellStyle name="Accent4 11 3" xfId="22371" xr:uid="{00000000-0005-0000-0000-00001C530000}"/>
    <cellStyle name="Accent4 12" xfId="5397" xr:uid="{00000000-0005-0000-0000-00001D530000}"/>
    <cellStyle name="Accent4 12 2" xfId="5398" xr:uid="{00000000-0005-0000-0000-00001E530000}"/>
    <cellStyle name="Accent4 12 2 2" xfId="15589" xr:uid="{00000000-0005-0000-0000-00001F530000}"/>
    <cellStyle name="Accent4 12 2 3" xfId="22369" xr:uid="{00000000-0005-0000-0000-000020530000}"/>
    <cellStyle name="Accent4 12 3" xfId="10483" xr:uid="{00000000-0005-0000-0000-000021530000}"/>
    <cellStyle name="Accent4 12 4" xfId="22370" xr:uid="{00000000-0005-0000-0000-000022530000}"/>
    <cellStyle name="Accent4 13" xfId="5399" xr:uid="{00000000-0005-0000-0000-000023530000}"/>
    <cellStyle name="Accent4 13 2" xfId="11310" xr:uid="{00000000-0005-0000-0000-000024530000}"/>
    <cellStyle name="Accent4 13 3" xfId="22368" xr:uid="{00000000-0005-0000-0000-000025530000}"/>
    <cellStyle name="Accent4 14" xfId="5400" xr:uid="{00000000-0005-0000-0000-000026530000}"/>
    <cellStyle name="Accent4 14 2" xfId="9691" xr:uid="{00000000-0005-0000-0000-000027530000}"/>
    <cellStyle name="Accent4 14 3" xfId="22367" xr:uid="{00000000-0005-0000-0000-000028530000}"/>
    <cellStyle name="Accent4 2" xfId="5401" xr:uid="{00000000-0005-0000-0000-000029530000}"/>
    <cellStyle name="Accent4 2 2" xfId="9694" xr:uid="{00000000-0005-0000-0000-00002A530000}"/>
    <cellStyle name="Accent4 2 3" xfId="22366" xr:uid="{00000000-0005-0000-0000-00002B530000}"/>
    <cellStyle name="Accent4 2 4" xfId="33073" xr:uid="{00000000-0005-0000-0000-00002C530000}"/>
    <cellStyle name="Accent4 3" xfId="5402" xr:uid="{00000000-0005-0000-0000-00002D530000}"/>
    <cellStyle name="Accent4 3 2" xfId="5403" xr:uid="{00000000-0005-0000-0000-00002E530000}"/>
    <cellStyle name="Accent4 3 2 2" xfId="9696" xr:uid="{00000000-0005-0000-0000-00002F530000}"/>
    <cellStyle name="Accent4 3 2 3" xfId="22364" xr:uid="{00000000-0005-0000-0000-000030530000}"/>
    <cellStyle name="Accent4 3 3" xfId="9695" xr:uid="{00000000-0005-0000-0000-000031530000}"/>
    <cellStyle name="Accent4 3 4" xfId="22365" xr:uid="{00000000-0005-0000-0000-000032530000}"/>
    <cellStyle name="Accent4 4" xfId="5404" xr:uid="{00000000-0005-0000-0000-000033530000}"/>
    <cellStyle name="Accent4 4 2" xfId="5405" xr:uid="{00000000-0005-0000-0000-000034530000}"/>
    <cellStyle name="Accent4 4 2 2" xfId="13111" xr:uid="{00000000-0005-0000-0000-000035530000}"/>
    <cellStyle name="Accent4 4 2 3" xfId="22362" xr:uid="{00000000-0005-0000-0000-000036530000}"/>
    <cellStyle name="Accent4 4 3" xfId="5406" xr:uid="{00000000-0005-0000-0000-000037530000}"/>
    <cellStyle name="Accent4 4 3 2" xfId="13110" xr:uid="{00000000-0005-0000-0000-000038530000}"/>
    <cellStyle name="Accent4 4 3 3" xfId="22361" xr:uid="{00000000-0005-0000-0000-000039530000}"/>
    <cellStyle name="Accent4 4 4" xfId="9697" xr:uid="{00000000-0005-0000-0000-00003A530000}"/>
    <cellStyle name="Accent4 4 5" xfId="22363" xr:uid="{00000000-0005-0000-0000-00003B530000}"/>
    <cellStyle name="Accent4 5" xfId="5407" xr:uid="{00000000-0005-0000-0000-00003C530000}"/>
    <cellStyle name="Accent4 5 2" xfId="5408" xr:uid="{00000000-0005-0000-0000-00003D530000}"/>
    <cellStyle name="Accent4 5 2 2" xfId="9699" xr:uid="{00000000-0005-0000-0000-00003E530000}"/>
    <cellStyle name="Accent4 5 2 3" xfId="22359" xr:uid="{00000000-0005-0000-0000-00003F530000}"/>
    <cellStyle name="Accent4 5 3" xfId="9698" xr:uid="{00000000-0005-0000-0000-000040530000}"/>
    <cellStyle name="Accent4 5 4" xfId="22360" xr:uid="{00000000-0005-0000-0000-000041530000}"/>
    <cellStyle name="Accent4 6" xfId="5409" xr:uid="{00000000-0005-0000-0000-000042530000}"/>
    <cellStyle name="Accent4 6 2" xfId="9700" xr:uid="{00000000-0005-0000-0000-000043530000}"/>
    <cellStyle name="Accent4 6 3" xfId="22358" xr:uid="{00000000-0005-0000-0000-000044530000}"/>
    <cellStyle name="Accent4 7" xfId="5410" xr:uid="{00000000-0005-0000-0000-000045530000}"/>
    <cellStyle name="Accent4 7 2" xfId="9701" xr:uid="{00000000-0005-0000-0000-000046530000}"/>
    <cellStyle name="Accent4 7 3" xfId="22357" xr:uid="{00000000-0005-0000-0000-000047530000}"/>
    <cellStyle name="Accent4 8" xfId="5411" xr:uid="{00000000-0005-0000-0000-000048530000}"/>
    <cellStyle name="Accent4 8 2" xfId="9702" xr:uid="{00000000-0005-0000-0000-000049530000}"/>
    <cellStyle name="Accent4 8 3" xfId="22356" xr:uid="{00000000-0005-0000-0000-00004A530000}"/>
    <cellStyle name="Accent4 9" xfId="5412" xr:uid="{00000000-0005-0000-0000-00004B530000}"/>
    <cellStyle name="Accent4 9 2" xfId="9703" xr:uid="{00000000-0005-0000-0000-00004C530000}"/>
    <cellStyle name="Accent4 9 3" xfId="22355" xr:uid="{00000000-0005-0000-0000-00004D530000}"/>
    <cellStyle name="Accent5" xfId="33037" builtinId="45" customBuiltin="1"/>
    <cellStyle name="Accent5 2" xfId="8817" xr:uid="{00000000-0005-0000-0000-00004F530000}"/>
    <cellStyle name="Accent5 2 2" xfId="33077" xr:uid="{00000000-0005-0000-0000-000050530000}"/>
    <cellStyle name="Accent5 3" xfId="22354" xr:uid="{00000000-0005-0000-0000-000051530000}"/>
    <cellStyle name="Accent5 4" xfId="5413" xr:uid="{00000000-0005-0000-0000-000052530000}"/>
    <cellStyle name="Accent6" xfId="46" builtinId="49" customBuiltin="1"/>
    <cellStyle name="Accent6 10" xfId="5414" xr:uid="{00000000-0005-0000-0000-000054530000}"/>
    <cellStyle name="Accent6 10 2" xfId="9705" xr:uid="{00000000-0005-0000-0000-000055530000}"/>
    <cellStyle name="Accent6 10 3" xfId="22353" xr:uid="{00000000-0005-0000-0000-000056530000}"/>
    <cellStyle name="Accent6 11" xfId="5415" xr:uid="{00000000-0005-0000-0000-000057530000}"/>
    <cellStyle name="Accent6 11 2" xfId="9706" xr:uid="{00000000-0005-0000-0000-000058530000}"/>
    <cellStyle name="Accent6 11 3" xfId="22352" xr:uid="{00000000-0005-0000-0000-000059530000}"/>
    <cellStyle name="Accent6 12" xfId="5416" xr:uid="{00000000-0005-0000-0000-00005A530000}"/>
    <cellStyle name="Accent6 12 2" xfId="5417" xr:uid="{00000000-0005-0000-0000-00005B530000}"/>
    <cellStyle name="Accent6 12 2 2" xfId="15590" xr:uid="{00000000-0005-0000-0000-00005C530000}"/>
    <cellStyle name="Accent6 12 2 3" xfId="22350" xr:uid="{00000000-0005-0000-0000-00005D530000}"/>
    <cellStyle name="Accent6 12 3" xfId="10484" xr:uid="{00000000-0005-0000-0000-00005E530000}"/>
    <cellStyle name="Accent6 12 4" xfId="22351" xr:uid="{00000000-0005-0000-0000-00005F530000}"/>
    <cellStyle name="Accent6 13" xfId="5418" xr:uid="{00000000-0005-0000-0000-000060530000}"/>
    <cellStyle name="Accent6 13 2" xfId="11311" xr:uid="{00000000-0005-0000-0000-000061530000}"/>
    <cellStyle name="Accent6 13 3" xfId="22349" xr:uid="{00000000-0005-0000-0000-000062530000}"/>
    <cellStyle name="Accent6 14" xfId="5419" xr:uid="{00000000-0005-0000-0000-000063530000}"/>
    <cellStyle name="Accent6 14 2" xfId="9704" xr:uid="{00000000-0005-0000-0000-000064530000}"/>
    <cellStyle name="Accent6 14 3" xfId="22348" xr:uid="{00000000-0005-0000-0000-000065530000}"/>
    <cellStyle name="Accent6 2" xfId="5420" xr:uid="{00000000-0005-0000-0000-000066530000}"/>
    <cellStyle name="Accent6 2 2" xfId="9707" xr:uid="{00000000-0005-0000-0000-000067530000}"/>
    <cellStyle name="Accent6 2 3" xfId="22347" xr:uid="{00000000-0005-0000-0000-000068530000}"/>
    <cellStyle name="Accent6 2 4" xfId="33081" xr:uid="{00000000-0005-0000-0000-000069530000}"/>
    <cellStyle name="Accent6 3" xfId="5421" xr:uid="{00000000-0005-0000-0000-00006A530000}"/>
    <cellStyle name="Accent6 3 2" xfId="5422" xr:uid="{00000000-0005-0000-0000-00006B530000}"/>
    <cellStyle name="Accent6 3 2 2" xfId="9709" xr:uid="{00000000-0005-0000-0000-00006C530000}"/>
    <cellStyle name="Accent6 3 2 3" xfId="22345" xr:uid="{00000000-0005-0000-0000-00006D530000}"/>
    <cellStyle name="Accent6 3 3" xfId="9708" xr:uid="{00000000-0005-0000-0000-00006E530000}"/>
    <cellStyle name="Accent6 3 4" xfId="22346" xr:uid="{00000000-0005-0000-0000-00006F530000}"/>
    <cellStyle name="Accent6 4" xfId="5423" xr:uid="{00000000-0005-0000-0000-000070530000}"/>
    <cellStyle name="Accent6 4 2" xfId="5424" xr:uid="{00000000-0005-0000-0000-000071530000}"/>
    <cellStyle name="Accent6 4 2 2" xfId="13113" xr:uid="{00000000-0005-0000-0000-000072530000}"/>
    <cellStyle name="Accent6 4 2 3" xfId="22343" xr:uid="{00000000-0005-0000-0000-000073530000}"/>
    <cellStyle name="Accent6 4 3" xfId="5425" xr:uid="{00000000-0005-0000-0000-000074530000}"/>
    <cellStyle name="Accent6 4 3 2" xfId="13112" xr:uid="{00000000-0005-0000-0000-000075530000}"/>
    <cellStyle name="Accent6 4 3 3" xfId="22342" xr:uid="{00000000-0005-0000-0000-000076530000}"/>
    <cellStyle name="Accent6 4 4" xfId="9710" xr:uid="{00000000-0005-0000-0000-000077530000}"/>
    <cellStyle name="Accent6 4 5" xfId="22344" xr:uid="{00000000-0005-0000-0000-000078530000}"/>
    <cellStyle name="Accent6 5" xfId="5426" xr:uid="{00000000-0005-0000-0000-000079530000}"/>
    <cellStyle name="Accent6 5 2" xfId="5427" xr:uid="{00000000-0005-0000-0000-00007A530000}"/>
    <cellStyle name="Accent6 5 2 2" xfId="9712" xr:uid="{00000000-0005-0000-0000-00007B530000}"/>
    <cellStyle name="Accent6 5 2 3" xfId="22340" xr:uid="{00000000-0005-0000-0000-00007C530000}"/>
    <cellStyle name="Accent6 5 3" xfId="9711" xr:uid="{00000000-0005-0000-0000-00007D530000}"/>
    <cellStyle name="Accent6 5 4" xfId="22341" xr:uid="{00000000-0005-0000-0000-00007E530000}"/>
    <cellStyle name="Accent6 6" xfId="5428" xr:uid="{00000000-0005-0000-0000-00007F530000}"/>
    <cellStyle name="Accent6 6 2" xfId="9713" xr:uid="{00000000-0005-0000-0000-000080530000}"/>
    <cellStyle name="Accent6 6 3" xfId="22339" xr:uid="{00000000-0005-0000-0000-000081530000}"/>
    <cellStyle name="Accent6 7" xfId="5429" xr:uid="{00000000-0005-0000-0000-000082530000}"/>
    <cellStyle name="Accent6 7 2" xfId="9714" xr:uid="{00000000-0005-0000-0000-000083530000}"/>
    <cellStyle name="Accent6 7 3" xfId="22338" xr:uid="{00000000-0005-0000-0000-000084530000}"/>
    <cellStyle name="Accent6 8" xfId="5430" xr:uid="{00000000-0005-0000-0000-000085530000}"/>
    <cellStyle name="Accent6 8 2" xfId="9715" xr:uid="{00000000-0005-0000-0000-000086530000}"/>
    <cellStyle name="Accent6 8 3" xfId="22337" xr:uid="{00000000-0005-0000-0000-000087530000}"/>
    <cellStyle name="Accent6 9" xfId="5431" xr:uid="{00000000-0005-0000-0000-000088530000}"/>
    <cellStyle name="Accent6 9 2" xfId="9716" xr:uid="{00000000-0005-0000-0000-000089530000}"/>
    <cellStyle name="Accent6 9 3" xfId="22336" xr:uid="{00000000-0005-0000-0000-00008A530000}"/>
    <cellStyle name="ALSTEC Currency" xfId="1" xr:uid="{00000000-0005-0000-0000-00008B530000}"/>
    <cellStyle name="ALSTEC Detail Header" xfId="2" xr:uid="{00000000-0005-0000-0000-00008C530000}"/>
    <cellStyle name="ALSTEC Normal_RU EXP" xfId="3" xr:uid="{00000000-0005-0000-0000-00008D530000}"/>
    <cellStyle name="Bad" xfId="20" builtinId="27" customBuiltin="1"/>
    <cellStyle name="Bad 10" xfId="5432" xr:uid="{00000000-0005-0000-0000-00008F530000}"/>
    <cellStyle name="Bad 10 2" xfId="9718" xr:uid="{00000000-0005-0000-0000-000090530000}"/>
    <cellStyle name="Bad 10 3" xfId="22335" xr:uid="{00000000-0005-0000-0000-000091530000}"/>
    <cellStyle name="Bad 11" xfId="5433" xr:uid="{00000000-0005-0000-0000-000092530000}"/>
    <cellStyle name="Bad 11 2" xfId="9719" xr:uid="{00000000-0005-0000-0000-000093530000}"/>
    <cellStyle name="Bad 11 3" xfId="22334" xr:uid="{00000000-0005-0000-0000-000094530000}"/>
    <cellStyle name="Bad 12" xfId="5434" xr:uid="{00000000-0005-0000-0000-000095530000}"/>
    <cellStyle name="Bad 12 2" xfId="5435" xr:uid="{00000000-0005-0000-0000-000096530000}"/>
    <cellStyle name="Bad 12 2 2" xfId="15591" xr:uid="{00000000-0005-0000-0000-000097530000}"/>
    <cellStyle name="Bad 12 2 3" xfId="22332" xr:uid="{00000000-0005-0000-0000-000098530000}"/>
    <cellStyle name="Bad 12 3" xfId="10485" xr:uid="{00000000-0005-0000-0000-000099530000}"/>
    <cellStyle name="Bad 12 4" xfId="22333" xr:uid="{00000000-0005-0000-0000-00009A530000}"/>
    <cellStyle name="Bad 13" xfId="5436" xr:uid="{00000000-0005-0000-0000-00009B530000}"/>
    <cellStyle name="Bad 13 2" xfId="11312" xr:uid="{00000000-0005-0000-0000-00009C530000}"/>
    <cellStyle name="Bad 13 3" xfId="22331" xr:uid="{00000000-0005-0000-0000-00009D530000}"/>
    <cellStyle name="Bad 14" xfId="5437" xr:uid="{00000000-0005-0000-0000-00009E530000}"/>
    <cellStyle name="Bad 14 2" xfId="9717" xr:uid="{00000000-0005-0000-0000-00009F530000}"/>
    <cellStyle name="Bad 14 3" xfId="22330" xr:uid="{00000000-0005-0000-0000-0000A0530000}"/>
    <cellStyle name="Bad 2" xfId="5438" xr:uid="{00000000-0005-0000-0000-0000A1530000}"/>
    <cellStyle name="Bad 2 2" xfId="9720" xr:uid="{00000000-0005-0000-0000-0000A2530000}"/>
    <cellStyle name="Bad 2 3" xfId="22329" xr:uid="{00000000-0005-0000-0000-0000A3530000}"/>
    <cellStyle name="Bad 2 4" xfId="33050" xr:uid="{00000000-0005-0000-0000-0000A4530000}"/>
    <cellStyle name="Bad 3" xfId="5439" xr:uid="{00000000-0005-0000-0000-0000A5530000}"/>
    <cellStyle name="Bad 3 2" xfId="5440" xr:uid="{00000000-0005-0000-0000-0000A6530000}"/>
    <cellStyle name="Bad 3 2 2" xfId="9722" xr:uid="{00000000-0005-0000-0000-0000A7530000}"/>
    <cellStyle name="Bad 3 2 3" xfId="22327" xr:uid="{00000000-0005-0000-0000-0000A8530000}"/>
    <cellStyle name="Bad 3 3" xfId="9721" xr:uid="{00000000-0005-0000-0000-0000A9530000}"/>
    <cellStyle name="Bad 3 4" xfId="22328" xr:uid="{00000000-0005-0000-0000-0000AA530000}"/>
    <cellStyle name="Bad 4" xfId="5441" xr:uid="{00000000-0005-0000-0000-0000AB530000}"/>
    <cellStyle name="Bad 4 2" xfId="5442" xr:uid="{00000000-0005-0000-0000-0000AC530000}"/>
    <cellStyle name="Bad 4 2 2" xfId="13115" xr:uid="{00000000-0005-0000-0000-0000AD530000}"/>
    <cellStyle name="Bad 4 2 3" xfId="22325" xr:uid="{00000000-0005-0000-0000-0000AE530000}"/>
    <cellStyle name="Bad 4 3" xfId="5443" xr:uid="{00000000-0005-0000-0000-0000AF530000}"/>
    <cellStyle name="Bad 4 3 2" xfId="13114" xr:uid="{00000000-0005-0000-0000-0000B0530000}"/>
    <cellStyle name="Bad 4 3 3" xfId="22324" xr:uid="{00000000-0005-0000-0000-0000B1530000}"/>
    <cellStyle name="Bad 4 4" xfId="9723" xr:uid="{00000000-0005-0000-0000-0000B2530000}"/>
    <cellStyle name="Bad 4 5" xfId="22326" xr:uid="{00000000-0005-0000-0000-0000B3530000}"/>
    <cellStyle name="Bad 5" xfId="5444" xr:uid="{00000000-0005-0000-0000-0000B4530000}"/>
    <cellStyle name="Bad 5 2" xfId="5445" xr:uid="{00000000-0005-0000-0000-0000B5530000}"/>
    <cellStyle name="Bad 5 2 2" xfId="9725" xr:uid="{00000000-0005-0000-0000-0000B6530000}"/>
    <cellStyle name="Bad 5 2 3" xfId="22322" xr:uid="{00000000-0005-0000-0000-0000B7530000}"/>
    <cellStyle name="Bad 5 3" xfId="9724" xr:uid="{00000000-0005-0000-0000-0000B8530000}"/>
    <cellStyle name="Bad 5 4" xfId="22323" xr:uid="{00000000-0005-0000-0000-0000B9530000}"/>
    <cellStyle name="Bad 6" xfId="5446" xr:uid="{00000000-0005-0000-0000-0000BA530000}"/>
    <cellStyle name="Bad 6 2" xfId="9726" xr:uid="{00000000-0005-0000-0000-0000BB530000}"/>
    <cellStyle name="Bad 6 3" xfId="22321" xr:uid="{00000000-0005-0000-0000-0000BC530000}"/>
    <cellStyle name="Bad 7" xfId="5447" xr:uid="{00000000-0005-0000-0000-0000BD530000}"/>
    <cellStyle name="Bad 7 2" xfId="9727" xr:uid="{00000000-0005-0000-0000-0000BE530000}"/>
    <cellStyle name="Bad 7 3" xfId="22320" xr:uid="{00000000-0005-0000-0000-0000BF530000}"/>
    <cellStyle name="Bad 8" xfId="5448" xr:uid="{00000000-0005-0000-0000-0000C0530000}"/>
    <cellStyle name="Bad 8 2" xfId="9728" xr:uid="{00000000-0005-0000-0000-0000C1530000}"/>
    <cellStyle name="Bad 8 3" xfId="22319" xr:uid="{00000000-0005-0000-0000-0000C2530000}"/>
    <cellStyle name="Bad 9" xfId="5449" xr:uid="{00000000-0005-0000-0000-0000C3530000}"/>
    <cellStyle name="Bad 9 2" xfId="9729" xr:uid="{00000000-0005-0000-0000-0000C4530000}"/>
    <cellStyle name="Bad 9 3" xfId="22318" xr:uid="{00000000-0005-0000-0000-0000C5530000}"/>
    <cellStyle name="Calculation" xfId="24" builtinId="22" customBuiltin="1"/>
    <cellStyle name="Calculation 10" xfId="5450" xr:uid="{00000000-0005-0000-0000-0000C7530000}"/>
    <cellStyle name="Calculation 10 2" xfId="9731" xr:uid="{00000000-0005-0000-0000-0000C8530000}"/>
    <cellStyle name="Calculation 10 3" xfId="22317" xr:uid="{00000000-0005-0000-0000-0000C9530000}"/>
    <cellStyle name="Calculation 11" xfId="5451" xr:uid="{00000000-0005-0000-0000-0000CA530000}"/>
    <cellStyle name="Calculation 11 2" xfId="9732" xr:uid="{00000000-0005-0000-0000-0000CB530000}"/>
    <cellStyle name="Calculation 11 3" xfId="22316" xr:uid="{00000000-0005-0000-0000-0000CC530000}"/>
    <cellStyle name="Calculation 12" xfId="5452" xr:uid="{00000000-0005-0000-0000-0000CD530000}"/>
    <cellStyle name="Calculation 12 2" xfId="5453" xr:uid="{00000000-0005-0000-0000-0000CE530000}"/>
    <cellStyle name="Calculation 12 2 2" xfId="15592" xr:uid="{00000000-0005-0000-0000-0000CF530000}"/>
    <cellStyle name="Calculation 12 2 3" xfId="22314" xr:uid="{00000000-0005-0000-0000-0000D0530000}"/>
    <cellStyle name="Calculation 12 3" xfId="10486" xr:uid="{00000000-0005-0000-0000-0000D1530000}"/>
    <cellStyle name="Calculation 12 4" xfId="22315" xr:uid="{00000000-0005-0000-0000-0000D2530000}"/>
    <cellStyle name="Calculation 13" xfId="5454" xr:uid="{00000000-0005-0000-0000-0000D3530000}"/>
    <cellStyle name="Calculation 13 2" xfId="11313" xr:uid="{00000000-0005-0000-0000-0000D4530000}"/>
    <cellStyle name="Calculation 13 3" xfId="22313" xr:uid="{00000000-0005-0000-0000-0000D5530000}"/>
    <cellStyle name="Calculation 14" xfId="5455" xr:uid="{00000000-0005-0000-0000-0000D6530000}"/>
    <cellStyle name="Calculation 14 2" xfId="9730" xr:uid="{00000000-0005-0000-0000-0000D7530000}"/>
    <cellStyle name="Calculation 14 3" xfId="22312" xr:uid="{00000000-0005-0000-0000-0000D8530000}"/>
    <cellStyle name="Calculation 2" xfId="5456" xr:uid="{00000000-0005-0000-0000-0000D9530000}"/>
    <cellStyle name="Calculation 2 2" xfId="9733" xr:uid="{00000000-0005-0000-0000-0000DA530000}"/>
    <cellStyle name="Calculation 2 3" xfId="22311" xr:uid="{00000000-0005-0000-0000-0000DB530000}"/>
    <cellStyle name="Calculation 2 4" xfId="33054" xr:uid="{00000000-0005-0000-0000-0000DC530000}"/>
    <cellStyle name="Calculation 3" xfId="5457" xr:uid="{00000000-0005-0000-0000-0000DD530000}"/>
    <cellStyle name="Calculation 3 2" xfId="5458" xr:uid="{00000000-0005-0000-0000-0000DE530000}"/>
    <cellStyle name="Calculation 3 2 2" xfId="9735" xr:uid="{00000000-0005-0000-0000-0000DF530000}"/>
    <cellStyle name="Calculation 3 2 3" xfId="22309" xr:uid="{00000000-0005-0000-0000-0000E0530000}"/>
    <cellStyle name="Calculation 3 3" xfId="9734" xr:uid="{00000000-0005-0000-0000-0000E1530000}"/>
    <cellStyle name="Calculation 3 4" xfId="22310" xr:uid="{00000000-0005-0000-0000-0000E2530000}"/>
    <cellStyle name="Calculation 4" xfId="5459" xr:uid="{00000000-0005-0000-0000-0000E3530000}"/>
    <cellStyle name="Calculation 4 2" xfId="5460" xr:uid="{00000000-0005-0000-0000-0000E4530000}"/>
    <cellStyle name="Calculation 4 2 2" xfId="13117" xr:uid="{00000000-0005-0000-0000-0000E5530000}"/>
    <cellStyle name="Calculation 4 2 3" xfId="22307" xr:uid="{00000000-0005-0000-0000-0000E6530000}"/>
    <cellStyle name="Calculation 4 3" xfId="5461" xr:uid="{00000000-0005-0000-0000-0000E7530000}"/>
    <cellStyle name="Calculation 4 3 2" xfId="13116" xr:uid="{00000000-0005-0000-0000-0000E8530000}"/>
    <cellStyle name="Calculation 4 3 3" xfId="22306" xr:uid="{00000000-0005-0000-0000-0000E9530000}"/>
    <cellStyle name="Calculation 4 4" xfId="9736" xr:uid="{00000000-0005-0000-0000-0000EA530000}"/>
    <cellStyle name="Calculation 4 5" xfId="22308" xr:uid="{00000000-0005-0000-0000-0000EB530000}"/>
    <cellStyle name="Calculation 5" xfId="5462" xr:uid="{00000000-0005-0000-0000-0000EC530000}"/>
    <cellStyle name="Calculation 5 2" xfId="5463" xr:uid="{00000000-0005-0000-0000-0000ED530000}"/>
    <cellStyle name="Calculation 5 2 2" xfId="9738" xr:uid="{00000000-0005-0000-0000-0000EE530000}"/>
    <cellStyle name="Calculation 5 2 3" xfId="22304" xr:uid="{00000000-0005-0000-0000-0000EF530000}"/>
    <cellStyle name="Calculation 5 3" xfId="9737" xr:uid="{00000000-0005-0000-0000-0000F0530000}"/>
    <cellStyle name="Calculation 5 4" xfId="22305" xr:uid="{00000000-0005-0000-0000-0000F1530000}"/>
    <cellStyle name="Calculation 6" xfId="5464" xr:uid="{00000000-0005-0000-0000-0000F2530000}"/>
    <cellStyle name="Calculation 6 2" xfId="9739" xr:uid="{00000000-0005-0000-0000-0000F3530000}"/>
    <cellStyle name="Calculation 6 3" xfId="22303" xr:uid="{00000000-0005-0000-0000-0000F4530000}"/>
    <cellStyle name="Calculation 7" xfId="5465" xr:uid="{00000000-0005-0000-0000-0000F5530000}"/>
    <cellStyle name="Calculation 7 2" xfId="9740" xr:uid="{00000000-0005-0000-0000-0000F6530000}"/>
    <cellStyle name="Calculation 7 3" xfId="22302" xr:uid="{00000000-0005-0000-0000-0000F7530000}"/>
    <cellStyle name="Calculation 8" xfId="5466" xr:uid="{00000000-0005-0000-0000-0000F8530000}"/>
    <cellStyle name="Calculation 8 2" xfId="9741" xr:uid="{00000000-0005-0000-0000-0000F9530000}"/>
    <cellStyle name="Calculation 8 3" xfId="22301" xr:uid="{00000000-0005-0000-0000-0000FA530000}"/>
    <cellStyle name="Calculation 9" xfId="5467" xr:uid="{00000000-0005-0000-0000-0000FB530000}"/>
    <cellStyle name="Calculation 9 2" xfId="9742" xr:uid="{00000000-0005-0000-0000-0000FC530000}"/>
    <cellStyle name="Calculation 9 3" xfId="22300" xr:uid="{00000000-0005-0000-0000-0000FD530000}"/>
    <cellStyle name="Check Cell" xfId="33033" builtinId="23" customBuiltin="1"/>
    <cellStyle name="Check Cell 2" xfId="8813" xr:uid="{00000000-0005-0000-0000-0000FF530000}"/>
    <cellStyle name="Check Cell 2 2" xfId="33056" xr:uid="{00000000-0005-0000-0000-000000540000}"/>
    <cellStyle name="Check Cell 3" xfId="22299" xr:uid="{00000000-0005-0000-0000-000001540000}"/>
    <cellStyle name="Check Cell 4" xfId="5468" xr:uid="{00000000-0005-0000-0000-000002540000}"/>
    <cellStyle name="Comma" xfId="4" builtinId="3"/>
    <cellStyle name="Comma 10" xfId="5469" xr:uid="{00000000-0005-0000-0000-000004540000}"/>
    <cellStyle name="Comma 10 2" xfId="5470" xr:uid="{00000000-0005-0000-0000-000005540000}"/>
    <cellStyle name="Comma 10 2 2" xfId="13118" xr:uid="{00000000-0005-0000-0000-000006540000}"/>
    <cellStyle name="Comma 10 2 3" xfId="22297" xr:uid="{00000000-0005-0000-0000-000007540000}"/>
    <cellStyle name="Comma 10 3" xfId="10515" xr:uid="{00000000-0005-0000-0000-000008540000}"/>
    <cellStyle name="Comma 10 4" xfId="22298" xr:uid="{00000000-0005-0000-0000-000009540000}"/>
    <cellStyle name="Comma 11" xfId="8786" xr:uid="{00000000-0005-0000-0000-00000A540000}"/>
    <cellStyle name="Comma 12" xfId="50" xr:uid="{00000000-0005-0000-0000-00000B540000}"/>
    <cellStyle name="Comma 2" xfId="5" xr:uid="{00000000-0005-0000-0000-00000C540000}"/>
    <cellStyle name="Comma 2 2" xfId="5472" xr:uid="{00000000-0005-0000-0000-00000D540000}"/>
    <cellStyle name="Comma 2 2 2" xfId="5473" xr:uid="{00000000-0005-0000-0000-00000E540000}"/>
    <cellStyle name="Comma 2 2 2 2" xfId="9743" xr:uid="{00000000-0005-0000-0000-00000F540000}"/>
    <cellStyle name="Comma 2 2 2 3" xfId="22294" xr:uid="{00000000-0005-0000-0000-000010540000}"/>
    <cellStyle name="Comma 2 2 3" xfId="5474" xr:uid="{00000000-0005-0000-0000-000011540000}"/>
    <cellStyle name="Comma 2 2 3 2" xfId="9744" xr:uid="{00000000-0005-0000-0000-000012540000}"/>
    <cellStyle name="Comma 2 2 3 3" xfId="22293" xr:uid="{00000000-0005-0000-0000-000013540000}"/>
    <cellStyle name="Comma 2 2 4" xfId="8711" xr:uid="{00000000-0005-0000-0000-000014540000}"/>
    <cellStyle name="Comma 2 2 5" xfId="22295" xr:uid="{00000000-0005-0000-0000-000015540000}"/>
    <cellStyle name="Comma 2 3" xfId="5475" xr:uid="{00000000-0005-0000-0000-000016540000}"/>
    <cellStyle name="Comma 2 3 2" xfId="5476" xr:uid="{00000000-0005-0000-0000-000017540000}"/>
    <cellStyle name="Comma 2 3 2 2" xfId="9745" xr:uid="{00000000-0005-0000-0000-000018540000}"/>
    <cellStyle name="Comma 2 3 2 3" xfId="22291" xr:uid="{00000000-0005-0000-0000-000019540000}"/>
    <cellStyle name="Comma 2 3 3" xfId="5477" xr:uid="{00000000-0005-0000-0000-00001A540000}"/>
    <cellStyle name="Comma 2 3 3 2" xfId="13119" xr:uid="{00000000-0005-0000-0000-00001B540000}"/>
    <cellStyle name="Comma 2 3 3 3" xfId="22290" xr:uid="{00000000-0005-0000-0000-00001C540000}"/>
    <cellStyle name="Comma 2 3 4" xfId="8677" xr:uid="{00000000-0005-0000-0000-00001D540000}"/>
    <cellStyle name="Comma 2 3 5" xfId="22292" xr:uid="{00000000-0005-0000-0000-00001E540000}"/>
    <cellStyle name="Comma 2 4" xfId="5478" xr:uid="{00000000-0005-0000-0000-00001F540000}"/>
    <cellStyle name="Comma 2 4 2" xfId="5479" xr:uid="{00000000-0005-0000-0000-000020540000}"/>
    <cellStyle name="Comma 2 4 2 2" xfId="13120" xr:uid="{00000000-0005-0000-0000-000021540000}"/>
    <cellStyle name="Comma 2 4 2 3" xfId="22288" xr:uid="{00000000-0005-0000-0000-000022540000}"/>
    <cellStyle name="Comma 2 4 3" xfId="5480" xr:uid="{00000000-0005-0000-0000-000023540000}"/>
    <cellStyle name="Comma 2 4 3 2" xfId="17369" xr:uid="{00000000-0005-0000-0000-000024540000}"/>
    <cellStyle name="Comma 2 4 3 3" xfId="22287" xr:uid="{00000000-0005-0000-0000-000025540000}"/>
    <cellStyle name="Comma 2 4 4" xfId="8726" xr:uid="{00000000-0005-0000-0000-000026540000}"/>
    <cellStyle name="Comma 2 4 5" xfId="22289" xr:uid="{00000000-0005-0000-0000-000027540000}"/>
    <cellStyle name="Comma 2 5" xfId="8658" xr:uid="{00000000-0005-0000-0000-000028540000}"/>
    <cellStyle name="Comma 2 6" xfId="22296" xr:uid="{00000000-0005-0000-0000-000029540000}"/>
    <cellStyle name="Comma 2 7" xfId="33031" xr:uid="{00000000-0005-0000-0000-00002A540000}"/>
    <cellStyle name="Comma 2 8" xfId="5471" xr:uid="{00000000-0005-0000-0000-00002B540000}"/>
    <cellStyle name="Comma 3" xfId="5481" xr:uid="{00000000-0005-0000-0000-00002C540000}"/>
    <cellStyle name="Comma 3 10" xfId="5482" xr:uid="{00000000-0005-0000-0000-00002D540000}"/>
    <cellStyle name="Comma 3 10 2" xfId="9747" xr:uid="{00000000-0005-0000-0000-00002E540000}"/>
    <cellStyle name="Comma 3 10 3" xfId="22285" xr:uid="{00000000-0005-0000-0000-00002F540000}"/>
    <cellStyle name="Comma 3 11" xfId="5483" xr:uid="{00000000-0005-0000-0000-000030540000}"/>
    <cellStyle name="Comma 3 11 2" xfId="5484" xr:uid="{00000000-0005-0000-0000-000031540000}"/>
    <cellStyle name="Comma 3 11 2 2" xfId="13121" xr:uid="{00000000-0005-0000-0000-000032540000}"/>
    <cellStyle name="Comma 3 11 2 3" xfId="22283" xr:uid="{00000000-0005-0000-0000-000033540000}"/>
    <cellStyle name="Comma 3 11 3" xfId="5485" xr:uid="{00000000-0005-0000-0000-000034540000}"/>
    <cellStyle name="Comma 3 11 3 2" xfId="17019" xr:uid="{00000000-0005-0000-0000-000035540000}"/>
    <cellStyle name="Comma 3 11 3 2 2" xfId="30426" xr:uid="{00000000-0005-0000-0000-000036540000}"/>
    <cellStyle name="Comma 3 11 3 3" xfId="22282" xr:uid="{00000000-0005-0000-0000-000037540000}"/>
    <cellStyle name="Comma 3 11 4" xfId="9748" xr:uid="{00000000-0005-0000-0000-000038540000}"/>
    <cellStyle name="Comma 3 11 5" xfId="22284" xr:uid="{00000000-0005-0000-0000-000039540000}"/>
    <cellStyle name="Comma 3 12" xfId="5486" xr:uid="{00000000-0005-0000-0000-00003A540000}"/>
    <cellStyle name="Comma 3 12 2" xfId="5487" xr:uid="{00000000-0005-0000-0000-00003B540000}"/>
    <cellStyle name="Comma 3 12 2 2" xfId="13123" xr:uid="{00000000-0005-0000-0000-00003C540000}"/>
    <cellStyle name="Comma 3 12 2 3" xfId="22280" xr:uid="{00000000-0005-0000-0000-00003D540000}"/>
    <cellStyle name="Comma 3 12 3" xfId="5488" xr:uid="{00000000-0005-0000-0000-00003E540000}"/>
    <cellStyle name="Comma 3 12 3 2" xfId="13122" xr:uid="{00000000-0005-0000-0000-00003F540000}"/>
    <cellStyle name="Comma 3 12 3 2 2" xfId="26834" xr:uid="{00000000-0005-0000-0000-000040540000}"/>
    <cellStyle name="Comma 3 12 3 3" xfId="22279" xr:uid="{00000000-0005-0000-0000-000041540000}"/>
    <cellStyle name="Comma 3 12 4" xfId="5489" xr:uid="{00000000-0005-0000-0000-000042540000}"/>
    <cellStyle name="Comma 3 12 4 2" xfId="17108" xr:uid="{00000000-0005-0000-0000-000043540000}"/>
    <cellStyle name="Comma 3 12 4 2 2" xfId="30467" xr:uid="{00000000-0005-0000-0000-000044540000}"/>
    <cellStyle name="Comma 3 12 4 3" xfId="22278" xr:uid="{00000000-0005-0000-0000-000045540000}"/>
    <cellStyle name="Comma 3 12 5" xfId="9749" xr:uid="{00000000-0005-0000-0000-000046540000}"/>
    <cellStyle name="Comma 3 12 6" xfId="22281" xr:uid="{00000000-0005-0000-0000-000047540000}"/>
    <cellStyle name="Comma 3 13" xfId="5490" xr:uid="{00000000-0005-0000-0000-000048540000}"/>
    <cellStyle name="Comma 3 13 2" xfId="5491" xr:uid="{00000000-0005-0000-0000-000049540000}"/>
    <cellStyle name="Comma 3 13 2 2" xfId="17197" xr:uid="{00000000-0005-0000-0000-00004A540000}"/>
    <cellStyle name="Comma 3 13 2 2 2" xfId="30556" xr:uid="{00000000-0005-0000-0000-00004B540000}"/>
    <cellStyle name="Comma 3 13 2 3" xfId="22276" xr:uid="{00000000-0005-0000-0000-00004C540000}"/>
    <cellStyle name="Comma 3 13 3" xfId="9750" xr:uid="{00000000-0005-0000-0000-00004D540000}"/>
    <cellStyle name="Comma 3 13 4" xfId="22277" xr:uid="{00000000-0005-0000-0000-00004E540000}"/>
    <cellStyle name="Comma 3 14" xfId="5492" xr:uid="{00000000-0005-0000-0000-00004F540000}"/>
    <cellStyle name="Comma 3 14 2" xfId="5493" xr:uid="{00000000-0005-0000-0000-000050540000}"/>
    <cellStyle name="Comma 3 14 2 2" xfId="5494" xr:uid="{00000000-0005-0000-0000-000051540000}"/>
    <cellStyle name="Comma 3 14 2 2 2" xfId="11316" xr:uid="{00000000-0005-0000-0000-000052540000}"/>
    <cellStyle name="Comma 3 14 2 2 3" xfId="22273" xr:uid="{00000000-0005-0000-0000-000053540000}"/>
    <cellStyle name="Comma 3 14 2 3" xfId="9752" xr:uid="{00000000-0005-0000-0000-000054540000}"/>
    <cellStyle name="Comma 3 14 2 4" xfId="22274" xr:uid="{00000000-0005-0000-0000-000055540000}"/>
    <cellStyle name="Comma 3 14 3" xfId="5495" xr:uid="{00000000-0005-0000-0000-000056540000}"/>
    <cellStyle name="Comma 3 14 3 2" xfId="11315" xr:uid="{00000000-0005-0000-0000-000057540000}"/>
    <cellStyle name="Comma 3 14 3 3" xfId="22272" xr:uid="{00000000-0005-0000-0000-000058540000}"/>
    <cellStyle name="Comma 3 14 4" xfId="5496" xr:uid="{00000000-0005-0000-0000-000059540000}"/>
    <cellStyle name="Comma 3 14 4 2" xfId="17286" xr:uid="{00000000-0005-0000-0000-00005A540000}"/>
    <cellStyle name="Comma 3 14 4 2 2" xfId="30645" xr:uid="{00000000-0005-0000-0000-00005B540000}"/>
    <cellStyle name="Comma 3 14 4 3" xfId="22271" xr:uid="{00000000-0005-0000-0000-00005C540000}"/>
    <cellStyle name="Comma 3 14 5" xfId="9751" xr:uid="{00000000-0005-0000-0000-00005D540000}"/>
    <cellStyle name="Comma 3 14 6" xfId="22275" xr:uid="{00000000-0005-0000-0000-00005E540000}"/>
    <cellStyle name="Comma 3 15" xfId="5497" xr:uid="{00000000-0005-0000-0000-00005F540000}"/>
    <cellStyle name="Comma 3 15 2" xfId="5498" xr:uid="{00000000-0005-0000-0000-000060540000}"/>
    <cellStyle name="Comma 3 15 2 2" xfId="11317" xr:uid="{00000000-0005-0000-0000-000061540000}"/>
    <cellStyle name="Comma 3 15 2 3" xfId="22269" xr:uid="{00000000-0005-0000-0000-000062540000}"/>
    <cellStyle name="Comma 3 15 3" xfId="5499" xr:uid="{00000000-0005-0000-0000-000063540000}"/>
    <cellStyle name="Comma 3 15 3 2" xfId="16438" xr:uid="{00000000-0005-0000-0000-000064540000}"/>
    <cellStyle name="Comma 3 15 3 2 2" xfId="29845" xr:uid="{00000000-0005-0000-0000-000065540000}"/>
    <cellStyle name="Comma 3 15 3 3" xfId="22268" xr:uid="{00000000-0005-0000-0000-000066540000}"/>
    <cellStyle name="Comma 3 15 4" xfId="9753" xr:uid="{00000000-0005-0000-0000-000067540000}"/>
    <cellStyle name="Comma 3 15 5" xfId="22270" xr:uid="{00000000-0005-0000-0000-000068540000}"/>
    <cellStyle name="Comma 3 16" xfId="5500" xr:uid="{00000000-0005-0000-0000-000069540000}"/>
    <cellStyle name="Comma 3 16 2" xfId="5501" xr:uid="{00000000-0005-0000-0000-00006A540000}"/>
    <cellStyle name="Comma 3 16 2 2" xfId="11318" xr:uid="{00000000-0005-0000-0000-00006B540000}"/>
    <cellStyle name="Comma 3 16 2 3" xfId="22266" xr:uid="{00000000-0005-0000-0000-00006C540000}"/>
    <cellStyle name="Comma 3 16 3" xfId="9754" xr:uid="{00000000-0005-0000-0000-00006D540000}"/>
    <cellStyle name="Comma 3 16 4" xfId="22267" xr:uid="{00000000-0005-0000-0000-00006E540000}"/>
    <cellStyle name="Comma 3 17" xfId="5502" xr:uid="{00000000-0005-0000-0000-00006F540000}"/>
    <cellStyle name="Comma 3 17 2" xfId="5503" xr:uid="{00000000-0005-0000-0000-000070540000}"/>
    <cellStyle name="Comma 3 17 2 2" xfId="11319" xr:uid="{00000000-0005-0000-0000-000071540000}"/>
    <cellStyle name="Comma 3 17 2 3" xfId="22264" xr:uid="{00000000-0005-0000-0000-000072540000}"/>
    <cellStyle name="Comma 3 17 3" xfId="9755" xr:uid="{00000000-0005-0000-0000-000073540000}"/>
    <cellStyle name="Comma 3 17 4" xfId="22265" xr:uid="{00000000-0005-0000-0000-000074540000}"/>
    <cellStyle name="Comma 3 18" xfId="5504" xr:uid="{00000000-0005-0000-0000-000075540000}"/>
    <cellStyle name="Comma 3 18 2" xfId="5505" xr:uid="{00000000-0005-0000-0000-000076540000}"/>
    <cellStyle name="Comma 3 18 2 2" xfId="11320" xr:uid="{00000000-0005-0000-0000-000077540000}"/>
    <cellStyle name="Comma 3 18 2 3" xfId="22262" xr:uid="{00000000-0005-0000-0000-000078540000}"/>
    <cellStyle name="Comma 3 18 3" xfId="9756" xr:uid="{00000000-0005-0000-0000-000079540000}"/>
    <cellStyle name="Comma 3 18 4" xfId="22263" xr:uid="{00000000-0005-0000-0000-00007A540000}"/>
    <cellStyle name="Comma 3 19" xfId="5506" xr:uid="{00000000-0005-0000-0000-00007B540000}"/>
    <cellStyle name="Comma 3 19 2" xfId="5507" xr:uid="{00000000-0005-0000-0000-00007C540000}"/>
    <cellStyle name="Comma 3 19 2 2" xfId="11321" xr:uid="{00000000-0005-0000-0000-00007D540000}"/>
    <cellStyle name="Comma 3 19 2 3" xfId="22260" xr:uid="{00000000-0005-0000-0000-00007E540000}"/>
    <cellStyle name="Comma 3 19 3" xfId="9757" xr:uid="{00000000-0005-0000-0000-00007F540000}"/>
    <cellStyle name="Comma 3 19 4" xfId="22261" xr:uid="{00000000-0005-0000-0000-000080540000}"/>
    <cellStyle name="Comma 3 2" xfId="5508" xr:uid="{00000000-0005-0000-0000-000081540000}"/>
    <cellStyle name="Comma 3 2 10" xfId="5509" xr:uid="{00000000-0005-0000-0000-000082540000}"/>
    <cellStyle name="Comma 3 2 10 2" xfId="11322" xr:uid="{00000000-0005-0000-0000-000083540000}"/>
    <cellStyle name="Comma 3 2 10 3" xfId="22258" xr:uid="{00000000-0005-0000-0000-000084540000}"/>
    <cellStyle name="Comma 3 2 11" xfId="5510" xr:uid="{00000000-0005-0000-0000-000085540000}"/>
    <cellStyle name="Comma 3 2 11 2" xfId="5511" xr:uid="{00000000-0005-0000-0000-000086540000}"/>
    <cellStyle name="Comma 3 2 11 2 2" xfId="13124" xr:uid="{00000000-0005-0000-0000-000087540000}"/>
    <cellStyle name="Comma 3 2 11 2 2 2" xfId="26836" xr:uid="{00000000-0005-0000-0000-000088540000}"/>
    <cellStyle name="Comma 3 2 11 2 3" xfId="22256" xr:uid="{00000000-0005-0000-0000-000089540000}"/>
    <cellStyle name="Comma 3 2 11 3" xfId="5512" xr:uid="{00000000-0005-0000-0000-00008A540000}"/>
    <cellStyle name="Comma 3 2 11 3 2" xfId="15593" xr:uid="{00000000-0005-0000-0000-00008B540000}"/>
    <cellStyle name="Comma 3 2 11 3 3" xfId="22255" xr:uid="{00000000-0005-0000-0000-00008C540000}"/>
    <cellStyle name="Comma 3 2 11 4" xfId="11735" xr:uid="{00000000-0005-0000-0000-00008D540000}"/>
    <cellStyle name="Comma 3 2 11 5" xfId="22257" xr:uid="{00000000-0005-0000-0000-00008E540000}"/>
    <cellStyle name="Comma 3 2 12" xfId="5513" xr:uid="{00000000-0005-0000-0000-00008F540000}"/>
    <cellStyle name="Comma 3 2 12 2" xfId="11853" xr:uid="{00000000-0005-0000-0000-000090540000}"/>
    <cellStyle name="Comma 3 2 12 2 2" xfId="25568" xr:uid="{00000000-0005-0000-0000-000091540000}"/>
    <cellStyle name="Comma 3 2 12 3" xfId="22254" xr:uid="{00000000-0005-0000-0000-000092540000}"/>
    <cellStyle name="Comma 3 2 13" xfId="5514" xr:uid="{00000000-0005-0000-0000-000093540000}"/>
    <cellStyle name="Comma 3 2 13 2" xfId="13447" xr:uid="{00000000-0005-0000-0000-000094540000}"/>
    <cellStyle name="Comma 3 2 13 2 2" xfId="26996" xr:uid="{00000000-0005-0000-0000-000095540000}"/>
    <cellStyle name="Comma 3 2 13 3" xfId="22253" xr:uid="{00000000-0005-0000-0000-000096540000}"/>
    <cellStyle name="Comma 3 2 14" xfId="5515" xr:uid="{00000000-0005-0000-0000-000097540000}"/>
    <cellStyle name="Comma 3 2 14 2" xfId="14028" xr:uid="{00000000-0005-0000-0000-000098540000}"/>
    <cellStyle name="Comma 3 2 14 2 2" xfId="27577" xr:uid="{00000000-0005-0000-0000-000099540000}"/>
    <cellStyle name="Comma 3 2 14 3" xfId="22252" xr:uid="{00000000-0005-0000-0000-00009A540000}"/>
    <cellStyle name="Comma 3 2 15" xfId="5516" xr:uid="{00000000-0005-0000-0000-00009B540000}"/>
    <cellStyle name="Comma 3 2 15 2" xfId="15914" xr:uid="{00000000-0005-0000-0000-00009C540000}"/>
    <cellStyle name="Comma 3 2 15 2 2" xfId="29321" xr:uid="{00000000-0005-0000-0000-00009D540000}"/>
    <cellStyle name="Comma 3 2 15 3" xfId="22251" xr:uid="{00000000-0005-0000-0000-00009E540000}"/>
    <cellStyle name="Comma 3 2 16" xfId="5517" xr:uid="{00000000-0005-0000-0000-00009F540000}"/>
    <cellStyle name="Comma 3 2 16 2" xfId="9758" xr:uid="{00000000-0005-0000-0000-0000A0540000}"/>
    <cellStyle name="Comma 3 2 16 3" xfId="22250" xr:uid="{00000000-0005-0000-0000-0000A1540000}"/>
    <cellStyle name="Comma 3 2 17" xfId="8712" xr:uid="{00000000-0005-0000-0000-0000A2540000}"/>
    <cellStyle name="Comma 3 2 18" xfId="22259" xr:uid="{00000000-0005-0000-0000-0000A3540000}"/>
    <cellStyle name="Comma 3 2 19" xfId="33088" xr:uid="{00000000-0005-0000-0000-0000A4540000}"/>
    <cellStyle name="Comma 3 2 2" xfId="5518" xr:uid="{00000000-0005-0000-0000-0000A5540000}"/>
    <cellStyle name="Comma 3 2 2 10" xfId="9759" xr:uid="{00000000-0005-0000-0000-0000A6540000}"/>
    <cellStyle name="Comma 3 2 2 11" xfId="22249" xr:uid="{00000000-0005-0000-0000-0000A7540000}"/>
    <cellStyle name="Comma 3 2 2 12" xfId="32938" xr:uid="{00000000-0005-0000-0000-0000A8540000}"/>
    <cellStyle name="Comma 3 2 2 2" xfId="5519" xr:uid="{00000000-0005-0000-0000-0000A9540000}"/>
    <cellStyle name="Comma 3 2 2 2 2" xfId="5520" xr:uid="{00000000-0005-0000-0000-0000AA540000}"/>
    <cellStyle name="Comma 3 2 2 2 2 2" xfId="5521" xr:uid="{00000000-0005-0000-0000-0000AB540000}"/>
    <cellStyle name="Comma 3 2 2 2 2 2 2" xfId="5522" xr:uid="{00000000-0005-0000-0000-0000AC540000}"/>
    <cellStyle name="Comma 3 2 2 2 2 2 2 2" xfId="11323" xr:uid="{00000000-0005-0000-0000-0000AD540000}"/>
    <cellStyle name="Comma 3 2 2 2 2 2 2 3" xfId="22245" xr:uid="{00000000-0005-0000-0000-0000AE540000}"/>
    <cellStyle name="Comma 3 2 2 2 2 2 3" xfId="5523" xr:uid="{00000000-0005-0000-0000-0000AF540000}"/>
    <cellStyle name="Comma 3 2 2 2 2 2 3 2" xfId="16973" xr:uid="{00000000-0005-0000-0000-0000B0540000}"/>
    <cellStyle name="Comma 3 2 2 2 2 2 3 2 2" xfId="30380" xr:uid="{00000000-0005-0000-0000-0000B1540000}"/>
    <cellStyle name="Comma 3 2 2 2 2 2 3 3" xfId="22244" xr:uid="{00000000-0005-0000-0000-0000B2540000}"/>
    <cellStyle name="Comma 3 2 2 2 2 2 4" xfId="9762" xr:uid="{00000000-0005-0000-0000-0000B3540000}"/>
    <cellStyle name="Comma 3 2 2 2 2 2 5" xfId="22246" xr:uid="{00000000-0005-0000-0000-0000B4540000}"/>
    <cellStyle name="Comma 3 2 2 2 2 3" xfId="5524" xr:uid="{00000000-0005-0000-0000-0000B5540000}"/>
    <cellStyle name="Comma 3 2 2 2 2 3 2" xfId="5525" xr:uid="{00000000-0005-0000-0000-0000B6540000}"/>
    <cellStyle name="Comma 3 2 2 2 2 3 2 2" xfId="13125" xr:uid="{00000000-0005-0000-0000-0000B7540000}"/>
    <cellStyle name="Comma 3 2 2 2 2 3 2 3" xfId="22242" xr:uid="{00000000-0005-0000-0000-0000B8540000}"/>
    <cellStyle name="Comma 3 2 2 2 2 3 3" xfId="12361" xr:uid="{00000000-0005-0000-0000-0000B9540000}"/>
    <cellStyle name="Comma 3 2 2 2 2 3 3 2" xfId="26073" xr:uid="{00000000-0005-0000-0000-0000BA540000}"/>
    <cellStyle name="Comma 3 2 2 2 2 3 4" xfId="22243" xr:uid="{00000000-0005-0000-0000-0000BB540000}"/>
    <cellStyle name="Comma 3 2 2 2 2 4" xfId="5526" xr:uid="{00000000-0005-0000-0000-0000BC540000}"/>
    <cellStyle name="Comma 3 2 2 2 2 4 2" xfId="5527" xr:uid="{00000000-0005-0000-0000-0000BD540000}"/>
    <cellStyle name="Comma 3 2 2 2 2 4 2 2" xfId="15594" xr:uid="{00000000-0005-0000-0000-0000BE540000}"/>
    <cellStyle name="Comma 3 2 2 2 2 4 2 3" xfId="22240" xr:uid="{00000000-0005-0000-0000-0000BF540000}"/>
    <cellStyle name="Comma 3 2 2 2 2 4 3" xfId="13925" xr:uid="{00000000-0005-0000-0000-0000C0540000}"/>
    <cellStyle name="Comma 3 2 2 2 2 4 3 2" xfId="27474" xr:uid="{00000000-0005-0000-0000-0000C1540000}"/>
    <cellStyle name="Comma 3 2 2 2 2 4 4" xfId="22241" xr:uid="{00000000-0005-0000-0000-0000C2540000}"/>
    <cellStyle name="Comma 3 2 2 2 2 5" xfId="5528" xr:uid="{00000000-0005-0000-0000-0000C3540000}"/>
    <cellStyle name="Comma 3 2 2 2 2 5 2" xfId="14506" xr:uid="{00000000-0005-0000-0000-0000C4540000}"/>
    <cellStyle name="Comma 3 2 2 2 2 5 2 2" xfId="28055" xr:uid="{00000000-0005-0000-0000-0000C5540000}"/>
    <cellStyle name="Comma 3 2 2 2 2 5 3" xfId="22239" xr:uid="{00000000-0005-0000-0000-0000C6540000}"/>
    <cellStyle name="Comma 3 2 2 2 2 6" xfId="5529" xr:uid="{00000000-0005-0000-0000-0000C7540000}"/>
    <cellStyle name="Comma 3 2 2 2 2 6 2" xfId="16392" xr:uid="{00000000-0005-0000-0000-0000C8540000}"/>
    <cellStyle name="Comma 3 2 2 2 2 6 2 2" xfId="29799" xr:uid="{00000000-0005-0000-0000-0000C9540000}"/>
    <cellStyle name="Comma 3 2 2 2 2 6 3" xfId="22238" xr:uid="{00000000-0005-0000-0000-0000CA540000}"/>
    <cellStyle name="Comma 3 2 2 2 2 7" xfId="9761" xr:uid="{00000000-0005-0000-0000-0000CB540000}"/>
    <cellStyle name="Comma 3 2 2 2 2 8" xfId="22247" xr:uid="{00000000-0005-0000-0000-0000CC540000}"/>
    <cellStyle name="Comma 3 2 2 2 3" xfId="5530" xr:uid="{00000000-0005-0000-0000-0000CD540000}"/>
    <cellStyle name="Comma 3 2 2 2 3 2" xfId="5531" xr:uid="{00000000-0005-0000-0000-0000CE540000}"/>
    <cellStyle name="Comma 3 2 2 2 3 2 2" xfId="11324" xr:uid="{00000000-0005-0000-0000-0000CF540000}"/>
    <cellStyle name="Comma 3 2 2 2 3 2 3" xfId="22236" xr:uid="{00000000-0005-0000-0000-0000D0540000}"/>
    <cellStyle name="Comma 3 2 2 2 3 3" xfId="5532" xr:uid="{00000000-0005-0000-0000-0000D1540000}"/>
    <cellStyle name="Comma 3 2 2 2 3 3 2" xfId="16684" xr:uid="{00000000-0005-0000-0000-0000D2540000}"/>
    <cellStyle name="Comma 3 2 2 2 3 3 2 2" xfId="30091" xr:uid="{00000000-0005-0000-0000-0000D3540000}"/>
    <cellStyle name="Comma 3 2 2 2 3 3 3" xfId="22235" xr:uid="{00000000-0005-0000-0000-0000D4540000}"/>
    <cellStyle name="Comma 3 2 2 2 3 4" xfId="9763" xr:uid="{00000000-0005-0000-0000-0000D5540000}"/>
    <cellStyle name="Comma 3 2 2 2 3 5" xfId="22237" xr:uid="{00000000-0005-0000-0000-0000D6540000}"/>
    <cellStyle name="Comma 3 2 2 2 4" xfId="5533" xr:uid="{00000000-0005-0000-0000-0000D7540000}"/>
    <cellStyle name="Comma 3 2 2 2 4 2" xfId="5534" xr:uid="{00000000-0005-0000-0000-0000D8540000}"/>
    <cellStyle name="Comma 3 2 2 2 4 2 2" xfId="13126" xr:uid="{00000000-0005-0000-0000-0000D9540000}"/>
    <cellStyle name="Comma 3 2 2 2 4 2 3" xfId="22233" xr:uid="{00000000-0005-0000-0000-0000DA540000}"/>
    <cellStyle name="Comma 3 2 2 2 4 3" xfId="12061" xr:uid="{00000000-0005-0000-0000-0000DB540000}"/>
    <cellStyle name="Comma 3 2 2 2 4 3 2" xfId="25776" xr:uid="{00000000-0005-0000-0000-0000DC540000}"/>
    <cellStyle name="Comma 3 2 2 2 4 4" xfId="22234" xr:uid="{00000000-0005-0000-0000-0000DD540000}"/>
    <cellStyle name="Comma 3 2 2 2 5" xfId="5535" xr:uid="{00000000-0005-0000-0000-0000DE540000}"/>
    <cellStyle name="Comma 3 2 2 2 5 2" xfId="5536" xr:uid="{00000000-0005-0000-0000-0000DF540000}"/>
    <cellStyle name="Comma 3 2 2 2 5 2 2" xfId="15595" xr:uid="{00000000-0005-0000-0000-0000E0540000}"/>
    <cellStyle name="Comma 3 2 2 2 5 2 3" xfId="22231" xr:uid="{00000000-0005-0000-0000-0000E1540000}"/>
    <cellStyle name="Comma 3 2 2 2 5 3" xfId="13636" xr:uid="{00000000-0005-0000-0000-0000E2540000}"/>
    <cellStyle name="Comma 3 2 2 2 5 3 2" xfId="27185" xr:uid="{00000000-0005-0000-0000-0000E3540000}"/>
    <cellStyle name="Comma 3 2 2 2 5 4" xfId="22232" xr:uid="{00000000-0005-0000-0000-0000E4540000}"/>
    <cellStyle name="Comma 3 2 2 2 6" xfId="5537" xr:uid="{00000000-0005-0000-0000-0000E5540000}"/>
    <cellStyle name="Comma 3 2 2 2 6 2" xfId="14217" xr:uid="{00000000-0005-0000-0000-0000E6540000}"/>
    <cellStyle name="Comma 3 2 2 2 6 2 2" xfId="27766" xr:uid="{00000000-0005-0000-0000-0000E7540000}"/>
    <cellStyle name="Comma 3 2 2 2 6 3" xfId="22230" xr:uid="{00000000-0005-0000-0000-0000E8540000}"/>
    <cellStyle name="Comma 3 2 2 2 7" xfId="5538" xr:uid="{00000000-0005-0000-0000-0000E9540000}"/>
    <cellStyle name="Comma 3 2 2 2 7 2" xfId="16103" xr:uid="{00000000-0005-0000-0000-0000EA540000}"/>
    <cellStyle name="Comma 3 2 2 2 7 2 2" xfId="29510" xr:uid="{00000000-0005-0000-0000-0000EB540000}"/>
    <cellStyle name="Comma 3 2 2 2 7 3" xfId="22229" xr:uid="{00000000-0005-0000-0000-0000EC540000}"/>
    <cellStyle name="Comma 3 2 2 2 8" xfId="9760" xr:uid="{00000000-0005-0000-0000-0000ED540000}"/>
    <cellStyle name="Comma 3 2 2 2 9" xfId="22248" xr:uid="{00000000-0005-0000-0000-0000EE540000}"/>
    <cellStyle name="Comma 3 2 2 3" xfId="5539" xr:uid="{00000000-0005-0000-0000-0000EF540000}"/>
    <cellStyle name="Comma 3 2 2 3 2" xfId="5540" xr:uid="{00000000-0005-0000-0000-0000F0540000}"/>
    <cellStyle name="Comma 3 2 2 3 2 2" xfId="5541" xr:uid="{00000000-0005-0000-0000-0000F1540000}"/>
    <cellStyle name="Comma 3 2 2 3 2 2 2" xfId="11325" xr:uid="{00000000-0005-0000-0000-0000F2540000}"/>
    <cellStyle name="Comma 3 2 2 3 2 2 3" xfId="22226" xr:uid="{00000000-0005-0000-0000-0000F3540000}"/>
    <cellStyle name="Comma 3 2 2 3 2 3" xfId="5542" xr:uid="{00000000-0005-0000-0000-0000F4540000}"/>
    <cellStyle name="Comma 3 2 2 3 2 3 2" xfId="16830" xr:uid="{00000000-0005-0000-0000-0000F5540000}"/>
    <cellStyle name="Comma 3 2 2 3 2 3 2 2" xfId="30237" xr:uid="{00000000-0005-0000-0000-0000F6540000}"/>
    <cellStyle name="Comma 3 2 2 3 2 3 3" xfId="22225" xr:uid="{00000000-0005-0000-0000-0000F7540000}"/>
    <cellStyle name="Comma 3 2 2 3 2 4" xfId="9765" xr:uid="{00000000-0005-0000-0000-0000F8540000}"/>
    <cellStyle name="Comma 3 2 2 3 2 5" xfId="22227" xr:uid="{00000000-0005-0000-0000-0000F9540000}"/>
    <cellStyle name="Comma 3 2 2 3 3" xfId="5543" xr:uid="{00000000-0005-0000-0000-0000FA540000}"/>
    <cellStyle name="Comma 3 2 2 3 3 2" xfId="5544" xr:uid="{00000000-0005-0000-0000-0000FB540000}"/>
    <cellStyle name="Comma 3 2 2 3 3 2 2" xfId="13127" xr:uid="{00000000-0005-0000-0000-0000FC540000}"/>
    <cellStyle name="Comma 3 2 2 3 3 2 3" xfId="22223" xr:uid="{00000000-0005-0000-0000-0000FD540000}"/>
    <cellStyle name="Comma 3 2 2 3 3 3" xfId="12218" xr:uid="{00000000-0005-0000-0000-0000FE540000}"/>
    <cellStyle name="Comma 3 2 2 3 3 3 2" xfId="25930" xr:uid="{00000000-0005-0000-0000-0000FF540000}"/>
    <cellStyle name="Comma 3 2 2 3 3 4" xfId="22224" xr:uid="{00000000-0005-0000-0000-000000550000}"/>
    <cellStyle name="Comma 3 2 2 3 4" xfId="5545" xr:uid="{00000000-0005-0000-0000-000001550000}"/>
    <cellStyle name="Comma 3 2 2 3 4 2" xfId="5546" xr:uid="{00000000-0005-0000-0000-000002550000}"/>
    <cellStyle name="Comma 3 2 2 3 4 2 2" xfId="15596" xr:uid="{00000000-0005-0000-0000-000003550000}"/>
    <cellStyle name="Comma 3 2 2 3 4 2 3" xfId="22221" xr:uid="{00000000-0005-0000-0000-000004550000}"/>
    <cellStyle name="Comma 3 2 2 3 4 3" xfId="13782" xr:uid="{00000000-0005-0000-0000-000005550000}"/>
    <cellStyle name="Comma 3 2 2 3 4 3 2" xfId="27331" xr:uid="{00000000-0005-0000-0000-000006550000}"/>
    <cellStyle name="Comma 3 2 2 3 4 4" xfId="22222" xr:uid="{00000000-0005-0000-0000-000007550000}"/>
    <cellStyle name="Comma 3 2 2 3 5" xfId="5547" xr:uid="{00000000-0005-0000-0000-000008550000}"/>
    <cellStyle name="Comma 3 2 2 3 5 2" xfId="14363" xr:uid="{00000000-0005-0000-0000-000009550000}"/>
    <cellStyle name="Comma 3 2 2 3 5 2 2" xfId="27912" xr:uid="{00000000-0005-0000-0000-00000A550000}"/>
    <cellStyle name="Comma 3 2 2 3 5 3" xfId="22220" xr:uid="{00000000-0005-0000-0000-00000B550000}"/>
    <cellStyle name="Comma 3 2 2 3 6" xfId="5548" xr:uid="{00000000-0005-0000-0000-00000C550000}"/>
    <cellStyle name="Comma 3 2 2 3 6 2" xfId="16249" xr:uid="{00000000-0005-0000-0000-00000D550000}"/>
    <cellStyle name="Comma 3 2 2 3 6 2 2" xfId="29656" xr:uid="{00000000-0005-0000-0000-00000E550000}"/>
    <cellStyle name="Comma 3 2 2 3 6 3" xfId="22219" xr:uid="{00000000-0005-0000-0000-00000F550000}"/>
    <cellStyle name="Comma 3 2 2 3 7" xfId="9764" xr:uid="{00000000-0005-0000-0000-000010550000}"/>
    <cellStyle name="Comma 3 2 2 3 8" xfId="22228" xr:uid="{00000000-0005-0000-0000-000011550000}"/>
    <cellStyle name="Comma 3 2 2 4" xfId="5549" xr:uid="{00000000-0005-0000-0000-000012550000}"/>
    <cellStyle name="Comma 3 2 2 4 2" xfId="5550" xr:uid="{00000000-0005-0000-0000-000013550000}"/>
    <cellStyle name="Comma 3 2 2 4 2 2" xfId="17177" xr:uid="{00000000-0005-0000-0000-000014550000}"/>
    <cellStyle name="Comma 3 2 2 4 2 2 2" xfId="30536" xr:uid="{00000000-0005-0000-0000-000015550000}"/>
    <cellStyle name="Comma 3 2 2 4 2 3" xfId="22217" xr:uid="{00000000-0005-0000-0000-000016550000}"/>
    <cellStyle name="Comma 3 2 2 4 3" xfId="9766" xr:uid="{00000000-0005-0000-0000-000017550000}"/>
    <cellStyle name="Comma 3 2 2 4 4" xfId="22218" xr:uid="{00000000-0005-0000-0000-000018550000}"/>
    <cellStyle name="Comma 3 2 2 5" xfId="5551" xr:uid="{00000000-0005-0000-0000-000019550000}"/>
    <cellStyle name="Comma 3 2 2 5 2" xfId="5552" xr:uid="{00000000-0005-0000-0000-00001A550000}"/>
    <cellStyle name="Comma 3 2 2 5 2 2" xfId="11326" xr:uid="{00000000-0005-0000-0000-00001B550000}"/>
    <cellStyle name="Comma 3 2 2 5 2 3" xfId="22215" xr:uid="{00000000-0005-0000-0000-00001C550000}"/>
    <cellStyle name="Comma 3 2 2 5 3" xfId="5553" xr:uid="{00000000-0005-0000-0000-00001D550000}"/>
    <cellStyle name="Comma 3 2 2 5 3 2" xfId="17266" xr:uid="{00000000-0005-0000-0000-00001E550000}"/>
    <cellStyle name="Comma 3 2 2 5 3 2 2" xfId="30625" xr:uid="{00000000-0005-0000-0000-00001F550000}"/>
    <cellStyle name="Comma 3 2 2 5 3 3" xfId="22214" xr:uid="{00000000-0005-0000-0000-000020550000}"/>
    <cellStyle name="Comma 3 2 2 5 4" xfId="9767" xr:uid="{00000000-0005-0000-0000-000021550000}"/>
    <cellStyle name="Comma 3 2 2 5 5" xfId="22216" xr:uid="{00000000-0005-0000-0000-000022550000}"/>
    <cellStyle name="Comma 3 2 2 6" xfId="5554" xr:uid="{00000000-0005-0000-0000-000023550000}"/>
    <cellStyle name="Comma 3 2 2 6 2" xfId="5555" xr:uid="{00000000-0005-0000-0000-000024550000}"/>
    <cellStyle name="Comma 3 2 2 6 2 2" xfId="13128" xr:uid="{00000000-0005-0000-0000-000025550000}"/>
    <cellStyle name="Comma 3 2 2 6 2 3" xfId="22212" xr:uid="{00000000-0005-0000-0000-000026550000}"/>
    <cellStyle name="Comma 3 2 2 6 3" xfId="5556" xr:uid="{00000000-0005-0000-0000-000027550000}"/>
    <cellStyle name="Comma 3 2 2 6 3 2" xfId="16541" xr:uid="{00000000-0005-0000-0000-000028550000}"/>
    <cellStyle name="Comma 3 2 2 6 3 2 2" xfId="29948" xr:uid="{00000000-0005-0000-0000-000029550000}"/>
    <cellStyle name="Comma 3 2 2 6 3 3" xfId="22211" xr:uid="{00000000-0005-0000-0000-00002A550000}"/>
    <cellStyle name="Comma 3 2 2 6 4" xfId="11916" xr:uid="{00000000-0005-0000-0000-00002B550000}"/>
    <cellStyle name="Comma 3 2 2 6 4 2" xfId="25631" xr:uid="{00000000-0005-0000-0000-00002C550000}"/>
    <cellStyle name="Comma 3 2 2 6 5" xfId="22213" xr:uid="{00000000-0005-0000-0000-00002D550000}"/>
    <cellStyle name="Comma 3 2 2 7" xfId="5557" xr:uid="{00000000-0005-0000-0000-00002E550000}"/>
    <cellStyle name="Comma 3 2 2 7 2" xfId="5558" xr:uid="{00000000-0005-0000-0000-00002F550000}"/>
    <cellStyle name="Comma 3 2 2 7 2 2" xfId="15597" xr:uid="{00000000-0005-0000-0000-000030550000}"/>
    <cellStyle name="Comma 3 2 2 7 2 3" xfId="22209" xr:uid="{00000000-0005-0000-0000-000031550000}"/>
    <cellStyle name="Comma 3 2 2 7 3" xfId="13493" xr:uid="{00000000-0005-0000-0000-000032550000}"/>
    <cellStyle name="Comma 3 2 2 7 3 2" xfId="27042" xr:uid="{00000000-0005-0000-0000-000033550000}"/>
    <cellStyle name="Comma 3 2 2 7 4" xfId="22210" xr:uid="{00000000-0005-0000-0000-000034550000}"/>
    <cellStyle name="Comma 3 2 2 8" xfId="5559" xr:uid="{00000000-0005-0000-0000-000035550000}"/>
    <cellStyle name="Comma 3 2 2 8 2" xfId="14074" xr:uid="{00000000-0005-0000-0000-000036550000}"/>
    <cellStyle name="Comma 3 2 2 8 2 2" xfId="27623" xr:uid="{00000000-0005-0000-0000-000037550000}"/>
    <cellStyle name="Comma 3 2 2 8 3" xfId="22208" xr:uid="{00000000-0005-0000-0000-000038550000}"/>
    <cellStyle name="Comma 3 2 2 9" xfId="5560" xr:uid="{00000000-0005-0000-0000-000039550000}"/>
    <cellStyle name="Comma 3 2 2 9 2" xfId="15960" xr:uid="{00000000-0005-0000-0000-00003A550000}"/>
    <cellStyle name="Comma 3 2 2 9 2 2" xfId="29367" xr:uid="{00000000-0005-0000-0000-00003B550000}"/>
    <cellStyle name="Comma 3 2 2 9 3" xfId="22207" xr:uid="{00000000-0005-0000-0000-00003C550000}"/>
    <cellStyle name="Comma 3 2 3" xfId="5561" xr:uid="{00000000-0005-0000-0000-00003D550000}"/>
    <cellStyle name="Comma 3 2 3 2" xfId="5562" xr:uid="{00000000-0005-0000-0000-00003E550000}"/>
    <cellStyle name="Comma 3 2 3 2 2" xfId="5563" xr:uid="{00000000-0005-0000-0000-00003F550000}"/>
    <cellStyle name="Comma 3 2 3 2 2 2" xfId="5564" xr:uid="{00000000-0005-0000-0000-000040550000}"/>
    <cellStyle name="Comma 3 2 3 2 2 2 2" xfId="11327" xr:uid="{00000000-0005-0000-0000-000041550000}"/>
    <cellStyle name="Comma 3 2 3 2 2 2 3" xfId="22203" xr:uid="{00000000-0005-0000-0000-000042550000}"/>
    <cellStyle name="Comma 3 2 3 2 2 3" xfId="5565" xr:uid="{00000000-0005-0000-0000-000043550000}"/>
    <cellStyle name="Comma 3 2 3 2 2 3 2" xfId="16927" xr:uid="{00000000-0005-0000-0000-000044550000}"/>
    <cellStyle name="Comma 3 2 3 2 2 3 2 2" xfId="30334" xr:uid="{00000000-0005-0000-0000-000045550000}"/>
    <cellStyle name="Comma 3 2 3 2 2 3 3" xfId="22202" xr:uid="{00000000-0005-0000-0000-000046550000}"/>
    <cellStyle name="Comma 3 2 3 2 2 4" xfId="9770" xr:uid="{00000000-0005-0000-0000-000047550000}"/>
    <cellStyle name="Comma 3 2 3 2 2 5" xfId="22204" xr:uid="{00000000-0005-0000-0000-000048550000}"/>
    <cellStyle name="Comma 3 2 3 2 3" xfId="5566" xr:uid="{00000000-0005-0000-0000-000049550000}"/>
    <cellStyle name="Comma 3 2 3 2 3 2" xfId="5567" xr:uid="{00000000-0005-0000-0000-00004A550000}"/>
    <cellStyle name="Comma 3 2 3 2 3 2 2" xfId="13129" xr:uid="{00000000-0005-0000-0000-00004B550000}"/>
    <cellStyle name="Comma 3 2 3 2 3 2 3" xfId="22200" xr:uid="{00000000-0005-0000-0000-00004C550000}"/>
    <cellStyle name="Comma 3 2 3 2 3 3" xfId="12315" xr:uid="{00000000-0005-0000-0000-00004D550000}"/>
    <cellStyle name="Comma 3 2 3 2 3 3 2" xfId="26027" xr:uid="{00000000-0005-0000-0000-00004E550000}"/>
    <cellStyle name="Comma 3 2 3 2 3 4" xfId="22201" xr:uid="{00000000-0005-0000-0000-00004F550000}"/>
    <cellStyle name="Comma 3 2 3 2 4" xfId="5568" xr:uid="{00000000-0005-0000-0000-000050550000}"/>
    <cellStyle name="Comma 3 2 3 2 4 2" xfId="5569" xr:uid="{00000000-0005-0000-0000-000051550000}"/>
    <cellStyle name="Comma 3 2 3 2 4 2 2" xfId="15598" xr:uid="{00000000-0005-0000-0000-000052550000}"/>
    <cellStyle name="Comma 3 2 3 2 4 2 3" xfId="22198" xr:uid="{00000000-0005-0000-0000-000053550000}"/>
    <cellStyle name="Comma 3 2 3 2 4 3" xfId="13879" xr:uid="{00000000-0005-0000-0000-000054550000}"/>
    <cellStyle name="Comma 3 2 3 2 4 3 2" xfId="27428" xr:uid="{00000000-0005-0000-0000-000055550000}"/>
    <cellStyle name="Comma 3 2 3 2 4 4" xfId="22199" xr:uid="{00000000-0005-0000-0000-000056550000}"/>
    <cellStyle name="Comma 3 2 3 2 5" xfId="5570" xr:uid="{00000000-0005-0000-0000-000057550000}"/>
    <cellStyle name="Comma 3 2 3 2 5 2" xfId="14460" xr:uid="{00000000-0005-0000-0000-000058550000}"/>
    <cellStyle name="Comma 3 2 3 2 5 2 2" xfId="28009" xr:uid="{00000000-0005-0000-0000-000059550000}"/>
    <cellStyle name="Comma 3 2 3 2 5 3" xfId="22197" xr:uid="{00000000-0005-0000-0000-00005A550000}"/>
    <cellStyle name="Comma 3 2 3 2 6" xfId="5571" xr:uid="{00000000-0005-0000-0000-00005B550000}"/>
    <cellStyle name="Comma 3 2 3 2 6 2" xfId="16346" xr:uid="{00000000-0005-0000-0000-00005C550000}"/>
    <cellStyle name="Comma 3 2 3 2 6 2 2" xfId="29753" xr:uid="{00000000-0005-0000-0000-00005D550000}"/>
    <cellStyle name="Comma 3 2 3 2 6 3" xfId="22196" xr:uid="{00000000-0005-0000-0000-00005E550000}"/>
    <cellStyle name="Comma 3 2 3 2 7" xfId="9769" xr:uid="{00000000-0005-0000-0000-00005F550000}"/>
    <cellStyle name="Comma 3 2 3 2 8" xfId="22205" xr:uid="{00000000-0005-0000-0000-000060550000}"/>
    <cellStyle name="Comma 3 2 3 3" xfId="5572" xr:uid="{00000000-0005-0000-0000-000061550000}"/>
    <cellStyle name="Comma 3 2 3 3 2" xfId="5573" xr:uid="{00000000-0005-0000-0000-000062550000}"/>
    <cellStyle name="Comma 3 2 3 3 2 2" xfId="11328" xr:uid="{00000000-0005-0000-0000-000063550000}"/>
    <cellStyle name="Comma 3 2 3 3 2 3" xfId="22194" xr:uid="{00000000-0005-0000-0000-000064550000}"/>
    <cellStyle name="Comma 3 2 3 3 3" xfId="5574" xr:uid="{00000000-0005-0000-0000-000065550000}"/>
    <cellStyle name="Comma 3 2 3 3 3 2" xfId="16638" xr:uid="{00000000-0005-0000-0000-000066550000}"/>
    <cellStyle name="Comma 3 2 3 3 3 2 2" xfId="30045" xr:uid="{00000000-0005-0000-0000-000067550000}"/>
    <cellStyle name="Comma 3 2 3 3 3 3" xfId="22193" xr:uid="{00000000-0005-0000-0000-000068550000}"/>
    <cellStyle name="Comma 3 2 3 3 4" xfId="9771" xr:uid="{00000000-0005-0000-0000-000069550000}"/>
    <cellStyle name="Comma 3 2 3 3 5" xfId="22195" xr:uid="{00000000-0005-0000-0000-00006A550000}"/>
    <cellStyle name="Comma 3 2 3 4" xfId="5575" xr:uid="{00000000-0005-0000-0000-00006B550000}"/>
    <cellStyle name="Comma 3 2 3 4 2" xfId="5576" xr:uid="{00000000-0005-0000-0000-00006C550000}"/>
    <cellStyle name="Comma 3 2 3 4 2 2" xfId="13130" xr:uid="{00000000-0005-0000-0000-00006D550000}"/>
    <cellStyle name="Comma 3 2 3 4 2 3" xfId="22191" xr:uid="{00000000-0005-0000-0000-00006E550000}"/>
    <cellStyle name="Comma 3 2 3 4 3" xfId="12015" xr:uid="{00000000-0005-0000-0000-00006F550000}"/>
    <cellStyle name="Comma 3 2 3 4 3 2" xfId="25730" xr:uid="{00000000-0005-0000-0000-000070550000}"/>
    <cellStyle name="Comma 3 2 3 4 4" xfId="22192" xr:uid="{00000000-0005-0000-0000-000071550000}"/>
    <cellStyle name="Comma 3 2 3 5" xfId="5577" xr:uid="{00000000-0005-0000-0000-000072550000}"/>
    <cellStyle name="Comma 3 2 3 5 2" xfId="5578" xr:uid="{00000000-0005-0000-0000-000073550000}"/>
    <cellStyle name="Comma 3 2 3 5 2 2" xfId="15599" xr:uid="{00000000-0005-0000-0000-000074550000}"/>
    <cellStyle name="Comma 3 2 3 5 2 3" xfId="22189" xr:uid="{00000000-0005-0000-0000-000075550000}"/>
    <cellStyle name="Comma 3 2 3 5 3" xfId="13590" xr:uid="{00000000-0005-0000-0000-000076550000}"/>
    <cellStyle name="Comma 3 2 3 5 3 2" xfId="27139" xr:uid="{00000000-0005-0000-0000-000077550000}"/>
    <cellStyle name="Comma 3 2 3 5 4" xfId="22190" xr:uid="{00000000-0005-0000-0000-000078550000}"/>
    <cellStyle name="Comma 3 2 3 6" xfId="5579" xr:uid="{00000000-0005-0000-0000-000079550000}"/>
    <cellStyle name="Comma 3 2 3 6 2" xfId="14171" xr:uid="{00000000-0005-0000-0000-00007A550000}"/>
    <cellStyle name="Comma 3 2 3 6 2 2" xfId="27720" xr:uid="{00000000-0005-0000-0000-00007B550000}"/>
    <cellStyle name="Comma 3 2 3 6 3" xfId="22188" xr:uid="{00000000-0005-0000-0000-00007C550000}"/>
    <cellStyle name="Comma 3 2 3 7" xfId="5580" xr:uid="{00000000-0005-0000-0000-00007D550000}"/>
    <cellStyle name="Comma 3 2 3 7 2" xfId="16057" xr:uid="{00000000-0005-0000-0000-00007E550000}"/>
    <cellStyle name="Comma 3 2 3 7 2 2" xfId="29464" xr:uid="{00000000-0005-0000-0000-00007F550000}"/>
    <cellStyle name="Comma 3 2 3 7 3" xfId="22187" xr:uid="{00000000-0005-0000-0000-000080550000}"/>
    <cellStyle name="Comma 3 2 3 8" xfId="9768" xr:uid="{00000000-0005-0000-0000-000081550000}"/>
    <cellStyle name="Comma 3 2 3 9" xfId="22206" xr:uid="{00000000-0005-0000-0000-000082550000}"/>
    <cellStyle name="Comma 3 2 4" xfId="5581" xr:uid="{00000000-0005-0000-0000-000083550000}"/>
    <cellStyle name="Comma 3 2 4 2" xfId="5582" xr:uid="{00000000-0005-0000-0000-000084550000}"/>
    <cellStyle name="Comma 3 2 4 2 2" xfId="5583" xr:uid="{00000000-0005-0000-0000-000085550000}"/>
    <cellStyle name="Comma 3 2 4 2 2 2" xfId="11329" xr:uid="{00000000-0005-0000-0000-000086550000}"/>
    <cellStyle name="Comma 3 2 4 2 2 3" xfId="22184" xr:uid="{00000000-0005-0000-0000-000087550000}"/>
    <cellStyle name="Comma 3 2 4 2 3" xfId="5584" xr:uid="{00000000-0005-0000-0000-000088550000}"/>
    <cellStyle name="Comma 3 2 4 2 3 2" xfId="16784" xr:uid="{00000000-0005-0000-0000-000089550000}"/>
    <cellStyle name="Comma 3 2 4 2 3 2 2" xfId="30191" xr:uid="{00000000-0005-0000-0000-00008A550000}"/>
    <cellStyle name="Comma 3 2 4 2 3 3" xfId="22183" xr:uid="{00000000-0005-0000-0000-00008B550000}"/>
    <cellStyle name="Comma 3 2 4 2 4" xfId="9773" xr:uid="{00000000-0005-0000-0000-00008C550000}"/>
    <cellStyle name="Comma 3 2 4 2 5" xfId="22185" xr:uid="{00000000-0005-0000-0000-00008D550000}"/>
    <cellStyle name="Comma 3 2 4 3" xfId="5585" xr:uid="{00000000-0005-0000-0000-00008E550000}"/>
    <cellStyle name="Comma 3 2 4 3 2" xfId="5586" xr:uid="{00000000-0005-0000-0000-00008F550000}"/>
    <cellStyle name="Comma 3 2 4 3 2 2" xfId="13131" xr:uid="{00000000-0005-0000-0000-000090550000}"/>
    <cellStyle name="Comma 3 2 4 3 2 3" xfId="22181" xr:uid="{00000000-0005-0000-0000-000091550000}"/>
    <cellStyle name="Comma 3 2 4 3 3" xfId="12172" xr:uid="{00000000-0005-0000-0000-000092550000}"/>
    <cellStyle name="Comma 3 2 4 3 3 2" xfId="25884" xr:uid="{00000000-0005-0000-0000-000093550000}"/>
    <cellStyle name="Comma 3 2 4 3 4" xfId="22182" xr:uid="{00000000-0005-0000-0000-000094550000}"/>
    <cellStyle name="Comma 3 2 4 4" xfId="5587" xr:uid="{00000000-0005-0000-0000-000095550000}"/>
    <cellStyle name="Comma 3 2 4 4 2" xfId="5588" xr:uid="{00000000-0005-0000-0000-000096550000}"/>
    <cellStyle name="Comma 3 2 4 4 2 2" xfId="15600" xr:uid="{00000000-0005-0000-0000-000097550000}"/>
    <cellStyle name="Comma 3 2 4 4 2 3" xfId="22179" xr:uid="{00000000-0005-0000-0000-000098550000}"/>
    <cellStyle name="Comma 3 2 4 4 3" xfId="13736" xr:uid="{00000000-0005-0000-0000-000099550000}"/>
    <cellStyle name="Comma 3 2 4 4 3 2" xfId="27285" xr:uid="{00000000-0005-0000-0000-00009A550000}"/>
    <cellStyle name="Comma 3 2 4 4 4" xfId="22180" xr:uid="{00000000-0005-0000-0000-00009B550000}"/>
    <cellStyle name="Comma 3 2 4 5" xfId="5589" xr:uid="{00000000-0005-0000-0000-00009C550000}"/>
    <cellStyle name="Comma 3 2 4 5 2" xfId="14317" xr:uid="{00000000-0005-0000-0000-00009D550000}"/>
    <cellStyle name="Comma 3 2 4 5 2 2" xfId="27866" xr:uid="{00000000-0005-0000-0000-00009E550000}"/>
    <cellStyle name="Comma 3 2 4 5 3" xfId="22178" xr:uid="{00000000-0005-0000-0000-00009F550000}"/>
    <cellStyle name="Comma 3 2 4 6" xfId="5590" xr:uid="{00000000-0005-0000-0000-0000A0550000}"/>
    <cellStyle name="Comma 3 2 4 6 2" xfId="16203" xr:uid="{00000000-0005-0000-0000-0000A1550000}"/>
    <cellStyle name="Comma 3 2 4 6 2 2" xfId="29610" xr:uid="{00000000-0005-0000-0000-0000A2550000}"/>
    <cellStyle name="Comma 3 2 4 6 3" xfId="22177" xr:uid="{00000000-0005-0000-0000-0000A3550000}"/>
    <cellStyle name="Comma 3 2 4 7" xfId="9772" xr:uid="{00000000-0005-0000-0000-0000A4550000}"/>
    <cellStyle name="Comma 3 2 4 8" xfId="22186" xr:uid="{00000000-0005-0000-0000-0000A5550000}"/>
    <cellStyle name="Comma 3 2 5" xfId="5591" xr:uid="{00000000-0005-0000-0000-0000A6550000}"/>
    <cellStyle name="Comma 3 2 5 2" xfId="5592" xr:uid="{00000000-0005-0000-0000-0000A7550000}"/>
    <cellStyle name="Comma 3 2 5 2 2" xfId="5593" xr:uid="{00000000-0005-0000-0000-0000A8550000}"/>
    <cellStyle name="Comma 3 2 5 2 2 2" xfId="11331" xr:uid="{00000000-0005-0000-0000-0000A9550000}"/>
    <cellStyle name="Comma 3 2 5 2 2 3" xfId="22174" xr:uid="{00000000-0005-0000-0000-0000AA550000}"/>
    <cellStyle name="Comma 3 2 5 2 3" xfId="9775" xr:uid="{00000000-0005-0000-0000-0000AB550000}"/>
    <cellStyle name="Comma 3 2 5 2 4" xfId="22175" xr:uid="{00000000-0005-0000-0000-0000AC550000}"/>
    <cellStyle name="Comma 3 2 5 3" xfId="5594" xr:uid="{00000000-0005-0000-0000-0000AD550000}"/>
    <cellStyle name="Comma 3 2 5 3 2" xfId="11330" xr:uid="{00000000-0005-0000-0000-0000AE550000}"/>
    <cellStyle name="Comma 3 2 5 3 3" xfId="22173" xr:uid="{00000000-0005-0000-0000-0000AF550000}"/>
    <cellStyle name="Comma 3 2 5 4" xfId="5595" xr:uid="{00000000-0005-0000-0000-0000B0550000}"/>
    <cellStyle name="Comma 3 2 5 4 2" xfId="17020" xr:uid="{00000000-0005-0000-0000-0000B1550000}"/>
    <cellStyle name="Comma 3 2 5 4 2 2" xfId="30427" xr:uid="{00000000-0005-0000-0000-0000B2550000}"/>
    <cellStyle name="Comma 3 2 5 4 3" xfId="22172" xr:uid="{00000000-0005-0000-0000-0000B3550000}"/>
    <cellStyle name="Comma 3 2 5 5" xfId="9774" xr:uid="{00000000-0005-0000-0000-0000B4550000}"/>
    <cellStyle name="Comma 3 2 5 6" xfId="22176" xr:uid="{00000000-0005-0000-0000-0000B5550000}"/>
    <cellStyle name="Comma 3 2 6" xfId="5596" xr:uid="{00000000-0005-0000-0000-0000B6550000}"/>
    <cellStyle name="Comma 3 2 6 2" xfId="5597" xr:uid="{00000000-0005-0000-0000-0000B7550000}"/>
    <cellStyle name="Comma 3 2 6 2 2" xfId="17131" xr:uid="{00000000-0005-0000-0000-0000B8550000}"/>
    <cellStyle name="Comma 3 2 6 2 2 2" xfId="30490" xr:uid="{00000000-0005-0000-0000-0000B9550000}"/>
    <cellStyle name="Comma 3 2 6 2 3" xfId="22170" xr:uid="{00000000-0005-0000-0000-0000BA550000}"/>
    <cellStyle name="Comma 3 2 6 3" xfId="9776" xr:uid="{00000000-0005-0000-0000-0000BB550000}"/>
    <cellStyle name="Comma 3 2 6 4" xfId="22171" xr:uid="{00000000-0005-0000-0000-0000BC550000}"/>
    <cellStyle name="Comma 3 2 7" xfId="5598" xr:uid="{00000000-0005-0000-0000-0000BD550000}"/>
    <cellStyle name="Comma 3 2 7 2" xfId="5599" xr:uid="{00000000-0005-0000-0000-0000BE550000}"/>
    <cellStyle name="Comma 3 2 7 2 2" xfId="11332" xr:uid="{00000000-0005-0000-0000-0000BF550000}"/>
    <cellStyle name="Comma 3 2 7 2 3" xfId="22168" xr:uid="{00000000-0005-0000-0000-0000C0550000}"/>
    <cellStyle name="Comma 3 2 7 3" xfId="5600" xr:uid="{00000000-0005-0000-0000-0000C1550000}"/>
    <cellStyle name="Comma 3 2 7 3 2" xfId="17220" xr:uid="{00000000-0005-0000-0000-0000C2550000}"/>
    <cellStyle name="Comma 3 2 7 3 2 2" xfId="30579" xr:uid="{00000000-0005-0000-0000-0000C3550000}"/>
    <cellStyle name="Comma 3 2 7 3 3" xfId="22167" xr:uid="{00000000-0005-0000-0000-0000C4550000}"/>
    <cellStyle name="Comma 3 2 7 4" xfId="9777" xr:uid="{00000000-0005-0000-0000-0000C5550000}"/>
    <cellStyle name="Comma 3 2 7 5" xfId="22169" xr:uid="{00000000-0005-0000-0000-0000C6550000}"/>
    <cellStyle name="Comma 3 2 8" xfId="5601" xr:uid="{00000000-0005-0000-0000-0000C7550000}"/>
    <cellStyle name="Comma 3 2 8 2" xfId="5602" xr:uid="{00000000-0005-0000-0000-0000C8550000}"/>
    <cellStyle name="Comma 3 2 8 2 2" xfId="11333" xr:uid="{00000000-0005-0000-0000-0000C9550000}"/>
    <cellStyle name="Comma 3 2 8 2 3" xfId="22165" xr:uid="{00000000-0005-0000-0000-0000CA550000}"/>
    <cellStyle name="Comma 3 2 8 3" xfId="5603" xr:uid="{00000000-0005-0000-0000-0000CB550000}"/>
    <cellStyle name="Comma 3 2 8 3 2" xfId="16495" xr:uid="{00000000-0005-0000-0000-0000CC550000}"/>
    <cellStyle name="Comma 3 2 8 3 2 2" xfId="29902" xr:uid="{00000000-0005-0000-0000-0000CD550000}"/>
    <cellStyle name="Comma 3 2 8 3 3" xfId="22164" xr:uid="{00000000-0005-0000-0000-0000CE550000}"/>
    <cellStyle name="Comma 3 2 8 4" xfId="9778" xr:uid="{00000000-0005-0000-0000-0000CF550000}"/>
    <cellStyle name="Comma 3 2 8 5" xfId="22166" xr:uid="{00000000-0005-0000-0000-0000D0550000}"/>
    <cellStyle name="Comma 3 2 9" xfId="5604" xr:uid="{00000000-0005-0000-0000-0000D1550000}"/>
    <cellStyle name="Comma 3 2 9 2" xfId="5605" xr:uid="{00000000-0005-0000-0000-0000D2550000}"/>
    <cellStyle name="Comma 3 2 9 2 2" xfId="13132" xr:uid="{00000000-0005-0000-0000-0000D3550000}"/>
    <cellStyle name="Comma 3 2 9 2 2 2" xfId="26844" xr:uid="{00000000-0005-0000-0000-0000D4550000}"/>
    <cellStyle name="Comma 3 2 9 2 3" xfId="22162" xr:uid="{00000000-0005-0000-0000-0000D5550000}"/>
    <cellStyle name="Comma 3 2 9 3" xfId="5606" xr:uid="{00000000-0005-0000-0000-0000D6550000}"/>
    <cellStyle name="Comma 3 2 9 3 2" xfId="15601" xr:uid="{00000000-0005-0000-0000-0000D7550000}"/>
    <cellStyle name="Comma 3 2 9 3 3" xfId="22161" xr:uid="{00000000-0005-0000-0000-0000D8550000}"/>
    <cellStyle name="Comma 3 2 9 4" xfId="10540" xr:uid="{00000000-0005-0000-0000-0000D9550000}"/>
    <cellStyle name="Comma 3 2 9 4 2" xfId="24482" xr:uid="{00000000-0005-0000-0000-0000DA550000}"/>
    <cellStyle name="Comma 3 2 9 5" xfId="22163" xr:uid="{00000000-0005-0000-0000-0000DB550000}"/>
    <cellStyle name="Comma 3 20" xfId="5607" xr:uid="{00000000-0005-0000-0000-0000DC550000}"/>
    <cellStyle name="Comma 3 20 2" xfId="5608" xr:uid="{00000000-0005-0000-0000-0000DD550000}"/>
    <cellStyle name="Comma 3 20 2 2" xfId="11334" xr:uid="{00000000-0005-0000-0000-0000DE550000}"/>
    <cellStyle name="Comma 3 20 2 3" xfId="22159" xr:uid="{00000000-0005-0000-0000-0000DF550000}"/>
    <cellStyle name="Comma 3 20 3" xfId="9779" xr:uid="{00000000-0005-0000-0000-0000E0550000}"/>
    <cellStyle name="Comma 3 20 4" xfId="22160" xr:uid="{00000000-0005-0000-0000-0000E1550000}"/>
    <cellStyle name="Comma 3 21" xfId="5609" xr:uid="{00000000-0005-0000-0000-0000E2550000}"/>
    <cellStyle name="Comma 3 21 2" xfId="5610" xr:uid="{00000000-0005-0000-0000-0000E3550000}"/>
    <cellStyle name="Comma 3 21 2 2" xfId="11722" xr:uid="{00000000-0005-0000-0000-0000E4550000}"/>
    <cellStyle name="Comma 3 21 2 2 2" xfId="25442" xr:uid="{00000000-0005-0000-0000-0000E5550000}"/>
    <cellStyle name="Comma 3 21 2 3" xfId="22157" xr:uid="{00000000-0005-0000-0000-0000E6550000}"/>
    <cellStyle name="Comma 3 21 3" xfId="5611" xr:uid="{00000000-0005-0000-0000-0000E7550000}"/>
    <cellStyle name="Comma 3 21 3 2" xfId="13133" xr:uid="{00000000-0005-0000-0000-0000E8550000}"/>
    <cellStyle name="Comma 3 21 3 2 2" xfId="26845" xr:uid="{00000000-0005-0000-0000-0000E9550000}"/>
    <cellStyle name="Comma 3 21 3 3" xfId="22156" xr:uid="{00000000-0005-0000-0000-0000EA550000}"/>
    <cellStyle name="Comma 3 21 4" xfId="5612" xr:uid="{00000000-0005-0000-0000-0000EB550000}"/>
    <cellStyle name="Comma 3 21 4 2" xfId="15602" xr:uid="{00000000-0005-0000-0000-0000EC550000}"/>
    <cellStyle name="Comma 3 21 4 3" xfId="22155" xr:uid="{00000000-0005-0000-0000-0000ED550000}"/>
    <cellStyle name="Comma 3 21 5" xfId="10487" xr:uid="{00000000-0005-0000-0000-0000EE550000}"/>
    <cellStyle name="Comma 3 21 5 2" xfId="24446" xr:uid="{00000000-0005-0000-0000-0000EF550000}"/>
    <cellStyle name="Comma 3 21 6" xfId="22158" xr:uid="{00000000-0005-0000-0000-0000F0550000}"/>
    <cellStyle name="Comma 3 22" xfId="5613" xr:uid="{00000000-0005-0000-0000-0000F1550000}"/>
    <cellStyle name="Comma 3 22 2" xfId="5614" xr:uid="{00000000-0005-0000-0000-0000F2550000}"/>
    <cellStyle name="Comma 3 22 2 2" xfId="13134" xr:uid="{00000000-0005-0000-0000-0000F3550000}"/>
    <cellStyle name="Comma 3 22 2 2 2" xfId="26846" xr:uid="{00000000-0005-0000-0000-0000F4550000}"/>
    <cellStyle name="Comma 3 22 2 3" xfId="22153" xr:uid="{00000000-0005-0000-0000-0000F5550000}"/>
    <cellStyle name="Comma 3 22 3" xfId="5615" xr:uid="{00000000-0005-0000-0000-0000F6550000}"/>
    <cellStyle name="Comma 3 22 3 2" xfId="15603" xr:uid="{00000000-0005-0000-0000-0000F7550000}"/>
    <cellStyle name="Comma 3 22 3 3" xfId="22152" xr:uid="{00000000-0005-0000-0000-0000F8550000}"/>
    <cellStyle name="Comma 3 22 4" xfId="10517" xr:uid="{00000000-0005-0000-0000-0000F9550000}"/>
    <cellStyle name="Comma 3 22 4 2" xfId="24465" xr:uid="{00000000-0005-0000-0000-0000FA550000}"/>
    <cellStyle name="Comma 3 22 5" xfId="22154" xr:uid="{00000000-0005-0000-0000-0000FB550000}"/>
    <cellStyle name="Comma 3 23" xfId="5616" xr:uid="{00000000-0005-0000-0000-0000FC550000}"/>
    <cellStyle name="Comma 3 23 2" xfId="11314" xr:uid="{00000000-0005-0000-0000-0000FD550000}"/>
    <cellStyle name="Comma 3 23 3" xfId="22151" xr:uid="{00000000-0005-0000-0000-0000FE550000}"/>
    <cellStyle name="Comma 3 24" xfId="5617" xr:uid="{00000000-0005-0000-0000-0000FF550000}"/>
    <cellStyle name="Comma 3 24 2" xfId="11760" xr:uid="{00000000-0005-0000-0000-000000560000}"/>
    <cellStyle name="Comma 3 24 2 2" xfId="25475" xr:uid="{00000000-0005-0000-0000-000001560000}"/>
    <cellStyle name="Comma 3 24 3" xfId="22150" xr:uid="{00000000-0005-0000-0000-000002560000}"/>
    <cellStyle name="Comma 3 25" xfId="5618" xr:uid="{00000000-0005-0000-0000-000003560000}"/>
    <cellStyle name="Comma 3 25 2" xfId="13390" xr:uid="{00000000-0005-0000-0000-000004560000}"/>
    <cellStyle name="Comma 3 25 2 2" xfId="26939" xr:uid="{00000000-0005-0000-0000-000005560000}"/>
    <cellStyle name="Comma 3 25 3" xfId="22149" xr:uid="{00000000-0005-0000-0000-000006560000}"/>
    <cellStyle name="Comma 3 26" xfId="5619" xr:uid="{00000000-0005-0000-0000-000007560000}"/>
    <cellStyle name="Comma 3 26 2" xfId="13971" xr:uid="{00000000-0005-0000-0000-000008560000}"/>
    <cellStyle name="Comma 3 26 2 2" xfId="27520" xr:uid="{00000000-0005-0000-0000-000009560000}"/>
    <cellStyle name="Comma 3 26 3" xfId="22148" xr:uid="{00000000-0005-0000-0000-00000A560000}"/>
    <cellStyle name="Comma 3 27" xfId="5620" xr:uid="{00000000-0005-0000-0000-00000B560000}"/>
    <cellStyle name="Comma 3 27 2" xfId="15829" xr:uid="{00000000-0005-0000-0000-00000C560000}"/>
    <cellStyle name="Comma 3 27 2 2" xfId="29236" xr:uid="{00000000-0005-0000-0000-00000D560000}"/>
    <cellStyle name="Comma 3 27 3" xfId="22147" xr:uid="{00000000-0005-0000-0000-00000E560000}"/>
    <cellStyle name="Comma 3 28" xfId="5621" xr:uid="{00000000-0005-0000-0000-00000F560000}"/>
    <cellStyle name="Comma 3 28 2" xfId="15857" xr:uid="{00000000-0005-0000-0000-000010560000}"/>
    <cellStyle name="Comma 3 28 2 2" xfId="29264" xr:uid="{00000000-0005-0000-0000-000011560000}"/>
    <cellStyle name="Comma 3 28 3" xfId="22146" xr:uid="{00000000-0005-0000-0000-000012560000}"/>
    <cellStyle name="Comma 3 29" xfId="8659" xr:uid="{00000000-0005-0000-0000-000013560000}"/>
    <cellStyle name="Comma 3 29 2" xfId="9746" xr:uid="{00000000-0005-0000-0000-000014560000}"/>
    <cellStyle name="Comma 3 3" xfId="5622" xr:uid="{00000000-0005-0000-0000-000015560000}"/>
    <cellStyle name="Comma 3 3 10" xfId="5623" xr:uid="{00000000-0005-0000-0000-000016560000}"/>
    <cellStyle name="Comma 3 3 10 2" xfId="17331" xr:uid="{00000000-0005-0000-0000-000017560000}"/>
    <cellStyle name="Comma 3 3 10 3" xfId="22144" xr:uid="{00000000-0005-0000-0000-000018560000}"/>
    <cellStyle name="Comma 3 3 11" xfId="8739" xr:uid="{00000000-0005-0000-0000-000019560000}"/>
    <cellStyle name="Comma 3 3 12" xfId="9780" xr:uid="{00000000-0005-0000-0000-00001A560000}"/>
    <cellStyle name="Comma 3 3 13" xfId="22145" xr:uid="{00000000-0005-0000-0000-00001B560000}"/>
    <cellStyle name="Comma 3 3 2" xfId="5624" xr:uid="{00000000-0005-0000-0000-00001C560000}"/>
    <cellStyle name="Comma 3 3 2 2" xfId="5625" xr:uid="{00000000-0005-0000-0000-00001D560000}"/>
    <cellStyle name="Comma 3 3 2 2 2" xfId="5626" xr:uid="{00000000-0005-0000-0000-00001E560000}"/>
    <cellStyle name="Comma 3 3 2 2 2 2" xfId="5627" xr:uid="{00000000-0005-0000-0000-00001F560000}"/>
    <cellStyle name="Comma 3 3 2 2 2 2 2" xfId="11335" xr:uid="{00000000-0005-0000-0000-000020560000}"/>
    <cellStyle name="Comma 3 3 2 2 2 2 3" xfId="22140" xr:uid="{00000000-0005-0000-0000-000021560000}"/>
    <cellStyle name="Comma 3 3 2 2 2 3" xfId="5628" xr:uid="{00000000-0005-0000-0000-000022560000}"/>
    <cellStyle name="Comma 3 3 2 2 2 3 2" xfId="16950" xr:uid="{00000000-0005-0000-0000-000023560000}"/>
    <cellStyle name="Comma 3 3 2 2 2 3 2 2" xfId="30357" xr:uid="{00000000-0005-0000-0000-000024560000}"/>
    <cellStyle name="Comma 3 3 2 2 2 3 3" xfId="22139" xr:uid="{00000000-0005-0000-0000-000025560000}"/>
    <cellStyle name="Comma 3 3 2 2 2 4" xfId="9783" xr:uid="{00000000-0005-0000-0000-000026560000}"/>
    <cellStyle name="Comma 3 3 2 2 2 5" xfId="22141" xr:uid="{00000000-0005-0000-0000-000027560000}"/>
    <cellStyle name="Comma 3 3 2 2 3" xfId="5629" xr:uid="{00000000-0005-0000-0000-000028560000}"/>
    <cellStyle name="Comma 3 3 2 2 3 2" xfId="5630" xr:uid="{00000000-0005-0000-0000-000029560000}"/>
    <cellStyle name="Comma 3 3 2 2 3 2 2" xfId="13135" xr:uid="{00000000-0005-0000-0000-00002A560000}"/>
    <cellStyle name="Comma 3 3 2 2 3 2 3" xfId="22137" xr:uid="{00000000-0005-0000-0000-00002B560000}"/>
    <cellStyle name="Comma 3 3 2 2 3 3" xfId="12338" xr:uid="{00000000-0005-0000-0000-00002C560000}"/>
    <cellStyle name="Comma 3 3 2 2 3 3 2" xfId="26050" xr:uid="{00000000-0005-0000-0000-00002D560000}"/>
    <cellStyle name="Comma 3 3 2 2 3 4" xfId="22138" xr:uid="{00000000-0005-0000-0000-00002E560000}"/>
    <cellStyle name="Comma 3 3 2 2 4" xfId="5631" xr:uid="{00000000-0005-0000-0000-00002F560000}"/>
    <cellStyle name="Comma 3 3 2 2 4 2" xfId="5632" xr:uid="{00000000-0005-0000-0000-000030560000}"/>
    <cellStyle name="Comma 3 3 2 2 4 2 2" xfId="15604" xr:uid="{00000000-0005-0000-0000-000031560000}"/>
    <cellStyle name="Comma 3 3 2 2 4 2 3" xfId="22135" xr:uid="{00000000-0005-0000-0000-000032560000}"/>
    <cellStyle name="Comma 3 3 2 2 4 3" xfId="13902" xr:uid="{00000000-0005-0000-0000-000033560000}"/>
    <cellStyle name="Comma 3 3 2 2 4 3 2" xfId="27451" xr:uid="{00000000-0005-0000-0000-000034560000}"/>
    <cellStyle name="Comma 3 3 2 2 4 4" xfId="22136" xr:uid="{00000000-0005-0000-0000-000035560000}"/>
    <cellStyle name="Comma 3 3 2 2 5" xfId="5633" xr:uid="{00000000-0005-0000-0000-000036560000}"/>
    <cellStyle name="Comma 3 3 2 2 5 2" xfId="14483" xr:uid="{00000000-0005-0000-0000-000037560000}"/>
    <cellStyle name="Comma 3 3 2 2 5 2 2" xfId="28032" xr:uid="{00000000-0005-0000-0000-000038560000}"/>
    <cellStyle name="Comma 3 3 2 2 5 3" xfId="22134" xr:uid="{00000000-0005-0000-0000-000039560000}"/>
    <cellStyle name="Comma 3 3 2 2 6" xfId="5634" xr:uid="{00000000-0005-0000-0000-00003A560000}"/>
    <cellStyle name="Comma 3 3 2 2 6 2" xfId="16369" xr:uid="{00000000-0005-0000-0000-00003B560000}"/>
    <cellStyle name="Comma 3 3 2 2 6 2 2" xfId="29776" xr:uid="{00000000-0005-0000-0000-00003C560000}"/>
    <cellStyle name="Comma 3 3 2 2 6 3" xfId="22133" xr:uid="{00000000-0005-0000-0000-00003D560000}"/>
    <cellStyle name="Comma 3 3 2 2 7" xfId="9782" xr:uid="{00000000-0005-0000-0000-00003E560000}"/>
    <cellStyle name="Comma 3 3 2 2 8" xfId="22142" xr:uid="{00000000-0005-0000-0000-00003F560000}"/>
    <cellStyle name="Comma 3 3 2 3" xfId="5635" xr:uid="{00000000-0005-0000-0000-000040560000}"/>
    <cellStyle name="Comma 3 3 2 3 2" xfId="5636" xr:uid="{00000000-0005-0000-0000-000041560000}"/>
    <cellStyle name="Comma 3 3 2 3 2 2" xfId="11336" xr:uid="{00000000-0005-0000-0000-000042560000}"/>
    <cellStyle name="Comma 3 3 2 3 2 3" xfId="22131" xr:uid="{00000000-0005-0000-0000-000043560000}"/>
    <cellStyle name="Comma 3 3 2 3 3" xfId="5637" xr:uid="{00000000-0005-0000-0000-000044560000}"/>
    <cellStyle name="Comma 3 3 2 3 3 2" xfId="16661" xr:uid="{00000000-0005-0000-0000-000045560000}"/>
    <cellStyle name="Comma 3 3 2 3 3 2 2" xfId="30068" xr:uid="{00000000-0005-0000-0000-000046560000}"/>
    <cellStyle name="Comma 3 3 2 3 3 3" xfId="22130" xr:uid="{00000000-0005-0000-0000-000047560000}"/>
    <cellStyle name="Comma 3 3 2 3 4" xfId="9784" xr:uid="{00000000-0005-0000-0000-000048560000}"/>
    <cellStyle name="Comma 3 3 2 3 5" xfId="22132" xr:uid="{00000000-0005-0000-0000-000049560000}"/>
    <cellStyle name="Comma 3 3 2 4" xfId="5638" xr:uid="{00000000-0005-0000-0000-00004A560000}"/>
    <cellStyle name="Comma 3 3 2 4 2" xfId="5639" xr:uid="{00000000-0005-0000-0000-00004B560000}"/>
    <cellStyle name="Comma 3 3 2 4 2 2" xfId="13136" xr:uid="{00000000-0005-0000-0000-00004C560000}"/>
    <cellStyle name="Comma 3 3 2 4 2 3" xfId="22128" xr:uid="{00000000-0005-0000-0000-00004D560000}"/>
    <cellStyle name="Comma 3 3 2 4 3" xfId="12038" xr:uid="{00000000-0005-0000-0000-00004E560000}"/>
    <cellStyle name="Comma 3 3 2 4 3 2" xfId="25753" xr:uid="{00000000-0005-0000-0000-00004F560000}"/>
    <cellStyle name="Comma 3 3 2 4 4" xfId="22129" xr:uid="{00000000-0005-0000-0000-000050560000}"/>
    <cellStyle name="Comma 3 3 2 5" xfId="5640" xr:uid="{00000000-0005-0000-0000-000051560000}"/>
    <cellStyle name="Comma 3 3 2 5 2" xfId="5641" xr:uid="{00000000-0005-0000-0000-000052560000}"/>
    <cellStyle name="Comma 3 3 2 5 2 2" xfId="15605" xr:uid="{00000000-0005-0000-0000-000053560000}"/>
    <cellStyle name="Comma 3 3 2 5 2 3" xfId="22126" xr:uid="{00000000-0005-0000-0000-000054560000}"/>
    <cellStyle name="Comma 3 3 2 5 3" xfId="13613" xr:uid="{00000000-0005-0000-0000-000055560000}"/>
    <cellStyle name="Comma 3 3 2 5 3 2" xfId="27162" xr:uid="{00000000-0005-0000-0000-000056560000}"/>
    <cellStyle name="Comma 3 3 2 5 4" xfId="22127" xr:uid="{00000000-0005-0000-0000-000057560000}"/>
    <cellStyle name="Comma 3 3 2 6" xfId="5642" xr:uid="{00000000-0005-0000-0000-000058560000}"/>
    <cellStyle name="Comma 3 3 2 6 2" xfId="14194" xr:uid="{00000000-0005-0000-0000-000059560000}"/>
    <cellStyle name="Comma 3 3 2 6 2 2" xfId="27743" xr:uid="{00000000-0005-0000-0000-00005A560000}"/>
    <cellStyle name="Comma 3 3 2 6 3" xfId="22125" xr:uid="{00000000-0005-0000-0000-00005B560000}"/>
    <cellStyle name="Comma 3 3 2 7" xfId="5643" xr:uid="{00000000-0005-0000-0000-00005C560000}"/>
    <cellStyle name="Comma 3 3 2 7 2" xfId="16080" xr:uid="{00000000-0005-0000-0000-00005D560000}"/>
    <cellStyle name="Comma 3 3 2 7 2 2" xfId="29487" xr:uid="{00000000-0005-0000-0000-00005E560000}"/>
    <cellStyle name="Comma 3 3 2 7 3" xfId="22124" xr:uid="{00000000-0005-0000-0000-00005F560000}"/>
    <cellStyle name="Comma 3 3 2 8" xfId="9781" xr:uid="{00000000-0005-0000-0000-000060560000}"/>
    <cellStyle name="Comma 3 3 2 9" xfId="22143" xr:uid="{00000000-0005-0000-0000-000061560000}"/>
    <cellStyle name="Comma 3 3 3" xfId="5644" xr:uid="{00000000-0005-0000-0000-000062560000}"/>
    <cellStyle name="Comma 3 3 3 2" xfId="5645" xr:uid="{00000000-0005-0000-0000-000063560000}"/>
    <cellStyle name="Comma 3 3 3 2 2" xfId="5646" xr:uid="{00000000-0005-0000-0000-000064560000}"/>
    <cellStyle name="Comma 3 3 3 2 2 2" xfId="11337" xr:uid="{00000000-0005-0000-0000-000065560000}"/>
    <cellStyle name="Comma 3 3 3 2 2 3" xfId="22121" xr:uid="{00000000-0005-0000-0000-000066560000}"/>
    <cellStyle name="Comma 3 3 3 2 3" xfId="5647" xr:uid="{00000000-0005-0000-0000-000067560000}"/>
    <cellStyle name="Comma 3 3 3 2 3 2" xfId="16807" xr:uid="{00000000-0005-0000-0000-000068560000}"/>
    <cellStyle name="Comma 3 3 3 2 3 2 2" xfId="30214" xr:uid="{00000000-0005-0000-0000-000069560000}"/>
    <cellStyle name="Comma 3 3 3 2 3 3" xfId="22120" xr:uid="{00000000-0005-0000-0000-00006A560000}"/>
    <cellStyle name="Comma 3 3 3 2 4" xfId="9786" xr:uid="{00000000-0005-0000-0000-00006B560000}"/>
    <cellStyle name="Comma 3 3 3 2 5" xfId="22122" xr:uid="{00000000-0005-0000-0000-00006C560000}"/>
    <cellStyle name="Comma 3 3 3 3" xfId="5648" xr:uid="{00000000-0005-0000-0000-00006D560000}"/>
    <cellStyle name="Comma 3 3 3 3 2" xfId="5649" xr:uid="{00000000-0005-0000-0000-00006E560000}"/>
    <cellStyle name="Comma 3 3 3 3 2 2" xfId="13137" xr:uid="{00000000-0005-0000-0000-00006F560000}"/>
    <cellStyle name="Comma 3 3 3 3 2 3" xfId="22118" xr:uid="{00000000-0005-0000-0000-000070560000}"/>
    <cellStyle name="Comma 3 3 3 3 3" xfId="12195" xr:uid="{00000000-0005-0000-0000-000071560000}"/>
    <cellStyle name="Comma 3 3 3 3 3 2" xfId="25907" xr:uid="{00000000-0005-0000-0000-000072560000}"/>
    <cellStyle name="Comma 3 3 3 3 4" xfId="22119" xr:uid="{00000000-0005-0000-0000-000073560000}"/>
    <cellStyle name="Comma 3 3 3 4" xfId="5650" xr:uid="{00000000-0005-0000-0000-000074560000}"/>
    <cellStyle name="Comma 3 3 3 4 2" xfId="5651" xr:uid="{00000000-0005-0000-0000-000075560000}"/>
    <cellStyle name="Comma 3 3 3 4 2 2" xfId="15606" xr:uid="{00000000-0005-0000-0000-000076560000}"/>
    <cellStyle name="Comma 3 3 3 4 2 3" xfId="22116" xr:uid="{00000000-0005-0000-0000-000077560000}"/>
    <cellStyle name="Comma 3 3 3 4 3" xfId="13759" xr:uid="{00000000-0005-0000-0000-000078560000}"/>
    <cellStyle name="Comma 3 3 3 4 3 2" xfId="27308" xr:uid="{00000000-0005-0000-0000-000079560000}"/>
    <cellStyle name="Comma 3 3 3 4 4" xfId="22117" xr:uid="{00000000-0005-0000-0000-00007A560000}"/>
    <cellStyle name="Comma 3 3 3 5" xfId="5652" xr:uid="{00000000-0005-0000-0000-00007B560000}"/>
    <cellStyle name="Comma 3 3 3 5 2" xfId="14340" xr:uid="{00000000-0005-0000-0000-00007C560000}"/>
    <cellStyle name="Comma 3 3 3 5 2 2" xfId="27889" xr:uid="{00000000-0005-0000-0000-00007D560000}"/>
    <cellStyle name="Comma 3 3 3 5 3" xfId="22115" xr:uid="{00000000-0005-0000-0000-00007E560000}"/>
    <cellStyle name="Comma 3 3 3 6" xfId="5653" xr:uid="{00000000-0005-0000-0000-00007F560000}"/>
    <cellStyle name="Comma 3 3 3 6 2" xfId="16226" xr:uid="{00000000-0005-0000-0000-000080560000}"/>
    <cellStyle name="Comma 3 3 3 6 2 2" xfId="29633" xr:uid="{00000000-0005-0000-0000-000081560000}"/>
    <cellStyle name="Comma 3 3 3 6 3" xfId="22114" xr:uid="{00000000-0005-0000-0000-000082560000}"/>
    <cellStyle name="Comma 3 3 3 7" xfId="9785" xr:uid="{00000000-0005-0000-0000-000083560000}"/>
    <cellStyle name="Comma 3 3 3 8" xfId="22123" xr:uid="{00000000-0005-0000-0000-000084560000}"/>
    <cellStyle name="Comma 3 3 4" xfId="5654" xr:uid="{00000000-0005-0000-0000-000085560000}"/>
    <cellStyle name="Comma 3 3 4 2" xfId="5655" xr:uid="{00000000-0005-0000-0000-000086560000}"/>
    <cellStyle name="Comma 3 3 4 2 2" xfId="13138" xr:uid="{00000000-0005-0000-0000-000087560000}"/>
    <cellStyle name="Comma 3 3 4 2 3" xfId="22112" xr:uid="{00000000-0005-0000-0000-000088560000}"/>
    <cellStyle name="Comma 3 3 4 3" xfId="5656" xr:uid="{00000000-0005-0000-0000-000089560000}"/>
    <cellStyle name="Comma 3 3 4 3 2" xfId="17154" xr:uid="{00000000-0005-0000-0000-00008A560000}"/>
    <cellStyle name="Comma 3 3 4 3 2 2" xfId="30513" xr:uid="{00000000-0005-0000-0000-00008B560000}"/>
    <cellStyle name="Comma 3 3 4 3 3" xfId="22111" xr:uid="{00000000-0005-0000-0000-00008C560000}"/>
    <cellStyle name="Comma 3 3 4 4" xfId="9787" xr:uid="{00000000-0005-0000-0000-00008D560000}"/>
    <cellStyle name="Comma 3 3 4 5" xfId="22113" xr:uid="{00000000-0005-0000-0000-00008E560000}"/>
    <cellStyle name="Comma 3 3 5" xfId="5657" xr:uid="{00000000-0005-0000-0000-00008F560000}"/>
    <cellStyle name="Comma 3 3 5 2" xfId="5658" xr:uid="{00000000-0005-0000-0000-000090560000}"/>
    <cellStyle name="Comma 3 3 5 2 2" xfId="11338" xr:uid="{00000000-0005-0000-0000-000091560000}"/>
    <cellStyle name="Comma 3 3 5 2 3" xfId="22109" xr:uid="{00000000-0005-0000-0000-000092560000}"/>
    <cellStyle name="Comma 3 3 5 3" xfId="5659" xr:uid="{00000000-0005-0000-0000-000093560000}"/>
    <cellStyle name="Comma 3 3 5 3 2" xfId="17243" xr:uid="{00000000-0005-0000-0000-000094560000}"/>
    <cellStyle name="Comma 3 3 5 3 2 2" xfId="30602" xr:uid="{00000000-0005-0000-0000-000095560000}"/>
    <cellStyle name="Comma 3 3 5 3 3" xfId="22108" xr:uid="{00000000-0005-0000-0000-000096560000}"/>
    <cellStyle name="Comma 3 3 5 4" xfId="9788" xr:uid="{00000000-0005-0000-0000-000097560000}"/>
    <cellStyle name="Comma 3 3 5 5" xfId="22110" xr:uid="{00000000-0005-0000-0000-000098560000}"/>
    <cellStyle name="Comma 3 3 6" xfId="5660" xr:uid="{00000000-0005-0000-0000-000099560000}"/>
    <cellStyle name="Comma 3 3 6 2" xfId="5661" xr:uid="{00000000-0005-0000-0000-00009A560000}"/>
    <cellStyle name="Comma 3 3 6 2 2" xfId="15607" xr:uid="{00000000-0005-0000-0000-00009B560000}"/>
    <cellStyle name="Comma 3 3 6 2 3" xfId="22106" xr:uid="{00000000-0005-0000-0000-00009C560000}"/>
    <cellStyle name="Comma 3 3 6 3" xfId="5662" xr:uid="{00000000-0005-0000-0000-00009D560000}"/>
    <cellStyle name="Comma 3 3 6 3 2" xfId="16518" xr:uid="{00000000-0005-0000-0000-00009E560000}"/>
    <cellStyle name="Comma 3 3 6 3 2 2" xfId="29925" xr:uid="{00000000-0005-0000-0000-00009F560000}"/>
    <cellStyle name="Comma 3 3 6 3 3" xfId="22105" xr:uid="{00000000-0005-0000-0000-0000A0560000}"/>
    <cellStyle name="Comma 3 3 6 4" xfId="11891" xr:uid="{00000000-0005-0000-0000-0000A1560000}"/>
    <cellStyle name="Comma 3 3 6 4 2" xfId="25606" xr:uid="{00000000-0005-0000-0000-0000A2560000}"/>
    <cellStyle name="Comma 3 3 6 5" xfId="22107" xr:uid="{00000000-0005-0000-0000-0000A3560000}"/>
    <cellStyle name="Comma 3 3 7" xfId="5663" xr:uid="{00000000-0005-0000-0000-0000A4560000}"/>
    <cellStyle name="Comma 3 3 7 2" xfId="13470" xr:uid="{00000000-0005-0000-0000-0000A5560000}"/>
    <cellStyle name="Comma 3 3 7 2 2" xfId="27019" xr:uid="{00000000-0005-0000-0000-0000A6560000}"/>
    <cellStyle name="Comma 3 3 7 3" xfId="22104" xr:uid="{00000000-0005-0000-0000-0000A7560000}"/>
    <cellStyle name="Comma 3 3 8" xfId="5664" xr:uid="{00000000-0005-0000-0000-0000A8560000}"/>
    <cellStyle name="Comma 3 3 8 2" xfId="14051" xr:uid="{00000000-0005-0000-0000-0000A9560000}"/>
    <cellStyle name="Comma 3 3 8 2 2" xfId="27600" xr:uid="{00000000-0005-0000-0000-0000AA560000}"/>
    <cellStyle name="Comma 3 3 8 3" xfId="22103" xr:uid="{00000000-0005-0000-0000-0000AB560000}"/>
    <cellStyle name="Comma 3 3 9" xfId="5665" xr:uid="{00000000-0005-0000-0000-0000AC560000}"/>
    <cellStyle name="Comma 3 3 9 2" xfId="15937" xr:uid="{00000000-0005-0000-0000-0000AD560000}"/>
    <cellStyle name="Comma 3 3 9 2 2" xfId="29344" xr:uid="{00000000-0005-0000-0000-0000AE560000}"/>
    <cellStyle name="Comma 3 3 9 3" xfId="22102" xr:uid="{00000000-0005-0000-0000-0000AF560000}"/>
    <cellStyle name="Comma 3 30" xfId="17302" xr:uid="{00000000-0005-0000-0000-0000B0560000}"/>
    <cellStyle name="Comma 3 31" xfId="22286" xr:uid="{00000000-0005-0000-0000-0000B1560000}"/>
    <cellStyle name="Comma 3 4" xfId="5666" xr:uid="{00000000-0005-0000-0000-0000B2560000}"/>
    <cellStyle name="Comma 3 4 10" xfId="9789" xr:uid="{00000000-0005-0000-0000-0000B3560000}"/>
    <cellStyle name="Comma 3 4 11" xfId="22101" xr:uid="{00000000-0005-0000-0000-0000B4560000}"/>
    <cellStyle name="Comma 3 4 2" xfId="5667" xr:uid="{00000000-0005-0000-0000-0000B5560000}"/>
    <cellStyle name="Comma 3 4 2 2" xfId="5668" xr:uid="{00000000-0005-0000-0000-0000B6560000}"/>
    <cellStyle name="Comma 3 4 2 2 2" xfId="5669" xr:uid="{00000000-0005-0000-0000-0000B7560000}"/>
    <cellStyle name="Comma 3 4 2 2 2 2" xfId="5670" xr:uid="{00000000-0005-0000-0000-0000B8560000}"/>
    <cellStyle name="Comma 3 4 2 2 2 2 2" xfId="11339" xr:uid="{00000000-0005-0000-0000-0000B9560000}"/>
    <cellStyle name="Comma 3 4 2 2 2 2 3" xfId="22097" xr:uid="{00000000-0005-0000-0000-0000BA560000}"/>
    <cellStyle name="Comma 3 4 2 2 2 3" xfId="5671" xr:uid="{00000000-0005-0000-0000-0000BB560000}"/>
    <cellStyle name="Comma 3 4 2 2 2 3 2" xfId="16904" xr:uid="{00000000-0005-0000-0000-0000BC560000}"/>
    <cellStyle name="Comma 3 4 2 2 2 3 2 2" xfId="30311" xr:uid="{00000000-0005-0000-0000-0000BD560000}"/>
    <cellStyle name="Comma 3 4 2 2 2 3 3" xfId="22096" xr:uid="{00000000-0005-0000-0000-0000BE560000}"/>
    <cellStyle name="Comma 3 4 2 2 2 4" xfId="9792" xr:uid="{00000000-0005-0000-0000-0000BF560000}"/>
    <cellStyle name="Comma 3 4 2 2 2 5" xfId="22098" xr:uid="{00000000-0005-0000-0000-0000C0560000}"/>
    <cellStyle name="Comma 3 4 2 2 3" xfId="5672" xr:uid="{00000000-0005-0000-0000-0000C1560000}"/>
    <cellStyle name="Comma 3 4 2 2 3 2" xfId="5673" xr:uid="{00000000-0005-0000-0000-0000C2560000}"/>
    <cellStyle name="Comma 3 4 2 2 3 2 2" xfId="13139" xr:uid="{00000000-0005-0000-0000-0000C3560000}"/>
    <cellStyle name="Comma 3 4 2 2 3 2 3" xfId="22094" xr:uid="{00000000-0005-0000-0000-0000C4560000}"/>
    <cellStyle name="Comma 3 4 2 2 3 3" xfId="12292" xr:uid="{00000000-0005-0000-0000-0000C5560000}"/>
    <cellStyle name="Comma 3 4 2 2 3 3 2" xfId="26004" xr:uid="{00000000-0005-0000-0000-0000C6560000}"/>
    <cellStyle name="Comma 3 4 2 2 3 4" xfId="22095" xr:uid="{00000000-0005-0000-0000-0000C7560000}"/>
    <cellStyle name="Comma 3 4 2 2 4" xfId="5674" xr:uid="{00000000-0005-0000-0000-0000C8560000}"/>
    <cellStyle name="Comma 3 4 2 2 4 2" xfId="5675" xr:uid="{00000000-0005-0000-0000-0000C9560000}"/>
    <cellStyle name="Comma 3 4 2 2 4 2 2" xfId="15608" xr:uid="{00000000-0005-0000-0000-0000CA560000}"/>
    <cellStyle name="Comma 3 4 2 2 4 2 3" xfId="22092" xr:uid="{00000000-0005-0000-0000-0000CB560000}"/>
    <cellStyle name="Comma 3 4 2 2 4 3" xfId="13856" xr:uid="{00000000-0005-0000-0000-0000CC560000}"/>
    <cellStyle name="Comma 3 4 2 2 4 3 2" xfId="27405" xr:uid="{00000000-0005-0000-0000-0000CD560000}"/>
    <cellStyle name="Comma 3 4 2 2 4 4" xfId="22093" xr:uid="{00000000-0005-0000-0000-0000CE560000}"/>
    <cellStyle name="Comma 3 4 2 2 5" xfId="5676" xr:uid="{00000000-0005-0000-0000-0000CF560000}"/>
    <cellStyle name="Comma 3 4 2 2 5 2" xfId="14437" xr:uid="{00000000-0005-0000-0000-0000D0560000}"/>
    <cellStyle name="Comma 3 4 2 2 5 2 2" xfId="27986" xr:uid="{00000000-0005-0000-0000-0000D1560000}"/>
    <cellStyle name="Comma 3 4 2 2 5 3" xfId="22091" xr:uid="{00000000-0005-0000-0000-0000D2560000}"/>
    <cellStyle name="Comma 3 4 2 2 6" xfId="5677" xr:uid="{00000000-0005-0000-0000-0000D3560000}"/>
    <cellStyle name="Comma 3 4 2 2 6 2" xfId="16323" xr:uid="{00000000-0005-0000-0000-0000D4560000}"/>
    <cellStyle name="Comma 3 4 2 2 6 2 2" xfId="29730" xr:uid="{00000000-0005-0000-0000-0000D5560000}"/>
    <cellStyle name="Comma 3 4 2 2 6 3" xfId="22090" xr:uid="{00000000-0005-0000-0000-0000D6560000}"/>
    <cellStyle name="Comma 3 4 2 2 7" xfId="9791" xr:uid="{00000000-0005-0000-0000-0000D7560000}"/>
    <cellStyle name="Comma 3 4 2 2 8" xfId="22099" xr:uid="{00000000-0005-0000-0000-0000D8560000}"/>
    <cellStyle name="Comma 3 4 2 3" xfId="5678" xr:uid="{00000000-0005-0000-0000-0000D9560000}"/>
    <cellStyle name="Comma 3 4 2 3 2" xfId="5679" xr:uid="{00000000-0005-0000-0000-0000DA560000}"/>
    <cellStyle name="Comma 3 4 2 3 2 2" xfId="11340" xr:uid="{00000000-0005-0000-0000-0000DB560000}"/>
    <cellStyle name="Comma 3 4 2 3 2 3" xfId="22088" xr:uid="{00000000-0005-0000-0000-0000DC560000}"/>
    <cellStyle name="Comma 3 4 2 3 3" xfId="5680" xr:uid="{00000000-0005-0000-0000-0000DD560000}"/>
    <cellStyle name="Comma 3 4 2 3 3 2" xfId="16615" xr:uid="{00000000-0005-0000-0000-0000DE560000}"/>
    <cellStyle name="Comma 3 4 2 3 3 2 2" xfId="30022" xr:uid="{00000000-0005-0000-0000-0000DF560000}"/>
    <cellStyle name="Comma 3 4 2 3 3 3" xfId="22087" xr:uid="{00000000-0005-0000-0000-0000E0560000}"/>
    <cellStyle name="Comma 3 4 2 3 4" xfId="9793" xr:uid="{00000000-0005-0000-0000-0000E1560000}"/>
    <cellStyle name="Comma 3 4 2 3 5" xfId="22089" xr:uid="{00000000-0005-0000-0000-0000E2560000}"/>
    <cellStyle name="Comma 3 4 2 4" xfId="5681" xr:uid="{00000000-0005-0000-0000-0000E3560000}"/>
    <cellStyle name="Comma 3 4 2 4 2" xfId="5682" xr:uid="{00000000-0005-0000-0000-0000E4560000}"/>
    <cellStyle name="Comma 3 4 2 4 2 2" xfId="13140" xr:uid="{00000000-0005-0000-0000-0000E5560000}"/>
    <cellStyle name="Comma 3 4 2 4 2 3" xfId="22085" xr:uid="{00000000-0005-0000-0000-0000E6560000}"/>
    <cellStyle name="Comma 3 4 2 4 3" xfId="11992" xr:uid="{00000000-0005-0000-0000-0000E7560000}"/>
    <cellStyle name="Comma 3 4 2 4 3 2" xfId="25707" xr:uid="{00000000-0005-0000-0000-0000E8560000}"/>
    <cellStyle name="Comma 3 4 2 4 4" xfId="22086" xr:uid="{00000000-0005-0000-0000-0000E9560000}"/>
    <cellStyle name="Comma 3 4 2 5" xfId="5683" xr:uid="{00000000-0005-0000-0000-0000EA560000}"/>
    <cellStyle name="Comma 3 4 2 5 2" xfId="5684" xr:uid="{00000000-0005-0000-0000-0000EB560000}"/>
    <cellStyle name="Comma 3 4 2 5 2 2" xfId="15609" xr:uid="{00000000-0005-0000-0000-0000EC560000}"/>
    <cellStyle name="Comma 3 4 2 5 2 3" xfId="22083" xr:uid="{00000000-0005-0000-0000-0000ED560000}"/>
    <cellStyle name="Comma 3 4 2 5 3" xfId="13567" xr:uid="{00000000-0005-0000-0000-0000EE560000}"/>
    <cellStyle name="Comma 3 4 2 5 3 2" xfId="27116" xr:uid="{00000000-0005-0000-0000-0000EF560000}"/>
    <cellStyle name="Comma 3 4 2 5 4" xfId="22084" xr:uid="{00000000-0005-0000-0000-0000F0560000}"/>
    <cellStyle name="Comma 3 4 2 6" xfId="5685" xr:uid="{00000000-0005-0000-0000-0000F1560000}"/>
    <cellStyle name="Comma 3 4 2 6 2" xfId="14148" xr:uid="{00000000-0005-0000-0000-0000F2560000}"/>
    <cellStyle name="Comma 3 4 2 6 2 2" xfId="27697" xr:uid="{00000000-0005-0000-0000-0000F3560000}"/>
    <cellStyle name="Comma 3 4 2 6 3" xfId="22082" xr:uid="{00000000-0005-0000-0000-0000F4560000}"/>
    <cellStyle name="Comma 3 4 2 7" xfId="5686" xr:uid="{00000000-0005-0000-0000-0000F5560000}"/>
    <cellStyle name="Comma 3 4 2 7 2" xfId="16034" xr:uid="{00000000-0005-0000-0000-0000F6560000}"/>
    <cellStyle name="Comma 3 4 2 7 2 2" xfId="29441" xr:uid="{00000000-0005-0000-0000-0000F7560000}"/>
    <cellStyle name="Comma 3 4 2 7 3" xfId="22081" xr:uid="{00000000-0005-0000-0000-0000F8560000}"/>
    <cellStyle name="Comma 3 4 2 8" xfId="9790" xr:uid="{00000000-0005-0000-0000-0000F9560000}"/>
    <cellStyle name="Comma 3 4 2 9" xfId="22100" xr:uid="{00000000-0005-0000-0000-0000FA560000}"/>
    <cellStyle name="Comma 3 4 3" xfId="5687" xr:uid="{00000000-0005-0000-0000-0000FB560000}"/>
    <cellStyle name="Comma 3 4 3 2" xfId="5688" xr:uid="{00000000-0005-0000-0000-0000FC560000}"/>
    <cellStyle name="Comma 3 4 3 2 2" xfId="5689" xr:uid="{00000000-0005-0000-0000-0000FD560000}"/>
    <cellStyle name="Comma 3 4 3 2 2 2" xfId="11341" xr:uid="{00000000-0005-0000-0000-0000FE560000}"/>
    <cellStyle name="Comma 3 4 3 2 2 3" xfId="22078" xr:uid="{00000000-0005-0000-0000-0000FF560000}"/>
    <cellStyle name="Comma 3 4 3 2 3" xfId="5690" xr:uid="{00000000-0005-0000-0000-000000570000}"/>
    <cellStyle name="Comma 3 4 3 2 3 2" xfId="16764" xr:uid="{00000000-0005-0000-0000-000001570000}"/>
    <cellStyle name="Comma 3 4 3 2 3 2 2" xfId="30171" xr:uid="{00000000-0005-0000-0000-000002570000}"/>
    <cellStyle name="Comma 3 4 3 2 3 3" xfId="22077" xr:uid="{00000000-0005-0000-0000-000003570000}"/>
    <cellStyle name="Comma 3 4 3 2 4" xfId="9795" xr:uid="{00000000-0005-0000-0000-000004570000}"/>
    <cellStyle name="Comma 3 4 3 2 5" xfId="22079" xr:uid="{00000000-0005-0000-0000-000005570000}"/>
    <cellStyle name="Comma 3 4 3 3" xfId="5691" xr:uid="{00000000-0005-0000-0000-000006570000}"/>
    <cellStyle name="Comma 3 4 3 3 2" xfId="5692" xr:uid="{00000000-0005-0000-0000-000007570000}"/>
    <cellStyle name="Comma 3 4 3 3 2 2" xfId="13141" xr:uid="{00000000-0005-0000-0000-000008570000}"/>
    <cellStyle name="Comma 3 4 3 3 2 3" xfId="22075" xr:uid="{00000000-0005-0000-0000-000009570000}"/>
    <cellStyle name="Comma 3 4 3 3 3" xfId="12152" xr:uid="{00000000-0005-0000-0000-00000A570000}"/>
    <cellStyle name="Comma 3 4 3 3 3 2" xfId="25864" xr:uid="{00000000-0005-0000-0000-00000B570000}"/>
    <cellStyle name="Comma 3 4 3 3 4" xfId="22076" xr:uid="{00000000-0005-0000-0000-00000C570000}"/>
    <cellStyle name="Comma 3 4 3 4" xfId="5693" xr:uid="{00000000-0005-0000-0000-00000D570000}"/>
    <cellStyle name="Comma 3 4 3 4 2" xfId="5694" xr:uid="{00000000-0005-0000-0000-00000E570000}"/>
    <cellStyle name="Comma 3 4 3 4 2 2" xfId="15610" xr:uid="{00000000-0005-0000-0000-00000F570000}"/>
    <cellStyle name="Comma 3 4 3 4 2 3" xfId="22073" xr:uid="{00000000-0005-0000-0000-000010570000}"/>
    <cellStyle name="Comma 3 4 3 4 3" xfId="13716" xr:uid="{00000000-0005-0000-0000-000011570000}"/>
    <cellStyle name="Comma 3 4 3 4 3 2" xfId="27265" xr:uid="{00000000-0005-0000-0000-000012570000}"/>
    <cellStyle name="Comma 3 4 3 4 4" xfId="22074" xr:uid="{00000000-0005-0000-0000-000013570000}"/>
    <cellStyle name="Comma 3 4 3 5" xfId="5695" xr:uid="{00000000-0005-0000-0000-000014570000}"/>
    <cellStyle name="Comma 3 4 3 5 2" xfId="14297" xr:uid="{00000000-0005-0000-0000-000015570000}"/>
    <cellStyle name="Comma 3 4 3 5 2 2" xfId="27846" xr:uid="{00000000-0005-0000-0000-000016570000}"/>
    <cellStyle name="Comma 3 4 3 5 3" xfId="22072" xr:uid="{00000000-0005-0000-0000-000017570000}"/>
    <cellStyle name="Comma 3 4 3 6" xfId="5696" xr:uid="{00000000-0005-0000-0000-000018570000}"/>
    <cellStyle name="Comma 3 4 3 6 2" xfId="16183" xr:uid="{00000000-0005-0000-0000-000019570000}"/>
    <cellStyle name="Comma 3 4 3 6 2 2" xfId="29590" xr:uid="{00000000-0005-0000-0000-00001A570000}"/>
    <cellStyle name="Comma 3 4 3 6 3" xfId="22071" xr:uid="{00000000-0005-0000-0000-00001B570000}"/>
    <cellStyle name="Comma 3 4 3 7" xfId="9794" xr:uid="{00000000-0005-0000-0000-00001C570000}"/>
    <cellStyle name="Comma 3 4 3 8" xfId="22080" xr:uid="{00000000-0005-0000-0000-00001D570000}"/>
    <cellStyle name="Comma 3 4 4" xfId="5697" xr:uid="{00000000-0005-0000-0000-00001E570000}"/>
    <cellStyle name="Comma 3 4 4 2" xfId="5698" xr:uid="{00000000-0005-0000-0000-00001F570000}"/>
    <cellStyle name="Comma 3 4 4 2 2" xfId="16472" xr:uid="{00000000-0005-0000-0000-000020570000}"/>
    <cellStyle name="Comma 3 4 4 2 2 2" xfId="29879" xr:uid="{00000000-0005-0000-0000-000021570000}"/>
    <cellStyle name="Comma 3 4 4 2 3" xfId="22069" xr:uid="{00000000-0005-0000-0000-000022570000}"/>
    <cellStyle name="Comma 3 4 4 3" xfId="9796" xr:uid="{00000000-0005-0000-0000-000023570000}"/>
    <cellStyle name="Comma 3 4 4 4" xfId="22070" xr:uid="{00000000-0005-0000-0000-000024570000}"/>
    <cellStyle name="Comma 3 4 5" xfId="5699" xr:uid="{00000000-0005-0000-0000-000025570000}"/>
    <cellStyle name="Comma 3 4 5 2" xfId="5700" xr:uid="{00000000-0005-0000-0000-000026570000}"/>
    <cellStyle name="Comma 3 4 5 2 2" xfId="11342" xr:uid="{00000000-0005-0000-0000-000027570000}"/>
    <cellStyle name="Comma 3 4 5 2 3" xfId="22067" xr:uid="{00000000-0005-0000-0000-000028570000}"/>
    <cellStyle name="Comma 3 4 5 3" xfId="9797" xr:uid="{00000000-0005-0000-0000-000029570000}"/>
    <cellStyle name="Comma 3 4 5 4" xfId="22068" xr:uid="{00000000-0005-0000-0000-00002A570000}"/>
    <cellStyle name="Comma 3 4 6" xfId="5701" xr:uid="{00000000-0005-0000-0000-00002B570000}"/>
    <cellStyle name="Comma 3 4 6 2" xfId="5702" xr:uid="{00000000-0005-0000-0000-00002C570000}"/>
    <cellStyle name="Comma 3 4 6 2 2" xfId="13142" xr:uid="{00000000-0005-0000-0000-00002D570000}"/>
    <cellStyle name="Comma 3 4 6 2 3" xfId="22065" xr:uid="{00000000-0005-0000-0000-00002E570000}"/>
    <cellStyle name="Comma 3 4 6 3" xfId="11823" xr:uid="{00000000-0005-0000-0000-00002F570000}"/>
    <cellStyle name="Comma 3 4 6 3 2" xfId="25538" xr:uid="{00000000-0005-0000-0000-000030570000}"/>
    <cellStyle name="Comma 3 4 6 4" xfId="22066" xr:uid="{00000000-0005-0000-0000-000031570000}"/>
    <cellStyle name="Comma 3 4 7" xfId="5703" xr:uid="{00000000-0005-0000-0000-000032570000}"/>
    <cellStyle name="Comma 3 4 7 2" xfId="5704" xr:uid="{00000000-0005-0000-0000-000033570000}"/>
    <cellStyle name="Comma 3 4 7 2 2" xfId="15611" xr:uid="{00000000-0005-0000-0000-000034570000}"/>
    <cellStyle name="Comma 3 4 7 2 3" xfId="22063" xr:uid="{00000000-0005-0000-0000-000035570000}"/>
    <cellStyle name="Comma 3 4 7 3" xfId="13424" xr:uid="{00000000-0005-0000-0000-000036570000}"/>
    <cellStyle name="Comma 3 4 7 3 2" xfId="26973" xr:uid="{00000000-0005-0000-0000-000037570000}"/>
    <cellStyle name="Comma 3 4 7 4" xfId="22064" xr:uid="{00000000-0005-0000-0000-000038570000}"/>
    <cellStyle name="Comma 3 4 8" xfId="5705" xr:uid="{00000000-0005-0000-0000-000039570000}"/>
    <cellStyle name="Comma 3 4 8 2" xfId="14005" xr:uid="{00000000-0005-0000-0000-00003A570000}"/>
    <cellStyle name="Comma 3 4 8 2 2" xfId="27554" xr:uid="{00000000-0005-0000-0000-00003B570000}"/>
    <cellStyle name="Comma 3 4 8 3" xfId="22062" xr:uid="{00000000-0005-0000-0000-00003C570000}"/>
    <cellStyle name="Comma 3 4 9" xfId="5706" xr:uid="{00000000-0005-0000-0000-00003D570000}"/>
    <cellStyle name="Comma 3 4 9 2" xfId="15891" xr:uid="{00000000-0005-0000-0000-00003E570000}"/>
    <cellStyle name="Comma 3 4 9 2 2" xfId="29298" xr:uid="{00000000-0005-0000-0000-00003F570000}"/>
    <cellStyle name="Comma 3 4 9 3" xfId="22061" xr:uid="{00000000-0005-0000-0000-000040570000}"/>
    <cellStyle name="Comma 3 5" xfId="5707" xr:uid="{00000000-0005-0000-0000-000041570000}"/>
    <cellStyle name="Comma 3 5 10" xfId="9798" xr:uid="{00000000-0005-0000-0000-000042570000}"/>
    <cellStyle name="Comma 3 5 11" xfId="22060" xr:uid="{00000000-0005-0000-0000-000043570000}"/>
    <cellStyle name="Comma 3 5 2" xfId="5708" xr:uid="{00000000-0005-0000-0000-000044570000}"/>
    <cellStyle name="Comma 3 5 2 2" xfId="5709" xr:uid="{00000000-0005-0000-0000-000045570000}"/>
    <cellStyle name="Comma 3 5 2 2 2" xfId="5710" xr:uid="{00000000-0005-0000-0000-000046570000}"/>
    <cellStyle name="Comma 3 5 2 2 2 2" xfId="5711" xr:uid="{00000000-0005-0000-0000-000047570000}"/>
    <cellStyle name="Comma 3 5 2 2 2 2 2" xfId="11343" xr:uid="{00000000-0005-0000-0000-000048570000}"/>
    <cellStyle name="Comma 3 5 2 2 2 2 3" xfId="22056" xr:uid="{00000000-0005-0000-0000-000049570000}"/>
    <cellStyle name="Comma 3 5 2 2 2 3" xfId="5712" xr:uid="{00000000-0005-0000-0000-00004A570000}"/>
    <cellStyle name="Comma 3 5 2 2 2 3 2" xfId="16887" xr:uid="{00000000-0005-0000-0000-00004B570000}"/>
    <cellStyle name="Comma 3 5 2 2 2 3 2 2" xfId="30294" xr:uid="{00000000-0005-0000-0000-00004C570000}"/>
    <cellStyle name="Comma 3 5 2 2 2 3 3" xfId="22055" xr:uid="{00000000-0005-0000-0000-00004D570000}"/>
    <cellStyle name="Comma 3 5 2 2 2 4" xfId="9801" xr:uid="{00000000-0005-0000-0000-00004E570000}"/>
    <cellStyle name="Comma 3 5 2 2 2 5" xfId="22057" xr:uid="{00000000-0005-0000-0000-00004F570000}"/>
    <cellStyle name="Comma 3 5 2 2 3" xfId="5713" xr:uid="{00000000-0005-0000-0000-000050570000}"/>
    <cellStyle name="Comma 3 5 2 2 3 2" xfId="5714" xr:uid="{00000000-0005-0000-0000-000051570000}"/>
    <cellStyle name="Comma 3 5 2 2 3 2 2" xfId="13143" xr:uid="{00000000-0005-0000-0000-000052570000}"/>
    <cellStyle name="Comma 3 5 2 2 3 2 3" xfId="22053" xr:uid="{00000000-0005-0000-0000-000053570000}"/>
    <cellStyle name="Comma 3 5 2 2 3 3" xfId="12275" xr:uid="{00000000-0005-0000-0000-000054570000}"/>
    <cellStyle name="Comma 3 5 2 2 3 3 2" xfId="25987" xr:uid="{00000000-0005-0000-0000-000055570000}"/>
    <cellStyle name="Comma 3 5 2 2 3 4" xfId="22054" xr:uid="{00000000-0005-0000-0000-000056570000}"/>
    <cellStyle name="Comma 3 5 2 2 4" xfId="5715" xr:uid="{00000000-0005-0000-0000-000057570000}"/>
    <cellStyle name="Comma 3 5 2 2 4 2" xfId="5716" xr:uid="{00000000-0005-0000-0000-000058570000}"/>
    <cellStyle name="Comma 3 5 2 2 4 2 2" xfId="15612" xr:uid="{00000000-0005-0000-0000-000059570000}"/>
    <cellStyle name="Comma 3 5 2 2 4 2 3" xfId="22051" xr:uid="{00000000-0005-0000-0000-00005A570000}"/>
    <cellStyle name="Comma 3 5 2 2 4 3" xfId="13839" xr:uid="{00000000-0005-0000-0000-00005B570000}"/>
    <cellStyle name="Comma 3 5 2 2 4 3 2" xfId="27388" xr:uid="{00000000-0005-0000-0000-00005C570000}"/>
    <cellStyle name="Comma 3 5 2 2 4 4" xfId="22052" xr:uid="{00000000-0005-0000-0000-00005D570000}"/>
    <cellStyle name="Comma 3 5 2 2 5" xfId="5717" xr:uid="{00000000-0005-0000-0000-00005E570000}"/>
    <cellStyle name="Comma 3 5 2 2 5 2" xfId="14420" xr:uid="{00000000-0005-0000-0000-00005F570000}"/>
    <cellStyle name="Comma 3 5 2 2 5 2 2" xfId="27969" xr:uid="{00000000-0005-0000-0000-000060570000}"/>
    <cellStyle name="Comma 3 5 2 2 5 3" xfId="22050" xr:uid="{00000000-0005-0000-0000-000061570000}"/>
    <cellStyle name="Comma 3 5 2 2 6" xfId="5718" xr:uid="{00000000-0005-0000-0000-000062570000}"/>
    <cellStyle name="Comma 3 5 2 2 6 2" xfId="16306" xr:uid="{00000000-0005-0000-0000-000063570000}"/>
    <cellStyle name="Comma 3 5 2 2 6 2 2" xfId="29713" xr:uid="{00000000-0005-0000-0000-000064570000}"/>
    <cellStyle name="Comma 3 5 2 2 6 3" xfId="22049" xr:uid="{00000000-0005-0000-0000-000065570000}"/>
    <cellStyle name="Comma 3 5 2 2 7" xfId="9800" xr:uid="{00000000-0005-0000-0000-000066570000}"/>
    <cellStyle name="Comma 3 5 2 2 8" xfId="22058" xr:uid="{00000000-0005-0000-0000-000067570000}"/>
    <cellStyle name="Comma 3 5 2 3" xfId="5719" xr:uid="{00000000-0005-0000-0000-000068570000}"/>
    <cellStyle name="Comma 3 5 2 3 2" xfId="5720" xr:uid="{00000000-0005-0000-0000-000069570000}"/>
    <cellStyle name="Comma 3 5 2 3 2 2" xfId="11344" xr:uid="{00000000-0005-0000-0000-00006A570000}"/>
    <cellStyle name="Comma 3 5 2 3 2 3" xfId="22047" xr:uid="{00000000-0005-0000-0000-00006B570000}"/>
    <cellStyle name="Comma 3 5 2 3 3" xfId="5721" xr:uid="{00000000-0005-0000-0000-00006C570000}"/>
    <cellStyle name="Comma 3 5 2 3 3 2" xfId="16598" xr:uid="{00000000-0005-0000-0000-00006D570000}"/>
    <cellStyle name="Comma 3 5 2 3 3 2 2" xfId="30005" xr:uid="{00000000-0005-0000-0000-00006E570000}"/>
    <cellStyle name="Comma 3 5 2 3 3 3" xfId="22046" xr:uid="{00000000-0005-0000-0000-00006F570000}"/>
    <cellStyle name="Comma 3 5 2 3 4" xfId="9802" xr:uid="{00000000-0005-0000-0000-000070570000}"/>
    <cellStyle name="Comma 3 5 2 3 5" xfId="22048" xr:uid="{00000000-0005-0000-0000-000071570000}"/>
    <cellStyle name="Comma 3 5 2 4" xfId="5722" xr:uid="{00000000-0005-0000-0000-000072570000}"/>
    <cellStyle name="Comma 3 5 2 4 2" xfId="5723" xr:uid="{00000000-0005-0000-0000-000073570000}"/>
    <cellStyle name="Comma 3 5 2 4 2 2" xfId="13144" xr:uid="{00000000-0005-0000-0000-000074570000}"/>
    <cellStyle name="Comma 3 5 2 4 2 3" xfId="22044" xr:uid="{00000000-0005-0000-0000-000075570000}"/>
    <cellStyle name="Comma 3 5 2 4 3" xfId="11975" xr:uid="{00000000-0005-0000-0000-000076570000}"/>
    <cellStyle name="Comma 3 5 2 4 3 2" xfId="25690" xr:uid="{00000000-0005-0000-0000-000077570000}"/>
    <cellStyle name="Comma 3 5 2 4 4" xfId="22045" xr:uid="{00000000-0005-0000-0000-000078570000}"/>
    <cellStyle name="Comma 3 5 2 5" xfId="5724" xr:uid="{00000000-0005-0000-0000-000079570000}"/>
    <cellStyle name="Comma 3 5 2 5 2" xfId="5725" xr:uid="{00000000-0005-0000-0000-00007A570000}"/>
    <cellStyle name="Comma 3 5 2 5 2 2" xfId="15613" xr:uid="{00000000-0005-0000-0000-00007B570000}"/>
    <cellStyle name="Comma 3 5 2 5 2 3" xfId="22042" xr:uid="{00000000-0005-0000-0000-00007C570000}"/>
    <cellStyle name="Comma 3 5 2 5 3" xfId="13550" xr:uid="{00000000-0005-0000-0000-00007D570000}"/>
    <cellStyle name="Comma 3 5 2 5 3 2" xfId="27099" xr:uid="{00000000-0005-0000-0000-00007E570000}"/>
    <cellStyle name="Comma 3 5 2 5 4" xfId="22043" xr:uid="{00000000-0005-0000-0000-00007F570000}"/>
    <cellStyle name="Comma 3 5 2 6" xfId="5726" xr:uid="{00000000-0005-0000-0000-000080570000}"/>
    <cellStyle name="Comma 3 5 2 6 2" xfId="14131" xr:uid="{00000000-0005-0000-0000-000081570000}"/>
    <cellStyle name="Comma 3 5 2 6 2 2" xfId="27680" xr:uid="{00000000-0005-0000-0000-000082570000}"/>
    <cellStyle name="Comma 3 5 2 6 3" xfId="22041" xr:uid="{00000000-0005-0000-0000-000083570000}"/>
    <cellStyle name="Comma 3 5 2 7" xfId="5727" xr:uid="{00000000-0005-0000-0000-000084570000}"/>
    <cellStyle name="Comma 3 5 2 7 2" xfId="16017" xr:uid="{00000000-0005-0000-0000-000085570000}"/>
    <cellStyle name="Comma 3 5 2 7 2 2" xfId="29424" xr:uid="{00000000-0005-0000-0000-000086570000}"/>
    <cellStyle name="Comma 3 5 2 7 3" xfId="22040" xr:uid="{00000000-0005-0000-0000-000087570000}"/>
    <cellStyle name="Comma 3 5 2 8" xfId="9799" xr:uid="{00000000-0005-0000-0000-000088570000}"/>
    <cellStyle name="Comma 3 5 2 9" xfId="22059" xr:uid="{00000000-0005-0000-0000-000089570000}"/>
    <cellStyle name="Comma 3 5 3" xfId="5728" xr:uid="{00000000-0005-0000-0000-00008A570000}"/>
    <cellStyle name="Comma 3 5 3 2" xfId="5729" xr:uid="{00000000-0005-0000-0000-00008B570000}"/>
    <cellStyle name="Comma 3 5 3 2 2" xfId="5730" xr:uid="{00000000-0005-0000-0000-00008C570000}"/>
    <cellStyle name="Comma 3 5 3 2 2 2" xfId="11345" xr:uid="{00000000-0005-0000-0000-00008D570000}"/>
    <cellStyle name="Comma 3 5 3 2 2 3" xfId="22037" xr:uid="{00000000-0005-0000-0000-00008E570000}"/>
    <cellStyle name="Comma 3 5 3 2 3" xfId="5731" xr:uid="{00000000-0005-0000-0000-00008F570000}"/>
    <cellStyle name="Comma 3 5 3 2 3 2" xfId="16747" xr:uid="{00000000-0005-0000-0000-000090570000}"/>
    <cellStyle name="Comma 3 5 3 2 3 2 2" xfId="30154" xr:uid="{00000000-0005-0000-0000-000091570000}"/>
    <cellStyle name="Comma 3 5 3 2 3 3" xfId="22036" xr:uid="{00000000-0005-0000-0000-000092570000}"/>
    <cellStyle name="Comma 3 5 3 2 4" xfId="9804" xr:uid="{00000000-0005-0000-0000-000093570000}"/>
    <cellStyle name="Comma 3 5 3 2 5" xfId="22038" xr:uid="{00000000-0005-0000-0000-000094570000}"/>
    <cellStyle name="Comma 3 5 3 3" xfId="5732" xr:uid="{00000000-0005-0000-0000-000095570000}"/>
    <cellStyle name="Comma 3 5 3 3 2" xfId="5733" xr:uid="{00000000-0005-0000-0000-000096570000}"/>
    <cellStyle name="Comma 3 5 3 3 2 2" xfId="13145" xr:uid="{00000000-0005-0000-0000-000097570000}"/>
    <cellStyle name="Comma 3 5 3 3 2 3" xfId="22034" xr:uid="{00000000-0005-0000-0000-000098570000}"/>
    <cellStyle name="Comma 3 5 3 3 3" xfId="12135" xr:uid="{00000000-0005-0000-0000-000099570000}"/>
    <cellStyle name="Comma 3 5 3 3 3 2" xfId="25847" xr:uid="{00000000-0005-0000-0000-00009A570000}"/>
    <cellStyle name="Comma 3 5 3 3 4" xfId="22035" xr:uid="{00000000-0005-0000-0000-00009B570000}"/>
    <cellStyle name="Comma 3 5 3 4" xfId="5734" xr:uid="{00000000-0005-0000-0000-00009C570000}"/>
    <cellStyle name="Comma 3 5 3 4 2" xfId="5735" xr:uid="{00000000-0005-0000-0000-00009D570000}"/>
    <cellStyle name="Comma 3 5 3 4 2 2" xfId="15614" xr:uid="{00000000-0005-0000-0000-00009E570000}"/>
    <cellStyle name="Comma 3 5 3 4 2 3" xfId="22032" xr:uid="{00000000-0005-0000-0000-00009F570000}"/>
    <cellStyle name="Comma 3 5 3 4 3" xfId="13699" xr:uid="{00000000-0005-0000-0000-0000A0570000}"/>
    <cellStyle name="Comma 3 5 3 4 3 2" xfId="27248" xr:uid="{00000000-0005-0000-0000-0000A1570000}"/>
    <cellStyle name="Comma 3 5 3 4 4" xfId="22033" xr:uid="{00000000-0005-0000-0000-0000A2570000}"/>
    <cellStyle name="Comma 3 5 3 5" xfId="5736" xr:uid="{00000000-0005-0000-0000-0000A3570000}"/>
    <cellStyle name="Comma 3 5 3 5 2" xfId="14280" xr:uid="{00000000-0005-0000-0000-0000A4570000}"/>
    <cellStyle name="Comma 3 5 3 5 2 2" xfId="27829" xr:uid="{00000000-0005-0000-0000-0000A5570000}"/>
    <cellStyle name="Comma 3 5 3 5 3" xfId="22031" xr:uid="{00000000-0005-0000-0000-0000A6570000}"/>
    <cellStyle name="Comma 3 5 3 6" xfId="5737" xr:uid="{00000000-0005-0000-0000-0000A7570000}"/>
    <cellStyle name="Comma 3 5 3 6 2" xfId="16166" xr:uid="{00000000-0005-0000-0000-0000A8570000}"/>
    <cellStyle name="Comma 3 5 3 6 2 2" xfId="29573" xr:uid="{00000000-0005-0000-0000-0000A9570000}"/>
    <cellStyle name="Comma 3 5 3 6 3" xfId="22030" xr:uid="{00000000-0005-0000-0000-0000AA570000}"/>
    <cellStyle name="Comma 3 5 3 7" xfId="9803" xr:uid="{00000000-0005-0000-0000-0000AB570000}"/>
    <cellStyle name="Comma 3 5 3 8" xfId="22039" xr:uid="{00000000-0005-0000-0000-0000AC570000}"/>
    <cellStyle name="Comma 3 5 4" xfId="5738" xr:uid="{00000000-0005-0000-0000-0000AD570000}"/>
    <cellStyle name="Comma 3 5 4 2" xfId="5739" xr:uid="{00000000-0005-0000-0000-0000AE570000}"/>
    <cellStyle name="Comma 3 5 4 2 2" xfId="16455" xr:uid="{00000000-0005-0000-0000-0000AF570000}"/>
    <cellStyle name="Comma 3 5 4 2 2 2" xfId="29862" xr:uid="{00000000-0005-0000-0000-0000B0570000}"/>
    <cellStyle name="Comma 3 5 4 2 3" xfId="22028" xr:uid="{00000000-0005-0000-0000-0000B1570000}"/>
    <cellStyle name="Comma 3 5 4 3" xfId="9805" xr:uid="{00000000-0005-0000-0000-0000B2570000}"/>
    <cellStyle name="Comma 3 5 4 4" xfId="22029" xr:uid="{00000000-0005-0000-0000-0000B3570000}"/>
    <cellStyle name="Comma 3 5 5" xfId="5740" xr:uid="{00000000-0005-0000-0000-0000B4570000}"/>
    <cellStyle name="Comma 3 5 5 2" xfId="5741" xr:uid="{00000000-0005-0000-0000-0000B5570000}"/>
    <cellStyle name="Comma 3 5 5 2 2" xfId="11346" xr:uid="{00000000-0005-0000-0000-0000B6570000}"/>
    <cellStyle name="Comma 3 5 5 2 3" xfId="22026" xr:uid="{00000000-0005-0000-0000-0000B7570000}"/>
    <cellStyle name="Comma 3 5 5 3" xfId="9806" xr:uid="{00000000-0005-0000-0000-0000B8570000}"/>
    <cellStyle name="Comma 3 5 5 4" xfId="22027" xr:uid="{00000000-0005-0000-0000-0000B9570000}"/>
    <cellStyle name="Comma 3 5 6" xfId="5742" xr:uid="{00000000-0005-0000-0000-0000BA570000}"/>
    <cellStyle name="Comma 3 5 6 2" xfId="5743" xr:uid="{00000000-0005-0000-0000-0000BB570000}"/>
    <cellStyle name="Comma 3 5 6 2 2" xfId="13146" xr:uid="{00000000-0005-0000-0000-0000BC570000}"/>
    <cellStyle name="Comma 3 5 6 2 3" xfId="22024" xr:uid="{00000000-0005-0000-0000-0000BD570000}"/>
    <cellStyle name="Comma 3 5 6 3" xfId="11806" xr:uid="{00000000-0005-0000-0000-0000BE570000}"/>
    <cellStyle name="Comma 3 5 6 3 2" xfId="25521" xr:uid="{00000000-0005-0000-0000-0000BF570000}"/>
    <cellStyle name="Comma 3 5 6 4" xfId="22025" xr:uid="{00000000-0005-0000-0000-0000C0570000}"/>
    <cellStyle name="Comma 3 5 7" xfId="5744" xr:uid="{00000000-0005-0000-0000-0000C1570000}"/>
    <cellStyle name="Comma 3 5 7 2" xfId="5745" xr:uid="{00000000-0005-0000-0000-0000C2570000}"/>
    <cellStyle name="Comma 3 5 7 2 2" xfId="15615" xr:uid="{00000000-0005-0000-0000-0000C3570000}"/>
    <cellStyle name="Comma 3 5 7 2 3" xfId="22022" xr:uid="{00000000-0005-0000-0000-0000C4570000}"/>
    <cellStyle name="Comma 3 5 7 3" xfId="13407" xr:uid="{00000000-0005-0000-0000-0000C5570000}"/>
    <cellStyle name="Comma 3 5 7 3 2" xfId="26956" xr:uid="{00000000-0005-0000-0000-0000C6570000}"/>
    <cellStyle name="Comma 3 5 7 4" xfId="22023" xr:uid="{00000000-0005-0000-0000-0000C7570000}"/>
    <cellStyle name="Comma 3 5 8" xfId="5746" xr:uid="{00000000-0005-0000-0000-0000C8570000}"/>
    <cellStyle name="Comma 3 5 8 2" xfId="13988" xr:uid="{00000000-0005-0000-0000-0000C9570000}"/>
    <cellStyle name="Comma 3 5 8 2 2" xfId="27537" xr:uid="{00000000-0005-0000-0000-0000CA570000}"/>
    <cellStyle name="Comma 3 5 8 3" xfId="22021" xr:uid="{00000000-0005-0000-0000-0000CB570000}"/>
    <cellStyle name="Comma 3 5 9" xfId="5747" xr:uid="{00000000-0005-0000-0000-0000CC570000}"/>
    <cellStyle name="Comma 3 5 9 2" xfId="15874" xr:uid="{00000000-0005-0000-0000-0000CD570000}"/>
    <cellStyle name="Comma 3 5 9 2 2" xfId="29281" xr:uid="{00000000-0005-0000-0000-0000CE570000}"/>
    <cellStyle name="Comma 3 5 9 3" xfId="22020" xr:uid="{00000000-0005-0000-0000-0000CF570000}"/>
    <cellStyle name="Comma 3 6" xfId="5748" xr:uid="{00000000-0005-0000-0000-0000D0570000}"/>
    <cellStyle name="Comma 3 6 10" xfId="9807" xr:uid="{00000000-0005-0000-0000-0000D1570000}"/>
    <cellStyle name="Comma 3 6 11" xfId="22019" xr:uid="{00000000-0005-0000-0000-0000D2570000}"/>
    <cellStyle name="Comma 3 6 2" xfId="5749" xr:uid="{00000000-0005-0000-0000-0000D3570000}"/>
    <cellStyle name="Comma 3 6 2 2" xfId="5750" xr:uid="{00000000-0005-0000-0000-0000D4570000}"/>
    <cellStyle name="Comma 3 6 2 2 2" xfId="5751" xr:uid="{00000000-0005-0000-0000-0000D5570000}"/>
    <cellStyle name="Comma 3 6 2 2 2 2" xfId="5752" xr:uid="{00000000-0005-0000-0000-0000D6570000}"/>
    <cellStyle name="Comma 3 6 2 2 2 2 2" xfId="11347" xr:uid="{00000000-0005-0000-0000-0000D7570000}"/>
    <cellStyle name="Comma 3 6 2 2 2 2 3" xfId="22015" xr:uid="{00000000-0005-0000-0000-0000D8570000}"/>
    <cellStyle name="Comma 3 6 2 2 2 3" xfId="5753" xr:uid="{00000000-0005-0000-0000-0000D9570000}"/>
    <cellStyle name="Comma 3 6 2 2 2 3 2" xfId="16993" xr:uid="{00000000-0005-0000-0000-0000DA570000}"/>
    <cellStyle name="Comma 3 6 2 2 2 3 2 2" xfId="30400" xr:uid="{00000000-0005-0000-0000-0000DB570000}"/>
    <cellStyle name="Comma 3 6 2 2 2 3 3" xfId="22014" xr:uid="{00000000-0005-0000-0000-0000DC570000}"/>
    <cellStyle name="Comma 3 6 2 2 2 4" xfId="9810" xr:uid="{00000000-0005-0000-0000-0000DD570000}"/>
    <cellStyle name="Comma 3 6 2 2 2 5" xfId="22016" xr:uid="{00000000-0005-0000-0000-0000DE570000}"/>
    <cellStyle name="Comma 3 6 2 2 3" xfId="5754" xr:uid="{00000000-0005-0000-0000-0000DF570000}"/>
    <cellStyle name="Comma 3 6 2 2 3 2" xfId="5755" xr:uid="{00000000-0005-0000-0000-0000E0570000}"/>
    <cellStyle name="Comma 3 6 2 2 3 2 2" xfId="13147" xr:uid="{00000000-0005-0000-0000-0000E1570000}"/>
    <cellStyle name="Comma 3 6 2 2 3 2 3" xfId="22012" xr:uid="{00000000-0005-0000-0000-0000E2570000}"/>
    <cellStyle name="Comma 3 6 2 2 3 3" xfId="12381" xr:uid="{00000000-0005-0000-0000-0000E3570000}"/>
    <cellStyle name="Comma 3 6 2 2 3 3 2" xfId="26093" xr:uid="{00000000-0005-0000-0000-0000E4570000}"/>
    <cellStyle name="Comma 3 6 2 2 3 4" xfId="22013" xr:uid="{00000000-0005-0000-0000-0000E5570000}"/>
    <cellStyle name="Comma 3 6 2 2 4" xfId="5756" xr:uid="{00000000-0005-0000-0000-0000E6570000}"/>
    <cellStyle name="Comma 3 6 2 2 4 2" xfId="5757" xr:uid="{00000000-0005-0000-0000-0000E7570000}"/>
    <cellStyle name="Comma 3 6 2 2 4 2 2" xfId="15616" xr:uid="{00000000-0005-0000-0000-0000E8570000}"/>
    <cellStyle name="Comma 3 6 2 2 4 2 3" xfId="22010" xr:uid="{00000000-0005-0000-0000-0000E9570000}"/>
    <cellStyle name="Comma 3 6 2 2 4 3" xfId="13945" xr:uid="{00000000-0005-0000-0000-0000EA570000}"/>
    <cellStyle name="Comma 3 6 2 2 4 3 2" xfId="27494" xr:uid="{00000000-0005-0000-0000-0000EB570000}"/>
    <cellStyle name="Comma 3 6 2 2 4 4" xfId="22011" xr:uid="{00000000-0005-0000-0000-0000EC570000}"/>
    <cellStyle name="Comma 3 6 2 2 5" xfId="5758" xr:uid="{00000000-0005-0000-0000-0000ED570000}"/>
    <cellStyle name="Comma 3 6 2 2 5 2" xfId="14526" xr:uid="{00000000-0005-0000-0000-0000EE570000}"/>
    <cellStyle name="Comma 3 6 2 2 5 2 2" xfId="28075" xr:uid="{00000000-0005-0000-0000-0000EF570000}"/>
    <cellStyle name="Comma 3 6 2 2 5 3" xfId="22009" xr:uid="{00000000-0005-0000-0000-0000F0570000}"/>
    <cellStyle name="Comma 3 6 2 2 6" xfId="5759" xr:uid="{00000000-0005-0000-0000-0000F1570000}"/>
    <cellStyle name="Comma 3 6 2 2 6 2" xfId="16412" xr:uid="{00000000-0005-0000-0000-0000F2570000}"/>
    <cellStyle name="Comma 3 6 2 2 6 2 2" xfId="29819" xr:uid="{00000000-0005-0000-0000-0000F3570000}"/>
    <cellStyle name="Comma 3 6 2 2 6 3" xfId="22008" xr:uid="{00000000-0005-0000-0000-0000F4570000}"/>
    <cellStyle name="Comma 3 6 2 2 7" xfId="9809" xr:uid="{00000000-0005-0000-0000-0000F5570000}"/>
    <cellStyle name="Comma 3 6 2 2 8" xfId="22017" xr:uid="{00000000-0005-0000-0000-0000F6570000}"/>
    <cellStyle name="Comma 3 6 2 3" xfId="5760" xr:uid="{00000000-0005-0000-0000-0000F7570000}"/>
    <cellStyle name="Comma 3 6 2 3 2" xfId="5761" xr:uid="{00000000-0005-0000-0000-0000F8570000}"/>
    <cellStyle name="Comma 3 6 2 3 2 2" xfId="11348" xr:uid="{00000000-0005-0000-0000-0000F9570000}"/>
    <cellStyle name="Comma 3 6 2 3 2 3" xfId="22006" xr:uid="{00000000-0005-0000-0000-0000FA570000}"/>
    <cellStyle name="Comma 3 6 2 3 3" xfId="5762" xr:uid="{00000000-0005-0000-0000-0000FB570000}"/>
    <cellStyle name="Comma 3 6 2 3 3 2" xfId="16704" xr:uid="{00000000-0005-0000-0000-0000FC570000}"/>
    <cellStyle name="Comma 3 6 2 3 3 2 2" xfId="30111" xr:uid="{00000000-0005-0000-0000-0000FD570000}"/>
    <cellStyle name="Comma 3 6 2 3 3 3" xfId="22005" xr:uid="{00000000-0005-0000-0000-0000FE570000}"/>
    <cellStyle name="Comma 3 6 2 3 4" xfId="9811" xr:uid="{00000000-0005-0000-0000-0000FF570000}"/>
    <cellStyle name="Comma 3 6 2 3 5" xfId="22007" xr:uid="{00000000-0005-0000-0000-000000580000}"/>
    <cellStyle name="Comma 3 6 2 4" xfId="5763" xr:uid="{00000000-0005-0000-0000-000001580000}"/>
    <cellStyle name="Comma 3 6 2 4 2" xfId="5764" xr:uid="{00000000-0005-0000-0000-000002580000}"/>
    <cellStyle name="Comma 3 6 2 4 2 2" xfId="13148" xr:uid="{00000000-0005-0000-0000-000003580000}"/>
    <cellStyle name="Comma 3 6 2 4 2 3" xfId="22003" xr:uid="{00000000-0005-0000-0000-000004580000}"/>
    <cellStyle name="Comma 3 6 2 4 3" xfId="12081" xr:uid="{00000000-0005-0000-0000-000005580000}"/>
    <cellStyle name="Comma 3 6 2 4 3 2" xfId="25796" xr:uid="{00000000-0005-0000-0000-000006580000}"/>
    <cellStyle name="Comma 3 6 2 4 4" xfId="22004" xr:uid="{00000000-0005-0000-0000-000007580000}"/>
    <cellStyle name="Comma 3 6 2 5" xfId="5765" xr:uid="{00000000-0005-0000-0000-000008580000}"/>
    <cellStyle name="Comma 3 6 2 5 2" xfId="5766" xr:uid="{00000000-0005-0000-0000-000009580000}"/>
    <cellStyle name="Comma 3 6 2 5 2 2" xfId="15617" xr:uid="{00000000-0005-0000-0000-00000A580000}"/>
    <cellStyle name="Comma 3 6 2 5 2 3" xfId="22001" xr:uid="{00000000-0005-0000-0000-00000B580000}"/>
    <cellStyle name="Comma 3 6 2 5 3" xfId="13656" xr:uid="{00000000-0005-0000-0000-00000C580000}"/>
    <cellStyle name="Comma 3 6 2 5 3 2" xfId="27205" xr:uid="{00000000-0005-0000-0000-00000D580000}"/>
    <cellStyle name="Comma 3 6 2 5 4" xfId="22002" xr:uid="{00000000-0005-0000-0000-00000E580000}"/>
    <cellStyle name="Comma 3 6 2 6" xfId="5767" xr:uid="{00000000-0005-0000-0000-00000F580000}"/>
    <cellStyle name="Comma 3 6 2 6 2" xfId="14237" xr:uid="{00000000-0005-0000-0000-000010580000}"/>
    <cellStyle name="Comma 3 6 2 6 2 2" xfId="27786" xr:uid="{00000000-0005-0000-0000-000011580000}"/>
    <cellStyle name="Comma 3 6 2 6 3" xfId="22000" xr:uid="{00000000-0005-0000-0000-000012580000}"/>
    <cellStyle name="Comma 3 6 2 7" xfId="5768" xr:uid="{00000000-0005-0000-0000-000013580000}"/>
    <cellStyle name="Comma 3 6 2 7 2" xfId="16123" xr:uid="{00000000-0005-0000-0000-000014580000}"/>
    <cellStyle name="Comma 3 6 2 7 2 2" xfId="29530" xr:uid="{00000000-0005-0000-0000-000015580000}"/>
    <cellStyle name="Comma 3 6 2 7 3" xfId="21999" xr:uid="{00000000-0005-0000-0000-000016580000}"/>
    <cellStyle name="Comma 3 6 2 8" xfId="9808" xr:uid="{00000000-0005-0000-0000-000017580000}"/>
    <cellStyle name="Comma 3 6 2 9" xfId="22018" xr:uid="{00000000-0005-0000-0000-000018580000}"/>
    <cellStyle name="Comma 3 6 3" xfId="5769" xr:uid="{00000000-0005-0000-0000-000019580000}"/>
    <cellStyle name="Comma 3 6 3 2" xfId="5770" xr:uid="{00000000-0005-0000-0000-00001A580000}"/>
    <cellStyle name="Comma 3 6 3 2 2" xfId="5771" xr:uid="{00000000-0005-0000-0000-00001B580000}"/>
    <cellStyle name="Comma 3 6 3 2 2 2" xfId="11349" xr:uid="{00000000-0005-0000-0000-00001C580000}"/>
    <cellStyle name="Comma 3 6 3 2 2 3" xfId="21996" xr:uid="{00000000-0005-0000-0000-00001D580000}"/>
    <cellStyle name="Comma 3 6 3 2 3" xfId="5772" xr:uid="{00000000-0005-0000-0000-00001E580000}"/>
    <cellStyle name="Comma 3 6 3 2 3 2" xfId="16850" xr:uid="{00000000-0005-0000-0000-00001F580000}"/>
    <cellStyle name="Comma 3 6 3 2 3 2 2" xfId="30257" xr:uid="{00000000-0005-0000-0000-000020580000}"/>
    <cellStyle name="Comma 3 6 3 2 3 3" xfId="21995" xr:uid="{00000000-0005-0000-0000-000021580000}"/>
    <cellStyle name="Comma 3 6 3 2 4" xfId="9813" xr:uid="{00000000-0005-0000-0000-000022580000}"/>
    <cellStyle name="Comma 3 6 3 2 5" xfId="21997" xr:uid="{00000000-0005-0000-0000-000023580000}"/>
    <cellStyle name="Comma 3 6 3 3" xfId="5773" xr:uid="{00000000-0005-0000-0000-000024580000}"/>
    <cellStyle name="Comma 3 6 3 3 2" xfId="5774" xr:uid="{00000000-0005-0000-0000-000025580000}"/>
    <cellStyle name="Comma 3 6 3 3 2 2" xfId="13149" xr:uid="{00000000-0005-0000-0000-000026580000}"/>
    <cellStyle name="Comma 3 6 3 3 2 3" xfId="21993" xr:uid="{00000000-0005-0000-0000-000027580000}"/>
    <cellStyle name="Comma 3 6 3 3 3" xfId="12238" xr:uid="{00000000-0005-0000-0000-000028580000}"/>
    <cellStyle name="Comma 3 6 3 3 3 2" xfId="25950" xr:uid="{00000000-0005-0000-0000-000029580000}"/>
    <cellStyle name="Comma 3 6 3 3 4" xfId="21994" xr:uid="{00000000-0005-0000-0000-00002A580000}"/>
    <cellStyle name="Comma 3 6 3 4" xfId="5775" xr:uid="{00000000-0005-0000-0000-00002B580000}"/>
    <cellStyle name="Comma 3 6 3 4 2" xfId="5776" xr:uid="{00000000-0005-0000-0000-00002C580000}"/>
    <cellStyle name="Comma 3 6 3 4 2 2" xfId="15618" xr:uid="{00000000-0005-0000-0000-00002D580000}"/>
    <cellStyle name="Comma 3 6 3 4 2 3" xfId="21991" xr:uid="{00000000-0005-0000-0000-00002E580000}"/>
    <cellStyle name="Comma 3 6 3 4 3" xfId="13802" xr:uid="{00000000-0005-0000-0000-00002F580000}"/>
    <cellStyle name="Comma 3 6 3 4 3 2" xfId="27351" xr:uid="{00000000-0005-0000-0000-000030580000}"/>
    <cellStyle name="Comma 3 6 3 4 4" xfId="21992" xr:uid="{00000000-0005-0000-0000-000031580000}"/>
    <cellStyle name="Comma 3 6 3 5" xfId="5777" xr:uid="{00000000-0005-0000-0000-000032580000}"/>
    <cellStyle name="Comma 3 6 3 5 2" xfId="14383" xr:uid="{00000000-0005-0000-0000-000033580000}"/>
    <cellStyle name="Comma 3 6 3 5 2 2" xfId="27932" xr:uid="{00000000-0005-0000-0000-000034580000}"/>
    <cellStyle name="Comma 3 6 3 5 3" xfId="21990" xr:uid="{00000000-0005-0000-0000-000035580000}"/>
    <cellStyle name="Comma 3 6 3 6" xfId="5778" xr:uid="{00000000-0005-0000-0000-000036580000}"/>
    <cellStyle name="Comma 3 6 3 6 2" xfId="16269" xr:uid="{00000000-0005-0000-0000-000037580000}"/>
    <cellStyle name="Comma 3 6 3 6 2 2" xfId="29676" xr:uid="{00000000-0005-0000-0000-000038580000}"/>
    <cellStyle name="Comma 3 6 3 6 3" xfId="21989" xr:uid="{00000000-0005-0000-0000-000039580000}"/>
    <cellStyle name="Comma 3 6 3 7" xfId="9812" xr:uid="{00000000-0005-0000-0000-00003A580000}"/>
    <cellStyle name="Comma 3 6 3 8" xfId="21998" xr:uid="{00000000-0005-0000-0000-00003B580000}"/>
    <cellStyle name="Comma 3 6 4" xfId="5779" xr:uid="{00000000-0005-0000-0000-00003C580000}"/>
    <cellStyle name="Comma 3 6 4 2" xfId="5780" xr:uid="{00000000-0005-0000-0000-00003D580000}"/>
    <cellStyle name="Comma 3 6 4 2 2" xfId="16561" xr:uid="{00000000-0005-0000-0000-00003E580000}"/>
    <cellStyle name="Comma 3 6 4 2 2 2" xfId="29968" xr:uid="{00000000-0005-0000-0000-00003F580000}"/>
    <cellStyle name="Comma 3 6 4 2 3" xfId="21987" xr:uid="{00000000-0005-0000-0000-000040580000}"/>
    <cellStyle name="Comma 3 6 4 3" xfId="9814" xr:uid="{00000000-0005-0000-0000-000041580000}"/>
    <cellStyle name="Comma 3 6 4 4" xfId="21988" xr:uid="{00000000-0005-0000-0000-000042580000}"/>
    <cellStyle name="Comma 3 6 5" xfId="5781" xr:uid="{00000000-0005-0000-0000-000043580000}"/>
    <cellStyle name="Comma 3 6 5 2" xfId="5782" xr:uid="{00000000-0005-0000-0000-000044580000}"/>
    <cellStyle name="Comma 3 6 5 2 2" xfId="11350" xr:uid="{00000000-0005-0000-0000-000045580000}"/>
    <cellStyle name="Comma 3 6 5 2 3" xfId="21985" xr:uid="{00000000-0005-0000-0000-000046580000}"/>
    <cellStyle name="Comma 3 6 5 3" xfId="9815" xr:uid="{00000000-0005-0000-0000-000047580000}"/>
    <cellStyle name="Comma 3 6 5 4" xfId="21986" xr:uid="{00000000-0005-0000-0000-000048580000}"/>
    <cellStyle name="Comma 3 6 6" xfId="5783" xr:uid="{00000000-0005-0000-0000-000049580000}"/>
    <cellStyle name="Comma 3 6 6 2" xfId="5784" xr:uid="{00000000-0005-0000-0000-00004A580000}"/>
    <cellStyle name="Comma 3 6 6 2 2" xfId="13150" xr:uid="{00000000-0005-0000-0000-00004B580000}"/>
    <cellStyle name="Comma 3 6 6 2 3" xfId="21983" xr:uid="{00000000-0005-0000-0000-00004C580000}"/>
    <cellStyle name="Comma 3 6 6 3" xfId="11936" xr:uid="{00000000-0005-0000-0000-00004D580000}"/>
    <cellStyle name="Comma 3 6 6 3 2" xfId="25651" xr:uid="{00000000-0005-0000-0000-00004E580000}"/>
    <cellStyle name="Comma 3 6 6 4" xfId="21984" xr:uid="{00000000-0005-0000-0000-00004F580000}"/>
    <cellStyle name="Comma 3 6 7" xfId="5785" xr:uid="{00000000-0005-0000-0000-000050580000}"/>
    <cellStyle name="Comma 3 6 7 2" xfId="5786" xr:uid="{00000000-0005-0000-0000-000051580000}"/>
    <cellStyle name="Comma 3 6 7 2 2" xfId="15619" xr:uid="{00000000-0005-0000-0000-000052580000}"/>
    <cellStyle name="Comma 3 6 7 2 3" xfId="21981" xr:uid="{00000000-0005-0000-0000-000053580000}"/>
    <cellStyle name="Comma 3 6 7 3" xfId="13513" xr:uid="{00000000-0005-0000-0000-000054580000}"/>
    <cellStyle name="Comma 3 6 7 3 2" xfId="27062" xr:uid="{00000000-0005-0000-0000-000055580000}"/>
    <cellStyle name="Comma 3 6 7 4" xfId="21982" xr:uid="{00000000-0005-0000-0000-000056580000}"/>
    <cellStyle name="Comma 3 6 8" xfId="5787" xr:uid="{00000000-0005-0000-0000-000057580000}"/>
    <cellStyle name="Comma 3 6 8 2" xfId="14094" xr:uid="{00000000-0005-0000-0000-000058580000}"/>
    <cellStyle name="Comma 3 6 8 2 2" xfId="27643" xr:uid="{00000000-0005-0000-0000-000059580000}"/>
    <cellStyle name="Comma 3 6 8 3" xfId="21980" xr:uid="{00000000-0005-0000-0000-00005A580000}"/>
    <cellStyle name="Comma 3 6 9" xfId="5788" xr:uid="{00000000-0005-0000-0000-00005B580000}"/>
    <cellStyle name="Comma 3 6 9 2" xfId="15980" xr:uid="{00000000-0005-0000-0000-00005C580000}"/>
    <cellStyle name="Comma 3 6 9 2 2" xfId="29387" xr:uid="{00000000-0005-0000-0000-00005D580000}"/>
    <cellStyle name="Comma 3 6 9 3" xfId="21979" xr:uid="{00000000-0005-0000-0000-00005E580000}"/>
    <cellStyle name="Comma 3 7" xfId="5789" xr:uid="{00000000-0005-0000-0000-00005F580000}"/>
    <cellStyle name="Comma 3 7 2" xfId="5790" xr:uid="{00000000-0005-0000-0000-000060580000}"/>
    <cellStyle name="Comma 3 7 2 2" xfId="5791" xr:uid="{00000000-0005-0000-0000-000061580000}"/>
    <cellStyle name="Comma 3 7 2 2 2" xfId="5792" xr:uid="{00000000-0005-0000-0000-000062580000}"/>
    <cellStyle name="Comma 3 7 2 2 2 2" xfId="11351" xr:uid="{00000000-0005-0000-0000-000063580000}"/>
    <cellStyle name="Comma 3 7 2 2 2 3" xfId="21975" xr:uid="{00000000-0005-0000-0000-000064580000}"/>
    <cellStyle name="Comma 3 7 2 2 3" xfId="5793" xr:uid="{00000000-0005-0000-0000-000065580000}"/>
    <cellStyle name="Comma 3 7 2 2 3 2" xfId="16870" xr:uid="{00000000-0005-0000-0000-000066580000}"/>
    <cellStyle name="Comma 3 7 2 2 3 2 2" xfId="30277" xr:uid="{00000000-0005-0000-0000-000067580000}"/>
    <cellStyle name="Comma 3 7 2 2 3 3" xfId="21974" xr:uid="{00000000-0005-0000-0000-000068580000}"/>
    <cellStyle name="Comma 3 7 2 2 4" xfId="9818" xr:uid="{00000000-0005-0000-0000-000069580000}"/>
    <cellStyle name="Comma 3 7 2 2 5" xfId="21976" xr:uid="{00000000-0005-0000-0000-00006A580000}"/>
    <cellStyle name="Comma 3 7 2 3" xfId="5794" xr:uid="{00000000-0005-0000-0000-00006B580000}"/>
    <cellStyle name="Comma 3 7 2 3 2" xfId="5795" xr:uid="{00000000-0005-0000-0000-00006C580000}"/>
    <cellStyle name="Comma 3 7 2 3 2 2" xfId="13151" xr:uid="{00000000-0005-0000-0000-00006D580000}"/>
    <cellStyle name="Comma 3 7 2 3 2 3" xfId="21972" xr:uid="{00000000-0005-0000-0000-00006E580000}"/>
    <cellStyle name="Comma 3 7 2 3 3" xfId="12258" xr:uid="{00000000-0005-0000-0000-00006F580000}"/>
    <cellStyle name="Comma 3 7 2 3 3 2" xfId="25970" xr:uid="{00000000-0005-0000-0000-000070580000}"/>
    <cellStyle name="Comma 3 7 2 3 4" xfId="21973" xr:uid="{00000000-0005-0000-0000-000071580000}"/>
    <cellStyle name="Comma 3 7 2 4" xfId="5796" xr:uid="{00000000-0005-0000-0000-000072580000}"/>
    <cellStyle name="Comma 3 7 2 4 2" xfId="5797" xr:uid="{00000000-0005-0000-0000-000073580000}"/>
    <cellStyle name="Comma 3 7 2 4 2 2" xfId="15620" xr:uid="{00000000-0005-0000-0000-000074580000}"/>
    <cellStyle name="Comma 3 7 2 4 2 3" xfId="21970" xr:uid="{00000000-0005-0000-0000-000075580000}"/>
    <cellStyle name="Comma 3 7 2 4 3" xfId="13822" xr:uid="{00000000-0005-0000-0000-000076580000}"/>
    <cellStyle name="Comma 3 7 2 4 3 2" xfId="27371" xr:uid="{00000000-0005-0000-0000-000077580000}"/>
    <cellStyle name="Comma 3 7 2 4 4" xfId="21971" xr:uid="{00000000-0005-0000-0000-000078580000}"/>
    <cellStyle name="Comma 3 7 2 5" xfId="5798" xr:uid="{00000000-0005-0000-0000-000079580000}"/>
    <cellStyle name="Comma 3 7 2 5 2" xfId="14403" xr:uid="{00000000-0005-0000-0000-00007A580000}"/>
    <cellStyle name="Comma 3 7 2 5 2 2" xfId="27952" xr:uid="{00000000-0005-0000-0000-00007B580000}"/>
    <cellStyle name="Comma 3 7 2 5 3" xfId="21969" xr:uid="{00000000-0005-0000-0000-00007C580000}"/>
    <cellStyle name="Comma 3 7 2 6" xfId="5799" xr:uid="{00000000-0005-0000-0000-00007D580000}"/>
    <cellStyle name="Comma 3 7 2 6 2" xfId="16289" xr:uid="{00000000-0005-0000-0000-00007E580000}"/>
    <cellStyle name="Comma 3 7 2 6 2 2" xfId="29696" xr:uid="{00000000-0005-0000-0000-00007F580000}"/>
    <cellStyle name="Comma 3 7 2 6 3" xfId="21968" xr:uid="{00000000-0005-0000-0000-000080580000}"/>
    <cellStyle name="Comma 3 7 2 7" xfId="9817" xr:uid="{00000000-0005-0000-0000-000081580000}"/>
    <cellStyle name="Comma 3 7 2 8" xfId="21977" xr:uid="{00000000-0005-0000-0000-000082580000}"/>
    <cellStyle name="Comma 3 7 3" xfId="5800" xr:uid="{00000000-0005-0000-0000-000083580000}"/>
    <cellStyle name="Comma 3 7 3 2" xfId="5801" xr:uid="{00000000-0005-0000-0000-000084580000}"/>
    <cellStyle name="Comma 3 7 3 2 2" xfId="11352" xr:uid="{00000000-0005-0000-0000-000085580000}"/>
    <cellStyle name="Comma 3 7 3 2 3" xfId="21966" xr:uid="{00000000-0005-0000-0000-000086580000}"/>
    <cellStyle name="Comma 3 7 3 3" xfId="5802" xr:uid="{00000000-0005-0000-0000-000087580000}"/>
    <cellStyle name="Comma 3 7 3 3 2" xfId="16581" xr:uid="{00000000-0005-0000-0000-000088580000}"/>
    <cellStyle name="Comma 3 7 3 3 2 2" xfId="29988" xr:uid="{00000000-0005-0000-0000-000089580000}"/>
    <cellStyle name="Comma 3 7 3 3 3" xfId="21965" xr:uid="{00000000-0005-0000-0000-00008A580000}"/>
    <cellStyle name="Comma 3 7 3 4" xfId="9819" xr:uid="{00000000-0005-0000-0000-00008B580000}"/>
    <cellStyle name="Comma 3 7 3 5" xfId="21967" xr:uid="{00000000-0005-0000-0000-00008C580000}"/>
    <cellStyle name="Comma 3 7 4" xfId="5803" xr:uid="{00000000-0005-0000-0000-00008D580000}"/>
    <cellStyle name="Comma 3 7 4 2" xfId="5804" xr:uid="{00000000-0005-0000-0000-00008E580000}"/>
    <cellStyle name="Comma 3 7 4 2 2" xfId="13152" xr:uid="{00000000-0005-0000-0000-00008F580000}"/>
    <cellStyle name="Comma 3 7 4 2 3" xfId="21963" xr:uid="{00000000-0005-0000-0000-000090580000}"/>
    <cellStyle name="Comma 3 7 4 3" xfId="11956" xr:uid="{00000000-0005-0000-0000-000091580000}"/>
    <cellStyle name="Comma 3 7 4 3 2" xfId="25671" xr:uid="{00000000-0005-0000-0000-000092580000}"/>
    <cellStyle name="Comma 3 7 4 4" xfId="21964" xr:uid="{00000000-0005-0000-0000-000093580000}"/>
    <cellStyle name="Comma 3 7 5" xfId="5805" xr:uid="{00000000-0005-0000-0000-000094580000}"/>
    <cellStyle name="Comma 3 7 5 2" xfId="5806" xr:uid="{00000000-0005-0000-0000-000095580000}"/>
    <cellStyle name="Comma 3 7 5 2 2" xfId="15621" xr:uid="{00000000-0005-0000-0000-000096580000}"/>
    <cellStyle name="Comma 3 7 5 2 3" xfId="21961" xr:uid="{00000000-0005-0000-0000-000097580000}"/>
    <cellStyle name="Comma 3 7 5 3" xfId="13533" xr:uid="{00000000-0005-0000-0000-000098580000}"/>
    <cellStyle name="Comma 3 7 5 3 2" xfId="27082" xr:uid="{00000000-0005-0000-0000-000099580000}"/>
    <cellStyle name="Comma 3 7 5 4" xfId="21962" xr:uid="{00000000-0005-0000-0000-00009A580000}"/>
    <cellStyle name="Comma 3 7 6" xfId="5807" xr:uid="{00000000-0005-0000-0000-00009B580000}"/>
    <cellStyle name="Comma 3 7 6 2" xfId="14114" xr:uid="{00000000-0005-0000-0000-00009C580000}"/>
    <cellStyle name="Comma 3 7 6 2 2" xfId="27663" xr:uid="{00000000-0005-0000-0000-00009D580000}"/>
    <cellStyle name="Comma 3 7 6 3" xfId="21960" xr:uid="{00000000-0005-0000-0000-00009E580000}"/>
    <cellStyle name="Comma 3 7 7" xfId="5808" xr:uid="{00000000-0005-0000-0000-00009F580000}"/>
    <cellStyle name="Comma 3 7 7 2" xfId="16000" xr:uid="{00000000-0005-0000-0000-0000A0580000}"/>
    <cellStyle name="Comma 3 7 7 2 2" xfId="29407" xr:uid="{00000000-0005-0000-0000-0000A1580000}"/>
    <cellStyle name="Comma 3 7 7 3" xfId="21959" xr:uid="{00000000-0005-0000-0000-0000A2580000}"/>
    <cellStyle name="Comma 3 7 8" xfId="9816" xr:uid="{00000000-0005-0000-0000-0000A3580000}"/>
    <cellStyle name="Comma 3 7 9" xfId="21978" xr:uid="{00000000-0005-0000-0000-0000A4580000}"/>
    <cellStyle name="Comma 3 8" xfId="5809" xr:uid="{00000000-0005-0000-0000-0000A5580000}"/>
    <cellStyle name="Comma 3 8 2" xfId="5810" xr:uid="{00000000-0005-0000-0000-0000A6580000}"/>
    <cellStyle name="Comma 3 8 2 2" xfId="5811" xr:uid="{00000000-0005-0000-0000-0000A7580000}"/>
    <cellStyle name="Comma 3 8 2 2 2" xfId="11353" xr:uid="{00000000-0005-0000-0000-0000A8580000}"/>
    <cellStyle name="Comma 3 8 2 2 3" xfId="21956" xr:uid="{00000000-0005-0000-0000-0000A9580000}"/>
    <cellStyle name="Comma 3 8 2 3" xfId="5812" xr:uid="{00000000-0005-0000-0000-0000AA580000}"/>
    <cellStyle name="Comma 3 8 2 3 2" xfId="16726" xr:uid="{00000000-0005-0000-0000-0000AB580000}"/>
    <cellStyle name="Comma 3 8 2 3 2 2" xfId="30133" xr:uid="{00000000-0005-0000-0000-0000AC580000}"/>
    <cellStyle name="Comma 3 8 2 3 3" xfId="21955" xr:uid="{00000000-0005-0000-0000-0000AD580000}"/>
    <cellStyle name="Comma 3 8 2 4" xfId="9821" xr:uid="{00000000-0005-0000-0000-0000AE580000}"/>
    <cellStyle name="Comma 3 8 2 5" xfId="21957" xr:uid="{00000000-0005-0000-0000-0000AF580000}"/>
    <cellStyle name="Comma 3 8 3" xfId="5813" xr:uid="{00000000-0005-0000-0000-0000B0580000}"/>
    <cellStyle name="Comma 3 8 3 2" xfId="5814" xr:uid="{00000000-0005-0000-0000-0000B1580000}"/>
    <cellStyle name="Comma 3 8 3 2 2" xfId="13153" xr:uid="{00000000-0005-0000-0000-0000B2580000}"/>
    <cellStyle name="Comma 3 8 3 2 3" xfId="21953" xr:uid="{00000000-0005-0000-0000-0000B3580000}"/>
    <cellStyle name="Comma 3 8 3 3" xfId="12108" xr:uid="{00000000-0005-0000-0000-0000B4580000}"/>
    <cellStyle name="Comma 3 8 3 3 2" xfId="25820" xr:uid="{00000000-0005-0000-0000-0000B5580000}"/>
    <cellStyle name="Comma 3 8 3 4" xfId="21954" xr:uid="{00000000-0005-0000-0000-0000B6580000}"/>
    <cellStyle name="Comma 3 8 4" xfId="5815" xr:uid="{00000000-0005-0000-0000-0000B7580000}"/>
    <cellStyle name="Comma 3 8 4 2" xfId="5816" xr:uid="{00000000-0005-0000-0000-0000B8580000}"/>
    <cellStyle name="Comma 3 8 4 2 2" xfId="15622" xr:uid="{00000000-0005-0000-0000-0000B9580000}"/>
    <cellStyle name="Comma 3 8 4 2 3" xfId="21951" xr:uid="{00000000-0005-0000-0000-0000BA580000}"/>
    <cellStyle name="Comma 3 8 4 3" xfId="13678" xr:uid="{00000000-0005-0000-0000-0000BB580000}"/>
    <cellStyle name="Comma 3 8 4 3 2" xfId="27227" xr:uid="{00000000-0005-0000-0000-0000BC580000}"/>
    <cellStyle name="Comma 3 8 4 4" xfId="21952" xr:uid="{00000000-0005-0000-0000-0000BD580000}"/>
    <cellStyle name="Comma 3 8 5" xfId="5817" xr:uid="{00000000-0005-0000-0000-0000BE580000}"/>
    <cellStyle name="Comma 3 8 5 2" xfId="14259" xr:uid="{00000000-0005-0000-0000-0000BF580000}"/>
    <cellStyle name="Comma 3 8 5 2 2" xfId="27808" xr:uid="{00000000-0005-0000-0000-0000C0580000}"/>
    <cellStyle name="Comma 3 8 5 3" xfId="21950" xr:uid="{00000000-0005-0000-0000-0000C1580000}"/>
    <cellStyle name="Comma 3 8 6" xfId="5818" xr:uid="{00000000-0005-0000-0000-0000C2580000}"/>
    <cellStyle name="Comma 3 8 6 2" xfId="16145" xr:uid="{00000000-0005-0000-0000-0000C3580000}"/>
    <cellStyle name="Comma 3 8 6 2 2" xfId="29552" xr:uid="{00000000-0005-0000-0000-0000C4580000}"/>
    <cellStyle name="Comma 3 8 6 3" xfId="21949" xr:uid="{00000000-0005-0000-0000-0000C5580000}"/>
    <cellStyle name="Comma 3 8 7" xfId="9820" xr:uid="{00000000-0005-0000-0000-0000C6580000}"/>
    <cellStyle name="Comma 3 8 8" xfId="21958" xr:uid="{00000000-0005-0000-0000-0000C7580000}"/>
    <cellStyle name="Comma 3 9" xfId="5819" xr:uid="{00000000-0005-0000-0000-0000C8580000}"/>
    <cellStyle name="Comma 3 9 2" xfId="5820" xr:uid="{00000000-0005-0000-0000-0000C9580000}"/>
    <cellStyle name="Comma 3 9 2 2" xfId="5821" xr:uid="{00000000-0005-0000-0000-0000CA580000}"/>
    <cellStyle name="Comma 3 9 2 2 2" xfId="11354" xr:uid="{00000000-0005-0000-0000-0000CB580000}"/>
    <cellStyle name="Comma 3 9 2 2 3" xfId="21946" xr:uid="{00000000-0005-0000-0000-0000CC580000}"/>
    <cellStyle name="Comma 3 9 2 3" xfId="5822" xr:uid="{00000000-0005-0000-0000-0000CD580000}"/>
    <cellStyle name="Comma 3 9 2 3 2" xfId="16724" xr:uid="{00000000-0005-0000-0000-0000CE580000}"/>
    <cellStyle name="Comma 3 9 2 3 2 2" xfId="30131" xr:uid="{00000000-0005-0000-0000-0000CF580000}"/>
    <cellStyle name="Comma 3 9 2 3 3" xfId="21945" xr:uid="{00000000-0005-0000-0000-0000D0580000}"/>
    <cellStyle name="Comma 3 9 2 4" xfId="9823" xr:uid="{00000000-0005-0000-0000-0000D1580000}"/>
    <cellStyle name="Comma 3 9 2 5" xfId="21947" xr:uid="{00000000-0005-0000-0000-0000D2580000}"/>
    <cellStyle name="Comma 3 9 3" xfId="5823" xr:uid="{00000000-0005-0000-0000-0000D3580000}"/>
    <cellStyle name="Comma 3 9 3 2" xfId="5824" xr:uid="{00000000-0005-0000-0000-0000D4580000}"/>
    <cellStyle name="Comma 3 9 3 2 2" xfId="13154" xr:uid="{00000000-0005-0000-0000-0000D5580000}"/>
    <cellStyle name="Comma 3 9 3 2 3" xfId="21943" xr:uid="{00000000-0005-0000-0000-0000D6580000}"/>
    <cellStyle name="Comma 3 9 3 3" xfId="12104" xr:uid="{00000000-0005-0000-0000-0000D7580000}"/>
    <cellStyle name="Comma 3 9 3 3 2" xfId="25816" xr:uid="{00000000-0005-0000-0000-0000D8580000}"/>
    <cellStyle name="Comma 3 9 3 4" xfId="21944" xr:uid="{00000000-0005-0000-0000-0000D9580000}"/>
    <cellStyle name="Comma 3 9 4" xfId="5825" xr:uid="{00000000-0005-0000-0000-0000DA580000}"/>
    <cellStyle name="Comma 3 9 4 2" xfId="5826" xr:uid="{00000000-0005-0000-0000-0000DB580000}"/>
    <cellStyle name="Comma 3 9 4 2 2" xfId="15623" xr:uid="{00000000-0005-0000-0000-0000DC580000}"/>
    <cellStyle name="Comma 3 9 4 2 3" xfId="21941" xr:uid="{00000000-0005-0000-0000-0000DD580000}"/>
    <cellStyle name="Comma 3 9 4 3" xfId="13676" xr:uid="{00000000-0005-0000-0000-0000DE580000}"/>
    <cellStyle name="Comma 3 9 4 3 2" xfId="27225" xr:uid="{00000000-0005-0000-0000-0000DF580000}"/>
    <cellStyle name="Comma 3 9 4 4" xfId="21942" xr:uid="{00000000-0005-0000-0000-0000E0580000}"/>
    <cellStyle name="Comma 3 9 5" xfId="5827" xr:uid="{00000000-0005-0000-0000-0000E1580000}"/>
    <cellStyle name="Comma 3 9 5 2" xfId="14257" xr:uid="{00000000-0005-0000-0000-0000E2580000}"/>
    <cellStyle name="Comma 3 9 5 2 2" xfId="27806" xr:uid="{00000000-0005-0000-0000-0000E3580000}"/>
    <cellStyle name="Comma 3 9 5 3" xfId="21940" xr:uid="{00000000-0005-0000-0000-0000E4580000}"/>
    <cellStyle name="Comma 3 9 6" xfId="5828" xr:uid="{00000000-0005-0000-0000-0000E5580000}"/>
    <cellStyle name="Comma 3 9 6 2" xfId="16143" xr:uid="{00000000-0005-0000-0000-0000E6580000}"/>
    <cellStyle name="Comma 3 9 6 2 2" xfId="29550" xr:uid="{00000000-0005-0000-0000-0000E7580000}"/>
    <cellStyle name="Comma 3 9 6 3" xfId="21939" xr:uid="{00000000-0005-0000-0000-0000E8580000}"/>
    <cellStyle name="Comma 3 9 7" xfId="9822" xr:uid="{00000000-0005-0000-0000-0000E9580000}"/>
    <cellStyle name="Comma 3 9 8" xfId="21948" xr:uid="{00000000-0005-0000-0000-0000EA580000}"/>
    <cellStyle name="Comma 4" xfId="5829" xr:uid="{00000000-0005-0000-0000-0000EB580000}"/>
    <cellStyle name="Comma 4 2" xfId="5830" xr:uid="{00000000-0005-0000-0000-0000EC580000}"/>
    <cellStyle name="Comma 4 2 2" xfId="9825" xr:uid="{00000000-0005-0000-0000-0000ED580000}"/>
    <cellStyle name="Comma 4 2 3" xfId="21937" xr:uid="{00000000-0005-0000-0000-0000EE580000}"/>
    <cellStyle name="Comma 4 3" xfId="5831" xr:uid="{00000000-0005-0000-0000-0000EF580000}"/>
    <cellStyle name="Comma 4 3 2" xfId="13155" xr:uid="{00000000-0005-0000-0000-0000F0580000}"/>
    <cellStyle name="Comma 4 3 3" xfId="21936" xr:uid="{00000000-0005-0000-0000-0000F1580000}"/>
    <cellStyle name="Comma 4 4" xfId="5832" xr:uid="{00000000-0005-0000-0000-0000F2580000}"/>
    <cellStyle name="Comma 4 4 2" xfId="9824" xr:uid="{00000000-0005-0000-0000-0000F3580000}"/>
    <cellStyle name="Comma 4 4 3" xfId="21935" xr:uid="{00000000-0005-0000-0000-0000F4580000}"/>
    <cellStyle name="Comma 4 5" xfId="8667" xr:uid="{00000000-0005-0000-0000-0000F5580000}"/>
    <cellStyle name="Comma 4 6" xfId="21938" xr:uid="{00000000-0005-0000-0000-0000F6580000}"/>
    <cellStyle name="Comma 4 7" xfId="32911" xr:uid="{00000000-0005-0000-0000-0000F7580000}"/>
    <cellStyle name="Comma 4 8" xfId="33086" xr:uid="{00000000-0005-0000-0000-0000F8580000}"/>
    <cellStyle name="Comma 5" xfId="5833" xr:uid="{00000000-0005-0000-0000-0000F9580000}"/>
    <cellStyle name="Comma 5 2" xfId="5834" xr:uid="{00000000-0005-0000-0000-0000FA580000}"/>
    <cellStyle name="Comma 5 2 2" xfId="17021" xr:uid="{00000000-0005-0000-0000-0000FB580000}"/>
    <cellStyle name="Comma 5 2 2 2" xfId="30428" xr:uid="{00000000-0005-0000-0000-0000FC580000}"/>
    <cellStyle name="Comma 5 2 3" xfId="21933" xr:uid="{00000000-0005-0000-0000-0000FD580000}"/>
    <cellStyle name="Comma 5 2 4" xfId="33098" xr:uid="{00000000-0005-0000-0000-0000FE580000}"/>
    <cellStyle name="Comma 5 3" xfId="5835" xr:uid="{00000000-0005-0000-0000-0000FF580000}"/>
    <cellStyle name="Comma 5 3 2" xfId="17332" xr:uid="{00000000-0005-0000-0000-000000590000}"/>
    <cellStyle name="Comma 5 3 3" xfId="21932" xr:uid="{00000000-0005-0000-0000-000001590000}"/>
    <cellStyle name="Comma 5 4" xfId="8728" xr:uid="{00000000-0005-0000-0000-000002590000}"/>
    <cellStyle name="Comma 5 4 2" xfId="33100" xr:uid="{00000000-0005-0000-0000-000003590000}"/>
    <cellStyle name="Comma 5 5" xfId="21934" xr:uid="{00000000-0005-0000-0000-000004590000}"/>
    <cellStyle name="Comma 6" xfId="5836" xr:uid="{00000000-0005-0000-0000-000005590000}"/>
    <cellStyle name="Comma 6 2" xfId="5837" xr:uid="{00000000-0005-0000-0000-000006590000}"/>
    <cellStyle name="Comma 6 2 2" xfId="17022" xr:uid="{00000000-0005-0000-0000-000007590000}"/>
    <cellStyle name="Comma 6 2 2 2" xfId="30429" xr:uid="{00000000-0005-0000-0000-000008590000}"/>
    <cellStyle name="Comma 6 2 3" xfId="21930" xr:uid="{00000000-0005-0000-0000-000009590000}"/>
    <cellStyle name="Comma 6 3" xfId="9826" xr:uid="{00000000-0005-0000-0000-00000A590000}"/>
    <cellStyle name="Comma 6 4" xfId="21931" xr:uid="{00000000-0005-0000-0000-00000B590000}"/>
    <cellStyle name="Comma 7" xfId="5838" xr:uid="{00000000-0005-0000-0000-00000C590000}"/>
    <cellStyle name="Comma 7 2" xfId="5839" xr:uid="{00000000-0005-0000-0000-00000D590000}"/>
    <cellStyle name="Comma 7 2 2" xfId="17023" xr:uid="{00000000-0005-0000-0000-00000E590000}"/>
    <cellStyle name="Comma 7 2 2 2" xfId="30430" xr:uid="{00000000-0005-0000-0000-00000F590000}"/>
    <cellStyle name="Comma 7 2 3" xfId="21928" xr:uid="{00000000-0005-0000-0000-000010590000}"/>
    <cellStyle name="Comma 7 3" xfId="9827" xr:uid="{00000000-0005-0000-0000-000011590000}"/>
    <cellStyle name="Comma 7 4" xfId="21929" xr:uid="{00000000-0005-0000-0000-000012590000}"/>
    <cellStyle name="Comma 8" xfId="5840" xr:uid="{00000000-0005-0000-0000-000013590000}"/>
    <cellStyle name="Comma 8 2" xfId="5841" xr:uid="{00000000-0005-0000-0000-000014590000}"/>
    <cellStyle name="Comma 8 2 2" xfId="9829" xr:uid="{00000000-0005-0000-0000-000015590000}"/>
    <cellStyle name="Comma 8 2 3" xfId="21926" xr:uid="{00000000-0005-0000-0000-000016590000}"/>
    <cellStyle name="Comma 8 3" xfId="5842" xr:uid="{00000000-0005-0000-0000-000017590000}"/>
    <cellStyle name="Comma 8 3 2" xfId="13156" xr:uid="{00000000-0005-0000-0000-000018590000}"/>
    <cellStyle name="Comma 8 3 3" xfId="21925" xr:uid="{00000000-0005-0000-0000-000019590000}"/>
    <cellStyle name="Comma 8 4" xfId="9828" xr:uid="{00000000-0005-0000-0000-00001A590000}"/>
    <cellStyle name="Comma 8 5" xfId="21927" xr:uid="{00000000-0005-0000-0000-00001B590000}"/>
    <cellStyle name="Comma 9" xfId="5843" xr:uid="{00000000-0005-0000-0000-00001C590000}"/>
    <cellStyle name="Comma 9 2" xfId="5844" xr:uid="{00000000-0005-0000-0000-00001D590000}"/>
    <cellStyle name="Comma 9 2 2" xfId="5845" xr:uid="{00000000-0005-0000-0000-00001E590000}"/>
    <cellStyle name="Comma 9 2 2 2" xfId="11356" xr:uid="{00000000-0005-0000-0000-00001F590000}"/>
    <cellStyle name="Comma 9 2 2 3" xfId="21922" xr:uid="{00000000-0005-0000-0000-000020590000}"/>
    <cellStyle name="Comma 9 2 3" xfId="9831" xr:uid="{00000000-0005-0000-0000-000021590000}"/>
    <cellStyle name="Comma 9 2 4" xfId="21923" xr:uid="{00000000-0005-0000-0000-000022590000}"/>
    <cellStyle name="Comma 9 3" xfId="5846" xr:uid="{00000000-0005-0000-0000-000023590000}"/>
    <cellStyle name="Comma 9 3 2" xfId="11355" xr:uid="{00000000-0005-0000-0000-000024590000}"/>
    <cellStyle name="Comma 9 3 3" xfId="21921" xr:uid="{00000000-0005-0000-0000-000025590000}"/>
    <cellStyle name="Comma 9 4" xfId="5847" xr:uid="{00000000-0005-0000-0000-000026590000}"/>
    <cellStyle name="Comma 9 4 2" xfId="13157" xr:uid="{00000000-0005-0000-0000-000027590000}"/>
    <cellStyle name="Comma 9 4 3" xfId="21920" xr:uid="{00000000-0005-0000-0000-000028590000}"/>
    <cellStyle name="Comma 9 5" xfId="9830" xr:uid="{00000000-0005-0000-0000-000029590000}"/>
    <cellStyle name="Comma 9 6" xfId="21924" xr:uid="{00000000-0005-0000-0000-00002A590000}"/>
    <cellStyle name="Comma0" xfId="5848" xr:uid="{00000000-0005-0000-0000-00002B590000}"/>
    <cellStyle name="Comma0 2" xfId="5849" xr:uid="{00000000-0005-0000-0000-00002C590000}"/>
    <cellStyle name="Comma0 2 2" xfId="5850" xr:uid="{00000000-0005-0000-0000-00002D590000}"/>
    <cellStyle name="Comma0 2 2 2" xfId="17024" xr:uid="{00000000-0005-0000-0000-00002E590000}"/>
    <cellStyle name="Comma0 2 2 3" xfId="21917" xr:uid="{00000000-0005-0000-0000-00002F590000}"/>
    <cellStyle name="Comma0 2 3" xfId="8668" xr:uid="{00000000-0005-0000-0000-000030590000}"/>
    <cellStyle name="Comma0 2 4" xfId="21918" xr:uid="{00000000-0005-0000-0000-000031590000}"/>
    <cellStyle name="Comma0 3" xfId="5851" xr:uid="{00000000-0005-0000-0000-000032590000}"/>
    <cellStyle name="Comma0 3 2" xfId="8732" xr:uid="{00000000-0005-0000-0000-000033590000}"/>
    <cellStyle name="Comma0 3 2 2" xfId="17333" xr:uid="{00000000-0005-0000-0000-000034590000}"/>
    <cellStyle name="Comma0 3 3" xfId="17295" xr:uid="{00000000-0005-0000-0000-000035590000}"/>
    <cellStyle name="Comma0 3 4" xfId="9832" xr:uid="{00000000-0005-0000-0000-000036590000}"/>
    <cellStyle name="Comma0 3 5" xfId="21916" xr:uid="{00000000-0005-0000-0000-000037590000}"/>
    <cellStyle name="Comma0 4" xfId="8660" xr:uid="{00000000-0005-0000-0000-000038590000}"/>
    <cellStyle name="Comma0 5" xfId="21919" xr:uid="{00000000-0005-0000-0000-000039590000}"/>
    <cellStyle name="Currency" xfId="33110" builtinId="4"/>
    <cellStyle name="Currency 10" xfId="5852" xr:uid="{00000000-0005-0000-0000-00003A590000}"/>
    <cellStyle name="Currency 10 2" xfId="9833" xr:uid="{00000000-0005-0000-0000-00003B590000}"/>
    <cellStyle name="Currency 10 3" xfId="21915" xr:uid="{00000000-0005-0000-0000-00003C590000}"/>
    <cellStyle name="Currency 11" xfId="5853" xr:uid="{00000000-0005-0000-0000-00003D590000}"/>
    <cellStyle name="Currency 11 2" xfId="5854" xr:uid="{00000000-0005-0000-0000-00003E590000}"/>
    <cellStyle name="Currency 11 2 2" xfId="9835" xr:uid="{00000000-0005-0000-0000-00003F590000}"/>
    <cellStyle name="Currency 11 2 3" xfId="21913" xr:uid="{00000000-0005-0000-0000-000040590000}"/>
    <cellStyle name="Currency 11 3" xfId="5855" xr:uid="{00000000-0005-0000-0000-000041590000}"/>
    <cellStyle name="Currency 11 3 2" xfId="13158" xr:uid="{00000000-0005-0000-0000-000042590000}"/>
    <cellStyle name="Currency 11 3 3" xfId="21912" xr:uid="{00000000-0005-0000-0000-000043590000}"/>
    <cellStyle name="Currency 11 4" xfId="9834" xr:uid="{00000000-0005-0000-0000-000044590000}"/>
    <cellStyle name="Currency 11 5" xfId="21914" xr:uid="{00000000-0005-0000-0000-000045590000}"/>
    <cellStyle name="Currency 12" xfId="5856" xr:uid="{00000000-0005-0000-0000-000046590000}"/>
    <cellStyle name="Currency 12 2" xfId="13159" xr:uid="{00000000-0005-0000-0000-000047590000}"/>
    <cellStyle name="Currency 12 3" xfId="21911" xr:uid="{00000000-0005-0000-0000-000048590000}"/>
    <cellStyle name="Currency 2" xfId="6" xr:uid="{00000000-0005-0000-0000-000049590000}"/>
    <cellStyle name="Currency 2 2" xfId="5858" xr:uid="{00000000-0005-0000-0000-00004A590000}"/>
    <cellStyle name="Currency 2 2 2" xfId="5859" xr:uid="{00000000-0005-0000-0000-00004B590000}"/>
    <cellStyle name="Currency 2 2 2 2" xfId="9837" xr:uid="{00000000-0005-0000-0000-00004C590000}"/>
    <cellStyle name="Currency 2 2 2 3" xfId="21908" xr:uid="{00000000-0005-0000-0000-00004D590000}"/>
    <cellStyle name="Currency 2 2 3" xfId="5860" xr:uid="{00000000-0005-0000-0000-00004E590000}"/>
    <cellStyle name="Currency 2 2 3 2" xfId="13160" xr:uid="{00000000-0005-0000-0000-00004F590000}"/>
    <cellStyle name="Currency 2 2 3 3" xfId="21907" xr:uid="{00000000-0005-0000-0000-000050590000}"/>
    <cellStyle name="Currency 2 2 4" xfId="5861" xr:uid="{00000000-0005-0000-0000-000051590000}"/>
    <cellStyle name="Currency 2 2 4 2" xfId="17025" xr:uid="{00000000-0005-0000-0000-000052590000}"/>
    <cellStyle name="Currency 2 2 4 2 2" xfId="30432" xr:uid="{00000000-0005-0000-0000-000053590000}"/>
    <cellStyle name="Currency 2 2 4 3" xfId="21906" xr:uid="{00000000-0005-0000-0000-000054590000}"/>
    <cellStyle name="Currency 2 2 5" xfId="8679" xr:uid="{00000000-0005-0000-0000-000055590000}"/>
    <cellStyle name="Currency 2 2 6" xfId="21909" xr:uid="{00000000-0005-0000-0000-000056590000}"/>
    <cellStyle name="Currency 2 3" xfId="5862" xr:uid="{00000000-0005-0000-0000-000057590000}"/>
    <cellStyle name="Currency 2 3 2" xfId="5863" xr:uid="{00000000-0005-0000-0000-000058590000}"/>
    <cellStyle name="Currency 2 3 2 2" xfId="13161" xr:uid="{00000000-0005-0000-0000-000059590000}"/>
    <cellStyle name="Currency 2 3 2 3" xfId="21904" xr:uid="{00000000-0005-0000-0000-00005A590000}"/>
    <cellStyle name="Currency 2 3 3" xfId="5864" xr:uid="{00000000-0005-0000-0000-00005B590000}"/>
    <cellStyle name="Currency 2 3 3 2" xfId="17026" xr:uid="{00000000-0005-0000-0000-00005C590000}"/>
    <cellStyle name="Currency 2 3 3 2 2" xfId="30433" xr:uid="{00000000-0005-0000-0000-00005D590000}"/>
    <cellStyle name="Currency 2 3 3 3" xfId="21903" xr:uid="{00000000-0005-0000-0000-00005E590000}"/>
    <cellStyle name="Currency 2 3 4" xfId="5865" xr:uid="{00000000-0005-0000-0000-00005F590000}"/>
    <cellStyle name="Currency 2 3 4 2" xfId="17368" xr:uid="{00000000-0005-0000-0000-000060590000}"/>
    <cellStyle name="Currency 2 3 4 3" xfId="21902" xr:uid="{00000000-0005-0000-0000-000061590000}"/>
    <cellStyle name="Currency 2 3 5" xfId="8738" xr:uid="{00000000-0005-0000-0000-000062590000}"/>
    <cellStyle name="Currency 2 3 6" xfId="10516" xr:uid="{00000000-0005-0000-0000-000063590000}"/>
    <cellStyle name="Currency 2 3 7" xfId="21905" xr:uid="{00000000-0005-0000-0000-000064590000}"/>
    <cellStyle name="Currency 2 4" xfId="8653" xr:uid="{00000000-0005-0000-0000-000065590000}"/>
    <cellStyle name="Currency 2 4 2" xfId="9836" xr:uid="{00000000-0005-0000-0000-000066590000}"/>
    <cellStyle name="Currency 2 5" xfId="17301" xr:uid="{00000000-0005-0000-0000-000067590000}"/>
    <cellStyle name="Currency 2 6" xfId="21910" xr:uid="{00000000-0005-0000-0000-000068590000}"/>
    <cellStyle name="Currency 2 7" xfId="32974" xr:uid="{00000000-0005-0000-0000-000069590000}"/>
    <cellStyle name="Currency 2 8" xfId="5857" xr:uid="{00000000-0005-0000-0000-00006A590000}"/>
    <cellStyle name="Currency 3" xfId="5866" xr:uid="{00000000-0005-0000-0000-00006B590000}"/>
    <cellStyle name="Currency 3 10" xfId="5867" xr:uid="{00000000-0005-0000-0000-00006C590000}"/>
    <cellStyle name="Currency 3 10 2" xfId="9839" xr:uid="{00000000-0005-0000-0000-00006D590000}"/>
    <cellStyle name="Currency 3 10 3" xfId="21900" xr:uid="{00000000-0005-0000-0000-00006E590000}"/>
    <cellStyle name="Currency 3 11" xfId="5868" xr:uid="{00000000-0005-0000-0000-00006F590000}"/>
    <cellStyle name="Currency 3 11 2" xfId="5869" xr:uid="{00000000-0005-0000-0000-000070590000}"/>
    <cellStyle name="Currency 3 11 2 2" xfId="13162" xr:uid="{00000000-0005-0000-0000-000071590000}"/>
    <cellStyle name="Currency 3 11 2 3" xfId="21898" xr:uid="{00000000-0005-0000-0000-000072590000}"/>
    <cellStyle name="Currency 3 11 3" xfId="5870" xr:uid="{00000000-0005-0000-0000-000073590000}"/>
    <cellStyle name="Currency 3 11 3 2" xfId="17027" xr:uid="{00000000-0005-0000-0000-000074590000}"/>
    <cellStyle name="Currency 3 11 3 2 2" xfId="30434" xr:uid="{00000000-0005-0000-0000-000075590000}"/>
    <cellStyle name="Currency 3 11 3 3" xfId="21897" xr:uid="{00000000-0005-0000-0000-000076590000}"/>
    <cellStyle name="Currency 3 11 4" xfId="9840" xr:uid="{00000000-0005-0000-0000-000077590000}"/>
    <cellStyle name="Currency 3 11 5" xfId="21899" xr:uid="{00000000-0005-0000-0000-000078590000}"/>
    <cellStyle name="Currency 3 12" xfId="5871" xr:uid="{00000000-0005-0000-0000-000079590000}"/>
    <cellStyle name="Currency 3 12 2" xfId="5872" xr:uid="{00000000-0005-0000-0000-00007A590000}"/>
    <cellStyle name="Currency 3 12 2 2" xfId="13164" xr:uid="{00000000-0005-0000-0000-00007B590000}"/>
    <cellStyle name="Currency 3 12 2 3" xfId="21895" xr:uid="{00000000-0005-0000-0000-00007C590000}"/>
    <cellStyle name="Currency 3 12 3" xfId="5873" xr:uid="{00000000-0005-0000-0000-00007D590000}"/>
    <cellStyle name="Currency 3 12 3 2" xfId="13163" xr:uid="{00000000-0005-0000-0000-00007E590000}"/>
    <cellStyle name="Currency 3 12 3 2 2" xfId="26875" xr:uid="{00000000-0005-0000-0000-00007F590000}"/>
    <cellStyle name="Currency 3 12 3 3" xfId="21894" xr:uid="{00000000-0005-0000-0000-000080590000}"/>
    <cellStyle name="Currency 3 12 4" xfId="5874" xr:uid="{00000000-0005-0000-0000-000081590000}"/>
    <cellStyle name="Currency 3 12 4 2" xfId="17109" xr:uid="{00000000-0005-0000-0000-000082590000}"/>
    <cellStyle name="Currency 3 12 4 2 2" xfId="30468" xr:uid="{00000000-0005-0000-0000-000083590000}"/>
    <cellStyle name="Currency 3 12 4 3" xfId="21893" xr:uid="{00000000-0005-0000-0000-000084590000}"/>
    <cellStyle name="Currency 3 12 5" xfId="9841" xr:uid="{00000000-0005-0000-0000-000085590000}"/>
    <cellStyle name="Currency 3 12 6" xfId="21896" xr:uid="{00000000-0005-0000-0000-000086590000}"/>
    <cellStyle name="Currency 3 13" xfId="5875" xr:uid="{00000000-0005-0000-0000-000087590000}"/>
    <cellStyle name="Currency 3 13 2" xfId="5876" xr:uid="{00000000-0005-0000-0000-000088590000}"/>
    <cellStyle name="Currency 3 13 2 2" xfId="17198" xr:uid="{00000000-0005-0000-0000-000089590000}"/>
    <cellStyle name="Currency 3 13 2 2 2" xfId="30557" xr:uid="{00000000-0005-0000-0000-00008A590000}"/>
    <cellStyle name="Currency 3 13 2 3" xfId="21891" xr:uid="{00000000-0005-0000-0000-00008B590000}"/>
    <cellStyle name="Currency 3 13 3" xfId="9842" xr:uid="{00000000-0005-0000-0000-00008C590000}"/>
    <cellStyle name="Currency 3 13 4" xfId="21892" xr:uid="{00000000-0005-0000-0000-00008D590000}"/>
    <cellStyle name="Currency 3 14" xfId="5877" xr:uid="{00000000-0005-0000-0000-00008E590000}"/>
    <cellStyle name="Currency 3 14 2" xfId="5878" xr:uid="{00000000-0005-0000-0000-00008F590000}"/>
    <cellStyle name="Currency 3 14 2 2" xfId="5879" xr:uid="{00000000-0005-0000-0000-000090590000}"/>
    <cellStyle name="Currency 3 14 2 2 2" xfId="11359" xr:uid="{00000000-0005-0000-0000-000091590000}"/>
    <cellStyle name="Currency 3 14 2 2 3" xfId="21888" xr:uid="{00000000-0005-0000-0000-000092590000}"/>
    <cellStyle name="Currency 3 14 2 3" xfId="9844" xr:uid="{00000000-0005-0000-0000-000093590000}"/>
    <cellStyle name="Currency 3 14 2 4" xfId="21889" xr:uid="{00000000-0005-0000-0000-000094590000}"/>
    <cellStyle name="Currency 3 14 3" xfId="5880" xr:uid="{00000000-0005-0000-0000-000095590000}"/>
    <cellStyle name="Currency 3 14 3 2" xfId="11358" xr:uid="{00000000-0005-0000-0000-000096590000}"/>
    <cellStyle name="Currency 3 14 3 3" xfId="21887" xr:uid="{00000000-0005-0000-0000-000097590000}"/>
    <cellStyle name="Currency 3 14 4" xfId="5881" xr:uid="{00000000-0005-0000-0000-000098590000}"/>
    <cellStyle name="Currency 3 14 4 2" xfId="17287" xr:uid="{00000000-0005-0000-0000-000099590000}"/>
    <cellStyle name="Currency 3 14 4 2 2" xfId="30646" xr:uid="{00000000-0005-0000-0000-00009A590000}"/>
    <cellStyle name="Currency 3 14 4 3" xfId="21886" xr:uid="{00000000-0005-0000-0000-00009B590000}"/>
    <cellStyle name="Currency 3 14 5" xfId="9843" xr:uid="{00000000-0005-0000-0000-00009C590000}"/>
    <cellStyle name="Currency 3 14 6" xfId="21890" xr:uid="{00000000-0005-0000-0000-00009D590000}"/>
    <cellStyle name="Currency 3 15" xfId="5882" xr:uid="{00000000-0005-0000-0000-00009E590000}"/>
    <cellStyle name="Currency 3 15 2" xfId="5883" xr:uid="{00000000-0005-0000-0000-00009F590000}"/>
    <cellStyle name="Currency 3 15 2 2" xfId="11360" xr:uid="{00000000-0005-0000-0000-0000A0590000}"/>
    <cellStyle name="Currency 3 15 2 3" xfId="21884" xr:uid="{00000000-0005-0000-0000-0000A1590000}"/>
    <cellStyle name="Currency 3 15 3" xfId="5884" xr:uid="{00000000-0005-0000-0000-0000A2590000}"/>
    <cellStyle name="Currency 3 15 3 2" xfId="16439" xr:uid="{00000000-0005-0000-0000-0000A3590000}"/>
    <cellStyle name="Currency 3 15 3 2 2" xfId="29846" xr:uid="{00000000-0005-0000-0000-0000A4590000}"/>
    <cellStyle name="Currency 3 15 3 3" xfId="21883" xr:uid="{00000000-0005-0000-0000-0000A5590000}"/>
    <cellStyle name="Currency 3 15 4" xfId="9845" xr:uid="{00000000-0005-0000-0000-0000A6590000}"/>
    <cellStyle name="Currency 3 15 5" xfId="21885" xr:uid="{00000000-0005-0000-0000-0000A7590000}"/>
    <cellStyle name="Currency 3 16" xfId="5885" xr:uid="{00000000-0005-0000-0000-0000A8590000}"/>
    <cellStyle name="Currency 3 16 2" xfId="5886" xr:uid="{00000000-0005-0000-0000-0000A9590000}"/>
    <cellStyle name="Currency 3 16 2 2" xfId="11361" xr:uid="{00000000-0005-0000-0000-0000AA590000}"/>
    <cellStyle name="Currency 3 16 2 3" xfId="21881" xr:uid="{00000000-0005-0000-0000-0000AB590000}"/>
    <cellStyle name="Currency 3 16 3" xfId="9846" xr:uid="{00000000-0005-0000-0000-0000AC590000}"/>
    <cellStyle name="Currency 3 16 4" xfId="21882" xr:uid="{00000000-0005-0000-0000-0000AD590000}"/>
    <cellStyle name="Currency 3 17" xfId="5887" xr:uid="{00000000-0005-0000-0000-0000AE590000}"/>
    <cellStyle name="Currency 3 17 2" xfId="5888" xr:uid="{00000000-0005-0000-0000-0000AF590000}"/>
    <cellStyle name="Currency 3 17 2 2" xfId="11362" xr:uid="{00000000-0005-0000-0000-0000B0590000}"/>
    <cellStyle name="Currency 3 17 2 3" xfId="21879" xr:uid="{00000000-0005-0000-0000-0000B1590000}"/>
    <cellStyle name="Currency 3 17 3" xfId="9847" xr:uid="{00000000-0005-0000-0000-0000B2590000}"/>
    <cellStyle name="Currency 3 17 4" xfId="21880" xr:uid="{00000000-0005-0000-0000-0000B3590000}"/>
    <cellStyle name="Currency 3 18" xfId="5889" xr:uid="{00000000-0005-0000-0000-0000B4590000}"/>
    <cellStyle name="Currency 3 18 2" xfId="5890" xr:uid="{00000000-0005-0000-0000-0000B5590000}"/>
    <cellStyle name="Currency 3 18 2 2" xfId="11363" xr:uid="{00000000-0005-0000-0000-0000B6590000}"/>
    <cellStyle name="Currency 3 18 2 3" xfId="21877" xr:uid="{00000000-0005-0000-0000-0000B7590000}"/>
    <cellStyle name="Currency 3 18 3" xfId="9848" xr:uid="{00000000-0005-0000-0000-0000B8590000}"/>
    <cellStyle name="Currency 3 18 4" xfId="21878" xr:uid="{00000000-0005-0000-0000-0000B9590000}"/>
    <cellStyle name="Currency 3 19" xfId="5891" xr:uid="{00000000-0005-0000-0000-0000BA590000}"/>
    <cellStyle name="Currency 3 19 2" xfId="5892" xr:uid="{00000000-0005-0000-0000-0000BB590000}"/>
    <cellStyle name="Currency 3 19 2 2" xfId="11364" xr:uid="{00000000-0005-0000-0000-0000BC590000}"/>
    <cellStyle name="Currency 3 19 2 3" xfId="21875" xr:uid="{00000000-0005-0000-0000-0000BD590000}"/>
    <cellStyle name="Currency 3 19 3" xfId="9849" xr:uid="{00000000-0005-0000-0000-0000BE590000}"/>
    <cellStyle name="Currency 3 19 4" xfId="21876" xr:uid="{00000000-0005-0000-0000-0000BF590000}"/>
    <cellStyle name="Currency 3 2" xfId="5893" xr:uid="{00000000-0005-0000-0000-0000C0590000}"/>
    <cellStyle name="Currency 3 2 10" xfId="5894" xr:uid="{00000000-0005-0000-0000-0000C1590000}"/>
    <cellStyle name="Currency 3 2 10 2" xfId="11365" xr:uid="{00000000-0005-0000-0000-0000C2590000}"/>
    <cellStyle name="Currency 3 2 10 3" xfId="21873" xr:uid="{00000000-0005-0000-0000-0000C3590000}"/>
    <cellStyle name="Currency 3 2 11" xfId="5895" xr:uid="{00000000-0005-0000-0000-0000C4590000}"/>
    <cellStyle name="Currency 3 2 11 2" xfId="5896" xr:uid="{00000000-0005-0000-0000-0000C5590000}"/>
    <cellStyle name="Currency 3 2 11 2 2" xfId="13165" xr:uid="{00000000-0005-0000-0000-0000C6590000}"/>
    <cellStyle name="Currency 3 2 11 2 2 2" xfId="26877" xr:uid="{00000000-0005-0000-0000-0000C7590000}"/>
    <cellStyle name="Currency 3 2 11 2 3" xfId="21871" xr:uid="{00000000-0005-0000-0000-0000C8590000}"/>
    <cellStyle name="Currency 3 2 11 3" xfId="5897" xr:uid="{00000000-0005-0000-0000-0000C9590000}"/>
    <cellStyle name="Currency 3 2 11 3 2" xfId="15624" xr:uid="{00000000-0005-0000-0000-0000CA590000}"/>
    <cellStyle name="Currency 3 2 11 3 3" xfId="21870" xr:uid="{00000000-0005-0000-0000-0000CB590000}"/>
    <cellStyle name="Currency 3 2 11 4" xfId="11699" xr:uid="{00000000-0005-0000-0000-0000CC590000}"/>
    <cellStyle name="Currency 3 2 11 5" xfId="21872" xr:uid="{00000000-0005-0000-0000-0000CD590000}"/>
    <cellStyle name="Currency 3 2 12" xfId="5898" xr:uid="{00000000-0005-0000-0000-0000CE590000}"/>
    <cellStyle name="Currency 3 2 12 2" xfId="11855" xr:uid="{00000000-0005-0000-0000-0000CF590000}"/>
    <cellStyle name="Currency 3 2 12 2 2" xfId="25570" xr:uid="{00000000-0005-0000-0000-0000D0590000}"/>
    <cellStyle name="Currency 3 2 12 3" xfId="21869" xr:uid="{00000000-0005-0000-0000-0000D1590000}"/>
    <cellStyle name="Currency 3 2 13" xfId="5899" xr:uid="{00000000-0005-0000-0000-0000D2590000}"/>
    <cellStyle name="Currency 3 2 13 2" xfId="13448" xr:uid="{00000000-0005-0000-0000-0000D3590000}"/>
    <cellStyle name="Currency 3 2 13 2 2" xfId="26997" xr:uid="{00000000-0005-0000-0000-0000D4590000}"/>
    <cellStyle name="Currency 3 2 13 3" xfId="21868" xr:uid="{00000000-0005-0000-0000-0000D5590000}"/>
    <cellStyle name="Currency 3 2 14" xfId="5900" xr:uid="{00000000-0005-0000-0000-0000D6590000}"/>
    <cellStyle name="Currency 3 2 14 2" xfId="14029" xr:uid="{00000000-0005-0000-0000-0000D7590000}"/>
    <cellStyle name="Currency 3 2 14 2 2" xfId="27578" xr:uid="{00000000-0005-0000-0000-0000D8590000}"/>
    <cellStyle name="Currency 3 2 14 3" xfId="21867" xr:uid="{00000000-0005-0000-0000-0000D9590000}"/>
    <cellStyle name="Currency 3 2 15" xfId="5901" xr:uid="{00000000-0005-0000-0000-0000DA590000}"/>
    <cellStyle name="Currency 3 2 15 2" xfId="15915" xr:uid="{00000000-0005-0000-0000-0000DB590000}"/>
    <cellStyle name="Currency 3 2 15 2 2" xfId="29322" xr:uid="{00000000-0005-0000-0000-0000DC590000}"/>
    <cellStyle name="Currency 3 2 15 3" xfId="21866" xr:uid="{00000000-0005-0000-0000-0000DD590000}"/>
    <cellStyle name="Currency 3 2 16" xfId="5902" xr:uid="{00000000-0005-0000-0000-0000DE590000}"/>
    <cellStyle name="Currency 3 2 16 2" xfId="9850" xr:uid="{00000000-0005-0000-0000-0000DF590000}"/>
    <cellStyle name="Currency 3 2 16 3" xfId="21865" xr:uid="{00000000-0005-0000-0000-0000E0590000}"/>
    <cellStyle name="Currency 3 2 17" xfId="8715" xr:uid="{00000000-0005-0000-0000-0000E1590000}"/>
    <cellStyle name="Currency 3 2 18" xfId="21874" xr:uid="{00000000-0005-0000-0000-0000E2590000}"/>
    <cellStyle name="Currency 3 2 2" xfId="5903" xr:uid="{00000000-0005-0000-0000-0000E3590000}"/>
    <cellStyle name="Currency 3 2 2 10" xfId="9851" xr:uid="{00000000-0005-0000-0000-0000E4590000}"/>
    <cellStyle name="Currency 3 2 2 11" xfId="21864" xr:uid="{00000000-0005-0000-0000-0000E5590000}"/>
    <cellStyle name="Currency 3 2 2 2" xfId="5904" xr:uid="{00000000-0005-0000-0000-0000E6590000}"/>
    <cellStyle name="Currency 3 2 2 2 2" xfId="5905" xr:uid="{00000000-0005-0000-0000-0000E7590000}"/>
    <cellStyle name="Currency 3 2 2 2 2 2" xfId="5906" xr:uid="{00000000-0005-0000-0000-0000E8590000}"/>
    <cellStyle name="Currency 3 2 2 2 2 2 2" xfId="5907" xr:uid="{00000000-0005-0000-0000-0000E9590000}"/>
    <cellStyle name="Currency 3 2 2 2 2 2 2 2" xfId="11366" xr:uid="{00000000-0005-0000-0000-0000EA590000}"/>
    <cellStyle name="Currency 3 2 2 2 2 2 2 3" xfId="21860" xr:uid="{00000000-0005-0000-0000-0000EB590000}"/>
    <cellStyle name="Currency 3 2 2 2 2 2 3" xfId="5908" xr:uid="{00000000-0005-0000-0000-0000EC590000}"/>
    <cellStyle name="Currency 3 2 2 2 2 2 3 2" xfId="16974" xr:uid="{00000000-0005-0000-0000-0000ED590000}"/>
    <cellStyle name="Currency 3 2 2 2 2 2 3 2 2" xfId="30381" xr:uid="{00000000-0005-0000-0000-0000EE590000}"/>
    <cellStyle name="Currency 3 2 2 2 2 2 3 3" xfId="21859" xr:uid="{00000000-0005-0000-0000-0000EF590000}"/>
    <cellStyle name="Currency 3 2 2 2 2 2 4" xfId="9854" xr:uid="{00000000-0005-0000-0000-0000F0590000}"/>
    <cellStyle name="Currency 3 2 2 2 2 2 5" xfId="21861" xr:uid="{00000000-0005-0000-0000-0000F1590000}"/>
    <cellStyle name="Currency 3 2 2 2 2 3" xfId="5909" xr:uid="{00000000-0005-0000-0000-0000F2590000}"/>
    <cellStyle name="Currency 3 2 2 2 2 3 2" xfId="5910" xr:uid="{00000000-0005-0000-0000-0000F3590000}"/>
    <cellStyle name="Currency 3 2 2 2 2 3 2 2" xfId="13166" xr:uid="{00000000-0005-0000-0000-0000F4590000}"/>
    <cellStyle name="Currency 3 2 2 2 2 3 2 3" xfId="21857" xr:uid="{00000000-0005-0000-0000-0000F5590000}"/>
    <cellStyle name="Currency 3 2 2 2 2 3 3" xfId="12362" xr:uid="{00000000-0005-0000-0000-0000F6590000}"/>
    <cellStyle name="Currency 3 2 2 2 2 3 3 2" xfId="26074" xr:uid="{00000000-0005-0000-0000-0000F7590000}"/>
    <cellStyle name="Currency 3 2 2 2 2 3 4" xfId="21858" xr:uid="{00000000-0005-0000-0000-0000F8590000}"/>
    <cellStyle name="Currency 3 2 2 2 2 4" xfId="5911" xr:uid="{00000000-0005-0000-0000-0000F9590000}"/>
    <cellStyle name="Currency 3 2 2 2 2 4 2" xfId="5912" xr:uid="{00000000-0005-0000-0000-0000FA590000}"/>
    <cellStyle name="Currency 3 2 2 2 2 4 2 2" xfId="15625" xr:uid="{00000000-0005-0000-0000-0000FB590000}"/>
    <cellStyle name="Currency 3 2 2 2 2 4 2 3" xfId="21855" xr:uid="{00000000-0005-0000-0000-0000FC590000}"/>
    <cellStyle name="Currency 3 2 2 2 2 4 3" xfId="13926" xr:uid="{00000000-0005-0000-0000-0000FD590000}"/>
    <cellStyle name="Currency 3 2 2 2 2 4 3 2" xfId="27475" xr:uid="{00000000-0005-0000-0000-0000FE590000}"/>
    <cellStyle name="Currency 3 2 2 2 2 4 4" xfId="21856" xr:uid="{00000000-0005-0000-0000-0000FF590000}"/>
    <cellStyle name="Currency 3 2 2 2 2 5" xfId="5913" xr:uid="{00000000-0005-0000-0000-0000005A0000}"/>
    <cellStyle name="Currency 3 2 2 2 2 5 2" xfId="14507" xr:uid="{00000000-0005-0000-0000-0000015A0000}"/>
    <cellStyle name="Currency 3 2 2 2 2 5 2 2" xfId="28056" xr:uid="{00000000-0005-0000-0000-0000025A0000}"/>
    <cellStyle name="Currency 3 2 2 2 2 5 3" xfId="21854" xr:uid="{00000000-0005-0000-0000-0000035A0000}"/>
    <cellStyle name="Currency 3 2 2 2 2 6" xfId="5914" xr:uid="{00000000-0005-0000-0000-0000045A0000}"/>
    <cellStyle name="Currency 3 2 2 2 2 6 2" xfId="16393" xr:uid="{00000000-0005-0000-0000-0000055A0000}"/>
    <cellStyle name="Currency 3 2 2 2 2 6 2 2" xfId="29800" xr:uid="{00000000-0005-0000-0000-0000065A0000}"/>
    <cellStyle name="Currency 3 2 2 2 2 6 3" xfId="21853" xr:uid="{00000000-0005-0000-0000-0000075A0000}"/>
    <cellStyle name="Currency 3 2 2 2 2 7" xfId="9853" xr:uid="{00000000-0005-0000-0000-0000085A0000}"/>
    <cellStyle name="Currency 3 2 2 2 2 8" xfId="21862" xr:uid="{00000000-0005-0000-0000-0000095A0000}"/>
    <cellStyle name="Currency 3 2 2 2 3" xfId="5915" xr:uid="{00000000-0005-0000-0000-00000A5A0000}"/>
    <cellStyle name="Currency 3 2 2 2 3 2" xfId="5916" xr:uid="{00000000-0005-0000-0000-00000B5A0000}"/>
    <cellStyle name="Currency 3 2 2 2 3 2 2" xfId="11367" xr:uid="{00000000-0005-0000-0000-00000C5A0000}"/>
    <cellStyle name="Currency 3 2 2 2 3 2 3" xfId="21851" xr:uid="{00000000-0005-0000-0000-00000D5A0000}"/>
    <cellStyle name="Currency 3 2 2 2 3 3" xfId="5917" xr:uid="{00000000-0005-0000-0000-00000E5A0000}"/>
    <cellStyle name="Currency 3 2 2 2 3 3 2" xfId="16685" xr:uid="{00000000-0005-0000-0000-00000F5A0000}"/>
    <cellStyle name="Currency 3 2 2 2 3 3 2 2" xfId="30092" xr:uid="{00000000-0005-0000-0000-0000105A0000}"/>
    <cellStyle name="Currency 3 2 2 2 3 3 3" xfId="21850" xr:uid="{00000000-0005-0000-0000-0000115A0000}"/>
    <cellStyle name="Currency 3 2 2 2 3 4" xfId="9855" xr:uid="{00000000-0005-0000-0000-0000125A0000}"/>
    <cellStyle name="Currency 3 2 2 2 3 5" xfId="21852" xr:uid="{00000000-0005-0000-0000-0000135A0000}"/>
    <cellStyle name="Currency 3 2 2 2 4" xfId="5918" xr:uid="{00000000-0005-0000-0000-0000145A0000}"/>
    <cellStyle name="Currency 3 2 2 2 4 2" xfId="5919" xr:uid="{00000000-0005-0000-0000-0000155A0000}"/>
    <cellStyle name="Currency 3 2 2 2 4 2 2" xfId="13167" xr:uid="{00000000-0005-0000-0000-0000165A0000}"/>
    <cellStyle name="Currency 3 2 2 2 4 2 3" xfId="21848" xr:uid="{00000000-0005-0000-0000-0000175A0000}"/>
    <cellStyle name="Currency 3 2 2 2 4 3" xfId="12062" xr:uid="{00000000-0005-0000-0000-0000185A0000}"/>
    <cellStyle name="Currency 3 2 2 2 4 3 2" xfId="25777" xr:uid="{00000000-0005-0000-0000-0000195A0000}"/>
    <cellStyle name="Currency 3 2 2 2 4 4" xfId="21849" xr:uid="{00000000-0005-0000-0000-00001A5A0000}"/>
    <cellStyle name="Currency 3 2 2 2 5" xfId="5920" xr:uid="{00000000-0005-0000-0000-00001B5A0000}"/>
    <cellStyle name="Currency 3 2 2 2 5 2" xfId="5921" xr:uid="{00000000-0005-0000-0000-00001C5A0000}"/>
    <cellStyle name="Currency 3 2 2 2 5 2 2" xfId="15626" xr:uid="{00000000-0005-0000-0000-00001D5A0000}"/>
    <cellStyle name="Currency 3 2 2 2 5 2 3" xfId="21846" xr:uid="{00000000-0005-0000-0000-00001E5A0000}"/>
    <cellStyle name="Currency 3 2 2 2 5 3" xfId="13637" xr:uid="{00000000-0005-0000-0000-00001F5A0000}"/>
    <cellStyle name="Currency 3 2 2 2 5 3 2" xfId="27186" xr:uid="{00000000-0005-0000-0000-0000205A0000}"/>
    <cellStyle name="Currency 3 2 2 2 5 4" xfId="21847" xr:uid="{00000000-0005-0000-0000-0000215A0000}"/>
    <cellStyle name="Currency 3 2 2 2 6" xfId="5922" xr:uid="{00000000-0005-0000-0000-0000225A0000}"/>
    <cellStyle name="Currency 3 2 2 2 6 2" xfId="14218" xr:uid="{00000000-0005-0000-0000-0000235A0000}"/>
    <cellStyle name="Currency 3 2 2 2 6 2 2" xfId="27767" xr:uid="{00000000-0005-0000-0000-0000245A0000}"/>
    <cellStyle name="Currency 3 2 2 2 6 3" xfId="21845" xr:uid="{00000000-0005-0000-0000-0000255A0000}"/>
    <cellStyle name="Currency 3 2 2 2 7" xfId="5923" xr:uid="{00000000-0005-0000-0000-0000265A0000}"/>
    <cellStyle name="Currency 3 2 2 2 7 2" xfId="16104" xr:uid="{00000000-0005-0000-0000-0000275A0000}"/>
    <cellStyle name="Currency 3 2 2 2 7 2 2" xfId="29511" xr:uid="{00000000-0005-0000-0000-0000285A0000}"/>
    <cellStyle name="Currency 3 2 2 2 7 3" xfId="21844" xr:uid="{00000000-0005-0000-0000-0000295A0000}"/>
    <cellStyle name="Currency 3 2 2 2 8" xfId="9852" xr:uid="{00000000-0005-0000-0000-00002A5A0000}"/>
    <cellStyle name="Currency 3 2 2 2 9" xfId="21863" xr:uid="{00000000-0005-0000-0000-00002B5A0000}"/>
    <cellStyle name="Currency 3 2 2 3" xfId="5924" xr:uid="{00000000-0005-0000-0000-00002C5A0000}"/>
    <cellStyle name="Currency 3 2 2 3 2" xfId="5925" xr:uid="{00000000-0005-0000-0000-00002D5A0000}"/>
    <cellStyle name="Currency 3 2 2 3 2 2" xfId="5926" xr:uid="{00000000-0005-0000-0000-00002E5A0000}"/>
    <cellStyle name="Currency 3 2 2 3 2 2 2" xfId="11368" xr:uid="{00000000-0005-0000-0000-00002F5A0000}"/>
    <cellStyle name="Currency 3 2 2 3 2 2 3" xfId="21841" xr:uid="{00000000-0005-0000-0000-0000305A0000}"/>
    <cellStyle name="Currency 3 2 2 3 2 3" xfId="5927" xr:uid="{00000000-0005-0000-0000-0000315A0000}"/>
    <cellStyle name="Currency 3 2 2 3 2 3 2" xfId="16831" xr:uid="{00000000-0005-0000-0000-0000325A0000}"/>
    <cellStyle name="Currency 3 2 2 3 2 3 2 2" xfId="30238" xr:uid="{00000000-0005-0000-0000-0000335A0000}"/>
    <cellStyle name="Currency 3 2 2 3 2 3 3" xfId="21840" xr:uid="{00000000-0005-0000-0000-0000345A0000}"/>
    <cellStyle name="Currency 3 2 2 3 2 4" xfId="9857" xr:uid="{00000000-0005-0000-0000-0000355A0000}"/>
    <cellStyle name="Currency 3 2 2 3 2 5" xfId="21842" xr:uid="{00000000-0005-0000-0000-0000365A0000}"/>
    <cellStyle name="Currency 3 2 2 3 3" xfId="5928" xr:uid="{00000000-0005-0000-0000-0000375A0000}"/>
    <cellStyle name="Currency 3 2 2 3 3 2" xfId="5929" xr:uid="{00000000-0005-0000-0000-0000385A0000}"/>
    <cellStyle name="Currency 3 2 2 3 3 2 2" xfId="13168" xr:uid="{00000000-0005-0000-0000-0000395A0000}"/>
    <cellStyle name="Currency 3 2 2 3 3 2 3" xfId="21838" xr:uid="{00000000-0005-0000-0000-00003A5A0000}"/>
    <cellStyle name="Currency 3 2 2 3 3 3" xfId="12219" xr:uid="{00000000-0005-0000-0000-00003B5A0000}"/>
    <cellStyle name="Currency 3 2 2 3 3 3 2" xfId="25931" xr:uid="{00000000-0005-0000-0000-00003C5A0000}"/>
    <cellStyle name="Currency 3 2 2 3 3 4" xfId="21839" xr:uid="{00000000-0005-0000-0000-00003D5A0000}"/>
    <cellStyle name="Currency 3 2 2 3 4" xfId="5930" xr:uid="{00000000-0005-0000-0000-00003E5A0000}"/>
    <cellStyle name="Currency 3 2 2 3 4 2" xfId="5931" xr:uid="{00000000-0005-0000-0000-00003F5A0000}"/>
    <cellStyle name="Currency 3 2 2 3 4 2 2" xfId="15627" xr:uid="{00000000-0005-0000-0000-0000405A0000}"/>
    <cellStyle name="Currency 3 2 2 3 4 2 3" xfId="21836" xr:uid="{00000000-0005-0000-0000-0000415A0000}"/>
    <cellStyle name="Currency 3 2 2 3 4 3" xfId="13783" xr:uid="{00000000-0005-0000-0000-0000425A0000}"/>
    <cellStyle name="Currency 3 2 2 3 4 3 2" xfId="27332" xr:uid="{00000000-0005-0000-0000-0000435A0000}"/>
    <cellStyle name="Currency 3 2 2 3 4 4" xfId="21837" xr:uid="{00000000-0005-0000-0000-0000445A0000}"/>
    <cellStyle name="Currency 3 2 2 3 5" xfId="5932" xr:uid="{00000000-0005-0000-0000-0000455A0000}"/>
    <cellStyle name="Currency 3 2 2 3 5 2" xfId="14364" xr:uid="{00000000-0005-0000-0000-0000465A0000}"/>
    <cellStyle name="Currency 3 2 2 3 5 2 2" xfId="27913" xr:uid="{00000000-0005-0000-0000-0000475A0000}"/>
    <cellStyle name="Currency 3 2 2 3 5 3" xfId="21835" xr:uid="{00000000-0005-0000-0000-0000485A0000}"/>
    <cellStyle name="Currency 3 2 2 3 6" xfId="5933" xr:uid="{00000000-0005-0000-0000-0000495A0000}"/>
    <cellStyle name="Currency 3 2 2 3 6 2" xfId="16250" xr:uid="{00000000-0005-0000-0000-00004A5A0000}"/>
    <cellStyle name="Currency 3 2 2 3 6 2 2" xfId="29657" xr:uid="{00000000-0005-0000-0000-00004B5A0000}"/>
    <cellStyle name="Currency 3 2 2 3 6 3" xfId="21834" xr:uid="{00000000-0005-0000-0000-00004C5A0000}"/>
    <cellStyle name="Currency 3 2 2 3 7" xfId="9856" xr:uid="{00000000-0005-0000-0000-00004D5A0000}"/>
    <cellStyle name="Currency 3 2 2 3 8" xfId="21843" xr:uid="{00000000-0005-0000-0000-00004E5A0000}"/>
    <cellStyle name="Currency 3 2 2 4" xfId="5934" xr:uid="{00000000-0005-0000-0000-00004F5A0000}"/>
    <cellStyle name="Currency 3 2 2 4 2" xfId="5935" xr:uid="{00000000-0005-0000-0000-0000505A0000}"/>
    <cellStyle name="Currency 3 2 2 4 2 2" xfId="17178" xr:uid="{00000000-0005-0000-0000-0000515A0000}"/>
    <cellStyle name="Currency 3 2 2 4 2 2 2" xfId="30537" xr:uid="{00000000-0005-0000-0000-0000525A0000}"/>
    <cellStyle name="Currency 3 2 2 4 2 3" xfId="21832" xr:uid="{00000000-0005-0000-0000-0000535A0000}"/>
    <cellStyle name="Currency 3 2 2 4 3" xfId="9858" xr:uid="{00000000-0005-0000-0000-0000545A0000}"/>
    <cellStyle name="Currency 3 2 2 4 4" xfId="21833" xr:uid="{00000000-0005-0000-0000-0000555A0000}"/>
    <cellStyle name="Currency 3 2 2 5" xfId="5936" xr:uid="{00000000-0005-0000-0000-0000565A0000}"/>
    <cellStyle name="Currency 3 2 2 5 2" xfId="5937" xr:uid="{00000000-0005-0000-0000-0000575A0000}"/>
    <cellStyle name="Currency 3 2 2 5 2 2" xfId="11369" xr:uid="{00000000-0005-0000-0000-0000585A0000}"/>
    <cellStyle name="Currency 3 2 2 5 2 3" xfId="21830" xr:uid="{00000000-0005-0000-0000-0000595A0000}"/>
    <cellStyle name="Currency 3 2 2 5 3" xfId="5938" xr:uid="{00000000-0005-0000-0000-00005A5A0000}"/>
    <cellStyle name="Currency 3 2 2 5 3 2" xfId="17267" xr:uid="{00000000-0005-0000-0000-00005B5A0000}"/>
    <cellStyle name="Currency 3 2 2 5 3 2 2" xfId="30626" xr:uid="{00000000-0005-0000-0000-00005C5A0000}"/>
    <cellStyle name="Currency 3 2 2 5 3 3" xfId="21829" xr:uid="{00000000-0005-0000-0000-00005D5A0000}"/>
    <cellStyle name="Currency 3 2 2 5 4" xfId="9859" xr:uid="{00000000-0005-0000-0000-00005E5A0000}"/>
    <cellStyle name="Currency 3 2 2 5 5" xfId="21831" xr:uid="{00000000-0005-0000-0000-00005F5A0000}"/>
    <cellStyle name="Currency 3 2 2 6" xfId="5939" xr:uid="{00000000-0005-0000-0000-0000605A0000}"/>
    <cellStyle name="Currency 3 2 2 6 2" xfId="5940" xr:uid="{00000000-0005-0000-0000-0000615A0000}"/>
    <cellStyle name="Currency 3 2 2 6 2 2" xfId="13169" xr:uid="{00000000-0005-0000-0000-0000625A0000}"/>
    <cellStyle name="Currency 3 2 2 6 2 3" xfId="21827" xr:uid="{00000000-0005-0000-0000-0000635A0000}"/>
    <cellStyle name="Currency 3 2 2 6 3" xfId="5941" xr:uid="{00000000-0005-0000-0000-0000645A0000}"/>
    <cellStyle name="Currency 3 2 2 6 3 2" xfId="16542" xr:uid="{00000000-0005-0000-0000-0000655A0000}"/>
    <cellStyle name="Currency 3 2 2 6 3 2 2" xfId="29949" xr:uid="{00000000-0005-0000-0000-0000665A0000}"/>
    <cellStyle name="Currency 3 2 2 6 3 3" xfId="21826" xr:uid="{00000000-0005-0000-0000-0000675A0000}"/>
    <cellStyle name="Currency 3 2 2 6 4" xfId="11917" xr:uid="{00000000-0005-0000-0000-0000685A0000}"/>
    <cellStyle name="Currency 3 2 2 6 4 2" xfId="25632" xr:uid="{00000000-0005-0000-0000-0000695A0000}"/>
    <cellStyle name="Currency 3 2 2 6 5" xfId="21828" xr:uid="{00000000-0005-0000-0000-00006A5A0000}"/>
    <cellStyle name="Currency 3 2 2 7" xfId="5942" xr:uid="{00000000-0005-0000-0000-00006B5A0000}"/>
    <cellStyle name="Currency 3 2 2 7 2" xfId="5943" xr:uid="{00000000-0005-0000-0000-00006C5A0000}"/>
    <cellStyle name="Currency 3 2 2 7 2 2" xfId="15628" xr:uid="{00000000-0005-0000-0000-00006D5A0000}"/>
    <cellStyle name="Currency 3 2 2 7 2 3" xfId="21824" xr:uid="{00000000-0005-0000-0000-00006E5A0000}"/>
    <cellStyle name="Currency 3 2 2 7 3" xfId="13494" xr:uid="{00000000-0005-0000-0000-00006F5A0000}"/>
    <cellStyle name="Currency 3 2 2 7 3 2" xfId="27043" xr:uid="{00000000-0005-0000-0000-0000705A0000}"/>
    <cellStyle name="Currency 3 2 2 7 4" xfId="21825" xr:uid="{00000000-0005-0000-0000-0000715A0000}"/>
    <cellStyle name="Currency 3 2 2 8" xfId="5944" xr:uid="{00000000-0005-0000-0000-0000725A0000}"/>
    <cellStyle name="Currency 3 2 2 8 2" xfId="14075" xr:uid="{00000000-0005-0000-0000-0000735A0000}"/>
    <cellStyle name="Currency 3 2 2 8 2 2" xfId="27624" xr:uid="{00000000-0005-0000-0000-0000745A0000}"/>
    <cellStyle name="Currency 3 2 2 8 3" xfId="21823" xr:uid="{00000000-0005-0000-0000-0000755A0000}"/>
    <cellStyle name="Currency 3 2 2 9" xfId="5945" xr:uid="{00000000-0005-0000-0000-0000765A0000}"/>
    <cellStyle name="Currency 3 2 2 9 2" xfId="15961" xr:uid="{00000000-0005-0000-0000-0000775A0000}"/>
    <cellStyle name="Currency 3 2 2 9 2 2" xfId="29368" xr:uid="{00000000-0005-0000-0000-0000785A0000}"/>
    <cellStyle name="Currency 3 2 2 9 3" xfId="21822" xr:uid="{00000000-0005-0000-0000-0000795A0000}"/>
    <cellStyle name="Currency 3 2 3" xfId="5946" xr:uid="{00000000-0005-0000-0000-00007A5A0000}"/>
    <cellStyle name="Currency 3 2 3 2" xfId="5947" xr:uid="{00000000-0005-0000-0000-00007B5A0000}"/>
    <cellStyle name="Currency 3 2 3 2 2" xfId="5948" xr:uid="{00000000-0005-0000-0000-00007C5A0000}"/>
    <cellStyle name="Currency 3 2 3 2 2 2" xfId="5949" xr:uid="{00000000-0005-0000-0000-00007D5A0000}"/>
    <cellStyle name="Currency 3 2 3 2 2 2 2" xfId="11370" xr:uid="{00000000-0005-0000-0000-00007E5A0000}"/>
    <cellStyle name="Currency 3 2 3 2 2 2 3" xfId="21818" xr:uid="{00000000-0005-0000-0000-00007F5A0000}"/>
    <cellStyle name="Currency 3 2 3 2 2 3" xfId="5950" xr:uid="{00000000-0005-0000-0000-0000805A0000}"/>
    <cellStyle name="Currency 3 2 3 2 2 3 2" xfId="16928" xr:uid="{00000000-0005-0000-0000-0000815A0000}"/>
    <cellStyle name="Currency 3 2 3 2 2 3 2 2" xfId="30335" xr:uid="{00000000-0005-0000-0000-0000825A0000}"/>
    <cellStyle name="Currency 3 2 3 2 2 3 3" xfId="21817" xr:uid="{00000000-0005-0000-0000-0000835A0000}"/>
    <cellStyle name="Currency 3 2 3 2 2 4" xfId="9862" xr:uid="{00000000-0005-0000-0000-0000845A0000}"/>
    <cellStyle name="Currency 3 2 3 2 2 5" xfId="21819" xr:uid="{00000000-0005-0000-0000-0000855A0000}"/>
    <cellStyle name="Currency 3 2 3 2 3" xfId="5951" xr:uid="{00000000-0005-0000-0000-0000865A0000}"/>
    <cellStyle name="Currency 3 2 3 2 3 2" xfId="5952" xr:uid="{00000000-0005-0000-0000-0000875A0000}"/>
    <cellStyle name="Currency 3 2 3 2 3 2 2" xfId="13170" xr:uid="{00000000-0005-0000-0000-0000885A0000}"/>
    <cellStyle name="Currency 3 2 3 2 3 2 3" xfId="21815" xr:uid="{00000000-0005-0000-0000-0000895A0000}"/>
    <cellStyle name="Currency 3 2 3 2 3 3" xfId="12316" xr:uid="{00000000-0005-0000-0000-00008A5A0000}"/>
    <cellStyle name="Currency 3 2 3 2 3 3 2" xfId="26028" xr:uid="{00000000-0005-0000-0000-00008B5A0000}"/>
    <cellStyle name="Currency 3 2 3 2 3 4" xfId="21816" xr:uid="{00000000-0005-0000-0000-00008C5A0000}"/>
    <cellStyle name="Currency 3 2 3 2 4" xfId="5953" xr:uid="{00000000-0005-0000-0000-00008D5A0000}"/>
    <cellStyle name="Currency 3 2 3 2 4 2" xfId="5954" xr:uid="{00000000-0005-0000-0000-00008E5A0000}"/>
    <cellStyle name="Currency 3 2 3 2 4 2 2" xfId="15629" xr:uid="{00000000-0005-0000-0000-00008F5A0000}"/>
    <cellStyle name="Currency 3 2 3 2 4 2 3" xfId="21813" xr:uid="{00000000-0005-0000-0000-0000905A0000}"/>
    <cellStyle name="Currency 3 2 3 2 4 3" xfId="13880" xr:uid="{00000000-0005-0000-0000-0000915A0000}"/>
    <cellStyle name="Currency 3 2 3 2 4 3 2" xfId="27429" xr:uid="{00000000-0005-0000-0000-0000925A0000}"/>
    <cellStyle name="Currency 3 2 3 2 4 4" xfId="21814" xr:uid="{00000000-0005-0000-0000-0000935A0000}"/>
    <cellStyle name="Currency 3 2 3 2 5" xfId="5955" xr:uid="{00000000-0005-0000-0000-0000945A0000}"/>
    <cellStyle name="Currency 3 2 3 2 5 2" xfId="14461" xr:uid="{00000000-0005-0000-0000-0000955A0000}"/>
    <cellStyle name="Currency 3 2 3 2 5 2 2" xfId="28010" xr:uid="{00000000-0005-0000-0000-0000965A0000}"/>
    <cellStyle name="Currency 3 2 3 2 5 3" xfId="21812" xr:uid="{00000000-0005-0000-0000-0000975A0000}"/>
    <cellStyle name="Currency 3 2 3 2 6" xfId="5956" xr:uid="{00000000-0005-0000-0000-0000985A0000}"/>
    <cellStyle name="Currency 3 2 3 2 6 2" xfId="16347" xr:uid="{00000000-0005-0000-0000-0000995A0000}"/>
    <cellStyle name="Currency 3 2 3 2 6 2 2" xfId="29754" xr:uid="{00000000-0005-0000-0000-00009A5A0000}"/>
    <cellStyle name="Currency 3 2 3 2 6 3" xfId="21811" xr:uid="{00000000-0005-0000-0000-00009B5A0000}"/>
    <cellStyle name="Currency 3 2 3 2 7" xfId="9861" xr:uid="{00000000-0005-0000-0000-00009C5A0000}"/>
    <cellStyle name="Currency 3 2 3 2 8" xfId="21820" xr:uid="{00000000-0005-0000-0000-00009D5A0000}"/>
    <cellStyle name="Currency 3 2 3 3" xfId="5957" xr:uid="{00000000-0005-0000-0000-00009E5A0000}"/>
    <cellStyle name="Currency 3 2 3 3 2" xfId="5958" xr:uid="{00000000-0005-0000-0000-00009F5A0000}"/>
    <cellStyle name="Currency 3 2 3 3 2 2" xfId="11371" xr:uid="{00000000-0005-0000-0000-0000A05A0000}"/>
    <cellStyle name="Currency 3 2 3 3 2 3" xfId="21809" xr:uid="{00000000-0005-0000-0000-0000A15A0000}"/>
    <cellStyle name="Currency 3 2 3 3 3" xfId="5959" xr:uid="{00000000-0005-0000-0000-0000A25A0000}"/>
    <cellStyle name="Currency 3 2 3 3 3 2" xfId="16639" xr:uid="{00000000-0005-0000-0000-0000A35A0000}"/>
    <cellStyle name="Currency 3 2 3 3 3 2 2" xfId="30046" xr:uid="{00000000-0005-0000-0000-0000A45A0000}"/>
    <cellStyle name="Currency 3 2 3 3 3 3" xfId="21808" xr:uid="{00000000-0005-0000-0000-0000A55A0000}"/>
    <cellStyle name="Currency 3 2 3 3 4" xfId="9863" xr:uid="{00000000-0005-0000-0000-0000A65A0000}"/>
    <cellStyle name="Currency 3 2 3 3 5" xfId="21810" xr:uid="{00000000-0005-0000-0000-0000A75A0000}"/>
    <cellStyle name="Currency 3 2 3 4" xfId="5960" xr:uid="{00000000-0005-0000-0000-0000A85A0000}"/>
    <cellStyle name="Currency 3 2 3 4 2" xfId="5961" xr:uid="{00000000-0005-0000-0000-0000A95A0000}"/>
    <cellStyle name="Currency 3 2 3 4 2 2" xfId="13171" xr:uid="{00000000-0005-0000-0000-0000AA5A0000}"/>
    <cellStyle name="Currency 3 2 3 4 2 3" xfId="21806" xr:uid="{00000000-0005-0000-0000-0000AB5A0000}"/>
    <cellStyle name="Currency 3 2 3 4 3" xfId="12016" xr:uid="{00000000-0005-0000-0000-0000AC5A0000}"/>
    <cellStyle name="Currency 3 2 3 4 3 2" xfId="25731" xr:uid="{00000000-0005-0000-0000-0000AD5A0000}"/>
    <cellStyle name="Currency 3 2 3 4 4" xfId="21807" xr:uid="{00000000-0005-0000-0000-0000AE5A0000}"/>
    <cellStyle name="Currency 3 2 3 5" xfId="5962" xr:uid="{00000000-0005-0000-0000-0000AF5A0000}"/>
    <cellStyle name="Currency 3 2 3 5 2" xfId="5963" xr:uid="{00000000-0005-0000-0000-0000B05A0000}"/>
    <cellStyle name="Currency 3 2 3 5 2 2" xfId="15630" xr:uid="{00000000-0005-0000-0000-0000B15A0000}"/>
    <cellStyle name="Currency 3 2 3 5 2 3" xfId="21804" xr:uid="{00000000-0005-0000-0000-0000B25A0000}"/>
    <cellStyle name="Currency 3 2 3 5 3" xfId="13591" xr:uid="{00000000-0005-0000-0000-0000B35A0000}"/>
    <cellStyle name="Currency 3 2 3 5 3 2" xfId="27140" xr:uid="{00000000-0005-0000-0000-0000B45A0000}"/>
    <cellStyle name="Currency 3 2 3 5 4" xfId="21805" xr:uid="{00000000-0005-0000-0000-0000B55A0000}"/>
    <cellStyle name="Currency 3 2 3 6" xfId="5964" xr:uid="{00000000-0005-0000-0000-0000B65A0000}"/>
    <cellStyle name="Currency 3 2 3 6 2" xfId="14172" xr:uid="{00000000-0005-0000-0000-0000B75A0000}"/>
    <cellStyle name="Currency 3 2 3 6 2 2" xfId="27721" xr:uid="{00000000-0005-0000-0000-0000B85A0000}"/>
    <cellStyle name="Currency 3 2 3 6 3" xfId="21803" xr:uid="{00000000-0005-0000-0000-0000B95A0000}"/>
    <cellStyle name="Currency 3 2 3 7" xfId="5965" xr:uid="{00000000-0005-0000-0000-0000BA5A0000}"/>
    <cellStyle name="Currency 3 2 3 7 2" xfId="16058" xr:uid="{00000000-0005-0000-0000-0000BB5A0000}"/>
    <cellStyle name="Currency 3 2 3 7 2 2" xfId="29465" xr:uid="{00000000-0005-0000-0000-0000BC5A0000}"/>
    <cellStyle name="Currency 3 2 3 7 3" xfId="21802" xr:uid="{00000000-0005-0000-0000-0000BD5A0000}"/>
    <cellStyle name="Currency 3 2 3 8" xfId="9860" xr:uid="{00000000-0005-0000-0000-0000BE5A0000}"/>
    <cellStyle name="Currency 3 2 3 9" xfId="21821" xr:uid="{00000000-0005-0000-0000-0000BF5A0000}"/>
    <cellStyle name="Currency 3 2 4" xfId="5966" xr:uid="{00000000-0005-0000-0000-0000C05A0000}"/>
    <cellStyle name="Currency 3 2 4 2" xfId="5967" xr:uid="{00000000-0005-0000-0000-0000C15A0000}"/>
    <cellStyle name="Currency 3 2 4 2 2" xfId="5968" xr:uid="{00000000-0005-0000-0000-0000C25A0000}"/>
    <cellStyle name="Currency 3 2 4 2 2 2" xfId="11372" xr:uid="{00000000-0005-0000-0000-0000C35A0000}"/>
    <cellStyle name="Currency 3 2 4 2 2 3" xfId="21799" xr:uid="{00000000-0005-0000-0000-0000C45A0000}"/>
    <cellStyle name="Currency 3 2 4 2 3" xfId="5969" xr:uid="{00000000-0005-0000-0000-0000C55A0000}"/>
    <cellStyle name="Currency 3 2 4 2 3 2" xfId="16785" xr:uid="{00000000-0005-0000-0000-0000C65A0000}"/>
    <cellStyle name="Currency 3 2 4 2 3 2 2" xfId="30192" xr:uid="{00000000-0005-0000-0000-0000C75A0000}"/>
    <cellStyle name="Currency 3 2 4 2 3 3" xfId="21798" xr:uid="{00000000-0005-0000-0000-0000C85A0000}"/>
    <cellStyle name="Currency 3 2 4 2 4" xfId="9865" xr:uid="{00000000-0005-0000-0000-0000C95A0000}"/>
    <cellStyle name="Currency 3 2 4 2 5" xfId="21800" xr:uid="{00000000-0005-0000-0000-0000CA5A0000}"/>
    <cellStyle name="Currency 3 2 4 3" xfId="5970" xr:uid="{00000000-0005-0000-0000-0000CB5A0000}"/>
    <cellStyle name="Currency 3 2 4 3 2" xfId="5971" xr:uid="{00000000-0005-0000-0000-0000CC5A0000}"/>
    <cellStyle name="Currency 3 2 4 3 2 2" xfId="13172" xr:uid="{00000000-0005-0000-0000-0000CD5A0000}"/>
    <cellStyle name="Currency 3 2 4 3 2 3" xfId="21796" xr:uid="{00000000-0005-0000-0000-0000CE5A0000}"/>
    <cellStyle name="Currency 3 2 4 3 3" xfId="12173" xr:uid="{00000000-0005-0000-0000-0000CF5A0000}"/>
    <cellStyle name="Currency 3 2 4 3 3 2" xfId="25885" xr:uid="{00000000-0005-0000-0000-0000D05A0000}"/>
    <cellStyle name="Currency 3 2 4 3 4" xfId="21797" xr:uid="{00000000-0005-0000-0000-0000D15A0000}"/>
    <cellStyle name="Currency 3 2 4 4" xfId="5972" xr:uid="{00000000-0005-0000-0000-0000D25A0000}"/>
    <cellStyle name="Currency 3 2 4 4 2" xfId="5973" xr:uid="{00000000-0005-0000-0000-0000D35A0000}"/>
    <cellStyle name="Currency 3 2 4 4 2 2" xfId="15631" xr:uid="{00000000-0005-0000-0000-0000D45A0000}"/>
    <cellStyle name="Currency 3 2 4 4 2 3" xfId="21794" xr:uid="{00000000-0005-0000-0000-0000D55A0000}"/>
    <cellStyle name="Currency 3 2 4 4 3" xfId="13737" xr:uid="{00000000-0005-0000-0000-0000D65A0000}"/>
    <cellStyle name="Currency 3 2 4 4 3 2" xfId="27286" xr:uid="{00000000-0005-0000-0000-0000D75A0000}"/>
    <cellStyle name="Currency 3 2 4 4 4" xfId="21795" xr:uid="{00000000-0005-0000-0000-0000D85A0000}"/>
    <cellStyle name="Currency 3 2 4 5" xfId="5974" xr:uid="{00000000-0005-0000-0000-0000D95A0000}"/>
    <cellStyle name="Currency 3 2 4 5 2" xfId="14318" xr:uid="{00000000-0005-0000-0000-0000DA5A0000}"/>
    <cellStyle name="Currency 3 2 4 5 2 2" xfId="27867" xr:uid="{00000000-0005-0000-0000-0000DB5A0000}"/>
    <cellStyle name="Currency 3 2 4 5 3" xfId="21793" xr:uid="{00000000-0005-0000-0000-0000DC5A0000}"/>
    <cellStyle name="Currency 3 2 4 6" xfId="5975" xr:uid="{00000000-0005-0000-0000-0000DD5A0000}"/>
    <cellStyle name="Currency 3 2 4 6 2" xfId="16204" xr:uid="{00000000-0005-0000-0000-0000DE5A0000}"/>
    <cellStyle name="Currency 3 2 4 6 2 2" xfId="29611" xr:uid="{00000000-0005-0000-0000-0000DF5A0000}"/>
    <cellStyle name="Currency 3 2 4 6 3" xfId="21792" xr:uid="{00000000-0005-0000-0000-0000E05A0000}"/>
    <cellStyle name="Currency 3 2 4 7" xfId="9864" xr:uid="{00000000-0005-0000-0000-0000E15A0000}"/>
    <cellStyle name="Currency 3 2 4 8" xfId="21801" xr:uid="{00000000-0005-0000-0000-0000E25A0000}"/>
    <cellStyle name="Currency 3 2 5" xfId="5976" xr:uid="{00000000-0005-0000-0000-0000E35A0000}"/>
    <cellStyle name="Currency 3 2 5 2" xfId="5977" xr:uid="{00000000-0005-0000-0000-0000E45A0000}"/>
    <cellStyle name="Currency 3 2 5 2 2" xfId="5978" xr:uid="{00000000-0005-0000-0000-0000E55A0000}"/>
    <cellStyle name="Currency 3 2 5 2 2 2" xfId="11374" xr:uid="{00000000-0005-0000-0000-0000E65A0000}"/>
    <cellStyle name="Currency 3 2 5 2 2 3" xfId="21789" xr:uid="{00000000-0005-0000-0000-0000E75A0000}"/>
    <cellStyle name="Currency 3 2 5 2 3" xfId="9867" xr:uid="{00000000-0005-0000-0000-0000E85A0000}"/>
    <cellStyle name="Currency 3 2 5 2 4" xfId="21790" xr:uid="{00000000-0005-0000-0000-0000E95A0000}"/>
    <cellStyle name="Currency 3 2 5 3" xfId="5979" xr:uid="{00000000-0005-0000-0000-0000EA5A0000}"/>
    <cellStyle name="Currency 3 2 5 3 2" xfId="11373" xr:uid="{00000000-0005-0000-0000-0000EB5A0000}"/>
    <cellStyle name="Currency 3 2 5 3 3" xfId="21788" xr:uid="{00000000-0005-0000-0000-0000EC5A0000}"/>
    <cellStyle name="Currency 3 2 5 4" xfId="5980" xr:uid="{00000000-0005-0000-0000-0000ED5A0000}"/>
    <cellStyle name="Currency 3 2 5 4 2" xfId="17028" xr:uid="{00000000-0005-0000-0000-0000EE5A0000}"/>
    <cellStyle name="Currency 3 2 5 4 2 2" xfId="30435" xr:uid="{00000000-0005-0000-0000-0000EF5A0000}"/>
    <cellStyle name="Currency 3 2 5 4 3" xfId="21787" xr:uid="{00000000-0005-0000-0000-0000F05A0000}"/>
    <cellStyle name="Currency 3 2 5 5" xfId="9866" xr:uid="{00000000-0005-0000-0000-0000F15A0000}"/>
    <cellStyle name="Currency 3 2 5 6" xfId="21791" xr:uid="{00000000-0005-0000-0000-0000F25A0000}"/>
    <cellStyle name="Currency 3 2 6" xfId="5981" xr:uid="{00000000-0005-0000-0000-0000F35A0000}"/>
    <cellStyle name="Currency 3 2 6 2" xfId="5982" xr:uid="{00000000-0005-0000-0000-0000F45A0000}"/>
    <cellStyle name="Currency 3 2 6 2 2" xfId="17132" xr:uid="{00000000-0005-0000-0000-0000F55A0000}"/>
    <cellStyle name="Currency 3 2 6 2 2 2" xfId="30491" xr:uid="{00000000-0005-0000-0000-0000F65A0000}"/>
    <cellStyle name="Currency 3 2 6 2 3" xfId="21785" xr:uid="{00000000-0005-0000-0000-0000F75A0000}"/>
    <cellStyle name="Currency 3 2 6 3" xfId="9868" xr:uid="{00000000-0005-0000-0000-0000F85A0000}"/>
    <cellStyle name="Currency 3 2 6 4" xfId="21786" xr:uid="{00000000-0005-0000-0000-0000F95A0000}"/>
    <cellStyle name="Currency 3 2 7" xfId="5983" xr:uid="{00000000-0005-0000-0000-0000FA5A0000}"/>
    <cellStyle name="Currency 3 2 7 2" xfId="5984" xr:uid="{00000000-0005-0000-0000-0000FB5A0000}"/>
    <cellStyle name="Currency 3 2 7 2 2" xfId="11375" xr:uid="{00000000-0005-0000-0000-0000FC5A0000}"/>
    <cellStyle name="Currency 3 2 7 2 3" xfId="21783" xr:uid="{00000000-0005-0000-0000-0000FD5A0000}"/>
    <cellStyle name="Currency 3 2 7 3" xfId="5985" xr:uid="{00000000-0005-0000-0000-0000FE5A0000}"/>
    <cellStyle name="Currency 3 2 7 3 2" xfId="17221" xr:uid="{00000000-0005-0000-0000-0000FF5A0000}"/>
    <cellStyle name="Currency 3 2 7 3 2 2" xfId="30580" xr:uid="{00000000-0005-0000-0000-0000005B0000}"/>
    <cellStyle name="Currency 3 2 7 3 3" xfId="21782" xr:uid="{00000000-0005-0000-0000-0000015B0000}"/>
    <cellStyle name="Currency 3 2 7 4" xfId="9869" xr:uid="{00000000-0005-0000-0000-0000025B0000}"/>
    <cellStyle name="Currency 3 2 7 5" xfId="21784" xr:uid="{00000000-0005-0000-0000-0000035B0000}"/>
    <cellStyle name="Currency 3 2 8" xfId="5986" xr:uid="{00000000-0005-0000-0000-0000045B0000}"/>
    <cellStyle name="Currency 3 2 8 2" xfId="5987" xr:uid="{00000000-0005-0000-0000-0000055B0000}"/>
    <cellStyle name="Currency 3 2 8 2 2" xfId="11376" xr:uid="{00000000-0005-0000-0000-0000065B0000}"/>
    <cellStyle name="Currency 3 2 8 2 3" xfId="21780" xr:uid="{00000000-0005-0000-0000-0000075B0000}"/>
    <cellStyle name="Currency 3 2 8 3" xfId="5988" xr:uid="{00000000-0005-0000-0000-0000085B0000}"/>
    <cellStyle name="Currency 3 2 8 3 2" xfId="16496" xr:uid="{00000000-0005-0000-0000-0000095B0000}"/>
    <cellStyle name="Currency 3 2 8 3 2 2" xfId="29903" xr:uid="{00000000-0005-0000-0000-00000A5B0000}"/>
    <cellStyle name="Currency 3 2 8 3 3" xfId="21779" xr:uid="{00000000-0005-0000-0000-00000B5B0000}"/>
    <cellStyle name="Currency 3 2 8 4" xfId="9870" xr:uid="{00000000-0005-0000-0000-00000C5B0000}"/>
    <cellStyle name="Currency 3 2 8 5" xfId="21781" xr:uid="{00000000-0005-0000-0000-00000D5B0000}"/>
    <cellStyle name="Currency 3 2 9" xfId="5989" xr:uid="{00000000-0005-0000-0000-00000E5B0000}"/>
    <cellStyle name="Currency 3 2 9 2" xfId="5990" xr:uid="{00000000-0005-0000-0000-00000F5B0000}"/>
    <cellStyle name="Currency 3 2 9 2 2" xfId="13173" xr:uid="{00000000-0005-0000-0000-0000105B0000}"/>
    <cellStyle name="Currency 3 2 9 2 2 2" xfId="26878" xr:uid="{00000000-0005-0000-0000-0000115B0000}"/>
    <cellStyle name="Currency 3 2 9 2 3" xfId="21777" xr:uid="{00000000-0005-0000-0000-0000125B0000}"/>
    <cellStyle name="Currency 3 2 9 3" xfId="5991" xr:uid="{00000000-0005-0000-0000-0000135B0000}"/>
    <cellStyle name="Currency 3 2 9 3 2" xfId="15632" xr:uid="{00000000-0005-0000-0000-0000145B0000}"/>
    <cellStyle name="Currency 3 2 9 3 3" xfId="21776" xr:uid="{00000000-0005-0000-0000-0000155B0000}"/>
    <cellStyle name="Currency 3 2 9 4" xfId="10541" xr:uid="{00000000-0005-0000-0000-0000165B0000}"/>
    <cellStyle name="Currency 3 2 9 4 2" xfId="24483" xr:uid="{00000000-0005-0000-0000-0000175B0000}"/>
    <cellStyle name="Currency 3 2 9 5" xfId="21778" xr:uid="{00000000-0005-0000-0000-0000185B0000}"/>
    <cellStyle name="Currency 3 20" xfId="5992" xr:uid="{00000000-0005-0000-0000-0000195B0000}"/>
    <cellStyle name="Currency 3 20 2" xfId="5993" xr:uid="{00000000-0005-0000-0000-00001A5B0000}"/>
    <cellStyle name="Currency 3 20 2 2" xfId="11377" xr:uid="{00000000-0005-0000-0000-00001B5B0000}"/>
    <cellStyle name="Currency 3 20 2 3" xfId="21774" xr:uid="{00000000-0005-0000-0000-00001C5B0000}"/>
    <cellStyle name="Currency 3 20 3" xfId="9871" xr:uid="{00000000-0005-0000-0000-00001D5B0000}"/>
    <cellStyle name="Currency 3 20 4" xfId="21775" xr:uid="{00000000-0005-0000-0000-00001E5B0000}"/>
    <cellStyle name="Currency 3 21" xfId="5994" xr:uid="{00000000-0005-0000-0000-00001F5B0000}"/>
    <cellStyle name="Currency 3 21 2" xfId="5995" xr:uid="{00000000-0005-0000-0000-0000205B0000}"/>
    <cellStyle name="Currency 3 21 2 2" xfId="11723" xr:uid="{00000000-0005-0000-0000-0000215B0000}"/>
    <cellStyle name="Currency 3 21 2 2 2" xfId="25443" xr:uid="{00000000-0005-0000-0000-0000225B0000}"/>
    <cellStyle name="Currency 3 21 2 3" xfId="21772" xr:uid="{00000000-0005-0000-0000-0000235B0000}"/>
    <cellStyle name="Currency 3 21 3" xfId="5996" xr:uid="{00000000-0005-0000-0000-0000245B0000}"/>
    <cellStyle name="Currency 3 21 3 2" xfId="13174" xr:uid="{00000000-0005-0000-0000-0000255B0000}"/>
    <cellStyle name="Currency 3 21 3 2 2" xfId="26879" xr:uid="{00000000-0005-0000-0000-0000265B0000}"/>
    <cellStyle name="Currency 3 21 3 3" xfId="21771" xr:uid="{00000000-0005-0000-0000-0000275B0000}"/>
    <cellStyle name="Currency 3 21 4" xfId="5997" xr:uid="{00000000-0005-0000-0000-0000285B0000}"/>
    <cellStyle name="Currency 3 21 4 2" xfId="15633" xr:uid="{00000000-0005-0000-0000-0000295B0000}"/>
    <cellStyle name="Currency 3 21 4 3" xfId="21770" xr:uid="{00000000-0005-0000-0000-00002A5B0000}"/>
    <cellStyle name="Currency 3 21 5" xfId="10488" xr:uid="{00000000-0005-0000-0000-00002B5B0000}"/>
    <cellStyle name="Currency 3 21 5 2" xfId="24447" xr:uid="{00000000-0005-0000-0000-00002C5B0000}"/>
    <cellStyle name="Currency 3 21 6" xfId="21773" xr:uid="{00000000-0005-0000-0000-00002D5B0000}"/>
    <cellStyle name="Currency 3 22" xfId="5998" xr:uid="{00000000-0005-0000-0000-00002E5B0000}"/>
    <cellStyle name="Currency 3 22 2" xfId="5999" xr:uid="{00000000-0005-0000-0000-00002F5B0000}"/>
    <cellStyle name="Currency 3 22 2 2" xfId="13175" xr:uid="{00000000-0005-0000-0000-0000305B0000}"/>
    <cellStyle name="Currency 3 22 2 2 2" xfId="26880" xr:uid="{00000000-0005-0000-0000-0000315B0000}"/>
    <cellStyle name="Currency 3 22 2 3" xfId="21768" xr:uid="{00000000-0005-0000-0000-0000325B0000}"/>
    <cellStyle name="Currency 3 22 3" xfId="6000" xr:uid="{00000000-0005-0000-0000-0000335B0000}"/>
    <cellStyle name="Currency 3 22 3 2" xfId="15634" xr:uid="{00000000-0005-0000-0000-0000345B0000}"/>
    <cellStyle name="Currency 3 22 3 3" xfId="21767" xr:uid="{00000000-0005-0000-0000-0000355B0000}"/>
    <cellStyle name="Currency 3 22 4" xfId="10518" xr:uid="{00000000-0005-0000-0000-0000365B0000}"/>
    <cellStyle name="Currency 3 22 4 2" xfId="24466" xr:uid="{00000000-0005-0000-0000-0000375B0000}"/>
    <cellStyle name="Currency 3 22 5" xfId="21769" xr:uid="{00000000-0005-0000-0000-0000385B0000}"/>
    <cellStyle name="Currency 3 23" xfId="6001" xr:uid="{00000000-0005-0000-0000-0000395B0000}"/>
    <cellStyle name="Currency 3 23 2" xfId="11357" xr:uid="{00000000-0005-0000-0000-00003A5B0000}"/>
    <cellStyle name="Currency 3 23 3" xfId="21766" xr:uid="{00000000-0005-0000-0000-00003B5B0000}"/>
    <cellStyle name="Currency 3 24" xfId="6002" xr:uid="{00000000-0005-0000-0000-00003C5B0000}"/>
    <cellStyle name="Currency 3 24 2" xfId="11763" xr:uid="{00000000-0005-0000-0000-00003D5B0000}"/>
    <cellStyle name="Currency 3 24 2 2" xfId="25478" xr:uid="{00000000-0005-0000-0000-00003E5B0000}"/>
    <cellStyle name="Currency 3 24 3" xfId="21765" xr:uid="{00000000-0005-0000-0000-00003F5B0000}"/>
    <cellStyle name="Currency 3 25" xfId="6003" xr:uid="{00000000-0005-0000-0000-0000405B0000}"/>
    <cellStyle name="Currency 3 25 2" xfId="13391" xr:uid="{00000000-0005-0000-0000-0000415B0000}"/>
    <cellStyle name="Currency 3 25 2 2" xfId="26940" xr:uid="{00000000-0005-0000-0000-0000425B0000}"/>
    <cellStyle name="Currency 3 25 3" xfId="21764" xr:uid="{00000000-0005-0000-0000-0000435B0000}"/>
    <cellStyle name="Currency 3 26" xfId="6004" xr:uid="{00000000-0005-0000-0000-0000445B0000}"/>
    <cellStyle name="Currency 3 26 2" xfId="13972" xr:uid="{00000000-0005-0000-0000-0000455B0000}"/>
    <cellStyle name="Currency 3 26 2 2" xfId="27521" xr:uid="{00000000-0005-0000-0000-0000465B0000}"/>
    <cellStyle name="Currency 3 26 3" xfId="21763" xr:uid="{00000000-0005-0000-0000-0000475B0000}"/>
    <cellStyle name="Currency 3 27" xfId="6005" xr:uid="{00000000-0005-0000-0000-0000485B0000}"/>
    <cellStyle name="Currency 3 27 2" xfId="15828" xr:uid="{00000000-0005-0000-0000-0000495B0000}"/>
    <cellStyle name="Currency 3 27 2 2" xfId="29235" xr:uid="{00000000-0005-0000-0000-00004A5B0000}"/>
    <cellStyle name="Currency 3 27 3" xfId="21762" xr:uid="{00000000-0005-0000-0000-00004B5B0000}"/>
    <cellStyle name="Currency 3 28" xfId="6006" xr:uid="{00000000-0005-0000-0000-00004C5B0000}"/>
    <cellStyle name="Currency 3 28 2" xfId="15858" xr:uid="{00000000-0005-0000-0000-00004D5B0000}"/>
    <cellStyle name="Currency 3 28 2 2" xfId="29265" xr:uid="{00000000-0005-0000-0000-00004E5B0000}"/>
    <cellStyle name="Currency 3 28 3" xfId="21761" xr:uid="{00000000-0005-0000-0000-00004F5B0000}"/>
    <cellStyle name="Currency 3 29" xfId="8656" xr:uid="{00000000-0005-0000-0000-0000505B0000}"/>
    <cellStyle name="Currency 3 29 2" xfId="9838" xr:uid="{00000000-0005-0000-0000-0000515B0000}"/>
    <cellStyle name="Currency 3 3" xfId="6007" xr:uid="{00000000-0005-0000-0000-0000525B0000}"/>
    <cellStyle name="Currency 3 3 10" xfId="6008" xr:uid="{00000000-0005-0000-0000-0000535B0000}"/>
    <cellStyle name="Currency 3 3 10 2" xfId="17334" xr:uid="{00000000-0005-0000-0000-0000545B0000}"/>
    <cellStyle name="Currency 3 3 10 3" xfId="21759" xr:uid="{00000000-0005-0000-0000-0000555B0000}"/>
    <cellStyle name="Currency 3 3 11" xfId="8735" xr:uid="{00000000-0005-0000-0000-0000565B0000}"/>
    <cellStyle name="Currency 3 3 12" xfId="9872" xr:uid="{00000000-0005-0000-0000-0000575B0000}"/>
    <cellStyle name="Currency 3 3 13" xfId="21760" xr:uid="{00000000-0005-0000-0000-0000585B0000}"/>
    <cellStyle name="Currency 3 3 2" xfId="6009" xr:uid="{00000000-0005-0000-0000-0000595B0000}"/>
    <cellStyle name="Currency 3 3 2 2" xfId="6010" xr:uid="{00000000-0005-0000-0000-00005A5B0000}"/>
    <cellStyle name="Currency 3 3 2 2 2" xfId="6011" xr:uid="{00000000-0005-0000-0000-00005B5B0000}"/>
    <cellStyle name="Currency 3 3 2 2 2 2" xfId="6012" xr:uid="{00000000-0005-0000-0000-00005C5B0000}"/>
    <cellStyle name="Currency 3 3 2 2 2 2 2" xfId="11378" xr:uid="{00000000-0005-0000-0000-00005D5B0000}"/>
    <cellStyle name="Currency 3 3 2 2 2 2 3" xfId="21755" xr:uid="{00000000-0005-0000-0000-00005E5B0000}"/>
    <cellStyle name="Currency 3 3 2 2 2 3" xfId="6013" xr:uid="{00000000-0005-0000-0000-00005F5B0000}"/>
    <cellStyle name="Currency 3 3 2 2 2 3 2" xfId="16951" xr:uid="{00000000-0005-0000-0000-0000605B0000}"/>
    <cellStyle name="Currency 3 3 2 2 2 3 2 2" xfId="30358" xr:uid="{00000000-0005-0000-0000-0000615B0000}"/>
    <cellStyle name="Currency 3 3 2 2 2 3 3" xfId="21754" xr:uid="{00000000-0005-0000-0000-0000625B0000}"/>
    <cellStyle name="Currency 3 3 2 2 2 4" xfId="9875" xr:uid="{00000000-0005-0000-0000-0000635B0000}"/>
    <cellStyle name="Currency 3 3 2 2 2 5" xfId="21756" xr:uid="{00000000-0005-0000-0000-0000645B0000}"/>
    <cellStyle name="Currency 3 3 2 2 3" xfId="6014" xr:uid="{00000000-0005-0000-0000-0000655B0000}"/>
    <cellStyle name="Currency 3 3 2 2 3 2" xfId="6015" xr:uid="{00000000-0005-0000-0000-0000665B0000}"/>
    <cellStyle name="Currency 3 3 2 2 3 2 2" xfId="13176" xr:uid="{00000000-0005-0000-0000-0000675B0000}"/>
    <cellStyle name="Currency 3 3 2 2 3 2 3" xfId="21752" xr:uid="{00000000-0005-0000-0000-0000685B0000}"/>
    <cellStyle name="Currency 3 3 2 2 3 3" xfId="12339" xr:uid="{00000000-0005-0000-0000-0000695B0000}"/>
    <cellStyle name="Currency 3 3 2 2 3 3 2" xfId="26051" xr:uid="{00000000-0005-0000-0000-00006A5B0000}"/>
    <cellStyle name="Currency 3 3 2 2 3 4" xfId="21753" xr:uid="{00000000-0005-0000-0000-00006B5B0000}"/>
    <cellStyle name="Currency 3 3 2 2 4" xfId="6016" xr:uid="{00000000-0005-0000-0000-00006C5B0000}"/>
    <cellStyle name="Currency 3 3 2 2 4 2" xfId="6017" xr:uid="{00000000-0005-0000-0000-00006D5B0000}"/>
    <cellStyle name="Currency 3 3 2 2 4 2 2" xfId="15635" xr:uid="{00000000-0005-0000-0000-00006E5B0000}"/>
    <cellStyle name="Currency 3 3 2 2 4 2 3" xfId="21750" xr:uid="{00000000-0005-0000-0000-00006F5B0000}"/>
    <cellStyle name="Currency 3 3 2 2 4 3" xfId="13903" xr:uid="{00000000-0005-0000-0000-0000705B0000}"/>
    <cellStyle name="Currency 3 3 2 2 4 3 2" xfId="27452" xr:uid="{00000000-0005-0000-0000-0000715B0000}"/>
    <cellStyle name="Currency 3 3 2 2 4 4" xfId="21751" xr:uid="{00000000-0005-0000-0000-0000725B0000}"/>
    <cellStyle name="Currency 3 3 2 2 5" xfId="6018" xr:uid="{00000000-0005-0000-0000-0000735B0000}"/>
    <cellStyle name="Currency 3 3 2 2 5 2" xfId="14484" xr:uid="{00000000-0005-0000-0000-0000745B0000}"/>
    <cellStyle name="Currency 3 3 2 2 5 2 2" xfId="28033" xr:uid="{00000000-0005-0000-0000-0000755B0000}"/>
    <cellStyle name="Currency 3 3 2 2 5 3" xfId="21749" xr:uid="{00000000-0005-0000-0000-0000765B0000}"/>
    <cellStyle name="Currency 3 3 2 2 6" xfId="6019" xr:uid="{00000000-0005-0000-0000-0000775B0000}"/>
    <cellStyle name="Currency 3 3 2 2 6 2" xfId="16370" xr:uid="{00000000-0005-0000-0000-0000785B0000}"/>
    <cellStyle name="Currency 3 3 2 2 6 2 2" xfId="29777" xr:uid="{00000000-0005-0000-0000-0000795B0000}"/>
    <cellStyle name="Currency 3 3 2 2 6 3" xfId="21748" xr:uid="{00000000-0005-0000-0000-00007A5B0000}"/>
    <cellStyle name="Currency 3 3 2 2 7" xfId="9874" xr:uid="{00000000-0005-0000-0000-00007B5B0000}"/>
    <cellStyle name="Currency 3 3 2 2 8" xfId="21757" xr:uid="{00000000-0005-0000-0000-00007C5B0000}"/>
    <cellStyle name="Currency 3 3 2 3" xfId="6020" xr:uid="{00000000-0005-0000-0000-00007D5B0000}"/>
    <cellStyle name="Currency 3 3 2 3 2" xfId="6021" xr:uid="{00000000-0005-0000-0000-00007E5B0000}"/>
    <cellStyle name="Currency 3 3 2 3 2 2" xfId="11379" xr:uid="{00000000-0005-0000-0000-00007F5B0000}"/>
    <cellStyle name="Currency 3 3 2 3 2 3" xfId="21746" xr:uid="{00000000-0005-0000-0000-0000805B0000}"/>
    <cellStyle name="Currency 3 3 2 3 3" xfId="6022" xr:uid="{00000000-0005-0000-0000-0000815B0000}"/>
    <cellStyle name="Currency 3 3 2 3 3 2" xfId="16662" xr:uid="{00000000-0005-0000-0000-0000825B0000}"/>
    <cellStyle name="Currency 3 3 2 3 3 2 2" xfId="30069" xr:uid="{00000000-0005-0000-0000-0000835B0000}"/>
    <cellStyle name="Currency 3 3 2 3 3 3" xfId="21745" xr:uid="{00000000-0005-0000-0000-0000845B0000}"/>
    <cellStyle name="Currency 3 3 2 3 4" xfId="9876" xr:uid="{00000000-0005-0000-0000-0000855B0000}"/>
    <cellStyle name="Currency 3 3 2 3 5" xfId="21747" xr:uid="{00000000-0005-0000-0000-0000865B0000}"/>
    <cellStyle name="Currency 3 3 2 4" xfId="6023" xr:uid="{00000000-0005-0000-0000-0000875B0000}"/>
    <cellStyle name="Currency 3 3 2 4 2" xfId="6024" xr:uid="{00000000-0005-0000-0000-0000885B0000}"/>
    <cellStyle name="Currency 3 3 2 4 2 2" xfId="13177" xr:uid="{00000000-0005-0000-0000-0000895B0000}"/>
    <cellStyle name="Currency 3 3 2 4 2 3" xfId="21743" xr:uid="{00000000-0005-0000-0000-00008A5B0000}"/>
    <cellStyle name="Currency 3 3 2 4 3" xfId="12039" xr:uid="{00000000-0005-0000-0000-00008B5B0000}"/>
    <cellStyle name="Currency 3 3 2 4 3 2" xfId="25754" xr:uid="{00000000-0005-0000-0000-00008C5B0000}"/>
    <cellStyle name="Currency 3 3 2 4 4" xfId="21744" xr:uid="{00000000-0005-0000-0000-00008D5B0000}"/>
    <cellStyle name="Currency 3 3 2 5" xfId="6025" xr:uid="{00000000-0005-0000-0000-00008E5B0000}"/>
    <cellStyle name="Currency 3 3 2 5 2" xfId="6026" xr:uid="{00000000-0005-0000-0000-00008F5B0000}"/>
    <cellStyle name="Currency 3 3 2 5 2 2" xfId="15636" xr:uid="{00000000-0005-0000-0000-0000905B0000}"/>
    <cellStyle name="Currency 3 3 2 5 2 3" xfId="21741" xr:uid="{00000000-0005-0000-0000-0000915B0000}"/>
    <cellStyle name="Currency 3 3 2 5 3" xfId="13614" xr:uid="{00000000-0005-0000-0000-0000925B0000}"/>
    <cellStyle name="Currency 3 3 2 5 3 2" xfId="27163" xr:uid="{00000000-0005-0000-0000-0000935B0000}"/>
    <cellStyle name="Currency 3 3 2 5 4" xfId="21742" xr:uid="{00000000-0005-0000-0000-0000945B0000}"/>
    <cellStyle name="Currency 3 3 2 6" xfId="6027" xr:uid="{00000000-0005-0000-0000-0000955B0000}"/>
    <cellStyle name="Currency 3 3 2 6 2" xfId="14195" xr:uid="{00000000-0005-0000-0000-0000965B0000}"/>
    <cellStyle name="Currency 3 3 2 6 2 2" xfId="27744" xr:uid="{00000000-0005-0000-0000-0000975B0000}"/>
    <cellStyle name="Currency 3 3 2 6 3" xfId="21740" xr:uid="{00000000-0005-0000-0000-0000985B0000}"/>
    <cellStyle name="Currency 3 3 2 7" xfId="6028" xr:uid="{00000000-0005-0000-0000-0000995B0000}"/>
    <cellStyle name="Currency 3 3 2 7 2" xfId="16081" xr:uid="{00000000-0005-0000-0000-00009A5B0000}"/>
    <cellStyle name="Currency 3 3 2 7 2 2" xfId="29488" xr:uid="{00000000-0005-0000-0000-00009B5B0000}"/>
    <cellStyle name="Currency 3 3 2 7 3" xfId="21739" xr:uid="{00000000-0005-0000-0000-00009C5B0000}"/>
    <cellStyle name="Currency 3 3 2 8" xfId="9873" xr:uid="{00000000-0005-0000-0000-00009D5B0000}"/>
    <cellStyle name="Currency 3 3 2 9" xfId="21758" xr:uid="{00000000-0005-0000-0000-00009E5B0000}"/>
    <cellStyle name="Currency 3 3 3" xfId="6029" xr:uid="{00000000-0005-0000-0000-00009F5B0000}"/>
    <cellStyle name="Currency 3 3 3 2" xfId="6030" xr:uid="{00000000-0005-0000-0000-0000A05B0000}"/>
    <cellStyle name="Currency 3 3 3 2 2" xfId="6031" xr:uid="{00000000-0005-0000-0000-0000A15B0000}"/>
    <cellStyle name="Currency 3 3 3 2 2 2" xfId="11380" xr:uid="{00000000-0005-0000-0000-0000A25B0000}"/>
    <cellStyle name="Currency 3 3 3 2 2 3" xfId="21736" xr:uid="{00000000-0005-0000-0000-0000A35B0000}"/>
    <cellStyle name="Currency 3 3 3 2 3" xfId="6032" xr:uid="{00000000-0005-0000-0000-0000A45B0000}"/>
    <cellStyle name="Currency 3 3 3 2 3 2" xfId="16808" xr:uid="{00000000-0005-0000-0000-0000A55B0000}"/>
    <cellStyle name="Currency 3 3 3 2 3 2 2" xfId="30215" xr:uid="{00000000-0005-0000-0000-0000A65B0000}"/>
    <cellStyle name="Currency 3 3 3 2 3 3" xfId="21735" xr:uid="{00000000-0005-0000-0000-0000A75B0000}"/>
    <cellStyle name="Currency 3 3 3 2 4" xfId="9878" xr:uid="{00000000-0005-0000-0000-0000A85B0000}"/>
    <cellStyle name="Currency 3 3 3 2 5" xfId="21737" xr:uid="{00000000-0005-0000-0000-0000A95B0000}"/>
    <cellStyle name="Currency 3 3 3 3" xfId="6033" xr:uid="{00000000-0005-0000-0000-0000AA5B0000}"/>
    <cellStyle name="Currency 3 3 3 3 2" xfId="6034" xr:uid="{00000000-0005-0000-0000-0000AB5B0000}"/>
    <cellStyle name="Currency 3 3 3 3 2 2" xfId="13178" xr:uid="{00000000-0005-0000-0000-0000AC5B0000}"/>
    <cellStyle name="Currency 3 3 3 3 2 3" xfId="21733" xr:uid="{00000000-0005-0000-0000-0000AD5B0000}"/>
    <cellStyle name="Currency 3 3 3 3 3" xfId="12196" xr:uid="{00000000-0005-0000-0000-0000AE5B0000}"/>
    <cellStyle name="Currency 3 3 3 3 3 2" xfId="25908" xr:uid="{00000000-0005-0000-0000-0000AF5B0000}"/>
    <cellStyle name="Currency 3 3 3 3 4" xfId="21734" xr:uid="{00000000-0005-0000-0000-0000B05B0000}"/>
    <cellStyle name="Currency 3 3 3 4" xfId="6035" xr:uid="{00000000-0005-0000-0000-0000B15B0000}"/>
    <cellStyle name="Currency 3 3 3 4 2" xfId="6036" xr:uid="{00000000-0005-0000-0000-0000B25B0000}"/>
    <cellStyle name="Currency 3 3 3 4 2 2" xfId="15637" xr:uid="{00000000-0005-0000-0000-0000B35B0000}"/>
    <cellStyle name="Currency 3 3 3 4 2 3" xfId="21731" xr:uid="{00000000-0005-0000-0000-0000B45B0000}"/>
    <cellStyle name="Currency 3 3 3 4 3" xfId="13760" xr:uid="{00000000-0005-0000-0000-0000B55B0000}"/>
    <cellStyle name="Currency 3 3 3 4 3 2" xfId="27309" xr:uid="{00000000-0005-0000-0000-0000B65B0000}"/>
    <cellStyle name="Currency 3 3 3 4 4" xfId="21732" xr:uid="{00000000-0005-0000-0000-0000B75B0000}"/>
    <cellStyle name="Currency 3 3 3 5" xfId="6037" xr:uid="{00000000-0005-0000-0000-0000B85B0000}"/>
    <cellStyle name="Currency 3 3 3 5 2" xfId="14341" xr:uid="{00000000-0005-0000-0000-0000B95B0000}"/>
    <cellStyle name="Currency 3 3 3 5 2 2" xfId="27890" xr:uid="{00000000-0005-0000-0000-0000BA5B0000}"/>
    <cellStyle name="Currency 3 3 3 5 3" xfId="21730" xr:uid="{00000000-0005-0000-0000-0000BB5B0000}"/>
    <cellStyle name="Currency 3 3 3 6" xfId="6038" xr:uid="{00000000-0005-0000-0000-0000BC5B0000}"/>
    <cellStyle name="Currency 3 3 3 6 2" xfId="16227" xr:uid="{00000000-0005-0000-0000-0000BD5B0000}"/>
    <cellStyle name="Currency 3 3 3 6 2 2" xfId="29634" xr:uid="{00000000-0005-0000-0000-0000BE5B0000}"/>
    <cellStyle name="Currency 3 3 3 6 3" xfId="21729" xr:uid="{00000000-0005-0000-0000-0000BF5B0000}"/>
    <cellStyle name="Currency 3 3 3 7" xfId="9877" xr:uid="{00000000-0005-0000-0000-0000C05B0000}"/>
    <cellStyle name="Currency 3 3 3 8" xfId="21738" xr:uid="{00000000-0005-0000-0000-0000C15B0000}"/>
    <cellStyle name="Currency 3 3 4" xfId="6039" xr:uid="{00000000-0005-0000-0000-0000C25B0000}"/>
    <cellStyle name="Currency 3 3 4 2" xfId="6040" xr:uid="{00000000-0005-0000-0000-0000C35B0000}"/>
    <cellStyle name="Currency 3 3 4 2 2" xfId="13179" xr:uid="{00000000-0005-0000-0000-0000C45B0000}"/>
    <cellStyle name="Currency 3 3 4 2 3" xfId="21727" xr:uid="{00000000-0005-0000-0000-0000C55B0000}"/>
    <cellStyle name="Currency 3 3 4 3" xfId="6041" xr:uid="{00000000-0005-0000-0000-0000C65B0000}"/>
    <cellStyle name="Currency 3 3 4 3 2" xfId="17029" xr:uid="{00000000-0005-0000-0000-0000C75B0000}"/>
    <cellStyle name="Currency 3 3 4 3 3" xfId="21726" xr:uid="{00000000-0005-0000-0000-0000C85B0000}"/>
    <cellStyle name="Currency 3 3 4 4" xfId="9879" xr:uid="{00000000-0005-0000-0000-0000C95B0000}"/>
    <cellStyle name="Currency 3 3 4 5" xfId="21728" xr:uid="{00000000-0005-0000-0000-0000CA5B0000}"/>
    <cellStyle name="Currency 3 3 5" xfId="6042" xr:uid="{00000000-0005-0000-0000-0000CB5B0000}"/>
    <cellStyle name="Currency 3 3 5 2" xfId="6043" xr:uid="{00000000-0005-0000-0000-0000CC5B0000}"/>
    <cellStyle name="Currency 3 3 5 2 2" xfId="11381" xr:uid="{00000000-0005-0000-0000-0000CD5B0000}"/>
    <cellStyle name="Currency 3 3 5 2 3" xfId="21724" xr:uid="{00000000-0005-0000-0000-0000CE5B0000}"/>
    <cellStyle name="Currency 3 3 5 3" xfId="6044" xr:uid="{00000000-0005-0000-0000-0000CF5B0000}"/>
    <cellStyle name="Currency 3 3 5 3 2" xfId="17155" xr:uid="{00000000-0005-0000-0000-0000D05B0000}"/>
    <cellStyle name="Currency 3 3 5 3 2 2" xfId="30514" xr:uid="{00000000-0005-0000-0000-0000D15B0000}"/>
    <cellStyle name="Currency 3 3 5 3 3" xfId="21723" xr:uid="{00000000-0005-0000-0000-0000D25B0000}"/>
    <cellStyle name="Currency 3 3 5 4" xfId="9880" xr:uid="{00000000-0005-0000-0000-0000D35B0000}"/>
    <cellStyle name="Currency 3 3 5 5" xfId="21725" xr:uid="{00000000-0005-0000-0000-0000D45B0000}"/>
    <cellStyle name="Currency 3 3 6" xfId="6045" xr:uid="{00000000-0005-0000-0000-0000D55B0000}"/>
    <cellStyle name="Currency 3 3 6 2" xfId="6046" xr:uid="{00000000-0005-0000-0000-0000D65B0000}"/>
    <cellStyle name="Currency 3 3 6 2 2" xfId="15638" xr:uid="{00000000-0005-0000-0000-0000D75B0000}"/>
    <cellStyle name="Currency 3 3 6 2 3" xfId="21721" xr:uid="{00000000-0005-0000-0000-0000D85B0000}"/>
    <cellStyle name="Currency 3 3 6 3" xfId="6047" xr:uid="{00000000-0005-0000-0000-0000D95B0000}"/>
    <cellStyle name="Currency 3 3 6 3 2" xfId="17244" xr:uid="{00000000-0005-0000-0000-0000DA5B0000}"/>
    <cellStyle name="Currency 3 3 6 3 2 2" xfId="30603" xr:uid="{00000000-0005-0000-0000-0000DB5B0000}"/>
    <cellStyle name="Currency 3 3 6 3 3" xfId="21720" xr:uid="{00000000-0005-0000-0000-0000DC5B0000}"/>
    <cellStyle name="Currency 3 3 6 4" xfId="11892" xr:uid="{00000000-0005-0000-0000-0000DD5B0000}"/>
    <cellStyle name="Currency 3 3 6 4 2" xfId="25607" xr:uid="{00000000-0005-0000-0000-0000DE5B0000}"/>
    <cellStyle name="Currency 3 3 6 5" xfId="21722" xr:uid="{00000000-0005-0000-0000-0000DF5B0000}"/>
    <cellStyle name="Currency 3 3 7" xfId="6048" xr:uid="{00000000-0005-0000-0000-0000E05B0000}"/>
    <cellStyle name="Currency 3 3 7 2" xfId="6049" xr:uid="{00000000-0005-0000-0000-0000E15B0000}"/>
    <cellStyle name="Currency 3 3 7 2 2" xfId="16519" xr:uid="{00000000-0005-0000-0000-0000E25B0000}"/>
    <cellStyle name="Currency 3 3 7 2 2 2" xfId="29926" xr:uid="{00000000-0005-0000-0000-0000E35B0000}"/>
    <cellStyle name="Currency 3 3 7 2 3" xfId="21718" xr:uid="{00000000-0005-0000-0000-0000E45B0000}"/>
    <cellStyle name="Currency 3 3 7 3" xfId="13471" xr:uid="{00000000-0005-0000-0000-0000E55B0000}"/>
    <cellStyle name="Currency 3 3 7 3 2" xfId="27020" xr:uid="{00000000-0005-0000-0000-0000E65B0000}"/>
    <cellStyle name="Currency 3 3 7 4" xfId="21719" xr:uid="{00000000-0005-0000-0000-0000E75B0000}"/>
    <cellStyle name="Currency 3 3 8" xfId="6050" xr:uid="{00000000-0005-0000-0000-0000E85B0000}"/>
    <cellStyle name="Currency 3 3 8 2" xfId="14052" xr:uid="{00000000-0005-0000-0000-0000E95B0000}"/>
    <cellStyle name="Currency 3 3 8 2 2" xfId="27601" xr:uid="{00000000-0005-0000-0000-0000EA5B0000}"/>
    <cellStyle name="Currency 3 3 8 3" xfId="21717" xr:uid="{00000000-0005-0000-0000-0000EB5B0000}"/>
    <cellStyle name="Currency 3 3 9" xfId="6051" xr:uid="{00000000-0005-0000-0000-0000EC5B0000}"/>
    <cellStyle name="Currency 3 3 9 2" xfId="15938" xr:uid="{00000000-0005-0000-0000-0000ED5B0000}"/>
    <cellStyle name="Currency 3 3 9 2 2" xfId="29345" xr:uid="{00000000-0005-0000-0000-0000EE5B0000}"/>
    <cellStyle name="Currency 3 3 9 3" xfId="21716" xr:uid="{00000000-0005-0000-0000-0000EF5B0000}"/>
    <cellStyle name="Currency 3 30" xfId="21901" xr:uid="{00000000-0005-0000-0000-0000F05B0000}"/>
    <cellStyle name="Currency 3 4" xfId="6052" xr:uid="{00000000-0005-0000-0000-0000F15B0000}"/>
    <cellStyle name="Currency 3 4 10" xfId="9881" xr:uid="{00000000-0005-0000-0000-0000F25B0000}"/>
    <cellStyle name="Currency 3 4 11" xfId="21715" xr:uid="{00000000-0005-0000-0000-0000F35B0000}"/>
    <cellStyle name="Currency 3 4 2" xfId="6053" xr:uid="{00000000-0005-0000-0000-0000F45B0000}"/>
    <cellStyle name="Currency 3 4 2 2" xfId="6054" xr:uid="{00000000-0005-0000-0000-0000F55B0000}"/>
    <cellStyle name="Currency 3 4 2 2 2" xfId="6055" xr:uid="{00000000-0005-0000-0000-0000F65B0000}"/>
    <cellStyle name="Currency 3 4 2 2 2 2" xfId="6056" xr:uid="{00000000-0005-0000-0000-0000F75B0000}"/>
    <cellStyle name="Currency 3 4 2 2 2 2 2" xfId="11382" xr:uid="{00000000-0005-0000-0000-0000F85B0000}"/>
    <cellStyle name="Currency 3 4 2 2 2 2 3" xfId="21711" xr:uid="{00000000-0005-0000-0000-0000F95B0000}"/>
    <cellStyle name="Currency 3 4 2 2 2 3" xfId="6057" xr:uid="{00000000-0005-0000-0000-0000FA5B0000}"/>
    <cellStyle name="Currency 3 4 2 2 2 3 2" xfId="16905" xr:uid="{00000000-0005-0000-0000-0000FB5B0000}"/>
    <cellStyle name="Currency 3 4 2 2 2 3 2 2" xfId="30312" xr:uid="{00000000-0005-0000-0000-0000FC5B0000}"/>
    <cellStyle name="Currency 3 4 2 2 2 3 3" xfId="21710" xr:uid="{00000000-0005-0000-0000-0000FD5B0000}"/>
    <cellStyle name="Currency 3 4 2 2 2 4" xfId="9884" xr:uid="{00000000-0005-0000-0000-0000FE5B0000}"/>
    <cellStyle name="Currency 3 4 2 2 2 5" xfId="21712" xr:uid="{00000000-0005-0000-0000-0000FF5B0000}"/>
    <cellStyle name="Currency 3 4 2 2 3" xfId="6058" xr:uid="{00000000-0005-0000-0000-0000005C0000}"/>
    <cellStyle name="Currency 3 4 2 2 3 2" xfId="6059" xr:uid="{00000000-0005-0000-0000-0000015C0000}"/>
    <cellStyle name="Currency 3 4 2 2 3 2 2" xfId="13180" xr:uid="{00000000-0005-0000-0000-0000025C0000}"/>
    <cellStyle name="Currency 3 4 2 2 3 2 3" xfId="21708" xr:uid="{00000000-0005-0000-0000-0000035C0000}"/>
    <cellStyle name="Currency 3 4 2 2 3 3" xfId="12293" xr:uid="{00000000-0005-0000-0000-0000045C0000}"/>
    <cellStyle name="Currency 3 4 2 2 3 3 2" xfId="26005" xr:uid="{00000000-0005-0000-0000-0000055C0000}"/>
    <cellStyle name="Currency 3 4 2 2 3 4" xfId="21709" xr:uid="{00000000-0005-0000-0000-0000065C0000}"/>
    <cellStyle name="Currency 3 4 2 2 4" xfId="6060" xr:uid="{00000000-0005-0000-0000-0000075C0000}"/>
    <cellStyle name="Currency 3 4 2 2 4 2" xfId="6061" xr:uid="{00000000-0005-0000-0000-0000085C0000}"/>
    <cellStyle name="Currency 3 4 2 2 4 2 2" xfId="15639" xr:uid="{00000000-0005-0000-0000-0000095C0000}"/>
    <cellStyle name="Currency 3 4 2 2 4 2 3" xfId="21706" xr:uid="{00000000-0005-0000-0000-00000A5C0000}"/>
    <cellStyle name="Currency 3 4 2 2 4 3" xfId="13857" xr:uid="{00000000-0005-0000-0000-00000B5C0000}"/>
    <cellStyle name="Currency 3 4 2 2 4 3 2" xfId="27406" xr:uid="{00000000-0005-0000-0000-00000C5C0000}"/>
    <cellStyle name="Currency 3 4 2 2 4 4" xfId="21707" xr:uid="{00000000-0005-0000-0000-00000D5C0000}"/>
    <cellStyle name="Currency 3 4 2 2 5" xfId="6062" xr:uid="{00000000-0005-0000-0000-00000E5C0000}"/>
    <cellStyle name="Currency 3 4 2 2 5 2" xfId="14438" xr:uid="{00000000-0005-0000-0000-00000F5C0000}"/>
    <cellStyle name="Currency 3 4 2 2 5 2 2" xfId="27987" xr:uid="{00000000-0005-0000-0000-0000105C0000}"/>
    <cellStyle name="Currency 3 4 2 2 5 3" xfId="21705" xr:uid="{00000000-0005-0000-0000-0000115C0000}"/>
    <cellStyle name="Currency 3 4 2 2 6" xfId="6063" xr:uid="{00000000-0005-0000-0000-0000125C0000}"/>
    <cellStyle name="Currency 3 4 2 2 6 2" xfId="16324" xr:uid="{00000000-0005-0000-0000-0000135C0000}"/>
    <cellStyle name="Currency 3 4 2 2 6 2 2" xfId="29731" xr:uid="{00000000-0005-0000-0000-0000145C0000}"/>
    <cellStyle name="Currency 3 4 2 2 6 3" xfId="21704" xr:uid="{00000000-0005-0000-0000-0000155C0000}"/>
    <cellStyle name="Currency 3 4 2 2 7" xfId="9883" xr:uid="{00000000-0005-0000-0000-0000165C0000}"/>
    <cellStyle name="Currency 3 4 2 2 8" xfId="21713" xr:uid="{00000000-0005-0000-0000-0000175C0000}"/>
    <cellStyle name="Currency 3 4 2 3" xfId="6064" xr:uid="{00000000-0005-0000-0000-0000185C0000}"/>
    <cellStyle name="Currency 3 4 2 3 2" xfId="6065" xr:uid="{00000000-0005-0000-0000-0000195C0000}"/>
    <cellStyle name="Currency 3 4 2 3 2 2" xfId="11383" xr:uid="{00000000-0005-0000-0000-00001A5C0000}"/>
    <cellStyle name="Currency 3 4 2 3 2 3" xfId="21702" xr:uid="{00000000-0005-0000-0000-00001B5C0000}"/>
    <cellStyle name="Currency 3 4 2 3 3" xfId="6066" xr:uid="{00000000-0005-0000-0000-00001C5C0000}"/>
    <cellStyle name="Currency 3 4 2 3 3 2" xfId="16616" xr:uid="{00000000-0005-0000-0000-00001D5C0000}"/>
    <cellStyle name="Currency 3 4 2 3 3 2 2" xfId="30023" xr:uid="{00000000-0005-0000-0000-00001E5C0000}"/>
    <cellStyle name="Currency 3 4 2 3 3 3" xfId="21701" xr:uid="{00000000-0005-0000-0000-00001F5C0000}"/>
    <cellStyle name="Currency 3 4 2 3 4" xfId="9885" xr:uid="{00000000-0005-0000-0000-0000205C0000}"/>
    <cellStyle name="Currency 3 4 2 3 5" xfId="21703" xr:uid="{00000000-0005-0000-0000-0000215C0000}"/>
    <cellStyle name="Currency 3 4 2 4" xfId="6067" xr:uid="{00000000-0005-0000-0000-0000225C0000}"/>
    <cellStyle name="Currency 3 4 2 4 2" xfId="6068" xr:uid="{00000000-0005-0000-0000-0000235C0000}"/>
    <cellStyle name="Currency 3 4 2 4 2 2" xfId="13181" xr:uid="{00000000-0005-0000-0000-0000245C0000}"/>
    <cellStyle name="Currency 3 4 2 4 2 3" xfId="21699" xr:uid="{00000000-0005-0000-0000-0000255C0000}"/>
    <cellStyle name="Currency 3 4 2 4 3" xfId="11993" xr:uid="{00000000-0005-0000-0000-0000265C0000}"/>
    <cellStyle name="Currency 3 4 2 4 3 2" xfId="25708" xr:uid="{00000000-0005-0000-0000-0000275C0000}"/>
    <cellStyle name="Currency 3 4 2 4 4" xfId="21700" xr:uid="{00000000-0005-0000-0000-0000285C0000}"/>
    <cellStyle name="Currency 3 4 2 5" xfId="6069" xr:uid="{00000000-0005-0000-0000-0000295C0000}"/>
    <cellStyle name="Currency 3 4 2 5 2" xfId="6070" xr:uid="{00000000-0005-0000-0000-00002A5C0000}"/>
    <cellStyle name="Currency 3 4 2 5 2 2" xfId="15640" xr:uid="{00000000-0005-0000-0000-00002B5C0000}"/>
    <cellStyle name="Currency 3 4 2 5 2 3" xfId="21697" xr:uid="{00000000-0005-0000-0000-00002C5C0000}"/>
    <cellStyle name="Currency 3 4 2 5 3" xfId="13568" xr:uid="{00000000-0005-0000-0000-00002D5C0000}"/>
    <cellStyle name="Currency 3 4 2 5 3 2" xfId="27117" xr:uid="{00000000-0005-0000-0000-00002E5C0000}"/>
    <cellStyle name="Currency 3 4 2 5 4" xfId="21698" xr:uid="{00000000-0005-0000-0000-00002F5C0000}"/>
    <cellStyle name="Currency 3 4 2 6" xfId="6071" xr:uid="{00000000-0005-0000-0000-0000305C0000}"/>
    <cellStyle name="Currency 3 4 2 6 2" xfId="14149" xr:uid="{00000000-0005-0000-0000-0000315C0000}"/>
    <cellStyle name="Currency 3 4 2 6 2 2" xfId="27698" xr:uid="{00000000-0005-0000-0000-0000325C0000}"/>
    <cellStyle name="Currency 3 4 2 6 3" xfId="21696" xr:uid="{00000000-0005-0000-0000-0000335C0000}"/>
    <cellStyle name="Currency 3 4 2 7" xfId="6072" xr:uid="{00000000-0005-0000-0000-0000345C0000}"/>
    <cellStyle name="Currency 3 4 2 7 2" xfId="16035" xr:uid="{00000000-0005-0000-0000-0000355C0000}"/>
    <cellStyle name="Currency 3 4 2 7 2 2" xfId="29442" xr:uid="{00000000-0005-0000-0000-0000365C0000}"/>
    <cellStyle name="Currency 3 4 2 7 3" xfId="21695" xr:uid="{00000000-0005-0000-0000-0000375C0000}"/>
    <cellStyle name="Currency 3 4 2 8" xfId="9882" xr:uid="{00000000-0005-0000-0000-0000385C0000}"/>
    <cellStyle name="Currency 3 4 2 9" xfId="21714" xr:uid="{00000000-0005-0000-0000-0000395C0000}"/>
    <cellStyle name="Currency 3 4 3" xfId="6073" xr:uid="{00000000-0005-0000-0000-00003A5C0000}"/>
    <cellStyle name="Currency 3 4 3 2" xfId="6074" xr:uid="{00000000-0005-0000-0000-00003B5C0000}"/>
    <cellStyle name="Currency 3 4 3 2 2" xfId="6075" xr:uid="{00000000-0005-0000-0000-00003C5C0000}"/>
    <cellStyle name="Currency 3 4 3 2 2 2" xfId="11384" xr:uid="{00000000-0005-0000-0000-00003D5C0000}"/>
    <cellStyle name="Currency 3 4 3 2 2 3" xfId="21692" xr:uid="{00000000-0005-0000-0000-00003E5C0000}"/>
    <cellStyle name="Currency 3 4 3 2 3" xfId="6076" xr:uid="{00000000-0005-0000-0000-00003F5C0000}"/>
    <cellStyle name="Currency 3 4 3 2 3 2" xfId="16765" xr:uid="{00000000-0005-0000-0000-0000405C0000}"/>
    <cellStyle name="Currency 3 4 3 2 3 2 2" xfId="30172" xr:uid="{00000000-0005-0000-0000-0000415C0000}"/>
    <cellStyle name="Currency 3 4 3 2 3 3" xfId="21691" xr:uid="{00000000-0005-0000-0000-0000425C0000}"/>
    <cellStyle name="Currency 3 4 3 2 4" xfId="9887" xr:uid="{00000000-0005-0000-0000-0000435C0000}"/>
    <cellStyle name="Currency 3 4 3 2 5" xfId="21693" xr:uid="{00000000-0005-0000-0000-0000445C0000}"/>
    <cellStyle name="Currency 3 4 3 3" xfId="6077" xr:uid="{00000000-0005-0000-0000-0000455C0000}"/>
    <cellStyle name="Currency 3 4 3 3 2" xfId="6078" xr:uid="{00000000-0005-0000-0000-0000465C0000}"/>
    <cellStyle name="Currency 3 4 3 3 2 2" xfId="13182" xr:uid="{00000000-0005-0000-0000-0000475C0000}"/>
    <cellStyle name="Currency 3 4 3 3 2 3" xfId="21689" xr:uid="{00000000-0005-0000-0000-0000485C0000}"/>
    <cellStyle name="Currency 3 4 3 3 3" xfId="12153" xr:uid="{00000000-0005-0000-0000-0000495C0000}"/>
    <cellStyle name="Currency 3 4 3 3 3 2" xfId="25865" xr:uid="{00000000-0005-0000-0000-00004A5C0000}"/>
    <cellStyle name="Currency 3 4 3 3 4" xfId="21690" xr:uid="{00000000-0005-0000-0000-00004B5C0000}"/>
    <cellStyle name="Currency 3 4 3 4" xfId="6079" xr:uid="{00000000-0005-0000-0000-00004C5C0000}"/>
    <cellStyle name="Currency 3 4 3 4 2" xfId="6080" xr:uid="{00000000-0005-0000-0000-00004D5C0000}"/>
    <cellStyle name="Currency 3 4 3 4 2 2" xfId="15641" xr:uid="{00000000-0005-0000-0000-00004E5C0000}"/>
    <cellStyle name="Currency 3 4 3 4 2 3" xfId="21687" xr:uid="{00000000-0005-0000-0000-00004F5C0000}"/>
    <cellStyle name="Currency 3 4 3 4 3" xfId="13717" xr:uid="{00000000-0005-0000-0000-0000505C0000}"/>
    <cellStyle name="Currency 3 4 3 4 3 2" xfId="27266" xr:uid="{00000000-0005-0000-0000-0000515C0000}"/>
    <cellStyle name="Currency 3 4 3 4 4" xfId="21688" xr:uid="{00000000-0005-0000-0000-0000525C0000}"/>
    <cellStyle name="Currency 3 4 3 5" xfId="6081" xr:uid="{00000000-0005-0000-0000-0000535C0000}"/>
    <cellStyle name="Currency 3 4 3 5 2" xfId="14298" xr:uid="{00000000-0005-0000-0000-0000545C0000}"/>
    <cellStyle name="Currency 3 4 3 5 2 2" xfId="27847" xr:uid="{00000000-0005-0000-0000-0000555C0000}"/>
    <cellStyle name="Currency 3 4 3 5 3" xfId="21686" xr:uid="{00000000-0005-0000-0000-0000565C0000}"/>
    <cellStyle name="Currency 3 4 3 6" xfId="6082" xr:uid="{00000000-0005-0000-0000-0000575C0000}"/>
    <cellStyle name="Currency 3 4 3 6 2" xfId="16184" xr:uid="{00000000-0005-0000-0000-0000585C0000}"/>
    <cellStyle name="Currency 3 4 3 6 2 2" xfId="29591" xr:uid="{00000000-0005-0000-0000-0000595C0000}"/>
    <cellStyle name="Currency 3 4 3 6 3" xfId="21685" xr:uid="{00000000-0005-0000-0000-00005A5C0000}"/>
    <cellStyle name="Currency 3 4 3 7" xfId="9886" xr:uid="{00000000-0005-0000-0000-00005B5C0000}"/>
    <cellStyle name="Currency 3 4 3 8" xfId="21694" xr:uid="{00000000-0005-0000-0000-00005C5C0000}"/>
    <cellStyle name="Currency 3 4 4" xfId="6083" xr:uid="{00000000-0005-0000-0000-00005D5C0000}"/>
    <cellStyle name="Currency 3 4 4 2" xfId="6084" xr:uid="{00000000-0005-0000-0000-00005E5C0000}"/>
    <cellStyle name="Currency 3 4 4 2 2" xfId="16473" xr:uid="{00000000-0005-0000-0000-00005F5C0000}"/>
    <cellStyle name="Currency 3 4 4 2 2 2" xfId="29880" xr:uid="{00000000-0005-0000-0000-0000605C0000}"/>
    <cellStyle name="Currency 3 4 4 2 3" xfId="21683" xr:uid="{00000000-0005-0000-0000-0000615C0000}"/>
    <cellStyle name="Currency 3 4 4 3" xfId="9888" xr:uid="{00000000-0005-0000-0000-0000625C0000}"/>
    <cellStyle name="Currency 3 4 4 4" xfId="21684" xr:uid="{00000000-0005-0000-0000-0000635C0000}"/>
    <cellStyle name="Currency 3 4 5" xfId="6085" xr:uid="{00000000-0005-0000-0000-0000645C0000}"/>
    <cellStyle name="Currency 3 4 5 2" xfId="6086" xr:uid="{00000000-0005-0000-0000-0000655C0000}"/>
    <cellStyle name="Currency 3 4 5 2 2" xfId="11385" xr:uid="{00000000-0005-0000-0000-0000665C0000}"/>
    <cellStyle name="Currency 3 4 5 2 3" xfId="21681" xr:uid="{00000000-0005-0000-0000-0000675C0000}"/>
    <cellStyle name="Currency 3 4 5 3" xfId="9889" xr:uid="{00000000-0005-0000-0000-0000685C0000}"/>
    <cellStyle name="Currency 3 4 5 4" xfId="21682" xr:uid="{00000000-0005-0000-0000-0000695C0000}"/>
    <cellStyle name="Currency 3 4 6" xfId="6087" xr:uid="{00000000-0005-0000-0000-00006A5C0000}"/>
    <cellStyle name="Currency 3 4 6 2" xfId="6088" xr:uid="{00000000-0005-0000-0000-00006B5C0000}"/>
    <cellStyle name="Currency 3 4 6 2 2" xfId="13183" xr:uid="{00000000-0005-0000-0000-00006C5C0000}"/>
    <cellStyle name="Currency 3 4 6 2 3" xfId="21679" xr:uid="{00000000-0005-0000-0000-00006D5C0000}"/>
    <cellStyle name="Currency 3 4 6 3" xfId="11824" xr:uid="{00000000-0005-0000-0000-00006E5C0000}"/>
    <cellStyle name="Currency 3 4 6 3 2" xfId="25539" xr:uid="{00000000-0005-0000-0000-00006F5C0000}"/>
    <cellStyle name="Currency 3 4 6 4" xfId="21680" xr:uid="{00000000-0005-0000-0000-0000705C0000}"/>
    <cellStyle name="Currency 3 4 7" xfId="6089" xr:uid="{00000000-0005-0000-0000-0000715C0000}"/>
    <cellStyle name="Currency 3 4 7 2" xfId="6090" xr:uid="{00000000-0005-0000-0000-0000725C0000}"/>
    <cellStyle name="Currency 3 4 7 2 2" xfId="15642" xr:uid="{00000000-0005-0000-0000-0000735C0000}"/>
    <cellStyle name="Currency 3 4 7 2 3" xfId="21677" xr:uid="{00000000-0005-0000-0000-0000745C0000}"/>
    <cellStyle name="Currency 3 4 7 3" xfId="13425" xr:uid="{00000000-0005-0000-0000-0000755C0000}"/>
    <cellStyle name="Currency 3 4 7 3 2" xfId="26974" xr:uid="{00000000-0005-0000-0000-0000765C0000}"/>
    <cellStyle name="Currency 3 4 7 4" xfId="21678" xr:uid="{00000000-0005-0000-0000-0000775C0000}"/>
    <cellStyle name="Currency 3 4 8" xfId="6091" xr:uid="{00000000-0005-0000-0000-0000785C0000}"/>
    <cellStyle name="Currency 3 4 8 2" xfId="14006" xr:uid="{00000000-0005-0000-0000-0000795C0000}"/>
    <cellStyle name="Currency 3 4 8 2 2" xfId="27555" xr:uid="{00000000-0005-0000-0000-00007A5C0000}"/>
    <cellStyle name="Currency 3 4 8 3" xfId="21676" xr:uid="{00000000-0005-0000-0000-00007B5C0000}"/>
    <cellStyle name="Currency 3 4 9" xfId="6092" xr:uid="{00000000-0005-0000-0000-00007C5C0000}"/>
    <cellStyle name="Currency 3 4 9 2" xfId="15892" xr:uid="{00000000-0005-0000-0000-00007D5C0000}"/>
    <cellStyle name="Currency 3 4 9 2 2" xfId="29299" xr:uid="{00000000-0005-0000-0000-00007E5C0000}"/>
    <cellStyle name="Currency 3 4 9 3" xfId="21675" xr:uid="{00000000-0005-0000-0000-00007F5C0000}"/>
    <cellStyle name="Currency 3 5" xfId="6093" xr:uid="{00000000-0005-0000-0000-0000805C0000}"/>
    <cellStyle name="Currency 3 5 10" xfId="9890" xr:uid="{00000000-0005-0000-0000-0000815C0000}"/>
    <cellStyle name="Currency 3 5 11" xfId="21674" xr:uid="{00000000-0005-0000-0000-0000825C0000}"/>
    <cellStyle name="Currency 3 5 2" xfId="6094" xr:uid="{00000000-0005-0000-0000-0000835C0000}"/>
    <cellStyle name="Currency 3 5 2 2" xfId="6095" xr:uid="{00000000-0005-0000-0000-0000845C0000}"/>
    <cellStyle name="Currency 3 5 2 2 2" xfId="6096" xr:uid="{00000000-0005-0000-0000-0000855C0000}"/>
    <cellStyle name="Currency 3 5 2 2 2 2" xfId="6097" xr:uid="{00000000-0005-0000-0000-0000865C0000}"/>
    <cellStyle name="Currency 3 5 2 2 2 2 2" xfId="11386" xr:uid="{00000000-0005-0000-0000-0000875C0000}"/>
    <cellStyle name="Currency 3 5 2 2 2 2 3" xfId="21670" xr:uid="{00000000-0005-0000-0000-0000885C0000}"/>
    <cellStyle name="Currency 3 5 2 2 2 3" xfId="6098" xr:uid="{00000000-0005-0000-0000-0000895C0000}"/>
    <cellStyle name="Currency 3 5 2 2 2 3 2" xfId="16888" xr:uid="{00000000-0005-0000-0000-00008A5C0000}"/>
    <cellStyle name="Currency 3 5 2 2 2 3 2 2" xfId="30295" xr:uid="{00000000-0005-0000-0000-00008B5C0000}"/>
    <cellStyle name="Currency 3 5 2 2 2 3 3" xfId="21669" xr:uid="{00000000-0005-0000-0000-00008C5C0000}"/>
    <cellStyle name="Currency 3 5 2 2 2 4" xfId="9893" xr:uid="{00000000-0005-0000-0000-00008D5C0000}"/>
    <cellStyle name="Currency 3 5 2 2 2 5" xfId="21671" xr:uid="{00000000-0005-0000-0000-00008E5C0000}"/>
    <cellStyle name="Currency 3 5 2 2 3" xfId="6099" xr:uid="{00000000-0005-0000-0000-00008F5C0000}"/>
    <cellStyle name="Currency 3 5 2 2 3 2" xfId="6100" xr:uid="{00000000-0005-0000-0000-0000905C0000}"/>
    <cellStyle name="Currency 3 5 2 2 3 2 2" xfId="13184" xr:uid="{00000000-0005-0000-0000-0000915C0000}"/>
    <cellStyle name="Currency 3 5 2 2 3 2 3" xfId="21667" xr:uid="{00000000-0005-0000-0000-0000925C0000}"/>
    <cellStyle name="Currency 3 5 2 2 3 3" xfId="12276" xr:uid="{00000000-0005-0000-0000-0000935C0000}"/>
    <cellStyle name="Currency 3 5 2 2 3 3 2" xfId="25988" xr:uid="{00000000-0005-0000-0000-0000945C0000}"/>
    <cellStyle name="Currency 3 5 2 2 3 4" xfId="21668" xr:uid="{00000000-0005-0000-0000-0000955C0000}"/>
    <cellStyle name="Currency 3 5 2 2 4" xfId="6101" xr:uid="{00000000-0005-0000-0000-0000965C0000}"/>
    <cellStyle name="Currency 3 5 2 2 4 2" xfId="6102" xr:uid="{00000000-0005-0000-0000-0000975C0000}"/>
    <cellStyle name="Currency 3 5 2 2 4 2 2" xfId="15643" xr:uid="{00000000-0005-0000-0000-0000985C0000}"/>
    <cellStyle name="Currency 3 5 2 2 4 2 3" xfId="21665" xr:uid="{00000000-0005-0000-0000-0000995C0000}"/>
    <cellStyle name="Currency 3 5 2 2 4 3" xfId="13840" xr:uid="{00000000-0005-0000-0000-00009A5C0000}"/>
    <cellStyle name="Currency 3 5 2 2 4 3 2" xfId="27389" xr:uid="{00000000-0005-0000-0000-00009B5C0000}"/>
    <cellStyle name="Currency 3 5 2 2 4 4" xfId="21666" xr:uid="{00000000-0005-0000-0000-00009C5C0000}"/>
    <cellStyle name="Currency 3 5 2 2 5" xfId="6103" xr:uid="{00000000-0005-0000-0000-00009D5C0000}"/>
    <cellStyle name="Currency 3 5 2 2 5 2" xfId="14421" xr:uid="{00000000-0005-0000-0000-00009E5C0000}"/>
    <cellStyle name="Currency 3 5 2 2 5 2 2" xfId="27970" xr:uid="{00000000-0005-0000-0000-00009F5C0000}"/>
    <cellStyle name="Currency 3 5 2 2 5 3" xfId="21664" xr:uid="{00000000-0005-0000-0000-0000A05C0000}"/>
    <cellStyle name="Currency 3 5 2 2 6" xfId="6104" xr:uid="{00000000-0005-0000-0000-0000A15C0000}"/>
    <cellStyle name="Currency 3 5 2 2 6 2" xfId="16307" xr:uid="{00000000-0005-0000-0000-0000A25C0000}"/>
    <cellStyle name="Currency 3 5 2 2 6 2 2" xfId="29714" xr:uid="{00000000-0005-0000-0000-0000A35C0000}"/>
    <cellStyle name="Currency 3 5 2 2 6 3" xfId="21663" xr:uid="{00000000-0005-0000-0000-0000A45C0000}"/>
    <cellStyle name="Currency 3 5 2 2 7" xfId="9892" xr:uid="{00000000-0005-0000-0000-0000A55C0000}"/>
    <cellStyle name="Currency 3 5 2 2 8" xfId="21672" xr:uid="{00000000-0005-0000-0000-0000A65C0000}"/>
    <cellStyle name="Currency 3 5 2 3" xfId="6105" xr:uid="{00000000-0005-0000-0000-0000A75C0000}"/>
    <cellStyle name="Currency 3 5 2 3 2" xfId="6106" xr:uid="{00000000-0005-0000-0000-0000A85C0000}"/>
    <cellStyle name="Currency 3 5 2 3 2 2" xfId="11387" xr:uid="{00000000-0005-0000-0000-0000A95C0000}"/>
    <cellStyle name="Currency 3 5 2 3 2 3" xfId="21661" xr:uid="{00000000-0005-0000-0000-0000AA5C0000}"/>
    <cellStyle name="Currency 3 5 2 3 3" xfId="6107" xr:uid="{00000000-0005-0000-0000-0000AB5C0000}"/>
    <cellStyle name="Currency 3 5 2 3 3 2" xfId="16599" xr:uid="{00000000-0005-0000-0000-0000AC5C0000}"/>
    <cellStyle name="Currency 3 5 2 3 3 2 2" xfId="30006" xr:uid="{00000000-0005-0000-0000-0000AD5C0000}"/>
    <cellStyle name="Currency 3 5 2 3 3 3" xfId="21660" xr:uid="{00000000-0005-0000-0000-0000AE5C0000}"/>
    <cellStyle name="Currency 3 5 2 3 4" xfId="9894" xr:uid="{00000000-0005-0000-0000-0000AF5C0000}"/>
    <cellStyle name="Currency 3 5 2 3 5" xfId="21662" xr:uid="{00000000-0005-0000-0000-0000B05C0000}"/>
    <cellStyle name="Currency 3 5 2 4" xfId="6108" xr:uid="{00000000-0005-0000-0000-0000B15C0000}"/>
    <cellStyle name="Currency 3 5 2 4 2" xfId="6109" xr:uid="{00000000-0005-0000-0000-0000B25C0000}"/>
    <cellStyle name="Currency 3 5 2 4 2 2" xfId="13185" xr:uid="{00000000-0005-0000-0000-0000B35C0000}"/>
    <cellStyle name="Currency 3 5 2 4 2 3" xfId="21658" xr:uid="{00000000-0005-0000-0000-0000B45C0000}"/>
    <cellStyle name="Currency 3 5 2 4 3" xfId="11976" xr:uid="{00000000-0005-0000-0000-0000B55C0000}"/>
    <cellStyle name="Currency 3 5 2 4 3 2" xfId="25691" xr:uid="{00000000-0005-0000-0000-0000B65C0000}"/>
    <cellStyle name="Currency 3 5 2 4 4" xfId="21659" xr:uid="{00000000-0005-0000-0000-0000B75C0000}"/>
    <cellStyle name="Currency 3 5 2 5" xfId="6110" xr:uid="{00000000-0005-0000-0000-0000B85C0000}"/>
    <cellStyle name="Currency 3 5 2 5 2" xfId="6111" xr:uid="{00000000-0005-0000-0000-0000B95C0000}"/>
    <cellStyle name="Currency 3 5 2 5 2 2" xfId="15644" xr:uid="{00000000-0005-0000-0000-0000BA5C0000}"/>
    <cellStyle name="Currency 3 5 2 5 2 3" xfId="21656" xr:uid="{00000000-0005-0000-0000-0000BB5C0000}"/>
    <cellStyle name="Currency 3 5 2 5 3" xfId="13551" xr:uid="{00000000-0005-0000-0000-0000BC5C0000}"/>
    <cellStyle name="Currency 3 5 2 5 3 2" xfId="27100" xr:uid="{00000000-0005-0000-0000-0000BD5C0000}"/>
    <cellStyle name="Currency 3 5 2 5 4" xfId="21657" xr:uid="{00000000-0005-0000-0000-0000BE5C0000}"/>
    <cellStyle name="Currency 3 5 2 6" xfId="6112" xr:uid="{00000000-0005-0000-0000-0000BF5C0000}"/>
    <cellStyle name="Currency 3 5 2 6 2" xfId="14132" xr:uid="{00000000-0005-0000-0000-0000C05C0000}"/>
    <cellStyle name="Currency 3 5 2 6 2 2" xfId="27681" xr:uid="{00000000-0005-0000-0000-0000C15C0000}"/>
    <cellStyle name="Currency 3 5 2 6 3" xfId="21655" xr:uid="{00000000-0005-0000-0000-0000C25C0000}"/>
    <cellStyle name="Currency 3 5 2 7" xfId="6113" xr:uid="{00000000-0005-0000-0000-0000C35C0000}"/>
    <cellStyle name="Currency 3 5 2 7 2" xfId="16018" xr:uid="{00000000-0005-0000-0000-0000C45C0000}"/>
    <cellStyle name="Currency 3 5 2 7 2 2" xfId="29425" xr:uid="{00000000-0005-0000-0000-0000C55C0000}"/>
    <cellStyle name="Currency 3 5 2 7 3" xfId="21654" xr:uid="{00000000-0005-0000-0000-0000C65C0000}"/>
    <cellStyle name="Currency 3 5 2 8" xfId="9891" xr:uid="{00000000-0005-0000-0000-0000C75C0000}"/>
    <cellStyle name="Currency 3 5 2 9" xfId="21673" xr:uid="{00000000-0005-0000-0000-0000C85C0000}"/>
    <cellStyle name="Currency 3 5 3" xfId="6114" xr:uid="{00000000-0005-0000-0000-0000C95C0000}"/>
    <cellStyle name="Currency 3 5 3 2" xfId="6115" xr:uid="{00000000-0005-0000-0000-0000CA5C0000}"/>
    <cellStyle name="Currency 3 5 3 2 2" xfId="6116" xr:uid="{00000000-0005-0000-0000-0000CB5C0000}"/>
    <cellStyle name="Currency 3 5 3 2 2 2" xfId="11388" xr:uid="{00000000-0005-0000-0000-0000CC5C0000}"/>
    <cellStyle name="Currency 3 5 3 2 2 3" xfId="21651" xr:uid="{00000000-0005-0000-0000-0000CD5C0000}"/>
    <cellStyle name="Currency 3 5 3 2 3" xfId="6117" xr:uid="{00000000-0005-0000-0000-0000CE5C0000}"/>
    <cellStyle name="Currency 3 5 3 2 3 2" xfId="16748" xr:uid="{00000000-0005-0000-0000-0000CF5C0000}"/>
    <cellStyle name="Currency 3 5 3 2 3 2 2" xfId="30155" xr:uid="{00000000-0005-0000-0000-0000D05C0000}"/>
    <cellStyle name="Currency 3 5 3 2 3 3" xfId="21650" xr:uid="{00000000-0005-0000-0000-0000D15C0000}"/>
    <cellStyle name="Currency 3 5 3 2 4" xfId="9896" xr:uid="{00000000-0005-0000-0000-0000D25C0000}"/>
    <cellStyle name="Currency 3 5 3 2 5" xfId="21652" xr:uid="{00000000-0005-0000-0000-0000D35C0000}"/>
    <cellStyle name="Currency 3 5 3 3" xfId="6118" xr:uid="{00000000-0005-0000-0000-0000D45C0000}"/>
    <cellStyle name="Currency 3 5 3 3 2" xfId="6119" xr:uid="{00000000-0005-0000-0000-0000D55C0000}"/>
    <cellStyle name="Currency 3 5 3 3 2 2" xfId="13186" xr:uid="{00000000-0005-0000-0000-0000D65C0000}"/>
    <cellStyle name="Currency 3 5 3 3 2 3" xfId="21648" xr:uid="{00000000-0005-0000-0000-0000D75C0000}"/>
    <cellStyle name="Currency 3 5 3 3 3" xfId="12136" xr:uid="{00000000-0005-0000-0000-0000D85C0000}"/>
    <cellStyle name="Currency 3 5 3 3 3 2" xfId="25848" xr:uid="{00000000-0005-0000-0000-0000D95C0000}"/>
    <cellStyle name="Currency 3 5 3 3 4" xfId="21649" xr:uid="{00000000-0005-0000-0000-0000DA5C0000}"/>
    <cellStyle name="Currency 3 5 3 4" xfId="6120" xr:uid="{00000000-0005-0000-0000-0000DB5C0000}"/>
    <cellStyle name="Currency 3 5 3 4 2" xfId="6121" xr:uid="{00000000-0005-0000-0000-0000DC5C0000}"/>
    <cellStyle name="Currency 3 5 3 4 2 2" xfId="15645" xr:uid="{00000000-0005-0000-0000-0000DD5C0000}"/>
    <cellStyle name="Currency 3 5 3 4 2 3" xfId="21646" xr:uid="{00000000-0005-0000-0000-0000DE5C0000}"/>
    <cellStyle name="Currency 3 5 3 4 3" xfId="13700" xr:uid="{00000000-0005-0000-0000-0000DF5C0000}"/>
    <cellStyle name="Currency 3 5 3 4 3 2" xfId="27249" xr:uid="{00000000-0005-0000-0000-0000E05C0000}"/>
    <cellStyle name="Currency 3 5 3 4 4" xfId="21647" xr:uid="{00000000-0005-0000-0000-0000E15C0000}"/>
    <cellStyle name="Currency 3 5 3 5" xfId="6122" xr:uid="{00000000-0005-0000-0000-0000E25C0000}"/>
    <cellStyle name="Currency 3 5 3 5 2" xfId="14281" xr:uid="{00000000-0005-0000-0000-0000E35C0000}"/>
    <cellStyle name="Currency 3 5 3 5 2 2" xfId="27830" xr:uid="{00000000-0005-0000-0000-0000E45C0000}"/>
    <cellStyle name="Currency 3 5 3 5 3" xfId="21645" xr:uid="{00000000-0005-0000-0000-0000E55C0000}"/>
    <cellStyle name="Currency 3 5 3 6" xfId="6123" xr:uid="{00000000-0005-0000-0000-0000E65C0000}"/>
    <cellStyle name="Currency 3 5 3 6 2" xfId="16167" xr:uid="{00000000-0005-0000-0000-0000E75C0000}"/>
    <cellStyle name="Currency 3 5 3 6 2 2" xfId="29574" xr:uid="{00000000-0005-0000-0000-0000E85C0000}"/>
    <cellStyle name="Currency 3 5 3 6 3" xfId="21644" xr:uid="{00000000-0005-0000-0000-0000E95C0000}"/>
    <cellStyle name="Currency 3 5 3 7" xfId="9895" xr:uid="{00000000-0005-0000-0000-0000EA5C0000}"/>
    <cellStyle name="Currency 3 5 3 8" xfId="21653" xr:uid="{00000000-0005-0000-0000-0000EB5C0000}"/>
    <cellStyle name="Currency 3 5 4" xfId="6124" xr:uid="{00000000-0005-0000-0000-0000EC5C0000}"/>
    <cellStyle name="Currency 3 5 4 2" xfId="6125" xr:uid="{00000000-0005-0000-0000-0000ED5C0000}"/>
    <cellStyle name="Currency 3 5 4 2 2" xfId="16456" xr:uid="{00000000-0005-0000-0000-0000EE5C0000}"/>
    <cellStyle name="Currency 3 5 4 2 2 2" xfId="29863" xr:uid="{00000000-0005-0000-0000-0000EF5C0000}"/>
    <cellStyle name="Currency 3 5 4 2 3" xfId="21642" xr:uid="{00000000-0005-0000-0000-0000F05C0000}"/>
    <cellStyle name="Currency 3 5 4 3" xfId="9897" xr:uid="{00000000-0005-0000-0000-0000F15C0000}"/>
    <cellStyle name="Currency 3 5 4 4" xfId="21643" xr:uid="{00000000-0005-0000-0000-0000F25C0000}"/>
    <cellStyle name="Currency 3 5 5" xfId="6126" xr:uid="{00000000-0005-0000-0000-0000F35C0000}"/>
    <cellStyle name="Currency 3 5 5 2" xfId="6127" xr:uid="{00000000-0005-0000-0000-0000F45C0000}"/>
    <cellStyle name="Currency 3 5 5 2 2" xfId="11389" xr:uid="{00000000-0005-0000-0000-0000F55C0000}"/>
    <cellStyle name="Currency 3 5 5 2 3" xfId="21640" xr:uid="{00000000-0005-0000-0000-0000F65C0000}"/>
    <cellStyle name="Currency 3 5 5 3" xfId="9898" xr:uid="{00000000-0005-0000-0000-0000F75C0000}"/>
    <cellStyle name="Currency 3 5 5 4" xfId="21641" xr:uid="{00000000-0005-0000-0000-0000F85C0000}"/>
    <cellStyle name="Currency 3 5 6" xfId="6128" xr:uid="{00000000-0005-0000-0000-0000F95C0000}"/>
    <cellStyle name="Currency 3 5 6 2" xfId="6129" xr:uid="{00000000-0005-0000-0000-0000FA5C0000}"/>
    <cellStyle name="Currency 3 5 6 2 2" xfId="13187" xr:uid="{00000000-0005-0000-0000-0000FB5C0000}"/>
    <cellStyle name="Currency 3 5 6 2 3" xfId="21638" xr:uid="{00000000-0005-0000-0000-0000FC5C0000}"/>
    <cellStyle name="Currency 3 5 6 3" xfId="11807" xr:uid="{00000000-0005-0000-0000-0000FD5C0000}"/>
    <cellStyle name="Currency 3 5 6 3 2" xfId="25522" xr:uid="{00000000-0005-0000-0000-0000FE5C0000}"/>
    <cellStyle name="Currency 3 5 6 4" xfId="21639" xr:uid="{00000000-0005-0000-0000-0000FF5C0000}"/>
    <cellStyle name="Currency 3 5 7" xfId="6130" xr:uid="{00000000-0005-0000-0000-0000005D0000}"/>
    <cellStyle name="Currency 3 5 7 2" xfId="6131" xr:uid="{00000000-0005-0000-0000-0000015D0000}"/>
    <cellStyle name="Currency 3 5 7 2 2" xfId="15646" xr:uid="{00000000-0005-0000-0000-0000025D0000}"/>
    <cellStyle name="Currency 3 5 7 2 3" xfId="21636" xr:uid="{00000000-0005-0000-0000-0000035D0000}"/>
    <cellStyle name="Currency 3 5 7 3" xfId="13408" xr:uid="{00000000-0005-0000-0000-0000045D0000}"/>
    <cellStyle name="Currency 3 5 7 3 2" xfId="26957" xr:uid="{00000000-0005-0000-0000-0000055D0000}"/>
    <cellStyle name="Currency 3 5 7 4" xfId="21637" xr:uid="{00000000-0005-0000-0000-0000065D0000}"/>
    <cellStyle name="Currency 3 5 8" xfId="6132" xr:uid="{00000000-0005-0000-0000-0000075D0000}"/>
    <cellStyle name="Currency 3 5 8 2" xfId="13989" xr:uid="{00000000-0005-0000-0000-0000085D0000}"/>
    <cellStyle name="Currency 3 5 8 2 2" xfId="27538" xr:uid="{00000000-0005-0000-0000-0000095D0000}"/>
    <cellStyle name="Currency 3 5 8 3" xfId="21635" xr:uid="{00000000-0005-0000-0000-00000A5D0000}"/>
    <cellStyle name="Currency 3 5 9" xfId="6133" xr:uid="{00000000-0005-0000-0000-00000B5D0000}"/>
    <cellStyle name="Currency 3 5 9 2" xfId="15875" xr:uid="{00000000-0005-0000-0000-00000C5D0000}"/>
    <cellStyle name="Currency 3 5 9 2 2" xfId="29282" xr:uid="{00000000-0005-0000-0000-00000D5D0000}"/>
    <cellStyle name="Currency 3 5 9 3" xfId="21634" xr:uid="{00000000-0005-0000-0000-00000E5D0000}"/>
    <cellStyle name="Currency 3 6" xfId="6134" xr:uid="{00000000-0005-0000-0000-00000F5D0000}"/>
    <cellStyle name="Currency 3 6 10" xfId="9899" xr:uid="{00000000-0005-0000-0000-0000105D0000}"/>
    <cellStyle name="Currency 3 6 11" xfId="21633" xr:uid="{00000000-0005-0000-0000-0000115D0000}"/>
    <cellStyle name="Currency 3 6 2" xfId="6135" xr:uid="{00000000-0005-0000-0000-0000125D0000}"/>
    <cellStyle name="Currency 3 6 2 2" xfId="6136" xr:uid="{00000000-0005-0000-0000-0000135D0000}"/>
    <cellStyle name="Currency 3 6 2 2 2" xfId="6137" xr:uid="{00000000-0005-0000-0000-0000145D0000}"/>
    <cellStyle name="Currency 3 6 2 2 2 2" xfId="6138" xr:uid="{00000000-0005-0000-0000-0000155D0000}"/>
    <cellStyle name="Currency 3 6 2 2 2 2 2" xfId="11390" xr:uid="{00000000-0005-0000-0000-0000165D0000}"/>
    <cellStyle name="Currency 3 6 2 2 2 2 3" xfId="21629" xr:uid="{00000000-0005-0000-0000-0000175D0000}"/>
    <cellStyle name="Currency 3 6 2 2 2 3" xfId="6139" xr:uid="{00000000-0005-0000-0000-0000185D0000}"/>
    <cellStyle name="Currency 3 6 2 2 2 3 2" xfId="16994" xr:uid="{00000000-0005-0000-0000-0000195D0000}"/>
    <cellStyle name="Currency 3 6 2 2 2 3 2 2" xfId="30401" xr:uid="{00000000-0005-0000-0000-00001A5D0000}"/>
    <cellStyle name="Currency 3 6 2 2 2 3 3" xfId="21628" xr:uid="{00000000-0005-0000-0000-00001B5D0000}"/>
    <cellStyle name="Currency 3 6 2 2 2 4" xfId="9902" xr:uid="{00000000-0005-0000-0000-00001C5D0000}"/>
    <cellStyle name="Currency 3 6 2 2 2 5" xfId="21630" xr:uid="{00000000-0005-0000-0000-00001D5D0000}"/>
    <cellStyle name="Currency 3 6 2 2 3" xfId="6140" xr:uid="{00000000-0005-0000-0000-00001E5D0000}"/>
    <cellStyle name="Currency 3 6 2 2 3 2" xfId="6141" xr:uid="{00000000-0005-0000-0000-00001F5D0000}"/>
    <cellStyle name="Currency 3 6 2 2 3 2 2" xfId="13188" xr:uid="{00000000-0005-0000-0000-0000205D0000}"/>
    <cellStyle name="Currency 3 6 2 2 3 2 3" xfId="21626" xr:uid="{00000000-0005-0000-0000-0000215D0000}"/>
    <cellStyle name="Currency 3 6 2 2 3 3" xfId="12382" xr:uid="{00000000-0005-0000-0000-0000225D0000}"/>
    <cellStyle name="Currency 3 6 2 2 3 3 2" xfId="26094" xr:uid="{00000000-0005-0000-0000-0000235D0000}"/>
    <cellStyle name="Currency 3 6 2 2 3 4" xfId="21627" xr:uid="{00000000-0005-0000-0000-0000245D0000}"/>
    <cellStyle name="Currency 3 6 2 2 4" xfId="6142" xr:uid="{00000000-0005-0000-0000-0000255D0000}"/>
    <cellStyle name="Currency 3 6 2 2 4 2" xfId="6143" xr:uid="{00000000-0005-0000-0000-0000265D0000}"/>
    <cellStyle name="Currency 3 6 2 2 4 2 2" xfId="15647" xr:uid="{00000000-0005-0000-0000-0000275D0000}"/>
    <cellStyle name="Currency 3 6 2 2 4 2 3" xfId="21624" xr:uid="{00000000-0005-0000-0000-0000285D0000}"/>
    <cellStyle name="Currency 3 6 2 2 4 3" xfId="13946" xr:uid="{00000000-0005-0000-0000-0000295D0000}"/>
    <cellStyle name="Currency 3 6 2 2 4 3 2" xfId="27495" xr:uid="{00000000-0005-0000-0000-00002A5D0000}"/>
    <cellStyle name="Currency 3 6 2 2 4 4" xfId="21625" xr:uid="{00000000-0005-0000-0000-00002B5D0000}"/>
    <cellStyle name="Currency 3 6 2 2 5" xfId="6144" xr:uid="{00000000-0005-0000-0000-00002C5D0000}"/>
    <cellStyle name="Currency 3 6 2 2 5 2" xfId="14527" xr:uid="{00000000-0005-0000-0000-00002D5D0000}"/>
    <cellStyle name="Currency 3 6 2 2 5 2 2" xfId="28076" xr:uid="{00000000-0005-0000-0000-00002E5D0000}"/>
    <cellStyle name="Currency 3 6 2 2 5 3" xfId="21623" xr:uid="{00000000-0005-0000-0000-00002F5D0000}"/>
    <cellStyle name="Currency 3 6 2 2 6" xfId="6145" xr:uid="{00000000-0005-0000-0000-0000305D0000}"/>
    <cellStyle name="Currency 3 6 2 2 6 2" xfId="16413" xr:uid="{00000000-0005-0000-0000-0000315D0000}"/>
    <cellStyle name="Currency 3 6 2 2 6 2 2" xfId="29820" xr:uid="{00000000-0005-0000-0000-0000325D0000}"/>
    <cellStyle name="Currency 3 6 2 2 6 3" xfId="21622" xr:uid="{00000000-0005-0000-0000-0000335D0000}"/>
    <cellStyle name="Currency 3 6 2 2 7" xfId="9901" xr:uid="{00000000-0005-0000-0000-0000345D0000}"/>
    <cellStyle name="Currency 3 6 2 2 8" xfId="21631" xr:uid="{00000000-0005-0000-0000-0000355D0000}"/>
    <cellStyle name="Currency 3 6 2 3" xfId="6146" xr:uid="{00000000-0005-0000-0000-0000365D0000}"/>
    <cellStyle name="Currency 3 6 2 3 2" xfId="6147" xr:uid="{00000000-0005-0000-0000-0000375D0000}"/>
    <cellStyle name="Currency 3 6 2 3 2 2" xfId="11391" xr:uid="{00000000-0005-0000-0000-0000385D0000}"/>
    <cellStyle name="Currency 3 6 2 3 2 3" xfId="21620" xr:uid="{00000000-0005-0000-0000-0000395D0000}"/>
    <cellStyle name="Currency 3 6 2 3 3" xfId="6148" xr:uid="{00000000-0005-0000-0000-00003A5D0000}"/>
    <cellStyle name="Currency 3 6 2 3 3 2" xfId="16705" xr:uid="{00000000-0005-0000-0000-00003B5D0000}"/>
    <cellStyle name="Currency 3 6 2 3 3 2 2" xfId="30112" xr:uid="{00000000-0005-0000-0000-00003C5D0000}"/>
    <cellStyle name="Currency 3 6 2 3 3 3" xfId="21619" xr:uid="{00000000-0005-0000-0000-00003D5D0000}"/>
    <cellStyle name="Currency 3 6 2 3 4" xfId="9903" xr:uid="{00000000-0005-0000-0000-00003E5D0000}"/>
    <cellStyle name="Currency 3 6 2 3 5" xfId="21621" xr:uid="{00000000-0005-0000-0000-00003F5D0000}"/>
    <cellStyle name="Currency 3 6 2 4" xfId="6149" xr:uid="{00000000-0005-0000-0000-0000405D0000}"/>
    <cellStyle name="Currency 3 6 2 4 2" xfId="6150" xr:uid="{00000000-0005-0000-0000-0000415D0000}"/>
    <cellStyle name="Currency 3 6 2 4 2 2" xfId="13189" xr:uid="{00000000-0005-0000-0000-0000425D0000}"/>
    <cellStyle name="Currency 3 6 2 4 2 3" xfId="21617" xr:uid="{00000000-0005-0000-0000-0000435D0000}"/>
    <cellStyle name="Currency 3 6 2 4 3" xfId="12082" xr:uid="{00000000-0005-0000-0000-0000445D0000}"/>
    <cellStyle name="Currency 3 6 2 4 3 2" xfId="25797" xr:uid="{00000000-0005-0000-0000-0000455D0000}"/>
    <cellStyle name="Currency 3 6 2 4 4" xfId="21618" xr:uid="{00000000-0005-0000-0000-0000465D0000}"/>
    <cellStyle name="Currency 3 6 2 5" xfId="6151" xr:uid="{00000000-0005-0000-0000-0000475D0000}"/>
    <cellStyle name="Currency 3 6 2 5 2" xfId="6152" xr:uid="{00000000-0005-0000-0000-0000485D0000}"/>
    <cellStyle name="Currency 3 6 2 5 2 2" xfId="15648" xr:uid="{00000000-0005-0000-0000-0000495D0000}"/>
    <cellStyle name="Currency 3 6 2 5 2 3" xfId="21615" xr:uid="{00000000-0005-0000-0000-00004A5D0000}"/>
    <cellStyle name="Currency 3 6 2 5 3" xfId="13657" xr:uid="{00000000-0005-0000-0000-00004B5D0000}"/>
    <cellStyle name="Currency 3 6 2 5 3 2" xfId="27206" xr:uid="{00000000-0005-0000-0000-00004C5D0000}"/>
    <cellStyle name="Currency 3 6 2 5 4" xfId="21616" xr:uid="{00000000-0005-0000-0000-00004D5D0000}"/>
    <cellStyle name="Currency 3 6 2 6" xfId="6153" xr:uid="{00000000-0005-0000-0000-00004E5D0000}"/>
    <cellStyle name="Currency 3 6 2 6 2" xfId="14238" xr:uid="{00000000-0005-0000-0000-00004F5D0000}"/>
    <cellStyle name="Currency 3 6 2 6 2 2" xfId="27787" xr:uid="{00000000-0005-0000-0000-0000505D0000}"/>
    <cellStyle name="Currency 3 6 2 6 3" xfId="21614" xr:uid="{00000000-0005-0000-0000-0000515D0000}"/>
    <cellStyle name="Currency 3 6 2 7" xfId="6154" xr:uid="{00000000-0005-0000-0000-0000525D0000}"/>
    <cellStyle name="Currency 3 6 2 7 2" xfId="16124" xr:uid="{00000000-0005-0000-0000-0000535D0000}"/>
    <cellStyle name="Currency 3 6 2 7 2 2" xfId="29531" xr:uid="{00000000-0005-0000-0000-0000545D0000}"/>
    <cellStyle name="Currency 3 6 2 7 3" xfId="21613" xr:uid="{00000000-0005-0000-0000-0000555D0000}"/>
    <cellStyle name="Currency 3 6 2 8" xfId="9900" xr:uid="{00000000-0005-0000-0000-0000565D0000}"/>
    <cellStyle name="Currency 3 6 2 9" xfId="21632" xr:uid="{00000000-0005-0000-0000-0000575D0000}"/>
    <cellStyle name="Currency 3 6 3" xfId="6155" xr:uid="{00000000-0005-0000-0000-0000585D0000}"/>
    <cellStyle name="Currency 3 6 3 2" xfId="6156" xr:uid="{00000000-0005-0000-0000-0000595D0000}"/>
    <cellStyle name="Currency 3 6 3 2 2" xfId="6157" xr:uid="{00000000-0005-0000-0000-00005A5D0000}"/>
    <cellStyle name="Currency 3 6 3 2 2 2" xfId="11392" xr:uid="{00000000-0005-0000-0000-00005B5D0000}"/>
    <cellStyle name="Currency 3 6 3 2 2 3" xfId="21610" xr:uid="{00000000-0005-0000-0000-00005C5D0000}"/>
    <cellStyle name="Currency 3 6 3 2 3" xfId="6158" xr:uid="{00000000-0005-0000-0000-00005D5D0000}"/>
    <cellStyle name="Currency 3 6 3 2 3 2" xfId="16851" xr:uid="{00000000-0005-0000-0000-00005E5D0000}"/>
    <cellStyle name="Currency 3 6 3 2 3 2 2" xfId="30258" xr:uid="{00000000-0005-0000-0000-00005F5D0000}"/>
    <cellStyle name="Currency 3 6 3 2 3 3" xfId="21609" xr:uid="{00000000-0005-0000-0000-0000605D0000}"/>
    <cellStyle name="Currency 3 6 3 2 4" xfId="9905" xr:uid="{00000000-0005-0000-0000-0000615D0000}"/>
    <cellStyle name="Currency 3 6 3 2 5" xfId="21611" xr:uid="{00000000-0005-0000-0000-0000625D0000}"/>
    <cellStyle name="Currency 3 6 3 3" xfId="6159" xr:uid="{00000000-0005-0000-0000-0000635D0000}"/>
    <cellStyle name="Currency 3 6 3 3 2" xfId="6160" xr:uid="{00000000-0005-0000-0000-0000645D0000}"/>
    <cellStyle name="Currency 3 6 3 3 2 2" xfId="13190" xr:uid="{00000000-0005-0000-0000-0000655D0000}"/>
    <cellStyle name="Currency 3 6 3 3 2 3" xfId="21607" xr:uid="{00000000-0005-0000-0000-0000665D0000}"/>
    <cellStyle name="Currency 3 6 3 3 3" xfId="12239" xr:uid="{00000000-0005-0000-0000-0000675D0000}"/>
    <cellStyle name="Currency 3 6 3 3 3 2" xfId="25951" xr:uid="{00000000-0005-0000-0000-0000685D0000}"/>
    <cellStyle name="Currency 3 6 3 3 4" xfId="21608" xr:uid="{00000000-0005-0000-0000-0000695D0000}"/>
    <cellStyle name="Currency 3 6 3 4" xfId="6161" xr:uid="{00000000-0005-0000-0000-00006A5D0000}"/>
    <cellStyle name="Currency 3 6 3 4 2" xfId="6162" xr:uid="{00000000-0005-0000-0000-00006B5D0000}"/>
    <cellStyle name="Currency 3 6 3 4 2 2" xfId="15649" xr:uid="{00000000-0005-0000-0000-00006C5D0000}"/>
    <cellStyle name="Currency 3 6 3 4 2 3" xfId="21605" xr:uid="{00000000-0005-0000-0000-00006D5D0000}"/>
    <cellStyle name="Currency 3 6 3 4 3" xfId="13803" xr:uid="{00000000-0005-0000-0000-00006E5D0000}"/>
    <cellStyle name="Currency 3 6 3 4 3 2" xfId="27352" xr:uid="{00000000-0005-0000-0000-00006F5D0000}"/>
    <cellStyle name="Currency 3 6 3 4 4" xfId="21606" xr:uid="{00000000-0005-0000-0000-0000705D0000}"/>
    <cellStyle name="Currency 3 6 3 5" xfId="6163" xr:uid="{00000000-0005-0000-0000-0000715D0000}"/>
    <cellStyle name="Currency 3 6 3 5 2" xfId="14384" xr:uid="{00000000-0005-0000-0000-0000725D0000}"/>
    <cellStyle name="Currency 3 6 3 5 2 2" xfId="27933" xr:uid="{00000000-0005-0000-0000-0000735D0000}"/>
    <cellStyle name="Currency 3 6 3 5 3" xfId="21604" xr:uid="{00000000-0005-0000-0000-0000745D0000}"/>
    <cellStyle name="Currency 3 6 3 6" xfId="6164" xr:uid="{00000000-0005-0000-0000-0000755D0000}"/>
    <cellStyle name="Currency 3 6 3 6 2" xfId="16270" xr:uid="{00000000-0005-0000-0000-0000765D0000}"/>
    <cellStyle name="Currency 3 6 3 6 2 2" xfId="29677" xr:uid="{00000000-0005-0000-0000-0000775D0000}"/>
    <cellStyle name="Currency 3 6 3 6 3" xfId="21603" xr:uid="{00000000-0005-0000-0000-0000785D0000}"/>
    <cellStyle name="Currency 3 6 3 7" xfId="9904" xr:uid="{00000000-0005-0000-0000-0000795D0000}"/>
    <cellStyle name="Currency 3 6 3 8" xfId="21612" xr:uid="{00000000-0005-0000-0000-00007A5D0000}"/>
    <cellStyle name="Currency 3 6 4" xfId="6165" xr:uid="{00000000-0005-0000-0000-00007B5D0000}"/>
    <cellStyle name="Currency 3 6 4 2" xfId="6166" xr:uid="{00000000-0005-0000-0000-00007C5D0000}"/>
    <cellStyle name="Currency 3 6 4 2 2" xfId="16562" xr:uid="{00000000-0005-0000-0000-00007D5D0000}"/>
    <cellStyle name="Currency 3 6 4 2 2 2" xfId="29969" xr:uid="{00000000-0005-0000-0000-00007E5D0000}"/>
    <cellStyle name="Currency 3 6 4 2 3" xfId="21601" xr:uid="{00000000-0005-0000-0000-00007F5D0000}"/>
    <cellStyle name="Currency 3 6 4 3" xfId="9906" xr:uid="{00000000-0005-0000-0000-0000805D0000}"/>
    <cellStyle name="Currency 3 6 4 4" xfId="21602" xr:uid="{00000000-0005-0000-0000-0000815D0000}"/>
    <cellStyle name="Currency 3 6 5" xfId="6167" xr:uid="{00000000-0005-0000-0000-0000825D0000}"/>
    <cellStyle name="Currency 3 6 5 2" xfId="6168" xr:uid="{00000000-0005-0000-0000-0000835D0000}"/>
    <cellStyle name="Currency 3 6 5 2 2" xfId="11393" xr:uid="{00000000-0005-0000-0000-0000845D0000}"/>
    <cellStyle name="Currency 3 6 5 2 3" xfId="21599" xr:uid="{00000000-0005-0000-0000-0000855D0000}"/>
    <cellStyle name="Currency 3 6 5 3" xfId="9907" xr:uid="{00000000-0005-0000-0000-0000865D0000}"/>
    <cellStyle name="Currency 3 6 5 4" xfId="21600" xr:uid="{00000000-0005-0000-0000-0000875D0000}"/>
    <cellStyle name="Currency 3 6 6" xfId="6169" xr:uid="{00000000-0005-0000-0000-0000885D0000}"/>
    <cellStyle name="Currency 3 6 6 2" xfId="6170" xr:uid="{00000000-0005-0000-0000-0000895D0000}"/>
    <cellStyle name="Currency 3 6 6 2 2" xfId="13191" xr:uid="{00000000-0005-0000-0000-00008A5D0000}"/>
    <cellStyle name="Currency 3 6 6 2 3" xfId="21597" xr:uid="{00000000-0005-0000-0000-00008B5D0000}"/>
    <cellStyle name="Currency 3 6 6 3" xfId="11937" xr:uid="{00000000-0005-0000-0000-00008C5D0000}"/>
    <cellStyle name="Currency 3 6 6 3 2" xfId="25652" xr:uid="{00000000-0005-0000-0000-00008D5D0000}"/>
    <cellStyle name="Currency 3 6 6 4" xfId="21598" xr:uid="{00000000-0005-0000-0000-00008E5D0000}"/>
    <cellStyle name="Currency 3 6 7" xfId="6171" xr:uid="{00000000-0005-0000-0000-00008F5D0000}"/>
    <cellStyle name="Currency 3 6 7 2" xfId="6172" xr:uid="{00000000-0005-0000-0000-0000905D0000}"/>
    <cellStyle name="Currency 3 6 7 2 2" xfId="15650" xr:uid="{00000000-0005-0000-0000-0000915D0000}"/>
    <cellStyle name="Currency 3 6 7 2 3" xfId="21595" xr:uid="{00000000-0005-0000-0000-0000925D0000}"/>
    <cellStyle name="Currency 3 6 7 3" xfId="13514" xr:uid="{00000000-0005-0000-0000-0000935D0000}"/>
    <cellStyle name="Currency 3 6 7 3 2" xfId="27063" xr:uid="{00000000-0005-0000-0000-0000945D0000}"/>
    <cellStyle name="Currency 3 6 7 4" xfId="21596" xr:uid="{00000000-0005-0000-0000-0000955D0000}"/>
    <cellStyle name="Currency 3 6 8" xfId="6173" xr:uid="{00000000-0005-0000-0000-0000965D0000}"/>
    <cellStyle name="Currency 3 6 8 2" xfId="14095" xr:uid="{00000000-0005-0000-0000-0000975D0000}"/>
    <cellStyle name="Currency 3 6 8 2 2" xfId="27644" xr:uid="{00000000-0005-0000-0000-0000985D0000}"/>
    <cellStyle name="Currency 3 6 8 3" xfId="21594" xr:uid="{00000000-0005-0000-0000-0000995D0000}"/>
    <cellStyle name="Currency 3 6 9" xfId="6174" xr:uid="{00000000-0005-0000-0000-00009A5D0000}"/>
    <cellStyle name="Currency 3 6 9 2" xfId="15981" xr:uid="{00000000-0005-0000-0000-00009B5D0000}"/>
    <cellStyle name="Currency 3 6 9 2 2" xfId="29388" xr:uid="{00000000-0005-0000-0000-00009C5D0000}"/>
    <cellStyle name="Currency 3 6 9 3" xfId="21593" xr:uid="{00000000-0005-0000-0000-00009D5D0000}"/>
    <cellStyle name="Currency 3 7" xfId="6175" xr:uid="{00000000-0005-0000-0000-00009E5D0000}"/>
    <cellStyle name="Currency 3 7 2" xfId="6176" xr:uid="{00000000-0005-0000-0000-00009F5D0000}"/>
    <cellStyle name="Currency 3 7 2 2" xfId="6177" xr:uid="{00000000-0005-0000-0000-0000A05D0000}"/>
    <cellStyle name="Currency 3 7 2 2 2" xfId="6178" xr:uid="{00000000-0005-0000-0000-0000A15D0000}"/>
    <cellStyle name="Currency 3 7 2 2 2 2" xfId="11394" xr:uid="{00000000-0005-0000-0000-0000A25D0000}"/>
    <cellStyle name="Currency 3 7 2 2 2 3" xfId="21589" xr:uid="{00000000-0005-0000-0000-0000A35D0000}"/>
    <cellStyle name="Currency 3 7 2 2 3" xfId="6179" xr:uid="{00000000-0005-0000-0000-0000A45D0000}"/>
    <cellStyle name="Currency 3 7 2 2 3 2" xfId="16871" xr:uid="{00000000-0005-0000-0000-0000A55D0000}"/>
    <cellStyle name="Currency 3 7 2 2 3 2 2" xfId="30278" xr:uid="{00000000-0005-0000-0000-0000A65D0000}"/>
    <cellStyle name="Currency 3 7 2 2 3 3" xfId="21588" xr:uid="{00000000-0005-0000-0000-0000A75D0000}"/>
    <cellStyle name="Currency 3 7 2 2 4" xfId="9910" xr:uid="{00000000-0005-0000-0000-0000A85D0000}"/>
    <cellStyle name="Currency 3 7 2 2 5" xfId="21590" xr:uid="{00000000-0005-0000-0000-0000A95D0000}"/>
    <cellStyle name="Currency 3 7 2 3" xfId="6180" xr:uid="{00000000-0005-0000-0000-0000AA5D0000}"/>
    <cellStyle name="Currency 3 7 2 3 2" xfId="6181" xr:uid="{00000000-0005-0000-0000-0000AB5D0000}"/>
    <cellStyle name="Currency 3 7 2 3 2 2" xfId="13192" xr:uid="{00000000-0005-0000-0000-0000AC5D0000}"/>
    <cellStyle name="Currency 3 7 2 3 2 3" xfId="21586" xr:uid="{00000000-0005-0000-0000-0000AD5D0000}"/>
    <cellStyle name="Currency 3 7 2 3 3" xfId="12259" xr:uid="{00000000-0005-0000-0000-0000AE5D0000}"/>
    <cellStyle name="Currency 3 7 2 3 3 2" xfId="25971" xr:uid="{00000000-0005-0000-0000-0000AF5D0000}"/>
    <cellStyle name="Currency 3 7 2 3 4" xfId="21587" xr:uid="{00000000-0005-0000-0000-0000B05D0000}"/>
    <cellStyle name="Currency 3 7 2 4" xfId="6182" xr:uid="{00000000-0005-0000-0000-0000B15D0000}"/>
    <cellStyle name="Currency 3 7 2 4 2" xfId="6183" xr:uid="{00000000-0005-0000-0000-0000B25D0000}"/>
    <cellStyle name="Currency 3 7 2 4 2 2" xfId="15651" xr:uid="{00000000-0005-0000-0000-0000B35D0000}"/>
    <cellStyle name="Currency 3 7 2 4 2 3" xfId="21584" xr:uid="{00000000-0005-0000-0000-0000B45D0000}"/>
    <cellStyle name="Currency 3 7 2 4 3" xfId="13823" xr:uid="{00000000-0005-0000-0000-0000B55D0000}"/>
    <cellStyle name="Currency 3 7 2 4 3 2" xfId="27372" xr:uid="{00000000-0005-0000-0000-0000B65D0000}"/>
    <cellStyle name="Currency 3 7 2 4 4" xfId="21585" xr:uid="{00000000-0005-0000-0000-0000B75D0000}"/>
    <cellStyle name="Currency 3 7 2 5" xfId="6184" xr:uid="{00000000-0005-0000-0000-0000B85D0000}"/>
    <cellStyle name="Currency 3 7 2 5 2" xfId="14404" xr:uid="{00000000-0005-0000-0000-0000B95D0000}"/>
    <cellStyle name="Currency 3 7 2 5 2 2" xfId="27953" xr:uid="{00000000-0005-0000-0000-0000BA5D0000}"/>
    <cellStyle name="Currency 3 7 2 5 3" xfId="21583" xr:uid="{00000000-0005-0000-0000-0000BB5D0000}"/>
    <cellStyle name="Currency 3 7 2 6" xfId="6185" xr:uid="{00000000-0005-0000-0000-0000BC5D0000}"/>
    <cellStyle name="Currency 3 7 2 6 2" xfId="16290" xr:uid="{00000000-0005-0000-0000-0000BD5D0000}"/>
    <cellStyle name="Currency 3 7 2 6 2 2" xfId="29697" xr:uid="{00000000-0005-0000-0000-0000BE5D0000}"/>
    <cellStyle name="Currency 3 7 2 6 3" xfId="21582" xr:uid="{00000000-0005-0000-0000-0000BF5D0000}"/>
    <cellStyle name="Currency 3 7 2 7" xfId="9909" xr:uid="{00000000-0005-0000-0000-0000C05D0000}"/>
    <cellStyle name="Currency 3 7 2 8" xfId="21591" xr:uid="{00000000-0005-0000-0000-0000C15D0000}"/>
    <cellStyle name="Currency 3 7 3" xfId="6186" xr:uid="{00000000-0005-0000-0000-0000C25D0000}"/>
    <cellStyle name="Currency 3 7 3 2" xfId="6187" xr:uid="{00000000-0005-0000-0000-0000C35D0000}"/>
    <cellStyle name="Currency 3 7 3 2 2" xfId="11395" xr:uid="{00000000-0005-0000-0000-0000C45D0000}"/>
    <cellStyle name="Currency 3 7 3 2 3" xfId="21580" xr:uid="{00000000-0005-0000-0000-0000C55D0000}"/>
    <cellStyle name="Currency 3 7 3 3" xfId="6188" xr:uid="{00000000-0005-0000-0000-0000C65D0000}"/>
    <cellStyle name="Currency 3 7 3 3 2" xfId="16582" xr:uid="{00000000-0005-0000-0000-0000C75D0000}"/>
    <cellStyle name="Currency 3 7 3 3 2 2" xfId="29989" xr:uid="{00000000-0005-0000-0000-0000C85D0000}"/>
    <cellStyle name="Currency 3 7 3 3 3" xfId="21579" xr:uid="{00000000-0005-0000-0000-0000C95D0000}"/>
    <cellStyle name="Currency 3 7 3 4" xfId="9911" xr:uid="{00000000-0005-0000-0000-0000CA5D0000}"/>
    <cellStyle name="Currency 3 7 3 5" xfId="21581" xr:uid="{00000000-0005-0000-0000-0000CB5D0000}"/>
    <cellStyle name="Currency 3 7 4" xfId="6189" xr:uid="{00000000-0005-0000-0000-0000CC5D0000}"/>
    <cellStyle name="Currency 3 7 4 2" xfId="6190" xr:uid="{00000000-0005-0000-0000-0000CD5D0000}"/>
    <cellStyle name="Currency 3 7 4 2 2" xfId="13193" xr:uid="{00000000-0005-0000-0000-0000CE5D0000}"/>
    <cellStyle name="Currency 3 7 4 2 3" xfId="21577" xr:uid="{00000000-0005-0000-0000-0000CF5D0000}"/>
    <cellStyle name="Currency 3 7 4 3" xfId="11958" xr:uid="{00000000-0005-0000-0000-0000D05D0000}"/>
    <cellStyle name="Currency 3 7 4 3 2" xfId="25673" xr:uid="{00000000-0005-0000-0000-0000D15D0000}"/>
    <cellStyle name="Currency 3 7 4 4" xfId="21578" xr:uid="{00000000-0005-0000-0000-0000D25D0000}"/>
    <cellStyle name="Currency 3 7 5" xfId="6191" xr:uid="{00000000-0005-0000-0000-0000D35D0000}"/>
    <cellStyle name="Currency 3 7 5 2" xfId="6192" xr:uid="{00000000-0005-0000-0000-0000D45D0000}"/>
    <cellStyle name="Currency 3 7 5 2 2" xfId="15652" xr:uid="{00000000-0005-0000-0000-0000D55D0000}"/>
    <cellStyle name="Currency 3 7 5 2 3" xfId="21575" xr:uid="{00000000-0005-0000-0000-0000D65D0000}"/>
    <cellStyle name="Currency 3 7 5 3" xfId="13534" xr:uid="{00000000-0005-0000-0000-0000D75D0000}"/>
    <cellStyle name="Currency 3 7 5 3 2" xfId="27083" xr:uid="{00000000-0005-0000-0000-0000D85D0000}"/>
    <cellStyle name="Currency 3 7 5 4" xfId="21576" xr:uid="{00000000-0005-0000-0000-0000D95D0000}"/>
    <cellStyle name="Currency 3 7 6" xfId="6193" xr:uid="{00000000-0005-0000-0000-0000DA5D0000}"/>
    <cellStyle name="Currency 3 7 6 2" xfId="14115" xr:uid="{00000000-0005-0000-0000-0000DB5D0000}"/>
    <cellStyle name="Currency 3 7 6 2 2" xfId="27664" xr:uid="{00000000-0005-0000-0000-0000DC5D0000}"/>
    <cellStyle name="Currency 3 7 6 3" xfId="21574" xr:uid="{00000000-0005-0000-0000-0000DD5D0000}"/>
    <cellStyle name="Currency 3 7 7" xfId="6194" xr:uid="{00000000-0005-0000-0000-0000DE5D0000}"/>
    <cellStyle name="Currency 3 7 7 2" xfId="16001" xr:uid="{00000000-0005-0000-0000-0000DF5D0000}"/>
    <cellStyle name="Currency 3 7 7 2 2" xfId="29408" xr:uid="{00000000-0005-0000-0000-0000E05D0000}"/>
    <cellStyle name="Currency 3 7 7 3" xfId="21573" xr:uid="{00000000-0005-0000-0000-0000E15D0000}"/>
    <cellStyle name="Currency 3 7 8" xfId="9908" xr:uid="{00000000-0005-0000-0000-0000E25D0000}"/>
    <cellStyle name="Currency 3 7 9" xfId="21592" xr:uid="{00000000-0005-0000-0000-0000E35D0000}"/>
    <cellStyle name="Currency 3 8" xfId="6195" xr:uid="{00000000-0005-0000-0000-0000E45D0000}"/>
    <cellStyle name="Currency 3 8 2" xfId="6196" xr:uid="{00000000-0005-0000-0000-0000E55D0000}"/>
    <cellStyle name="Currency 3 8 2 2" xfId="6197" xr:uid="{00000000-0005-0000-0000-0000E65D0000}"/>
    <cellStyle name="Currency 3 8 2 2 2" xfId="11396" xr:uid="{00000000-0005-0000-0000-0000E75D0000}"/>
    <cellStyle name="Currency 3 8 2 2 3" xfId="21570" xr:uid="{00000000-0005-0000-0000-0000E85D0000}"/>
    <cellStyle name="Currency 3 8 2 3" xfId="6198" xr:uid="{00000000-0005-0000-0000-0000E95D0000}"/>
    <cellStyle name="Currency 3 8 2 3 2" xfId="16727" xr:uid="{00000000-0005-0000-0000-0000EA5D0000}"/>
    <cellStyle name="Currency 3 8 2 3 2 2" xfId="30134" xr:uid="{00000000-0005-0000-0000-0000EB5D0000}"/>
    <cellStyle name="Currency 3 8 2 3 3" xfId="21569" xr:uid="{00000000-0005-0000-0000-0000EC5D0000}"/>
    <cellStyle name="Currency 3 8 2 4" xfId="9913" xr:uid="{00000000-0005-0000-0000-0000ED5D0000}"/>
    <cellStyle name="Currency 3 8 2 5" xfId="21571" xr:uid="{00000000-0005-0000-0000-0000EE5D0000}"/>
    <cellStyle name="Currency 3 8 3" xfId="6199" xr:uid="{00000000-0005-0000-0000-0000EF5D0000}"/>
    <cellStyle name="Currency 3 8 3 2" xfId="6200" xr:uid="{00000000-0005-0000-0000-0000F05D0000}"/>
    <cellStyle name="Currency 3 8 3 2 2" xfId="13194" xr:uid="{00000000-0005-0000-0000-0000F15D0000}"/>
    <cellStyle name="Currency 3 8 3 2 3" xfId="21567" xr:uid="{00000000-0005-0000-0000-0000F25D0000}"/>
    <cellStyle name="Currency 3 8 3 3" xfId="12110" xr:uid="{00000000-0005-0000-0000-0000F35D0000}"/>
    <cellStyle name="Currency 3 8 3 3 2" xfId="25822" xr:uid="{00000000-0005-0000-0000-0000F45D0000}"/>
    <cellStyle name="Currency 3 8 3 4" xfId="21568" xr:uid="{00000000-0005-0000-0000-0000F55D0000}"/>
    <cellStyle name="Currency 3 8 4" xfId="6201" xr:uid="{00000000-0005-0000-0000-0000F65D0000}"/>
    <cellStyle name="Currency 3 8 4 2" xfId="6202" xr:uid="{00000000-0005-0000-0000-0000F75D0000}"/>
    <cellStyle name="Currency 3 8 4 2 2" xfId="15653" xr:uid="{00000000-0005-0000-0000-0000F85D0000}"/>
    <cellStyle name="Currency 3 8 4 2 3" xfId="21565" xr:uid="{00000000-0005-0000-0000-0000F95D0000}"/>
    <cellStyle name="Currency 3 8 4 3" xfId="13679" xr:uid="{00000000-0005-0000-0000-0000FA5D0000}"/>
    <cellStyle name="Currency 3 8 4 3 2" xfId="27228" xr:uid="{00000000-0005-0000-0000-0000FB5D0000}"/>
    <cellStyle name="Currency 3 8 4 4" xfId="21566" xr:uid="{00000000-0005-0000-0000-0000FC5D0000}"/>
    <cellStyle name="Currency 3 8 5" xfId="6203" xr:uid="{00000000-0005-0000-0000-0000FD5D0000}"/>
    <cellStyle name="Currency 3 8 5 2" xfId="14260" xr:uid="{00000000-0005-0000-0000-0000FE5D0000}"/>
    <cellStyle name="Currency 3 8 5 2 2" xfId="27809" xr:uid="{00000000-0005-0000-0000-0000FF5D0000}"/>
    <cellStyle name="Currency 3 8 5 3" xfId="21564" xr:uid="{00000000-0005-0000-0000-0000005E0000}"/>
    <cellStyle name="Currency 3 8 6" xfId="6204" xr:uid="{00000000-0005-0000-0000-0000015E0000}"/>
    <cellStyle name="Currency 3 8 6 2" xfId="16146" xr:uid="{00000000-0005-0000-0000-0000025E0000}"/>
    <cellStyle name="Currency 3 8 6 2 2" xfId="29553" xr:uid="{00000000-0005-0000-0000-0000035E0000}"/>
    <cellStyle name="Currency 3 8 6 3" xfId="21563" xr:uid="{00000000-0005-0000-0000-0000045E0000}"/>
    <cellStyle name="Currency 3 8 7" xfId="9912" xr:uid="{00000000-0005-0000-0000-0000055E0000}"/>
    <cellStyle name="Currency 3 8 8" xfId="21572" xr:uid="{00000000-0005-0000-0000-0000065E0000}"/>
    <cellStyle name="Currency 3 9" xfId="6205" xr:uid="{00000000-0005-0000-0000-0000075E0000}"/>
    <cellStyle name="Currency 3 9 2" xfId="6206" xr:uid="{00000000-0005-0000-0000-0000085E0000}"/>
    <cellStyle name="Currency 3 9 2 2" xfId="6207" xr:uid="{00000000-0005-0000-0000-0000095E0000}"/>
    <cellStyle name="Currency 3 9 2 2 2" xfId="11397" xr:uid="{00000000-0005-0000-0000-00000A5E0000}"/>
    <cellStyle name="Currency 3 9 2 2 3" xfId="21560" xr:uid="{00000000-0005-0000-0000-00000B5E0000}"/>
    <cellStyle name="Currency 3 9 2 3" xfId="6208" xr:uid="{00000000-0005-0000-0000-00000C5E0000}"/>
    <cellStyle name="Currency 3 9 2 3 2" xfId="16735" xr:uid="{00000000-0005-0000-0000-00000D5E0000}"/>
    <cellStyle name="Currency 3 9 2 3 2 2" xfId="30142" xr:uid="{00000000-0005-0000-0000-00000E5E0000}"/>
    <cellStyle name="Currency 3 9 2 3 3" xfId="21559" xr:uid="{00000000-0005-0000-0000-00000F5E0000}"/>
    <cellStyle name="Currency 3 9 2 4" xfId="9915" xr:uid="{00000000-0005-0000-0000-0000105E0000}"/>
    <cellStyle name="Currency 3 9 2 5" xfId="21561" xr:uid="{00000000-0005-0000-0000-0000115E0000}"/>
    <cellStyle name="Currency 3 9 3" xfId="6209" xr:uid="{00000000-0005-0000-0000-0000125E0000}"/>
    <cellStyle name="Currency 3 9 3 2" xfId="6210" xr:uid="{00000000-0005-0000-0000-0000135E0000}"/>
    <cellStyle name="Currency 3 9 3 2 2" xfId="13195" xr:uid="{00000000-0005-0000-0000-0000145E0000}"/>
    <cellStyle name="Currency 3 9 3 2 3" xfId="21557" xr:uid="{00000000-0005-0000-0000-0000155E0000}"/>
    <cellStyle name="Currency 3 9 3 3" xfId="12123" xr:uid="{00000000-0005-0000-0000-0000165E0000}"/>
    <cellStyle name="Currency 3 9 3 3 2" xfId="25835" xr:uid="{00000000-0005-0000-0000-0000175E0000}"/>
    <cellStyle name="Currency 3 9 3 4" xfId="21558" xr:uid="{00000000-0005-0000-0000-0000185E0000}"/>
    <cellStyle name="Currency 3 9 4" xfId="6211" xr:uid="{00000000-0005-0000-0000-0000195E0000}"/>
    <cellStyle name="Currency 3 9 4 2" xfId="6212" xr:uid="{00000000-0005-0000-0000-00001A5E0000}"/>
    <cellStyle name="Currency 3 9 4 2 2" xfId="15654" xr:uid="{00000000-0005-0000-0000-00001B5E0000}"/>
    <cellStyle name="Currency 3 9 4 2 3" xfId="21555" xr:uid="{00000000-0005-0000-0000-00001C5E0000}"/>
    <cellStyle name="Currency 3 9 4 3" xfId="13687" xr:uid="{00000000-0005-0000-0000-00001D5E0000}"/>
    <cellStyle name="Currency 3 9 4 3 2" xfId="27236" xr:uid="{00000000-0005-0000-0000-00001E5E0000}"/>
    <cellStyle name="Currency 3 9 4 4" xfId="21556" xr:uid="{00000000-0005-0000-0000-00001F5E0000}"/>
    <cellStyle name="Currency 3 9 5" xfId="6213" xr:uid="{00000000-0005-0000-0000-0000205E0000}"/>
    <cellStyle name="Currency 3 9 5 2" xfId="14268" xr:uid="{00000000-0005-0000-0000-0000215E0000}"/>
    <cellStyle name="Currency 3 9 5 2 2" xfId="27817" xr:uid="{00000000-0005-0000-0000-0000225E0000}"/>
    <cellStyle name="Currency 3 9 5 3" xfId="21554" xr:uid="{00000000-0005-0000-0000-0000235E0000}"/>
    <cellStyle name="Currency 3 9 6" xfId="6214" xr:uid="{00000000-0005-0000-0000-0000245E0000}"/>
    <cellStyle name="Currency 3 9 6 2" xfId="16154" xr:uid="{00000000-0005-0000-0000-0000255E0000}"/>
    <cellStyle name="Currency 3 9 6 2 2" xfId="29561" xr:uid="{00000000-0005-0000-0000-0000265E0000}"/>
    <cellStyle name="Currency 3 9 6 3" xfId="21553" xr:uid="{00000000-0005-0000-0000-0000275E0000}"/>
    <cellStyle name="Currency 3 9 7" xfId="9914" xr:uid="{00000000-0005-0000-0000-0000285E0000}"/>
    <cellStyle name="Currency 3 9 8" xfId="21562" xr:uid="{00000000-0005-0000-0000-0000295E0000}"/>
    <cellStyle name="Currency 4" xfId="6215" xr:uid="{00000000-0005-0000-0000-00002A5E0000}"/>
    <cellStyle name="Currency 4 2" xfId="6216" xr:uid="{00000000-0005-0000-0000-00002B5E0000}"/>
    <cellStyle name="Currency 4 2 2" xfId="6217" xr:uid="{00000000-0005-0000-0000-00002C5E0000}"/>
    <cellStyle name="Currency 4 2 2 2" xfId="9918" xr:uid="{00000000-0005-0000-0000-00002D5E0000}"/>
    <cellStyle name="Currency 4 2 2 3" xfId="21550" xr:uid="{00000000-0005-0000-0000-00002E5E0000}"/>
    <cellStyle name="Currency 4 2 3" xfId="6218" xr:uid="{00000000-0005-0000-0000-00002F5E0000}"/>
    <cellStyle name="Currency 4 2 3 2" xfId="13196" xr:uid="{00000000-0005-0000-0000-0000305E0000}"/>
    <cellStyle name="Currency 4 2 3 3" xfId="21549" xr:uid="{00000000-0005-0000-0000-0000315E0000}"/>
    <cellStyle name="Currency 4 2 4" xfId="6219" xr:uid="{00000000-0005-0000-0000-0000325E0000}"/>
    <cellStyle name="Currency 4 2 4 2" xfId="17030" xr:uid="{00000000-0005-0000-0000-0000335E0000}"/>
    <cellStyle name="Currency 4 2 4 2 2" xfId="30436" xr:uid="{00000000-0005-0000-0000-0000345E0000}"/>
    <cellStyle name="Currency 4 2 4 3" xfId="21548" xr:uid="{00000000-0005-0000-0000-0000355E0000}"/>
    <cellStyle name="Currency 4 2 5" xfId="9917" xr:uid="{00000000-0005-0000-0000-0000365E0000}"/>
    <cellStyle name="Currency 4 2 6" xfId="21551" xr:uid="{00000000-0005-0000-0000-0000375E0000}"/>
    <cellStyle name="Currency 4 3" xfId="6220" xr:uid="{00000000-0005-0000-0000-0000385E0000}"/>
    <cellStyle name="Currency 4 3 2" xfId="9919" xr:uid="{00000000-0005-0000-0000-0000395E0000}"/>
    <cellStyle name="Currency 4 3 3" xfId="21547" xr:uid="{00000000-0005-0000-0000-00003A5E0000}"/>
    <cellStyle name="Currency 4 4" xfId="6221" xr:uid="{00000000-0005-0000-0000-00003B5E0000}"/>
    <cellStyle name="Currency 4 4 2" xfId="9920" xr:uid="{00000000-0005-0000-0000-00003C5E0000}"/>
    <cellStyle name="Currency 4 4 3" xfId="21546" xr:uid="{00000000-0005-0000-0000-00003D5E0000}"/>
    <cellStyle name="Currency 4 5" xfId="6222" xr:uid="{00000000-0005-0000-0000-00003E5E0000}"/>
    <cellStyle name="Currency 4 5 2" xfId="13197" xr:uid="{00000000-0005-0000-0000-00003F5E0000}"/>
    <cellStyle name="Currency 4 5 3" xfId="21545" xr:uid="{00000000-0005-0000-0000-0000405E0000}"/>
    <cellStyle name="Currency 4 6" xfId="6223" xr:uid="{00000000-0005-0000-0000-0000415E0000}"/>
    <cellStyle name="Currency 4 6 2" xfId="9916" xr:uid="{00000000-0005-0000-0000-0000425E0000}"/>
    <cellStyle name="Currency 4 6 3" xfId="21544" xr:uid="{00000000-0005-0000-0000-0000435E0000}"/>
    <cellStyle name="Currency 4 7" xfId="8678" xr:uid="{00000000-0005-0000-0000-0000445E0000}"/>
    <cellStyle name="Currency 4 8" xfId="21552" xr:uid="{00000000-0005-0000-0000-0000455E0000}"/>
    <cellStyle name="Currency 4 9" xfId="33089" xr:uid="{00000000-0005-0000-0000-0000465E0000}"/>
    <cellStyle name="Currency 5" xfId="6224" xr:uid="{00000000-0005-0000-0000-0000475E0000}"/>
    <cellStyle name="Currency 5 10" xfId="6225" xr:uid="{00000000-0005-0000-0000-0000485E0000}"/>
    <cellStyle name="Currency 5 10 2" xfId="15900" xr:uid="{00000000-0005-0000-0000-0000495E0000}"/>
    <cellStyle name="Currency 5 10 2 2" xfId="29307" xr:uid="{00000000-0005-0000-0000-00004A5E0000}"/>
    <cellStyle name="Currency 5 10 3" xfId="21542" xr:uid="{00000000-0005-0000-0000-00004B5E0000}"/>
    <cellStyle name="Currency 5 11" xfId="6226" xr:uid="{00000000-0005-0000-0000-00004C5E0000}"/>
    <cellStyle name="Currency 5 11 2" xfId="17335" xr:uid="{00000000-0005-0000-0000-00004D5E0000}"/>
    <cellStyle name="Currency 5 11 3" xfId="21541" xr:uid="{00000000-0005-0000-0000-00004E5E0000}"/>
    <cellStyle name="Currency 5 12" xfId="8736" xr:uid="{00000000-0005-0000-0000-00004F5E0000}"/>
    <cellStyle name="Currency 5 13" xfId="9921" xr:uid="{00000000-0005-0000-0000-0000505E0000}"/>
    <cellStyle name="Currency 5 14" xfId="21543" xr:uid="{00000000-0005-0000-0000-0000515E0000}"/>
    <cellStyle name="Currency 5 15" xfId="33095" xr:uid="{00000000-0005-0000-0000-0000525E0000}"/>
    <cellStyle name="Currency 5 2" xfId="6227" xr:uid="{00000000-0005-0000-0000-0000535E0000}"/>
    <cellStyle name="Currency 5 2 10" xfId="21540" xr:uid="{00000000-0005-0000-0000-0000545E0000}"/>
    <cellStyle name="Currency 5 2 2" xfId="6228" xr:uid="{00000000-0005-0000-0000-0000555E0000}"/>
    <cellStyle name="Currency 5 2 2 2" xfId="6229" xr:uid="{00000000-0005-0000-0000-0000565E0000}"/>
    <cellStyle name="Currency 5 2 2 2 2" xfId="6230" xr:uid="{00000000-0005-0000-0000-0000575E0000}"/>
    <cellStyle name="Currency 5 2 2 2 2 2" xfId="6231" xr:uid="{00000000-0005-0000-0000-0000585E0000}"/>
    <cellStyle name="Currency 5 2 2 2 2 2 2" xfId="11398" xr:uid="{00000000-0005-0000-0000-0000595E0000}"/>
    <cellStyle name="Currency 5 2 2 2 2 2 3" xfId="21536" xr:uid="{00000000-0005-0000-0000-00005A5E0000}"/>
    <cellStyle name="Currency 5 2 2 2 2 3" xfId="6232" xr:uid="{00000000-0005-0000-0000-00005B5E0000}"/>
    <cellStyle name="Currency 5 2 2 2 2 3 2" xfId="16959" xr:uid="{00000000-0005-0000-0000-00005C5E0000}"/>
    <cellStyle name="Currency 5 2 2 2 2 3 2 2" xfId="30366" xr:uid="{00000000-0005-0000-0000-00005D5E0000}"/>
    <cellStyle name="Currency 5 2 2 2 2 3 3" xfId="21535" xr:uid="{00000000-0005-0000-0000-00005E5E0000}"/>
    <cellStyle name="Currency 5 2 2 2 2 4" xfId="9925" xr:uid="{00000000-0005-0000-0000-00005F5E0000}"/>
    <cellStyle name="Currency 5 2 2 2 2 5" xfId="21537" xr:uid="{00000000-0005-0000-0000-0000605E0000}"/>
    <cellStyle name="Currency 5 2 2 2 3" xfId="6233" xr:uid="{00000000-0005-0000-0000-0000615E0000}"/>
    <cellStyle name="Currency 5 2 2 2 3 2" xfId="6234" xr:uid="{00000000-0005-0000-0000-0000625E0000}"/>
    <cellStyle name="Currency 5 2 2 2 3 2 2" xfId="13198" xr:uid="{00000000-0005-0000-0000-0000635E0000}"/>
    <cellStyle name="Currency 5 2 2 2 3 2 3" xfId="21533" xr:uid="{00000000-0005-0000-0000-0000645E0000}"/>
    <cellStyle name="Currency 5 2 2 2 3 3" xfId="12347" xr:uid="{00000000-0005-0000-0000-0000655E0000}"/>
    <cellStyle name="Currency 5 2 2 2 3 3 2" xfId="26059" xr:uid="{00000000-0005-0000-0000-0000665E0000}"/>
    <cellStyle name="Currency 5 2 2 2 3 4" xfId="21534" xr:uid="{00000000-0005-0000-0000-0000675E0000}"/>
    <cellStyle name="Currency 5 2 2 2 4" xfId="6235" xr:uid="{00000000-0005-0000-0000-0000685E0000}"/>
    <cellStyle name="Currency 5 2 2 2 4 2" xfId="6236" xr:uid="{00000000-0005-0000-0000-0000695E0000}"/>
    <cellStyle name="Currency 5 2 2 2 4 2 2" xfId="15655" xr:uid="{00000000-0005-0000-0000-00006A5E0000}"/>
    <cellStyle name="Currency 5 2 2 2 4 2 3" xfId="21531" xr:uid="{00000000-0005-0000-0000-00006B5E0000}"/>
    <cellStyle name="Currency 5 2 2 2 4 3" xfId="13911" xr:uid="{00000000-0005-0000-0000-00006C5E0000}"/>
    <cellStyle name="Currency 5 2 2 2 4 3 2" xfId="27460" xr:uid="{00000000-0005-0000-0000-00006D5E0000}"/>
    <cellStyle name="Currency 5 2 2 2 4 4" xfId="21532" xr:uid="{00000000-0005-0000-0000-00006E5E0000}"/>
    <cellStyle name="Currency 5 2 2 2 5" xfId="6237" xr:uid="{00000000-0005-0000-0000-00006F5E0000}"/>
    <cellStyle name="Currency 5 2 2 2 5 2" xfId="14492" xr:uid="{00000000-0005-0000-0000-0000705E0000}"/>
    <cellStyle name="Currency 5 2 2 2 5 2 2" xfId="28041" xr:uid="{00000000-0005-0000-0000-0000715E0000}"/>
    <cellStyle name="Currency 5 2 2 2 5 3" xfId="21530" xr:uid="{00000000-0005-0000-0000-0000725E0000}"/>
    <cellStyle name="Currency 5 2 2 2 6" xfId="6238" xr:uid="{00000000-0005-0000-0000-0000735E0000}"/>
    <cellStyle name="Currency 5 2 2 2 6 2" xfId="16378" xr:uid="{00000000-0005-0000-0000-0000745E0000}"/>
    <cellStyle name="Currency 5 2 2 2 6 2 2" xfId="29785" xr:uid="{00000000-0005-0000-0000-0000755E0000}"/>
    <cellStyle name="Currency 5 2 2 2 6 3" xfId="21529" xr:uid="{00000000-0005-0000-0000-0000765E0000}"/>
    <cellStyle name="Currency 5 2 2 2 7" xfId="9924" xr:uid="{00000000-0005-0000-0000-0000775E0000}"/>
    <cellStyle name="Currency 5 2 2 2 8" xfId="21538" xr:uid="{00000000-0005-0000-0000-0000785E0000}"/>
    <cellStyle name="Currency 5 2 2 3" xfId="6239" xr:uid="{00000000-0005-0000-0000-0000795E0000}"/>
    <cellStyle name="Currency 5 2 2 3 2" xfId="6240" xr:uid="{00000000-0005-0000-0000-00007A5E0000}"/>
    <cellStyle name="Currency 5 2 2 3 2 2" xfId="11399" xr:uid="{00000000-0005-0000-0000-00007B5E0000}"/>
    <cellStyle name="Currency 5 2 2 3 2 3" xfId="21527" xr:uid="{00000000-0005-0000-0000-00007C5E0000}"/>
    <cellStyle name="Currency 5 2 2 3 3" xfId="6241" xr:uid="{00000000-0005-0000-0000-00007D5E0000}"/>
    <cellStyle name="Currency 5 2 2 3 3 2" xfId="16670" xr:uid="{00000000-0005-0000-0000-00007E5E0000}"/>
    <cellStyle name="Currency 5 2 2 3 3 2 2" xfId="30077" xr:uid="{00000000-0005-0000-0000-00007F5E0000}"/>
    <cellStyle name="Currency 5 2 2 3 3 3" xfId="21526" xr:uid="{00000000-0005-0000-0000-0000805E0000}"/>
    <cellStyle name="Currency 5 2 2 3 4" xfId="9926" xr:uid="{00000000-0005-0000-0000-0000815E0000}"/>
    <cellStyle name="Currency 5 2 2 3 5" xfId="21528" xr:uid="{00000000-0005-0000-0000-0000825E0000}"/>
    <cellStyle name="Currency 5 2 2 4" xfId="6242" xr:uid="{00000000-0005-0000-0000-0000835E0000}"/>
    <cellStyle name="Currency 5 2 2 4 2" xfId="6243" xr:uid="{00000000-0005-0000-0000-0000845E0000}"/>
    <cellStyle name="Currency 5 2 2 4 2 2" xfId="13199" xr:uid="{00000000-0005-0000-0000-0000855E0000}"/>
    <cellStyle name="Currency 5 2 2 4 2 3" xfId="21524" xr:uid="{00000000-0005-0000-0000-0000865E0000}"/>
    <cellStyle name="Currency 5 2 2 4 3" xfId="12047" xr:uid="{00000000-0005-0000-0000-0000875E0000}"/>
    <cellStyle name="Currency 5 2 2 4 3 2" xfId="25762" xr:uid="{00000000-0005-0000-0000-0000885E0000}"/>
    <cellStyle name="Currency 5 2 2 4 4" xfId="21525" xr:uid="{00000000-0005-0000-0000-0000895E0000}"/>
    <cellStyle name="Currency 5 2 2 5" xfId="6244" xr:uid="{00000000-0005-0000-0000-00008A5E0000}"/>
    <cellStyle name="Currency 5 2 2 5 2" xfId="6245" xr:uid="{00000000-0005-0000-0000-00008B5E0000}"/>
    <cellStyle name="Currency 5 2 2 5 2 2" xfId="15656" xr:uid="{00000000-0005-0000-0000-00008C5E0000}"/>
    <cellStyle name="Currency 5 2 2 5 2 3" xfId="21522" xr:uid="{00000000-0005-0000-0000-00008D5E0000}"/>
    <cellStyle name="Currency 5 2 2 5 3" xfId="13622" xr:uid="{00000000-0005-0000-0000-00008E5E0000}"/>
    <cellStyle name="Currency 5 2 2 5 3 2" xfId="27171" xr:uid="{00000000-0005-0000-0000-00008F5E0000}"/>
    <cellStyle name="Currency 5 2 2 5 4" xfId="21523" xr:uid="{00000000-0005-0000-0000-0000905E0000}"/>
    <cellStyle name="Currency 5 2 2 6" xfId="6246" xr:uid="{00000000-0005-0000-0000-0000915E0000}"/>
    <cellStyle name="Currency 5 2 2 6 2" xfId="14203" xr:uid="{00000000-0005-0000-0000-0000925E0000}"/>
    <cellStyle name="Currency 5 2 2 6 2 2" xfId="27752" xr:uid="{00000000-0005-0000-0000-0000935E0000}"/>
    <cellStyle name="Currency 5 2 2 6 3" xfId="21521" xr:uid="{00000000-0005-0000-0000-0000945E0000}"/>
    <cellStyle name="Currency 5 2 2 7" xfId="6247" xr:uid="{00000000-0005-0000-0000-0000955E0000}"/>
    <cellStyle name="Currency 5 2 2 7 2" xfId="16089" xr:uid="{00000000-0005-0000-0000-0000965E0000}"/>
    <cellStyle name="Currency 5 2 2 7 2 2" xfId="29496" xr:uid="{00000000-0005-0000-0000-0000975E0000}"/>
    <cellStyle name="Currency 5 2 2 7 3" xfId="21520" xr:uid="{00000000-0005-0000-0000-0000985E0000}"/>
    <cellStyle name="Currency 5 2 2 8" xfId="9923" xr:uid="{00000000-0005-0000-0000-0000995E0000}"/>
    <cellStyle name="Currency 5 2 2 9" xfId="21539" xr:uid="{00000000-0005-0000-0000-00009A5E0000}"/>
    <cellStyle name="Currency 5 2 3" xfId="6248" xr:uid="{00000000-0005-0000-0000-00009B5E0000}"/>
    <cellStyle name="Currency 5 2 3 2" xfId="6249" xr:uid="{00000000-0005-0000-0000-00009C5E0000}"/>
    <cellStyle name="Currency 5 2 3 2 2" xfId="6250" xr:uid="{00000000-0005-0000-0000-00009D5E0000}"/>
    <cellStyle name="Currency 5 2 3 2 2 2" xfId="11400" xr:uid="{00000000-0005-0000-0000-00009E5E0000}"/>
    <cellStyle name="Currency 5 2 3 2 2 3" xfId="21517" xr:uid="{00000000-0005-0000-0000-00009F5E0000}"/>
    <cellStyle name="Currency 5 2 3 2 3" xfId="6251" xr:uid="{00000000-0005-0000-0000-0000A05E0000}"/>
    <cellStyle name="Currency 5 2 3 2 3 2" xfId="16816" xr:uid="{00000000-0005-0000-0000-0000A15E0000}"/>
    <cellStyle name="Currency 5 2 3 2 3 2 2" xfId="30223" xr:uid="{00000000-0005-0000-0000-0000A25E0000}"/>
    <cellStyle name="Currency 5 2 3 2 3 3" xfId="21516" xr:uid="{00000000-0005-0000-0000-0000A35E0000}"/>
    <cellStyle name="Currency 5 2 3 2 4" xfId="9928" xr:uid="{00000000-0005-0000-0000-0000A45E0000}"/>
    <cellStyle name="Currency 5 2 3 2 5" xfId="21518" xr:uid="{00000000-0005-0000-0000-0000A55E0000}"/>
    <cellStyle name="Currency 5 2 3 3" xfId="6252" xr:uid="{00000000-0005-0000-0000-0000A65E0000}"/>
    <cellStyle name="Currency 5 2 3 3 2" xfId="6253" xr:uid="{00000000-0005-0000-0000-0000A75E0000}"/>
    <cellStyle name="Currency 5 2 3 3 2 2" xfId="13200" xr:uid="{00000000-0005-0000-0000-0000A85E0000}"/>
    <cellStyle name="Currency 5 2 3 3 2 3" xfId="21514" xr:uid="{00000000-0005-0000-0000-0000A95E0000}"/>
    <cellStyle name="Currency 5 2 3 3 3" xfId="12204" xr:uid="{00000000-0005-0000-0000-0000AA5E0000}"/>
    <cellStyle name="Currency 5 2 3 3 3 2" xfId="25916" xr:uid="{00000000-0005-0000-0000-0000AB5E0000}"/>
    <cellStyle name="Currency 5 2 3 3 4" xfId="21515" xr:uid="{00000000-0005-0000-0000-0000AC5E0000}"/>
    <cellStyle name="Currency 5 2 3 4" xfId="6254" xr:uid="{00000000-0005-0000-0000-0000AD5E0000}"/>
    <cellStyle name="Currency 5 2 3 4 2" xfId="6255" xr:uid="{00000000-0005-0000-0000-0000AE5E0000}"/>
    <cellStyle name="Currency 5 2 3 4 2 2" xfId="15657" xr:uid="{00000000-0005-0000-0000-0000AF5E0000}"/>
    <cellStyle name="Currency 5 2 3 4 2 3" xfId="21512" xr:uid="{00000000-0005-0000-0000-0000B05E0000}"/>
    <cellStyle name="Currency 5 2 3 4 3" xfId="13768" xr:uid="{00000000-0005-0000-0000-0000B15E0000}"/>
    <cellStyle name="Currency 5 2 3 4 3 2" xfId="27317" xr:uid="{00000000-0005-0000-0000-0000B25E0000}"/>
    <cellStyle name="Currency 5 2 3 4 4" xfId="21513" xr:uid="{00000000-0005-0000-0000-0000B35E0000}"/>
    <cellStyle name="Currency 5 2 3 5" xfId="6256" xr:uid="{00000000-0005-0000-0000-0000B45E0000}"/>
    <cellStyle name="Currency 5 2 3 5 2" xfId="14349" xr:uid="{00000000-0005-0000-0000-0000B55E0000}"/>
    <cellStyle name="Currency 5 2 3 5 2 2" xfId="27898" xr:uid="{00000000-0005-0000-0000-0000B65E0000}"/>
    <cellStyle name="Currency 5 2 3 5 3" xfId="21511" xr:uid="{00000000-0005-0000-0000-0000B75E0000}"/>
    <cellStyle name="Currency 5 2 3 6" xfId="6257" xr:uid="{00000000-0005-0000-0000-0000B85E0000}"/>
    <cellStyle name="Currency 5 2 3 6 2" xfId="16235" xr:uid="{00000000-0005-0000-0000-0000B95E0000}"/>
    <cellStyle name="Currency 5 2 3 6 2 2" xfId="29642" xr:uid="{00000000-0005-0000-0000-0000BA5E0000}"/>
    <cellStyle name="Currency 5 2 3 6 3" xfId="21510" xr:uid="{00000000-0005-0000-0000-0000BB5E0000}"/>
    <cellStyle name="Currency 5 2 3 7" xfId="9927" xr:uid="{00000000-0005-0000-0000-0000BC5E0000}"/>
    <cellStyle name="Currency 5 2 3 8" xfId="21519" xr:uid="{00000000-0005-0000-0000-0000BD5E0000}"/>
    <cellStyle name="Currency 5 2 4" xfId="6258" xr:uid="{00000000-0005-0000-0000-0000BE5E0000}"/>
    <cellStyle name="Currency 5 2 4 2" xfId="6259" xr:uid="{00000000-0005-0000-0000-0000BF5E0000}"/>
    <cellStyle name="Currency 5 2 4 2 2" xfId="11401" xr:uid="{00000000-0005-0000-0000-0000C05E0000}"/>
    <cellStyle name="Currency 5 2 4 2 3" xfId="21508" xr:uid="{00000000-0005-0000-0000-0000C15E0000}"/>
    <cellStyle name="Currency 5 2 4 3" xfId="6260" xr:uid="{00000000-0005-0000-0000-0000C25E0000}"/>
    <cellStyle name="Currency 5 2 4 3 2" xfId="17163" xr:uid="{00000000-0005-0000-0000-0000C35E0000}"/>
    <cellStyle name="Currency 5 2 4 3 2 2" xfId="30522" xr:uid="{00000000-0005-0000-0000-0000C45E0000}"/>
    <cellStyle name="Currency 5 2 4 3 3" xfId="21507" xr:uid="{00000000-0005-0000-0000-0000C55E0000}"/>
    <cellStyle name="Currency 5 2 4 4" xfId="9929" xr:uid="{00000000-0005-0000-0000-0000C65E0000}"/>
    <cellStyle name="Currency 5 2 4 5" xfId="21509" xr:uid="{00000000-0005-0000-0000-0000C75E0000}"/>
    <cellStyle name="Currency 5 2 5" xfId="6261" xr:uid="{00000000-0005-0000-0000-0000C85E0000}"/>
    <cellStyle name="Currency 5 2 5 2" xfId="6262" xr:uid="{00000000-0005-0000-0000-0000C95E0000}"/>
    <cellStyle name="Currency 5 2 5 2 2" xfId="13201" xr:uid="{00000000-0005-0000-0000-0000CA5E0000}"/>
    <cellStyle name="Currency 5 2 5 2 3" xfId="21505" xr:uid="{00000000-0005-0000-0000-0000CB5E0000}"/>
    <cellStyle name="Currency 5 2 5 3" xfId="6263" xr:uid="{00000000-0005-0000-0000-0000CC5E0000}"/>
    <cellStyle name="Currency 5 2 5 3 2" xfId="17252" xr:uid="{00000000-0005-0000-0000-0000CD5E0000}"/>
    <cellStyle name="Currency 5 2 5 3 2 2" xfId="30611" xr:uid="{00000000-0005-0000-0000-0000CE5E0000}"/>
    <cellStyle name="Currency 5 2 5 3 3" xfId="21504" xr:uid="{00000000-0005-0000-0000-0000CF5E0000}"/>
    <cellStyle name="Currency 5 2 5 4" xfId="11902" xr:uid="{00000000-0005-0000-0000-0000D05E0000}"/>
    <cellStyle name="Currency 5 2 5 4 2" xfId="25617" xr:uid="{00000000-0005-0000-0000-0000D15E0000}"/>
    <cellStyle name="Currency 5 2 5 5" xfId="21506" xr:uid="{00000000-0005-0000-0000-0000D25E0000}"/>
    <cellStyle name="Currency 5 2 6" xfId="6264" xr:uid="{00000000-0005-0000-0000-0000D35E0000}"/>
    <cellStyle name="Currency 5 2 6 2" xfId="6265" xr:uid="{00000000-0005-0000-0000-0000D45E0000}"/>
    <cellStyle name="Currency 5 2 6 2 2" xfId="15658" xr:uid="{00000000-0005-0000-0000-0000D55E0000}"/>
    <cellStyle name="Currency 5 2 6 2 3" xfId="21502" xr:uid="{00000000-0005-0000-0000-0000D65E0000}"/>
    <cellStyle name="Currency 5 2 6 3" xfId="6266" xr:uid="{00000000-0005-0000-0000-0000D75E0000}"/>
    <cellStyle name="Currency 5 2 6 3 2" xfId="16527" xr:uid="{00000000-0005-0000-0000-0000D85E0000}"/>
    <cellStyle name="Currency 5 2 6 3 2 2" xfId="29934" xr:uid="{00000000-0005-0000-0000-0000D95E0000}"/>
    <cellStyle name="Currency 5 2 6 3 3" xfId="21501" xr:uid="{00000000-0005-0000-0000-0000DA5E0000}"/>
    <cellStyle name="Currency 5 2 6 4" xfId="13479" xr:uid="{00000000-0005-0000-0000-0000DB5E0000}"/>
    <cellStyle name="Currency 5 2 6 4 2" xfId="27028" xr:uid="{00000000-0005-0000-0000-0000DC5E0000}"/>
    <cellStyle name="Currency 5 2 6 5" xfId="21503" xr:uid="{00000000-0005-0000-0000-0000DD5E0000}"/>
    <cellStyle name="Currency 5 2 7" xfId="6267" xr:uid="{00000000-0005-0000-0000-0000DE5E0000}"/>
    <cellStyle name="Currency 5 2 7 2" xfId="14060" xr:uid="{00000000-0005-0000-0000-0000DF5E0000}"/>
    <cellStyle name="Currency 5 2 7 2 2" xfId="27609" xr:uid="{00000000-0005-0000-0000-0000E05E0000}"/>
    <cellStyle name="Currency 5 2 7 3" xfId="21500" xr:uid="{00000000-0005-0000-0000-0000E15E0000}"/>
    <cellStyle name="Currency 5 2 8" xfId="6268" xr:uid="{00000000-0005-0000-0000-0000E25E0000}"/>
    <cellStyle name="Currency 5 2 8 2" xfId="15946" xr:uid="{00000000-0005-0000-0000-0000E35E0000}"/>
    <cellStyle name="Currency 5 2 8 2 2" xfId="29353" xr:uid="{00000000-0005-0000-0000-0000E45E0000}"/>
    <cellStyle name="Currency 5 2 8 3" xfId="21499" xr:uid="{00000000-0005-0000-0000-0000E55E0000}"/>
    <cellStyle name="Currency 5 2 9" xfId="9922" xr:uid="{00000000-0005-0000-0000-0000E65E0000}"/>
    <cellStyle name="Currency 5 3" xfId="6269" xr:uid="{00000000-0005-0000-0000-0000E75E0000}"/>
    <cellStyle name="Currency 5 3 2" xfId="6270" xr:uid="{00000000-0005-0000-0000-0000E85E0000}"/>
    <cellStyle name="Currency 5 3 2 2" xfId="6271" xr:uid="{00000000-0005-0000-0000-0000E95E0000}"/>
    <cellStyle name="Currency 5 3 2 2 2" xfId="6272" xr:uid="{00000000-0005-0000-0000-0000EA5E0000}"/>
    <cellStyle name="Currency 5 3 2 2 2 2" xfId="11402" xr:uid="{00000000-0005-0000-0000-0000EB5E0000}"/>
    <cellStyle name="Currency 5 3 2 2 2 3" xfId="21495" xr:uid="{00000000-0005-0000-0000-0000EC5E0000}"/>
    <cellStyle name="Currency 5 3 2 2 3" xfId="6273" xr:uid="{00000000-0005-0000-0000-0000ED5E0000}"/>
    <cellStyle name="Currency 5 3 2 2 3 2" xfId="16913" xr:uid="{00000000-0005-0000-0000-0000EE5E0000}"/>
    <cellStyle name="Currency 5 3 2 2 3 2 2" xfId="30320" xr:uid="{00000000-0005-0000-0000-0000EF5E0000}"/>
    <cellStyle name="Currency 5 3 2 2 3 3" xfId="21494" xr:uid="{00000000-0005-0000-0000-0000F05E0000}"/>
    <cellStyle name="Currency 5 3 2 2 4" xfId="9932" xr:uid="{00000000-0005-0000-0000-0000F15E0000}"/>
    <cellStyle name="Currency 5 3 2 2 5" xfId="21496" xr:uid="{00000000-0005-0000-0000-0000F25E0000}"/>
    <cellStyle name="Currency 5 3 2 3" xfId="6274" xr:uid="{00000000-0005-0000-0000-0000F35E0000}"/>
    <cellStyle name="Currency 5 3 2 3 2" xfId="6275" xr:uid="{00000000-0005-0000-0000-0000F45E0000}"/>
    <cellStyle name="Currency 5 3 2 3 2 2" xfId="13202" xr:uid="{00000000-0005-0000-0000-0000F55E0000}"/>
    <cellStyle name="Currency 5 3 2 3 2 3" xfId="21492" xr:uid="{00000000-0005-0000-0000-0000F65E0000}"/>
    <cellStyle name="Currency 5 3 2 3 3" xfId="12301" xr:uid="{00000000-0005-0000-0000-0000F75E0000}"/>
    <cellStyle name="Currency 5 3 2 3 3 2" xfId="26013" xr:uid="{00000000-0005-0000-0000-0000F85E0000}"/>
    <cellStyle name="Currency 5 3 2 3 4" xfId="21493" xr:uid="{00000000-0005-0000-0000-0000F95E0000}"/>
    <cellStyle name="Currency 5 3 2 4" xfId="6276" xr:uid="{00000000-0005-0000-0000-0000FA5E0000}"/>
    <cellStyle name="Currency 5 3 2 4 2" xfId="6277" xr:uid="{00000000-0005-0000-0000-0000FB5E0000}"/>
    <cellStyle name="Currency 5 3 2 4 2 2" xfId="15659" xr:uid="{00000000-0005-0000-0000-0000FC5E0000}"/>
    <cellStyle name="Currency 5 3 2 4 2 3" xfId="21490" xr:uid="{00000000-0005-0000-0000-0000FD5E0000}"/>
    <cellStyle name="Currency 5 3 2 4 3" xfId="13865" xr:uid="{00000000-0005-0000-0000-0000FE5E0000}"/>
    <cellStyle name="Currency 5 3 2 4 3 2" xfId="27414" xr:uid="{00000000-0005-0000-0000-0000FF5E0000}"/>
    <cellStyle name="Currency 5 3 2 4 4" xfId="21491" xr:uid="{00000000-0005-0000-0000-0000005F0000}"/>
    <cellStyle name="Currency 5 3 2 5" xfId="6278" xr:uid="{00000000-0005-0000-0000-0000015F0000}"/>
    <cellStyle name="Currency 5 3 2 5 2" xfId="14446" xr:uid="{00000000-0005-0000-0000-0000025F0000}"/>
    <cellStyle name="Currency 5 3 2 5 2 2" xfId="27995" xr:uid="{00000000-0005-0000-0000-0000035F0000}"/>
    <cellStyle name="Currency 5 3 2 5 3" xfId="21489" xr:uid="{00000000-0005-0000-0000-0000045F0000}"/>
    <cellStyle name="Currency 5 3 2 6" xfId="6279" xr:uid="{00000000-0005-0000-0000-0000055F0000}"/>
    <cellStyle name="Currency 5 3 2 6 2" xfId="16332" xr:uid="{00000000-0005-0000-0000-0000065F0000}"/>
    <cellStyle name="Currency 5 3 2 6 2 2" xfId="29739" xr:uid="{00000000-0005-0000-0000-0000075F0000}"/>
    <cellStyle name="Currency 5 3 2 6 3" xfId="21488" xr:uid="{00000000-0005-0000-0000-0000085F0000}"/>
    <cellStyle name="Currency 5 3 2 7" xfId="9931" xr:uid="{00000000-0005-0000-0000-0000095F0000}"/>
    <cellStyle name="Currency 5 3 2 8" xfId="21497" xr:uid="{00000000-0005-0000-0000-00000A5F0000}"/>
    <cellStyle name="Currency 5 3 3" xfId="6280" xr:uid="{00000000-0005-0000-0000-00000B5F0000}"/>
    <cellStyle name="Currency 5 3 3 2" xfId="6281" xr:uid="{00000000-0005-0000-0000-00000C5F0000}"/>
    <cellStyle name="Currency 5 3 3 2 2" xfId="11403" xr:uid="{00000000-0005-0000-0000-00000D5F0000}"/>
    <cellStyle name="Currency 5 3 3 2 3" xfId="21486" xr:uid="{00000000-0005-0000-0000-00000E5F0000}"/>
    <cellStyle name="Currency 5 3 3 3" xfId="6282" xr:uid="{00000000-0005-0000-0000-00000F5F0000}"/>
    <cellStyle name="Currency 5 3 3 3 2" xfId="16624" xr:uid="{00000000-0005-0000-0000-0000105F0000}"/>
    <cellStyle name="Currency 5 3 3 3 2 2" xfId="30031" xr:uid="{00000000-0005-0000-0000-0000115F0000}"/>
    <cellStyle name="Currency 5 3 3 3 3" xfId="21485" xr:uid="{00000000-0005-0000-0000-0000125F0000}"/>
    <cellStyle name="Currency 5 3 3 4" xfId="9933" xr:uid="{00000000-0005-0000-0000-0000135F0000}"/>
    <cellStyle name="Currency 5 3 3 5" xfId="21487" xr:uid="{00000000-0005-0000-0000-0000145F0000}"/>
    <cellStyle name="Currency 5 3 4" xfId="6283" xr:uid="{00000000-0005-0000-0000-0000155F0000}"/>
    <cellStyle name="Currency 5 3 4 2" xfId="6284" xr:uid="{00000000-0005-0000-0000-0000165F0000}"/>
    <cellStyle name="Currency 5 3 4 2 2" xfId="13203" xr:uid="{00000000-0005-0000-0000-0000175F0000}"/>
    <cellStyle name="Currency 5 3 4 2 3" xfId="21483" xr:uid="{00000000-0005-0000-0000-0000185F0000}"/>
    <cellStyle name="Currency 5 3 4 3" xfId="12001" xr:uid="{00000000-0005-0000-0000-0000195F0000}"/>
    <cellStyle name="Currency 5 3 4 3 2" xfId="25716" xr:uid="{00000000-0005-0000-0000-00001A5F0000}"/>
    <cellStyle name="Currency 5 3 4 4" xfId="21484" xr:uid="{00000000-0005-0000-0000-00001B5F0000}"/>
    <cellStyle name="Currency 5 3 5" xfId="6285" xr:uid="{00000000-0005-0000-0000-00001C5F0000}"/>
    <cellStyle name="Currency 5 3 5 2" xfId="6286" xr:uid="{00000000-0005-0000-0000-00001D5F0000}"/>
    <cellStyle name="Currency 5 3 5 2 2" xfId="15660" xr:uid="{00000000-0005-0000-0000-00001E5F0000}"/>
    <cellStyle name="Currency 5 3 5 2 3" xfId="21481" xr:uid="{00000000-0005-0000-0000-00001F5F0000}"/>
    <cellStyle name="Currency 5 3 5 3" xfId="13576" xr:uid="{00000000-0005-0000-0000-0000205F0000}"/>
    <cellStyle name="Currency 5 3 5 3 2" xfId="27125" xr:uid="{00000000-0005-0000-0000-0000215F0000}"/>
    <cellStyle name="Currency 5 3 5 4" xfId="21482" xr:uid="{00000000-0005-0000-0000-0000225F0000}"/>
    <cellStyle name="Currency 5 3 6" xfId="6287" xr:uid="{00000000-0005-0000-0000-0000235F0000}"/>
    <cellStyle name="Currency 5 3 6 2" xfId="14157" xr:uid="{00000000-0005-0000-0000-0000245F0000}"/>
    <cellStyle name="Currency 5 3 6 2 2" xfId="27706" xr:uid="{00000000-0005-0000-0000-0000255F0000}"/>
    <cellStyle name="Currency 5 3 6 3" xfId="21480" xr:uid="{00000000-0005-0000-0000-0000265F0000}"/>
    <cellStyle name="Currency 5 3 7" xfId="6288" xr:uid="{00000000-0005-0000-0000-0000275F0000}"/>
    <cellStyle name="Currency 5 3 7 2" xfId="16043" xr:uid="{00000000-0005-0000-0000-0000285F0000}"/>
    <cellStyle name="Currency 5 3 7 2 2" xfId="29450" xr:uid="{00000000-0005-0000-0000-0000295F0000}"/>
    <cellStyle name="Currency 5 3 7 3" xfId="21479" xr:uid="{00000000-0005-0000-0000-00002A5F0000}"/>
    <cellStyle name="Currency 5 3 8" xfId="9930" xr:uid="{00000000-0005-0000-0000-00002B5F0000}"/>
    <cellStyle name="Currency 5 3 9" xfId="21498" xr:uid="{00000000-0005-0000-0000-00002C5F0000}"/>
    <cellStyle name="Currency 5 4" xfId="6289" xr:uid="{00000000-0005-0000-0000-00002D5F0000}"/>
    <cellStyle name="Currency 5 4 2" xfId="6290" xr:uid="{00000000-0005-0000-0000-00002E5F0000}"/>
    <cellStyle name="Currency 5 4 2 2" xfId="6291" xr:uid="{00000000-0005-0000-0000-00002F5F0000}"/>
    <cellStyle name="Currency 5 4 2 2 2" xfId="11404" xr:uid="{00000000-0005-0000-0000-0000305F0000}"/>
    <cellStyle name="Currency 5 4 2 2 3" xfId="21476" xr:uid="{00000000-0005-0000-0000-0000315F0000}"/>
    <cellStyle name="Currency 5 4 2 3" xfId="6292" xr:uid="{00000000-0005-0000-0000-0000325F0000}"/>
    <cellStyle name="Currency 5 4 2 3 2" xfId="16770" xr:uid="{00000000-0005-0000-0000-0000335F0000}"/>
    <cellStyle name="Currency 5 4 2 3 2 2" xfId="30177" xr:uid="{00000000-0005-0000-0000-0000345F0000}"/>
    <cellStyle name="Currency 5 4 2 3 3" xfId="21475" xr:uid="{00000000-0005-0000-0000-0000355F0000}"/>
    <cellStyle name="Currency 5 4 2 4" xfId="9935" xr:uid="{00000000-0005-0000-0000-0000365F0000}"/>
    <cellStyle name="Currency 5 4 2 5" xfId="21477" xr:uid="{00000000-0005-0000-0000-0000375F0000}"/>
    <cellStyle name="Currency 5 4 3" xfId="6293" xr:uid="{00000000-0005-0000-0000-0000385F0000}"/>
    <cellStyle name="Currency 5 4 3 2" xfId="6294" xr:uid="{00000000-0005-0000-0000-0000395F0000}"/>
    <cellStyle name="Currency 5 4 3 2 2" xfId="13204" xr:uid="{00000000-0005-0000-0000-00003A5F0000}"/>
    <cellStyle name="Currency 5 4 3 2 3" xfId="21473" xr:uid="{00000000-0005-0000-0000-00003B5F0000}"/>
    <cellStyle name="Currency 5 4 3 3" xfId="12158" xr:uid="{00000000-0005-0000-0000-00003C5F0000}"/>
    <cellStyle name="Currency 5 4 3 3 2" xfId="25870" xr:uid="{00000000-0005-0000-0000-00003D5F0000}"/>
    <cellStyle name="Currency 5 4 3 4" xfId="21474" xr:uid="{00000000-0005-0000-0000-00003E5F0000}"/>
    <cellStyle name="Currency 5 4 4" xfId="6295" xr:uid="{00000000-0005-0000-0000-00003F5F0000}"/>
    <cellStyle name="Currency 5 4 4 2" xfId="6296" xr:uid="{00000000-0005-0000-0000-0000405F0000}"/>
    <cellStyle name="Currency 5 4 4 2 2" xfId="15661" xr:uid="{00000000-0005-0000-0000-0000415F0000}"/>
    <cellStyle name="Currency 5 4 4 2 3" xfId="21471" xr:uid="{00000000-0005-0000-0000-0000425F0000}"/>
    <cellStyle name="Currency 5 4 4 3" xfId="13722" xr:uid="{00000000-0005-0000-0000-0000435F0000}"/>
    <cellStyle name="Currency 5 4 4 3 2" xfId="27271" xr:uid="{00000000-0005-0000-0000-0000445F0000}"/>
    <cellStyle name="Currency 5 4 4 4" xfId="21472" xr:uid="{00000000-0005-0000-0000-0000455F0000}"/>
    <cellStyle name="Currency 5 4 5" xfId="6297" xr:uid="{00000000-0005-0000-0000-0000465F0000}"/>
    <cellStyle name="Currency 5 4 5 2" xfId="14303" xr:uid="{00000000-0005-0000-0000-0000475F0000}"/>
    <cellStyle name="Currency 5 4 5 2 2" xfId="27852" xr:uid="{00000000-0005-0000-0000-0000485F0000}"/>
    <cellStyle name="Currency 5 4 5 3" xfId="21470" xr:uid="{00000000-0005-0000-0000-0000495F0000}"/>
    <cellStyle name="Currency 5 4 6" xfId="6298" xr:uid="{00000000-0005-0000-0000-00004A5F0000}"/>
    <cellStyle name="Currency 5 4 6 2" xfId="16189" xr:uid="{00000000-0005-0000-0000-00004B5F0000}"/>
    <cellStyle name="Currency 5 4 6 2 2" xfId="29596" xr:uid="{00000000-0005-0000-0000-00004C5F0000}"/>
    <cellStyle name="Currency 5 4 6 3" xfId="21469" xr:uid="{00000000-0005-0000-0000-00004D5F0000}"/>
    <cellStyle name="Currency 5 4 7" xfId="9934" xr:uid="{00000000-0005-0000-0000-00004E5F0000}"/>
    <cellStyle name="Currency 5 4 8" xfId="21478" xr:uid="{00000000-0005-0000-0000-00004F5F0000}"/>
    <cellStyle name="Currency 5 5" xfId="6299" xr:uid="{00000000-0005-0000-0000-0000505F0000}"/>
    <cellStyle name="Currency 5 5 2" xfId="6300" xr:uid="{00000000-0005-0000-0000-0000515F0000}"/>
    <cellStyle name="Currency 5 5 2 2" xfId="17031" xr:uid="{00000000-0005-0000-0000-0000525F0000}"/>
    <cellStyle name="Currency 5 5 2 2 2" xfId="30437" xr:uid="{00000000-0005-0000-0000-0000535F0000}"/>
    <cellStyle name="Currency 5 5 2 3" xfId="21467" xr:uid="{00000000-0005-0000-0000-0000545F0000}"/>
    <cellStyle name="Currency 5 5 3" xfId="9936" xr:uid="{00000000-0005-0000-0000-0000555F0000}"/>
    <cellStyle name="Currency 5 5 4" xfId="21468" xr:uid="{00000000-0005-0000-0000-0000565F0000}"/>
    <cellStyle name="Currency 5 6" xfId="6301" xr:uid="{00000000-0005-0000-0000-0000575F0000}"/>
    <cellStyle name="Currency 5 6 2" xfId="6302" xr:uid="{00000000-0005-0000-0000-0000585F0000}"/>
    <cellStyle name="Currency 5 6 2 2" xfId="11405" xr:uid="{00000000-0005-0000-0000-0000595F0000}"/>
    <cellStyle name="Currency 5 6 2 3" xfId="21465" xr:uid="{00000000-0005-0000-0000-00005A5F0000}"/>
    <cellStyle name="Currency 5 6 3" xfId="6303" xr:uid="{00000000-0005-0000-0000-00005B5F0000}"/>
    <cellStyle name="Currency 5 6 3 2" xfId="17117" xr:uid="{00000000-0005-0000-0000-00005C5F0000}"/>
    <cellStyle name="Currency 5 6 3 2 2" xfId="30476" xr:uid="{00000000-0005-0000-0000-00005D5F0000}"/>
    <cellStyle name="Currency 5 6 3 3" xfId="21464" xr:uid="{00000000-0005-0000-0000-00005E5F0000}"/>
    <cellStyle name="Currency 5 6 4" xfId="9937" xr:uid="{00000000-0005-0000-0000-00005F5F0000}"/>
    <cellStyle name="Currency 5 6 5" xfId="21466" xr:uid="{00000000-0005-0000-0000-0000605F0000}"/>
    <cellStyle name="Currency 5 7" xfId="6304" xr:uid="{00000000-0005-0000-0000-0000615F0000}"/>
    <cellStyle name="Currency 5 7 2" xfId="6305" xr:uid="{00000000-0005-0000-0000-0000625F0000}"/>
    <cellStyle name="Currency 5 7 2 2" xfId="13205" xr:uid="{00000000-0005-0000-0000-0000635F0000}"/>
    <cellStyle name="Currency 5 7 2 3" xfId="21462" xr:uid="{00000000-0005-0000-0000-0000645F0000}"/>
    <cellStyle name="Currency 5 7 3" xfId="6306" xr:uid="{00000000-0005-0000-0000-0000655F0000}"/>
    <cellStyle name="Currency 5 7 3 2" xfId="17206" xr:uid="{00000000-0005-0000-0000-0000665F0000}"/>
    <cellStyle name="Currency 5 7 3 2 2" xfId="30565" xr:uid="{00000000-0005-0000-0000-0000675F0000}"/>
    <cellStyle name="Currency 5 7 3 3" xfId="21461" xr:uid="{00000000-0005-0000-0000-0000685F0000}"/>
    <cellStyle name="Currency 5 7 4" xfId="11832" xr:uid="{00000000-0005-0000-0000-0000695F0000}"/>
    <cellStyle name="Currency 5 7 4 2" xfId="25547" xr:uid="{00000000-0005-0000-0000-00006A5F0000}"/>
    <cellStyle name="Currency 5 7 5" xfId="21463" xr:uid="{00000000-0005-0000-0000-00006B5F0000}"/>
    <cellStyle name="Currency 5 8" xfId="6307" xr:uid="{00000000-0005-0000-0000-00006C5F0000}"/>
    <cellStyle name="Currency 5 8 2" xfId="6308" xr:uid="{00000000-0005-0000-0000-00006D5F0000}"/>
    <cellStyle name="Currency 5 8 2 2" xfId="15662" xr:uid="{00000000-0005-0000-0000-00006E5F0000}"/>
    <cellStyle name="Currency 5 8 2 3" xfId="21459" xr:uid="{00000000-0005-0000-0000-00006F5F0000}"/>
    <cellStyle name="Currency 5 8 3" xfId="6309" xr:uid="{00000000-0005-0000-0000-0000705F0000}"/>
    <cellStyle name="Currency 5 8 3 2" xfId="16481" xr:uid="{00000000-0005-0000-0000-0000715F0000}"/>
    <cellStyle name="Currency 5 8 3 2 2" xfId="29888" xr:uid="{00000000-0005-0000-0000-0000725F0000}"/>
    <cellStyle name="Currency 5 8 3 3" xfId="21458" xr:uid="{00000000-0005-0000-0000-0000735F0000}"/>
    <cellStyle name="Currency 5 8 4" xfId="13433" xr:uid="{00000000-0005-0000-0000-0000745F0000}"/>
    <cellStyle name="Currency 5 8 4 2" xfId="26982" xr:uid="{00000000-0005-0000-0000-0000755F0000}"/>
    <cellStyle name="Currency 5 8 5" xfId="21460" xr:uid="{00000000-0005-0000-0000-0000765F0000}"/>
    <cellStyle name="Currency 5 9" xfId="6310" xr:uid="{00000000-0005-0000-0000-0000775F0000}"/>
    <cellStyle name="Currency 5 9 2" xfId="14014" xr:uid="{00000000-0005-0000-0000-0000785F0000}"/>
    <cellStyle name="Currency 5 9 2 2" xfId="27563" xr:uid="{00000000-0005-0000-0000-0000795F0000}"/>
    <cellStyle name="Currency 5 9 3" xfId="21457" xr:uid="{00000000-0005-0000-0000-00007A5F0000}"/>
    <cellStyle name="Currency 6" xfId="6311" xr:uid="{00000000-0005-0000-0000-00007B5F0000}"/>
    <cellStyle name="Currency 6 2" xfId="6312" xr:uid="{00000000-0005-0000-0000-00007C5F0000}"/>
    <cellStyle name="Currency 6 2 2" xfId="17032" xr:uid="{00000000-0005-0000-0000-00007D5F0000}"/>
    <cellStyle name="Currency 6 2 2 2" xfId="30438" xr:uid="{00000000-0005-0000-0000-00007E5F0000}"/>
    <cellStyle name="Currency 6 2 3" xfId="21455" xr:uid="{00000000-0005-0000-0000-00007F5F0000}"/>
    <cellStyle name="Currency 6 3" xfId="6313" xr:uid="{00000000-0005-0000-0000-0000805F0000}"/>
    <cellStyle name="Currency 6 3 2" xfId="17336" xr:uid="{00000000-0005-0000-0000-0000815F0000}"/>
    <cellStyle name="Currency 6 3 3" xfId="21454" xr:uid="{00000000-0005-0000-0000-0000825F0000}"/>
    <cellStyle name="Currency 6 4" xfId="8733" xr:uid="{00000000-0005-0000-0000-0000835F0000}"/>
    <cellStyle name="Currency 6 5" xfId="21456" xr:uid="{00000000-0005-0000-0000-0000845F0000}"/>
    <cellStyle name="Currency 6 6" xfId="33085" xr:uid="{00000000-0005-0000-0000-0000855F0000}"/>
    <cellStyle name="Currency 7" xfId="6314" xr:uid="{00000000-0005-0000-0000-0000865F0000}"/>
    <cellStyle name="Currency 7 2" xfId="9938" xr:uid="{00000000-0005-0000-0000-0000875F0000}"/>
    <cellStyle name="Currency 7 3" xfId="21453" xr:uid="{00000000-0005-0000-0000-0000885F0000}"/>
    <cellStyle name="Currency 8" xfId="6315" xr:uid="{00000000-0005-0000-0000-0000895F0000}"/>
    <cellStyle name="Currency 8 10" xfId="21452" xr:uid="{00000000-0005-0000-0000-00008A5F0000}"/>
    <cellStyle name="Currency 8 2" xfId="6316" xr:uid="{00000000-0005-0000-0000-00008B5F0000}"/>
    <cellStyle name="Currency 8 2 2" xfId="6317" xr:uid="{00000000-0005-0000-0000-00008C5F0000}"/>
    <cellStyle name="Currency 8 2 2 2" xfId="6318" xr:uid="{00000000-0005-0000-0000-00008D5F0000}"/>
    <cellStyle name="Currency 8 2 2 2 2" xfId="6319" xr:uid="{00000000-0005-0000-0000-00008E5F0000}"/>
    <cellStyle name="Currency 8 2 2 2 2 2" xfId="11406" xr:uid="{00000000-0005-0000-0000-00008F5F0000}"/>
    <cellStyle name="Currency 8 2 2 2 2 3" xfId="21448" xr:uid="{00000000-0005-0000-0000-0000905F0000}"/>
    <cellStyle name="Currency 8 2 2 2 3" xfId="6320" xr:uid="{00000000-0005-0000-0000-0000915F0000}"/>
    <cellStyle name="Currency 8 2 2 2 3 2" xfId="16936" xr:uid="{00000000-0005-0000-0000-0000925F0000}"/>
    <cellStyle name="Currency 8 2 2 2 3 2 2" xfId="30343" xr:uid="{00000000-0005-0000-0000-0000935F0000}"/>
    <cellStyle name="Currency 8 2 2 2 3 3" xfId="21447" xr:uid="{00000000-0005-0000-0000-0000945F0000}"/>
    <cellStyle name="Currency 8 2 2 2 4" xfId="9942" xr:uid="{00000000-0005-0000-0000-0000955F0000}"/>
    <cellStyle name="Currency 8 2 2 2 5" xfId="21449" xr:uid="{00000000-0005-0000-0000-0000965F0000}"/>
    <cellStyle name="Currency 8 2 2 3" xfId="6321" xr:uid="{00000000-0005-0000-0000-0000975F0000}"/>
    <cellStyle name="Currency 8 2 2 3 2" xfId="6322" xr:uid="{00000000-0005-0000-0000-0000985F0000}"/>
    <cellStyle name="Currency 8 2 2 3 2 2" xfId="13206" xr:uid="{00000000-0005-0000-0000-0000995F0000}"/>
    <cellStyle name="Currency 8 2 2 3 2 3" xfId="21445" xr:uid="{00000000-0005-0000-0000-00009A5F0000}"/>
    <cellStyle name="Currency 8 2 2 3 3" xfId="12324" xr:uid="{00000000-0005-0000-0000-00009B5F0000}"/>
    <cellStyle name="Currency 8 2 2 3 3 2" xfId="26036" xr:uid="{00000000-0005-0000-0000-00009C5F0000}"/>
    <cellStyle name="Currency 8 2 2 3 4" xfId="21446" xr:uid="{00000000-0005-0000-0000-00009D5F0000}"/>
    <cellStyle name="Currency 8 2 2 4" xfId="6323" xr:uid="{00000000-0005-0000-0000-00009E5F0000}"/>
    <cellStyle name="Currency 8 2 2 4 2" xfId="6324" xr:uid="{00000000-0005-0000-0000-00009F5F0000}"/>
    <cellStyle name="Currency 8 2 2 4 2 2" xfId="15663" xr:uid="{00000000-0005-0000-0000-0000A05F0000}"/>
    <cellStyle name="Currency 8 2 2 4 2 3" xfId="21443" xr:uid="{00000000-0005-0000-0000-0000A15F0000}"/>
    <cellStyle name="Currency 8 2 2 4 3" xfId="13888" xr:uid="{00000000-0005-0000-0000-0000A25F0000}"/>
    <cellStyle name="Currency 8 2 2 4 3 2" xfId="27437" xr:uid="{00000000-0005-0000-0000-0000A35F0000}"/>
    <cellStyle name="Currency 8 2 2 4 4" xfId="21444" xr:uid="{00000000-0005-0000-0000-0000A45F0000}"/>
    <cellStyle name="Currency 8 2 2 5" xfId="6325" xr:uid="{00000000-0005-0000-0000-0000A55F0000}"/>
    <cellStyle name="Currency 8 2 2 5 2" xfId="14469" xr:uid="{00000000-0005-0000-0000-0000A65F0000}"/>
    <cellStyle name="Currency 8 2 2 5 2 2" xfId="28018" xr:uid="{00000000-0005-0000-0000-0000A75F0000}"/>
    <cellStyle name="Currency 8 2 2 5 3" xfId="21442" xr:uid="{00000000-0005-0000-0000-0000A85F0000}"/>
    <cellStyle name="Currency 8 2 2 6" xfId="6326" xr:uid="{00000000-0005-0000-0000-0000A95F0000}"/>
    <cellStyle name="Currency 8 2 2 6 2" xfId="16355" xr:uid="{00000000-0005-0000-0000-0000AA5F0000}"/>
    <cellStyle name="Currency 8 2 2 6 2 2" xfId="29762" xr:uid="{00000000-0005-0000-0000-0000AB5F0000}"/>
    <cellStyle name="Currency 8 2 2 6 3" xfId="21441" xr:uid="{00000000-0005-0000-0000-0000AC5F0000}"/>
    <cellStyle name="Currency 8 2 2 7" xfId="9941" xr:uid="{00000000-0005-0000-0000-0000AD5F0000}"/>
    <cellStyle name="Currency 8 2 2 8" xfId="21450" xr:uid="{00000000-0005-0000-0000-0000AE5F0000}"/>
    <cellStyle name="Currency 8 2 3" xfId="6327" xr:uid="{00000000-0005-0000-0000-0000AF5F0000}"/>
    <cellStyle name="Currency 8 2 3 2" xfId="6328" xr:uid="{00000000-0005-0000-0000-0000B05F0000}"/>
    <cellStyle name="Currency 8 2 3 2 2" xfId="11407" xr:uid="{00000000-0005-0000-0000-0000B15F0000}"/>
    <cellStyle name="Currency 8 2 3 2 3" xfId="21439" xr:uid="{00000000-0005-0000-0000-0000B25F0000}"/>
    <cellStyle name="Currency 8 2 3 3" xfId="6329" xr:uid="{00000000-0005-0000-0000-0000B35F0000}"/>
    <cellStyle name="Currency 8 2 3 3 2" xfId="16647" xr:uid="{00000000-0005-0000-0000-0000B45F0000}"/>
    <cellStyle name="Currency 8 2 3 3 2 2" xfId="30054" xr:uid="{00000000-0005-0000-0000-0000B55F0000}"/>
    <cellStyle name="Currency 8 2 3 3 3" xfId="21438" xr:uid="{00000000-0005-0000-0000-0000B65F0000}"/>
    <cellStyle name="Currency 8 2 3 4" xfId="9943" xr:uid="{00000000-0005-0000-0000-0000B75F0000}"/>
    <cellStyle name="Currency 8 2 3 5" xfId="21440" xr:uid="{00000000-0005-0000-0000-0000B85F0000}"/>
    <cellStyle name="Currency 8 2 4" xfId="6330" xr:uid="{00000000-0005-0000-0000-0000B95F0000}"/>
    <cellStyle name="Currency 8 2 4 2" xfId="6331" xr:uid="{00000000-0005-0000-0000-0000BA5F0000}"/>
    <cellStyle name="Currency 8 2 4 2 2" xfId="13207" xr:uid="{00000000-0005-0000-0000-0000BB5F0000}"/>
    <cellStyle name="Currency 8 2 4 2 3" xfId="21436" xr:uid="{00000000-0005-0000-0000-0000BC5F0000}"/>
    <cellStyle name="Currency 8 2 4 3" xfId="12024" xr:uid="{00000000-0005-0000-0000-0000BD5F0000}"/>
    <cellStyle name="Currency 8 2 4 3 2" xfId="25739" xr:uid="{00000000-0005-0000-0000-0000BE5F0000}"/>
    <cellStyle name="Currency 8 2 4 4" xfId="21437" xr:uid="{00000000-0005-0000-0000-0000BF5F0000}"/>
    <cellStyle name="Currency 8 2 5" xfId="6332" xr:uid="{00000000-0005-0000-0000-0000C05F0000}"/>
    <cellStyle name="Currency 8 2 5 2" xfId="6333" xr:uid="{00000000-0005-0000-0000-0000C15F0000}"/>
    <cellStyle name="Currency 8 2 5 2 2" xfId="15664" xr:uid="{00000000-0005-0000-0000-0000C25F0000}"/>
    <cellStyle name="Currency 8 2 5 2 3" xfId="21434" xr:uid="{00000000-0005-0000-0000-0000C35F0000}"/>
    <cellStyle name="Currency 8 2 5 3" xfId="13599" xr:uid="{00000000-0005-0000-0000-0000C45F0000}"/>
    <cellStyle name="Currency 8 2 5 3 2" xfId="27148" xr:uid="{00000000-0005-0000-0000-0000C55F0000}"/>
    <cellStyle name="Currency 8 2 5 4" xfId="21435" xr:uid="{00000000-0005-0000-0000-0000C65F0000}"/>
    <cellStyle name="Currency 8 2 6" xfId="6334" xr:uid="{00000000-0005-0000-0000-0000C75F0000}"/>
    <cellStyle name="Currency 8 2 6 2" xfId="14180" xr:uid="{00000000-0005-0000-0000-0000C85F0000}"/>
    <cellStyle name="Currency 8 2 6 2 2" xfId="27729" xr:uid="{00000000-0005-0000-0000-0000C95F0000}"/>
    <cellStyle name="Currency 8 2 6 3" xfId="21433" xr:uid="{00000000-0005-0000-0000-0000CA5F0000}"/>
    <cellStyle name="Currency 8 2 7" xfId="6335" xr:uid="{00000000-0005-0000-0000-0000CB5F0000}"/>
    <cellStyle name="Currency 8 2 7 2" xfId="16066" xr:uid="{00000000-0005-0000-0000-0000CC5F0000}"/>
    <cellStyle name="Currency 8 2 7 2 2" xfId="29473" xr:uid="{00000000-0005-0000-0000-0000CD5F0000}"/>
    <cellStyle name="Currency 8 2 7 3" xfId="21432" xr:uid="{00000000-0005-0000-0000-0000CE5F0000}"/>
    <cellStyle name="Currency 8 2 8" xfId="9940" xr:uid="{00000000-0005-0000-0000-0000CF5F0000}"/>
    <cellStyle name="Currency 8 2 9" xfId="21451" xr:uid="{00000000-0005-0000-0000-0000D05F0000}"/>
    <cellStyle name="Currency 8 3" xfId="6336" xr:uid="{00000000-0005-0000-0000-0000D15F0000}"/>
    <cellStyle name="Currency 8 3 2" xfId="6337" xr:uid="{00000000-0005-0000-0000-0000D25F0000}"/>
    <cellStyle name="Currency 8 3 2 2" xfId="6338" xr:uid="{00000000-0005-0000-0000-0000D35F0000}"/>
    <cellStyle name="Currency 8 3 2 2 2" xfId="11408" xr:uid="{00000000-0005-0000-0000-0000D45F0000}"/>
    <cellStyle name="Currency 8 3 2 2 3" xfId="21429" xr:uid="{00000000-0005-0000-0000-0000D55F0000}"/>
    <cellStyle name="Currency 8 3 2 3" xfId="6339" xr:uid="{00000000-0005-0000-0000-0000D65F0000}"/>
    <cellStyle name="Currency 8 3 2 3 2" xfId="16793" xr:uid="{00000000-0005-0000-0000-0000D75F0000}"/>
    <cellStyle name="Currency 8 3 2 3 2 2" xfId="30200" xr:uid="{00000000-0005-0000-0000-0000D85F0000}"/>
    <cellStyle name="Currency 8 3 2 3 3" xfId="21428" xr:uid="{00000000-0005-0000-0000-0000D95F0000}"/>
    <cellStyle name="Currency 8 3 2 4" xfId="9945" xr:uid="{00000000-0005-0000-0000-0000DA5F0000}"/>
    <cellStyle name="Currency 8 3 2 5" xfId="21430" xr:uid="{00000000-0005-0000-0000-0000DB5F0000}"/>
    <cellStyle name="Currency 8 3 3" xfId="6340" xr:uid="{00000000-0005-0000-0000-0000DC5F0000}"/>
    <cellStyle name="Currency 8 3 3 2" xfId="6341" xr:uid="{00000000-0005-0000-0000-0000DD5F0000}"/>
    <cellStyle name="Currency 8 3 3 2 2" xfId="13208" xr:uid="{00000000-0005-0000-0000-0000DE5F0000}"/>
    <cellStyle name="Currency 8 3 3 2 3" xfId="21426" xr:uid="{00000000-0005-0000-0000-0000DF5F0000}"/>
    <cellStyle name="Currency 8 3 3 3" xfId="12181" xr:uid="{00000000-0005-0000-0000-0000E05F0000}"/>
    <cellStyle name="Currency 8 3 3 3 2" xfId="25893" xr:uid="{00000000-0005-0000-0000-0000E15F0000}"/>
    <cellStyle name="Currency 8 3 3 4" xfId="21427" xr:uid="{00000000-0005-0000-0000-0000E25F0000}"/>
    <cellStyle name="Currency 8 3 4" xfId="6342" xr:uid="{00000000-0005-0000-0000-0000E35F0000}"/>
    <cellStyle name="Currency 8 3 4 2" xfId="6343" xr:uid="{00000000-0005-0000-0000-0000E45F0000}"/>
    <cellStyle name="Currency 8 3 4 2 2" xfId="15665" xr:uid="{00000000-0005-0000-0000-0000E55F0000}"/>
    <cellStyle name="Currency 8 3 4 2 3" xfId="21424" xr:uid="{00000000-0005-0000-0000-0000E65F0000}"/>
    <cellStyle name="Currency 8 3 4 3" xfId="13745" xr:uid="{00000000-0005-0000-0000-0000E75F0000}"/>
    <cellStyle name="Currency 8 3 4 3 2" xfId="27294" xr:uid="{00000000-0005-0000-0000-0000E85F0000}"/>
    <cellStyle name="Currency 8 3 4 4" xfId="21425" xr:uid="{00000000-0005-0000-0000-0000E95F0000}"/>
    <cellStyle name="Currency 8 3 5" xfId="6344" xr:uid="{00000000-0005-0000-0000-0000EA5F0000}"/>
    <cellStyle name="Currency 8 3 5 2" xfId="14326" xr:uid="{00000000-0005-0000-0000-0000EB5F0000}"/>
    <cellStyle name="Currency 8 3 5 2 2" xfId="27875" xr:uid="{00000000-0005-0000-0000-0000EC5F0000}"/>
    <cellStyle name="Currency 8 3 5 3" xfId="21423" xr:uid="{00000000-0005-0000-0000-0000ED5F0000}"/>
    <cellStyle name="Currency 8 3 6" xfId="6345" xr:uid="{00000000-0005-0000-0000-0000EE5F0000}"/>
    <cellStyle name="Currency 8 3 6 2" xfId="16212" xr:uid="{00000000-0005-0000-0000-0000EF5F0000}"/>
    <cellStyle name="Currency 8 3 6 2 2" xfId="29619" xr:uid="{00000000-0005-0000-0000-0000F05F0000}"/>
    <cellStyle name="Currency 8 3 6 3" xfId="21422" xr:uid="{00000000-0005-0000-0000-0000F15F0000}"/>
    <cellStyle name="Currency 8 3 7" xfId="9944" xr:uid="{00000000-0005-0000-0000-0000F25F0000}"/>
    <cellStyle name="Currency 8 3 8" xfId="21431" xr:uid="{00000000-0005-0000-0000-0000F35F0000}"/>
    <cellStyle name="Currency 8 4" xfId="6346" xr:uid="{00000000-0005-0000-0000-0000F45F0000}"/>
    <cellStyle name="Currency 8 4 2" xfId="6347" xr:uid="{00000000-0005-0000-0000-0000F55F0000}"/>
    <cellStyle name="Currency 8 4 2 2" xfId="11409" xr:uid="{00000000-0005-0000-0000-0000F65F0000}"/>
    <cellStyle name="Currency 8 4 2 3" xfId="21420" xr:uid="{00000000-0005-0000-0000-0000F75F0000}"/>
    <cellStyle name="Currency 8 4 3" xfId="6348" xr:uid="{00000000-0005-0000-0000-0000F85F0000}"/>
    <cellStyle name="Currency 8 4 3 2" xfId="17140" xr:uid="{00000000-0005-0000-0000-0000F95F0000}"/>
    <cellStyle name="Currency 8 4 3 2 2" xfId="30499" xr:uid="{00000000-0005-0000-0000-0000FA5F0000}"/>
    <cellStyle name="Currency 8 4 3 3" xfId="21419" xr:uid="{00000000-0005-0000-0000-0000FB5F0000}"/>
    <cellStyle name="Currency 8 4 4" xfId="9946" xr:uid="{00000000-0005-0000-0000-0000FC5F0000}"/>
    <cellStyle name="Currency 8 4 5" xfId="21421" xr:uid="{00000000-0005-0000-0000-0000FD5F0000}"/>
    <cellStyle name="Currency 8 5" xfId="6349" xr:uid="{00000000-0005-0000-0000-0000FE5F0000}"/>
    <cellStyle name="Currency 8 5 2" xfId="6350" xr:uid="{00000000-0005-0000-0000-0000FF5F0000}"/>
    <cellStyle name="Currency 8 5 2 2" xfId="13209" xr:uid="{00000000-0005-0000-0000-000000600000}"/>
    <cellStyle name="Currency 8 5 2 3" xfId="21417" xr:uid="{00000000-0005-0000-0000-000001600000}"/>
    <cellStyle name="Currency 8 5 3" xfId="6351" xr:uid="{00000000-0005-0000-0000-000002600000}"/>
    <cellStyle name="Currency 8 5 3 2" xfId="17229" xr:uid="{00000000-0005-0000-0000-000003600000}"/>
    <cellStyle name="Currency 8 5 3 2 2" xfId="30588" xr:uid="{00000000-0005-0000-0000-000004600000}"/>
    <cellStyle name="Currency 8 5 3 3" xfId="21416" xr:uid="{00000000-0005-0000-0000-000005600000}"/>
    <cellStyle name="Currency 8 5 4" xfId="11876" xr:uid="{00000000-0005-0000-0000-000006600000}"/>
    <cellStyle name="Currency 8 5 4 2" xfId="25591" xr:uid="{00000000-0005-0000-0000-000007600000}"/>
    <cellStyle name="Currency 8 5 5" xfId="21418" xr:uid="{00000000-0005-0000-0000-000008600000}"/>
    <cellStyle name="Currency 8 6" xfId="6352" xr:uid="{00000000-0005-0000-0000-000009600000}"/>
    <cellStyle name="Currency 8 6 2" xfId="6353" xr:uid="{00000000-0005-0000-0000-00000A600000}"/>
    <cellStyle name="Currency 8 6 2 2" xfId="15666" xr:uid="{00000000-0005-0000-0000-00000B600000}"/>
    <cellStyle name="Currency 8 6 2 3" xfId="21414" xr:uid="{00000000-0005-0000-0000-00000C600000}"/>
    <cellStyle name="Currency 8 6 3" xfId="6354" xr:uid="{00000000-0005-0000-0000-00000D600000}"/>
    <cellStyle name="Currency 8 6 3 2" xfId="16504" xr:uid="{00000000-0005-0000-0000-00000E600000}"/>
    <cellStyle name="Currency 8 6 3 2 2" xfId="29911" xr:uid="{00000000-0005-0000-0000-00000F600000}"/>
    <cellStyle name="Currency 8 6 3 3" xfId="21413" xr:uid="{00000000-0005-0000-0000-000010600000}"/>
    <cellStyle name="Currency 8 6 4" xfId="13456" xr:uid="{00000000-0005-0000-0000-000011600000}"/>
    <cellStyle name="Currency 8 6 4 2" xfId="27005" xr:uid="{00000000-0005-0000-0000-000012600000}"/>
    <cellStyle name="Currency 8 6 5" xfId="21415" xr:uid="{00000000-0005-0000-0000-000013600000}"/>
    <cellStyle name="Currency 8 7" xfId="6355" xr:uid="{00000000-0005-0000-0000-000014600000}"/>
    <cellStyle name="Currency 8 7 2" xfId="14037" xr:uid="{00000000-0005-0000-0000-000015600000}"/>
    <cellStyle name="Currency 8 7 2 2" xfId="27586" xr:uid="{00000000-0005-0000-0000-000016600000}"/>
    <cellStyle name="Currency 8 7 3" xfId="21412" xr:uid="{00000000-0005-0000-0000-000017600000}"/>
    <cellStyle name="Currency 8 8" xfId="6356" xr:uid="{00000000-0005-0000-0000-000018600000}"/>
    <cellStyle name="Currency 8 8 2" xfId="15923" xr:uid="{00000000-0005-0000-0000-000019600000}"/>
    <cellStyle name="Currency 8 8 2 2" xfId="29330" xr:uid="{00000000-0005-0000-0000-00001A600000}"/>
    <cellStyle name="Currency 8 8 3" xfId="21411" xr:uid="{00000000-0005-0000-0000-00001B600000}"/>
    <cellStyle name="Currency 8 9" xfId="9939" xr:uid="{00000000-0005-0000-0000-00001C600000}"/>
    <cellStyle name="Currency 9" xfId="6357" xr:uid="{00000000-0005-0000-0000-00001D600000}"/>
    <cellStyle name="Currency 9 2" xfId="9947" xr:uid="{00000000-0005-0000-0000-00001E600000}"/>
    <cellStyle name="Currency 9 3" xfId="21410" xr:uid="{00000000-0005-0000-0000-00001F600000}"/>
    <cellStyle name="Currency0" xfId="6358" xr:uid="{00000000-0005-0000-0000-000020600000}"/>
    <cellStyle name="Currency0 2" xfId="6359" xr:uid="{00000000-0005-0000-0000-000021600000}"/>
    <cellStyle name="Currency0 2 2" xfId="6360" xr:uid="{00000000-0005-0000-0000-000022600000}"/>
    <cellStyle name="Currency0 2 2 2" xfId="17033" xr:uid="{00000000-0005-0000-0000-000023600000}"/>
    <cellStyle name="Currency0 2 2 3" xfId="21407" xr:uid="{00000000-0005-0000-0000-000024600000}"/>
    <cellStyle name="Currency0 2 3" xfId="8669" xr:uid="{00000000-0005-0000-0000-000025600000}"/>
    <cellStyle name="Currency0 2 4" xfId="21408" xr:uid="{00000000-0005-0000-0000-000026600000}"/>
    <cellStyle name="Currency0 3" xfId="6361" xr:uid="{00000000-0005-0000-0000-000027600000}"/>
    <cellStyle name="Currency0 3 2" xfId="8727" xr:uid="{00000000-0005-0000-0000-000028600000}"/>
    <cellStyle name="Currency0 3 2 2" xfId="17337" xr:uid="{00000000-0005-0000-0000-000029600000}"/>
    <cellStyle name="Currency0 3 3" xfId="17296" xr:uid="{00000000-0005-0000-0000-00002A600000}"/>
    <cellStyle name="Currency0 3 4" xfId="9948" xr:uid="{00000000-0005-0000-0000-00002B600000}"/>
    <cellStyle name="Currency0 3 5" xfId="21406" xr:uid="{00000000-0005-0000-0000-00002C600000}"/>
    <cellStyle name="Currency0 4" xfId="8662" xr:uid="{00000000-0005-0000-0000-00002D600000}"/>
    <cellStyle name="Currency0 5" xfId="21409" xr:uid="{00000000-0005-0000-0000-00002E600000}"/>
    <cellStyle name="Date" xfId="6362" xr:uid="{00000000-0005-0000-0000-00002F600000}"/>
    <cellStyle name="Date 2" xfId="6363" xr:uid="{00000000-0005-0000-0000-000030600000}"/>
    <cellStyle name="Date 2 2" xfId="6364" xr:uid="{00000000-0005-0000-0000-000031600000}"/>
    <cellStyle name="Date 2 2 2" xfId="17034" xr:uid="{00000000-0005-0000-0000-000032600000}"/>
    <cellStyle name="Date 2 2 3" xfId="21403" xr:uid="{00000000-0005-0000-0000-000033600000}"/>
    <cellStyle name="Date 2 3" xfId="8697" xr:uid="{00000000-0005-0000-0000-000034600000}"/>
    <cellStyle name="Date 2 4" xfId="21404" xr:uid="{00000000-0005-0000-0000-000035600000}"/>
    <cellStyle name="Date 3" xfId="6365" xr:uid="{00000000-0005-0000-0000-000036600000}"/>
    <cellStyle name="Date 3 2" xfId="8670" xr:uid="{00000000-0005-0000-0000-000037600000}"/>
    <cellStyle name="Date 3 3" xfId="21402" xr:uid="{00000000-0005-0000-0000-000038600000}"/>
    <cellStyle name="Date 4" xfId="6366" xr:uid="{00000000-0005-0000-0000-000039600000}"/>
    <cellStyle name="Date 4 2" xfId="8741" xr:uid="{00000000-0005-0000-0000-00003A600000}"/>
    <cellStyle name="Date 4 2 2" xfId="17338" xr:uid="{00000000-0005-0000-0000-00003B600000}"/>
    <cellStyle name="Date 4 3" xfId="17297" xr:uid="{00000000-0005-0000-0000-00003C600000}"/>
    <cellStyle name="Date 4 4" xfId="9949" xr:uid="{00000000-0005-0000-0000-00003D600000}"/>
    <cellStyle name="Date 4 5" xfId="30691" xr:uid="{00000000-0005-0000-0000-00003E600000}"/>
    <cellStyle name="Date 5" xfId="8661" xr:uid="{00000000-0005-0000-0000-00003F600000}"/>
    <cellStyle name="Date 6" xfId="21405" xr:uid="{00000000-0005-0000-0000-000040600000}"/>
    <cellStyle name="Explanatory Text" xfId="33036" builtinId="53" customBuiltin="1"/>
    <cellStyle name="Explanatory Text 2" xfId="6368" xr:uid="{00000000-0005-0000-0000-000042600000}"/>
    <cellStyle name="Explanatory Text 2 2" xfId="8740" xr:uid="{00000000-0005-0000-0000-000043600000}"/>
    <cellStyle name="Explanatory Text 2 3" xfId="30693" xr:uid="{00000000-0005-0000-0000-000044600000}"/>
    <cellStyle name="Explanatory Text 2 4" xfId="33059" xr:uid="{00000000-0005-0000-0000-000045600000}"/>
    <cellStyle name="Explanatory Text 3" xfId="8815" xr:uid="{00000000-0005-0000-0000-000046600000}"/>
    <cellStyle name="Explanatory Text 4" xfId="30692" xr:uid="{00000000-0005-0000-0000-000047600000}"/>
    <cellStyle name="Explanatory Text 5" xfId="6367" xr:uid="{00000000-0005-0000-0000-000048600000}"/>
    <cellStyle name="Fixed" xfId="6369" xr:uid="{00000000-0005-0000-0000-000049600000}"/>
    <cellStyle name="Fixed 2" xfId="6370" xr:uid="{00000000-0005-0000-0000-00004A600000}"/>
    <cellStyle name="Fixed 2 2" xfId="6371" xr:uid="{00000000-0005-0000-0000-00004B600000}"/>
    <cellStyle name="Fixed 2 2 2" xfId="17035" xr:uid="{00000000-0005-0000-0000-00004C600000}"/>
    <cellStyle name="Fixed 2 2 3" xfId="30696" xr:uid="{00000000-0005-0000-0000-00004D600000}"/>
    <cellStyle name="Fixed 2 3" xfId="8671" xr:uid="{00000000-0005-0000-0000-00004E600000}"/>
    <cellStyle name="Fixed 2 4" xfId="30695" xr:uid="{00000000-0005-0000-0000-00004F600000}"/>
    <cellStyle name="Fixed 3" xfId="6372" xr:uid="{00000000-0005-0000-0000-000050600000}"/>
    <cellStyle name="Fixed 3 2" xfId="8731" xr:uid="{00000000-0005-0000-0000-000051600000}"/>
    <cellStyle name="Fixed 3 2 2" xfId="17339" xr:uid="{00000000-0005-0000-0000-000052600000}"/>
    <cellStyle name="Fixed 3 3" xfId="17298" xr:uid="{00000000-0005-0000-0000-000053600000}"/>
    <cellStyle name="Fixed 3 4" xfId="9950" xr:uid="{00000000-0005-0000-0000-000054600000}"/>
    <cellStyle name="Fixed 3 5" xfId="30697" xr:uid="{00000000-0005-0000-0000-000055600000}"/>
    <cellStyle name="Fixed 4" xfId="8663" xr:uid="{00000000-0005-0000-0000-000056600000}"/>
    <cellStyle name="Fixed 5" xfId="30694" xr:uid="{00000000-0005-0000-0000-000057600000}"/>
    <cellStyle name="Good" xfId="19" builtinId="26" customBuiltin="1"/>
    <cellStyle name="Good 10" xfId="6373" xr:uid="{00000000-0005-0000-0000-000059600000}"/>
    <cellStyle name="Good 10 2" xfId="9952" xr:uid="{00000000-0005-0000-0000-00005A600000}"/>
    <cellStyle name="Good 10 3" xfId="30698" xr:uid="{00000000-0005-0000-0000-00005B600000}"/>
    <cellStyle name="Good 11" xfId="6374" xr:uid="{00000000-0005-0000-0000-00005C600000}"/>
    <cellStyle name="Good 11 2" xfId="9953" xr:uid="{00000000-0005-0000-0000-00005D600000}"/>
    <cellStyle name="Good 11 3" xfId="30699" xr:uid="{00000000-0005-0000-0000-00005E600000}"/>
    <cellStyle name="Good 12" xfId="6375" xr:uid="{00000000-0005-0000-0000-00005F600000}"/>
    <cellStyle name="Good 12 2" xfId="6376" xr:uid="{00000000-0005-0000-0000-000060600000}"/>
    <cellStyle name="Good 12 2 2" xfId="15667" xr:uid="{00000000-0005-0000-0000-000061600000}"/>
    <cellStyle name="Good 12 2 3" xfId="30701" xr:uid="{00000000-0005-0000-0000-000062600000}"/>
    <cellStyle name="Good 12 3" xfId="10489" xr:uid="{00000000-0005-0000-0000-000063600000}"/>
    <cellStyle name="Good 12 4" xfId="30700" xr:uid="{00000000-0005-0000-0000-000064600000}"/>
    <cellStyle name="Good 13" xfId="6377" xr:uid="{00000000-0005-0000-0000-000065600000}"/>
    <cellStyle name="Good 13 2" xfId="11410" xr:uid="{00000000-0005-0000-0000-000066600000}"/>
    <cellStyle name="Good 13 3" xfId="30702" xr:uid="{00000000-0005-0000-0000-000067600000}"/>
    <cellStyle name="Good 14" xfId="6378" xr:uid="{00000000-0005-0000-0000-000068600000}"/>
    <cellStyle name="Good 14 2" xfId="9951" xr:uid="{00000000-0005-0000-0000-000069600000}"/>
    <cellStyle name="Good 14 3" xfId="30703" xr:uid="{00000000-0005-0000-0000-00006A600000}"/>
    <cellStyle name="Good 2" xfId="6379" xr:uid="{00000000-0005-0000-0000-00006B600000}"/>
    <cellStyle name="Good 2 2" xfId="9954" xr:uid="{00000000-0005-0000-0000-00006C600000}"/>
    <cellStyle name="Good 2 3" xfId="30704" xr:uid="{00000000-0005-0000-0000-00006D600000}"/>
    <cellStyle name="Good 2 4" xfId="33049" xr:uid="{00000000-0005-0000-0000-00006E600000}"/>
    <cellStyle name="Good 3" xfId="6380" xr:uid="{00000000-0005-0000-0000-00006F600000}"/>
    <cellStyle name="Good 3 2" xfId="6381" xr:uid="{00000000-0005-0000-0000-000070600000}"/>
    <cellStyle name="Good 3 2 2" xfId="9956" xr:uid="{00000000-0005-0000-0000-000071600000}"/>
    <cellStyle name="Good 3 2 3" xfId="30706" xr:uid="{00000000-0005-0000-0000-000072600000}"/>
    <cellStyle name="Good 3 3" xfId="9955" xr:uid="{00000000-0005-0000-0000-000073600000}"/>
    <cellStyle name="Good 3 4" xfId="30705" xr:uid="{00000000-0005-0000-0000-000074600000}"/>
    <cellStyle name="Good 4" xfId="6382" xr:uid="{00000000-0005-0000-0000-000075600000}"/>
    <cellStyle name="Good 4 2" xfId="6383" xr:uid="{00000000-0005-0000-0000-000076600000}"/>
    <cellStyle name="Good 4 2 2" xfId="13211" xr:uid="{00000000-0005-0000-0000-000077600000}"/>
    <cellStyle name="Good 4 2 3" xfId="30708" xr:uid="{00000000-0005-0000-0000-000078600000}"/>
    <cellStyle name="Good 4 3" xfId="6384" xr:uid="{00000000-0005-0000-0000-000079600000}"/>
    <cellStyle name="Good 4 3 2" xfId="13210" xr:uid="{00000000-0005-0000-0000-00007A600000}"/>
    <cellStyle name="Good 4 3 3" xfId="30709" xr:uid="{00000000-0005-0000-0000-00007B600000}"/>
    <cellStyle name="Good 4 4" xfId="9957" xr:uid="{00000000-0005-0000-0000-00007C600000}"/>
    <cellStyle name="Good 4 5" xfId="30707" xr:uid="{00000000-0005-0000-0000-00007D600000}"/>
    <cellStyle name="Good 5" xfId="6385" xr:uid="{00000000-0005-0000-0000-00007E600000}"/>
    <cellStyle name="Good 5 2" xfId="6386" xr:uid="{00000000-0005-0000-0000-00007F600000}"/>
    <cellStyle name="Good 5 2 2" xfId="9959" xr:uid="{00000000-0005-0000-0000-000080600000}"/>
    <cellStyle name="Good 5 2 3" xfId="30711" xr:uid="{00000000-0005-0000-0000-000081600000}"/>
    <cellStyle name="Good 5 3" xfId="9958" xr:uid="{00000000-0005-0000-0000-000082600000}"/>
    <cellStyle name="Good 5 4" xfId="30710" xr:uid="{00000000-0005-0000-0000-000083600000}"/>
    <cellStyle name="Good 6" xfId="6387" xr:uid="{00000000-0005-0000-0000-000084600000}"/>
    <cellStyle name="Good 6 2" xfId="9960" xr:uid="{00000000-0005-0000-0000-000085600000}"/>
    <cellStyle name="Good 6 3" xfId="30712" xr:uid="{00000000-0005-0000-0000-000086600000}"/>
    <cellStyle name="Good 7" xfId="6388" xr:uid="{00000000-0005-0000-0000-000087600000}"/>
    <cellStyle name="Good 7 2" xfId="9961" xr:uid="{00000000-0005-0000-0000-000088600000}"/>
    <cellStyle name="Good 7 3" xfId="30713" xr:uid="{00000000-0005-0000-0000-000089600000}"/>
    <cellStyle name="Good 8" xfId="6389" xr:uid="{00000000-0005-0000-0000-00008A600000}"/>
    <cellStyle name="Good 8 2" xfId="9962" xr:uid="{00000000-0005-0000-0000-00008B600000}"/>
    <cellStyle name="Good 8 3" xfId="30714" xr:uid="{00000000-0005-0000-0000-00008C600000}"/>
    <cellStyle name="Good 9" xfId="6390" xr:uid="{00000000-0005-0000-0000-00008D600000}"/>
    <cellStyle name="Good 9 2" xfId="9963" xr:uid="{00000000-0005-0000-0000-00008E600000}"/>
    <cellStyle name="Good 9 3" xfId="30715" xr:uid="{00000000-0005-0000-0000-00008F600000}"/>
    <cellStyle name="Heading 1" xfId="15" builtinId="16" customBuiltin="1"/>
    <cellStyle name="Heading 1 2" xfId="6391" xr:uid="{00000000-0005-0000-0000-000091600000}"/>
    <cellStyle name="Heading 1 2 10" xfId="6392" xr:uid="{00000000-0005-0000-0000-000092600000}"/>
    <cellStyle name="Heading 1 2 10 2" xfId="6393" xr:uid="{00000000-0005-0000-0000-000093600000}"/>
    <cellStyle name="Heading 1 2 10 2 2" xfId="11412" xr:uid="{00000000-0005-0000-0000-000094600000}"/>
    <cellStyle name="Heading 1 2 10 2 3" xfId="30718" xr:uid="{00000000-0005-0000-0000-000095600000}"/>
    <cellStyle name="Heading 1 2 10 3" xfId="9966" xr:uid="{00000000-0005-0000-0000-000096600000}"/>
    <cellStyle name="Heading 1 2 10 4" xfId="30717" xr:uid="{00000000-0005-0000-0000-000097600000}"/>
    <cellStyle name="Heading 1 2 11" xfId="6394" xr:uid="{00000000-0005-0000-0000-000098600000}"/>
    <cellStyle name="Heading 1 2 11 2" xfId="6395" xr:uid="{00000000-0005-0000-0000-000099600000}"/>
    <cellStyle name="Heading 1 2 11 2 2" xfId="11413" xr:uid="{00000000-0005-0000-0000-00009A600000}"/>
    <cellStyle name="Heading 1 2 11 2 3" xfId="30720" xr:uid="{00000000-0005-0000-0000-00009B600000}"/>
    <cellStyle name="Heading 1 2 11 3" xfId="9967" xr:uid="{00000000-0005-0000-0000-00009C600000}"/>
    <cellStyle name="Heading 1 2 11 4" xfId="30719" xr:uid="{00000000-0005-0000-0000-00009D600000}"/>
    <cellStyle name="Heading 1 2 12" xfId="6396" xr:uid="{00000000-0005-0000-0000-00009E600000}"/>
    <cellStyle name="Heading 1 2 12 2" xfId="6397" xr:uid="{00000000-0005-0000-0000-00009F600000}"/>
    <cellStyle name="Heading 1 2 12 2 2" xfId="11414" xr:uid="{00000000-0005-0000-0000-0000A0600000}"/>
    <cellStyle name="Heading 1 2 12 2 3" xfId="30722" xr:uid="{00000000-0005-0000-0000-0000A1600000}"/>
    <cellStyle name="Heading 1 2 12 3" xfId="9968" xr:uid="{00000000-0005-0000-0000-0000A2600000}"/>
    <cellStyle name="Heading 1 2 12 4" xfId="30721" xr:uid="{00000000-0005-0000-0000-0000A3600000}"/>
    <cellStyle name="Heading 1 2 13" xfId="6398" xr:uid="{00000000-0005-0000-0000-0000A4600000}"/>
    <cellStyle name="Heading 1 2 13 2" xfId="6399" xr:uid="{00000000-0005-0000-0000-0000A5600000}"/>
    <cellStyle name="Heading 1 2 13 2 2" xfId="15668" xr:uid="{00000000-0005-0000-0000-0000A6600000}"/>
    <cellStyle name="Heading 1 2 13 2 3" xfId="30724" xr:uid="{00000000-0005-0000-0000-0000A7600000}"/>
    <cellStyle name="Heading 1 2 13 3" xfId="9969" xr:uid="{00000000-0005-0000-0000-0000A8600000}"/>
    <cellStyle name="Heading 1 2 13 4" xfId="30723" xr:uid="{00000000-0005-0000-0000-0000A9600000}"/>
    <cellStyle name="Heading 1 2 14" xfId="6400" xr:uid="{00000000-0005-0000-0000-0000AA600000}"/>
    <cellStyle name="Heading 1 2 14 2" xfId="6401" xr:uid="{00000000-0005-0000-0000-0000AB600000}"/>
    <cellStyle name="Heading 1 2 14 2 2" xfId="15669" xr:uid="{00000000-0005-0000-0000-0000AC600000}"/>
    <cellStyle name="Heading 1 2 14 2 3" xfId="30726" xr:uid="{00000000-0005-0000-0000-0000AD600000}"/>
    <cellStyle name="Heading 1 2 14 3" xfId="10490" xr:uid="{00000000-0005-0000-0000-0000AE600000}"/>
    <cellStyle name="Heading 1 2 14 4" xfId="30725" xr:uid="{00000000-0005-0000-0000-0000AF600000}"/>
    <cellStyle name="Heading 1 2 15" xfId="6402" xr:uid="{00000000-0005-0000-0000-0000B0600000}"/>
    <cellStyle name="Heading 1 2 15 2" xfId="11411" xr:uid="{00000000-0005-0000-0000-0000B1600000}"/>
    <cellStyle name="Heading 1 2 15 3" xfId="30727" xr:uid="{00000000-0005-0000-0000-0000B2600000}"/>
    <cellStyle name="Heading 1 2 16" xfId="8664" xr:uid="{00000000-0005-0000-0000-0000B3600000}"/>
    <cellStyle name="Heading 1 2 16 2" xfId="9965" xr:uid="{00000000-0005-0000-0000-0000B4600000}"/>
    <cellStyle name="Heading 1 2 17" xfId="17303" xr:uid="{00000000-0005-0000-0000-0000B5600000}"/>
    <cellStyle name="Heading 1 2 18" xfId="30716" xr:uid="{00000000-0005-0000-0000-0000B6600000}"/>
    <cellStyle name="Heading 1 2 19" xfId="33045" xr:uid="{00000000-0005-0000-0000-0000B7600000}"/>
    <cellStyle name="Heading 1 2 2" xfId="6403" xr:uid="{00000000-0005-0000-0000-0000B8600000}"/>
    <cellStyle name="Heading 1 2 2 2" xfId="6404" xr:uid="{00000000-0005-0000-0000-0000B9600000}"/>
    <cellStyle name="Heading 1 2 2 2 2" xfId="6405" xr:uid="{00000000-0005-0000-0000-0000BA600000}"/>
    <cellStyle name="Heading 1 2 2 2 2 2" xfId="11415" xr:uid="{00000000-0005-0000-0000-0000BB600000}"/>
    <cellStyle name="Heading 1 2 2 2 2 3" xfId="30730" xr:uid="{00000000-0005-0000-0000-0000BC600000}"/>
    <cellStyle name="Heading 1 2 2 2 3" xfId="9971" xr:uid="{00000000-0005-0000-0000-0000BD600000}"/>
    <cellStyle name="Heading 1 2 2 2 4" xfId="30729" xr:uid="{00000000-0005-0000-0000-0000BE600000}"/>
    <cellStyle name="Heading 1 2 2 3" xfId="6406" xr:uid="{00000000-0005-0000-0000-0000BF600000}"/>
    <cellStyle name="Heading 1 2 2 3 2" xfId="6407" xr:uid="{00000000-0005-0000-0000-0000C0600000}"/>
    <cellStyle name="Heading 1 2 2 3 2 2" xfId="15670" xr:uid="{00000000-0005-0000-0000-0000C1600000}"/>
    <cellStyle name="Heading 1 2 2 3 2 3" xfId="30732" xr:uid="{00000000-0005-0000-0000-0000C2600000}"/>
    <cellStyle name="Heading 1 2 2 3 3" xfId="11664" xr:uid="{00000000-0005-0000-0000-0000C3600000}"/>
    <cellStyle name="Heading 1 2 2 3 4" xfId="30731" xr:uid="{00000000-0005-0000-0000-0000C4600000}"/>
    <cellStyle name="Heading 1 2 2 4" xfId="6408" xr:uid="{00000000-0005-0000-0000-0000C5600000}"/>
    <cellStyle name="Heading 1 2 2 4 2" xfId="12089" xr:uid="{00000000-0005-0000-0000-0000C6600000}"/>
    <cellStyle name="Heading 1 2 2 4 3" xfId="30733" xr:uid="{00000000-0005-0000-0000-0000C7600000}"/>
    <cellStyle name="Heading 1 2 2 5" xfId="6409" xr:uid="{00000000-0005-0000-0000-0000C8600000}"/>
    <cellStyle name="Heading 1 2 2 5 2" xfId="9970" xr:uid="{00000000-0005-0000-0000-0000C9600000}"/>
    <cellStyle name="Heading 1 2 2 5 3" xfId="30734" xr:uid="{00000000-0005-0000-0000-0000CA600000}"/>
    <cellStyle name="Heading 1 2 2 6" xfId="8693" xr:uid="{00000000-0005-0000-0000-0000CB600000}"/>
    <cellStyle name="Heading 1 2 2 7" xfId="30728" xr:uid="{00000000-0005-0000-0000-0000CC600000}"/>
    <cellStyle name="Heading 1 2 3" xfId="6410" xr:uid="{00000000-0005-0000-0000-0000CD600000}"/>
    <cellStyle name="Heading 1 2 3 2" xfId="6411" xr:uid="{00000000-0005-0000-0000-0000CE600000}"/>
    <cellStyle name="Heading 1 2 3 2 2" xfId="9973" xr:uid="{00000000-0005-0000-0000-0000CF600000}"/>
    <cellStyle name="Heading 1 2 3 2 3" xfId="30736" xr:uid="{00000000-0005-0000-0000-0000D0600000}"/>
    <cellStyle name="Heading 1 2 3 3" xfId="6412" xr:uid="{00000000-0005-0000-0000-0000D1600000}"/>
    <cellStyle name="Heading 1 2 3 3 2" xfId="11416" xr:uid="{00000000-0005-0000-0000-0000D2600000}"/>
    <cellStyle name="Heading 1 2 3 3 3" xfId="30737" xr:uid="{00000000-0005-0000-0000-0000D3600000}"/>
    <cellStyle name="Heading 1 2 3 4" xfId="6413" xr:uid="{00000000-0005-0000-0000-0000D4600000}"/>
    <cellStyle name="Heading 1 2 3 4 2" xfId="17340" xr:uid="{00000000-0005-0000-0000-0000D5600000}"/>
    <cellStyle name="Heading 1 2 3 4 3" xfId="30738" xr:uid="{00000000-0005-0000-0000-0000D6600000}"/>
    <cellStyle name="Heading 1 2 3 5" xfId="8725" xr:uid="{00000000-0005-0000-0000-0000D7600000}"/>
    <cellStyle name="Heading 1 2 3 6" xfId="9972" xr:uid="{00000000-0005-0000-0000-0000D8600000}"/>
    <cellStyle name="Heading 1 2 3 7" xfId="30735" xr:uid="{00000000-0005-0000-0000-0000D9600000}"/>
    <cellStyle name="Heading 1 2 4" xfId="6414" xr:uid="{00000000-0005-0000-0000-0000DA600000}"/>
    <cellStyle name="Heading 1 2 4 2" xfId="6415" xr:uid="{00000000-0005-0000-0000-0000DB600000}"/>
    <cellStyle name="Heading 1 2 4 2 2" xfId="9975" xr:uid="{00000000-0005-0000-0000-0000DC600000}"/>
    <cellStyle name="Heading 1 2 4 2 3" xfId="30740" xr:uid="{00000000-0005-0000-0000-0000DD600000}"/>
    <cellStyle name="Heading 1 2 4 3" xfId="6416" xr:uid="{00000000-0005-0000-0000-0000DE600000}"/>
    <cellStyle name="Heading 1 2 4 3 2" xfId="13213" xr:uid="{00000000-0005-0000-0000-0000DF600000}"/>
    <cellStyle name="Heading 1 2 4 3 3" xfId="30741" xr:uid="{00000000-0005-0000-0000-0000E0600000}"/>
    <cellStyle name="Heading 1 2 4 4" xfId="6417" xr:uid="{00000000-0005-0000-0000-0000E1600000}"/>
    <cellStyle name="Heading 1 2 4 4 2" xfId="13212" xr:uid="{00000000-0005-0000-0000-0000E2600000}"/>
    <cellStyle name="Heading 1 2 4 4 3" xfId="30742" xr:uid="{00000000-0005-0000-0000-0000E3600000}"/>
    <cellStyle name="Heading 1 2 4 5" xfId="9974" xr:uid="{00000000-0005-0000-0000-0000E4600000}"/>
    <cellStyle name="Heading 1 2 4 6" xfId="30739" xr:uid="{00000000-0005-0000-0000-0000E5600000}"/>
    <cellStyle name="Heading 1 2 5" xfId="6418" xr:uid="{00000000-0005-0000-0000-0000E6600000}"/>
    <cellStyle name="Heading 1 2 5 2" xfId="6419" xr:uid="{00000000-0005-0000-0000-0000E7600000}"/>
    <cellStyle name="Heading 1 2 5 2 2" xfId="13215" xr:uid="{00000000-0005-0000-0000-0000E8600000}"/>
    <cellStyle name="Heading 1 2 5 2 3" xfId="30744" xr:uid="{00000000-0005-0000-0000-0000E9600000}"/>
    <cellStyle name="Heading 1 2 5 3" xfId="6420" xr:uid="{00000000-0005-0000-0000-0000EA600000}"/>
    <cellStyle name="Heading 1 2 5 3 2" xfId="13214" xr:uid="{00000000-0005-0000-0000-0000EB600000}"/>
    <cellStyle name="Heading 1 2 5 3 3" xfId="30745" xr:uid="{00000000-0005-0000-0000-0000EC600000}"/>
    <cellStyle name="Heading 1 2 5 4" xfId="6421" xr:uid="{00000000-0005-0000-0000-0000ED600000}"/>
    <cellStyle name="Heading 1 2 5 4 2" xfId="15671" xr:uid="{00000000-0005-0000-0000-0000EE600000}"/>
    <cellStyle name="Heading 1 2 5 4 3" xfId="30746" xr:uid="{00000000-0005-0000-0000-0000EF600000}"/>
    <cellStyle name="Heading 1 2 5 5" xfId="9976" xr:uid="{00000000-0005-0000-0000-0000F0600000}"/>
    <cellStyle name="Heading 1 2 5 6" xfId="30743" xr:uid="{00000000-0005-0000-0000-0000F1600000}"/>
    <cellStyle name="Heading 1 2 6" xfId="6422" xr:uid="{00000000-0005-0000-0000-0000F2600000}"/>
    <cellStyle name="Heading 1 2 6 2" xfId="6423" xr:uid="{00000000-0005-0000-0000-0000F3600000}"/>
    <cellStyle name="Heading 1 2 6 2 2" xfId="6424" xr:uid="{00000000-0005-0000-0000-0000F4600000}"/>
    <cellStyle name="Heading 1 2 6 2 2 2" xfId="11418" xr:uid="{00000000-0005-0000-0000-0000F5600000}"/>
    <cellStyle name="Heading 1 2 6 2 2 3" xfId="30749" xr:uid="{00000000-0005-0000-0000-0000F6600000}"/>
    <cellStyle name="Heading 1 2 6 2 3" xfId="9978" xr:uid="{00000000-0005-0000-0000-0000F7600000}"/>
    <cellStyle name="Heading 1 2 6 2 4" xfId="30748" xr:uid="{00000000-0005-0000-0000-0000F8600000}"/>
    <cellStyle name="Heading 1 2 6 3" xfId="6425" xr:uid="{00000000-0005-0000-0000-0000F9600000}"/>
    <cellStyle name="Heading 1 2 6 3 2" xfId="11417" xr:uid="{00000000-0005-0000-0000-0000FA600000}"/>
    <cellStyle name="Heading 1 2 6 3 3" xfId="30750" xr:uid="{00000000-0005-0000-0000-0000FB600000}"/>
    <cellStyle name="Heading 1 2 6 4" xfId="9977" xr:uid="{00000000-0005-0000-0000-0000FC600000}"/>
    <cellStyle name="Heading 1 2 6 5" xfId="30747" xr:uid="{00000000-0005-0000-0000-0000FD600000}"/>
    <cellStyle name="Heading 1 2 7" xfId="6426" xr:uid="{00000000-0005-0000-0000-0000FE600000}"/>
    <cellStyle name="Heading 1 2 7 2" xfId="6427" xr:uid="{00000000-0005-0000-0000-0000FF600000}"/>
    <cellStyle name="Heading 1 2 7 2 2" xfId="6428" xr:uid="{00000000-0005-0000-0000-000000610000}"/>
    <cellStyle name="Heading 1 2 7 2 2 2" xfId="11420" xr:uid="{00000000-0005-0000-0000-000001610000}"/>
    <cellStyle name="Heading 1 2 7 2 2 3" xfId="30753" xr:uid="{00000000-0005-0000-0000-000002610000}"/>
    <cellStyle name="Heading 1 2 7 2 3" xfId="9980" xr:uid="{00000000-0005-0000-0000-000003610000}"/>
    <cellStyle name="Heading 1 2 7 2 4" xfId="30752" xr:uid="{00000000-0005-0000-0000-000004610000}"/>
    <cellStyle name="Heading 1 2 7 3" xfId="6429" xr:uid="{00000000-0005-0000-0000-000005610000}"/>
    <cellStyle name="Heading 1 2 7 3 2" xfId="11419" xr:uid="{00000000-0005-0000-0000-000006610000}"/>
    <cellStyle name="Heading 1 2 7 3 3" xfId="30754" xr:uid="{00000000-0005-0000-0000-000007610000}"/>
    <cellStyle name="Heading 1 2 7 4" xfId="9979" xr:uid="{00000000-0005-0000-0000-000008610000}"/>
    <cellStyle name="Heading 1 2 7 5" xfId="30751" xr:uid="{00000000-0005-0000-0000-000009610000}"/>
    <cellStyle name="Heading 1 2 8" xfId="6430" xr:uid="{00000000-0005-0000-0000-00000A610000}"/>
    <cellStyle name="Heading 1 2 8 2" xfId="6431" xr:uid="{00000000-0005-0000-0000-00000B610000}"/>
    <cellStyle name="Heading 1 2 8 2 2" xfId="11421" xr:uid="{00000000-0005-0000-0000-00000C610000}"/>
    <cellStyle name="Heading 1 2 8 2 3" xfId="30756" xr:uid="{00000000-0005-0000-0000-00000D610000}"/>
    <cellStyle name="Heading 1 2 8 3" xfId="9981" xr:uid="{00000000-0005-0000-0000-00000E610000}"/>
    <cellStyle name="Heading 1 2 8 4" xfId="30755" xr:uid="{00000000-0005-0000-0000-00000F610000}"/>
    <cellStyle name="Heading 1 2 9" xfId="6432" xr:uid="{00000000-0005-0000-0000-000010610000}"/>
    <cellStyle name="Heading 1 2 9 2" xfId="6433" xr:uid="{00000000-0005-0000-0000-000011610000}"/>
    <cellStyle name="Heading 1 2 9 2 2" xfId="11422" xr:uid="{00000000-0005-0000-0000-000012610000}"/>
    <cellStyle name="Heading 1 2 9 2 3" xfId="30758" xr:uid="{00000000-0005-0000-0000-000013610000}"/>
    <cellStyle name="Heading 1 2 9 3" xfId="9982" xr:uid="{00000000-0005-0000-0000-000014610000}"/>
    <cellStyle name="Heading 1 2 9 4" xfId="30757" xr:uid="{00000000-0005-0000-0000-000015610000}"/>
    <cellStyle name="Heading 1 3" xfId="6434" xr:uid="{00000000-0005-0000-0000-000016610000}"/>
    <cellStyle name="Heading 1 3 2" xfId="8672" xr:uid="{00000000-0005-0000-0000-000017610000}"/>
    <cellStyle name="Heading 1 3 3" xfId="30759" xr:uid="{00000000-0005-0000-0000-000018610000}"/>
    <cellStyle name="Heading 1 3 4" xfId="33090" xr:uid="{00000000-0005-0000-0000-000019610000}"/>
    <cellStyle name="Heading 1 4" xfId="6435" xr:uid="{00000000-0005-0000-0000-00001A610000}"/>
    <cellStyle name="Heading 1 4 2" xfId="9983" xr:uid="{00000000-0005-0000-0000-00001B610000}"/>
    <cellStyle name="Heading 1 4 3" xfId="30760" xr:uid="{00000000-0005-0000-0000-00001C610000}"/>
    <cellStyle name="Heading 1 5" xfId="6436" xr:uid="{00000000-0005-0000-0000-00001D610000}"/>
    <cellStyle name="Heading 1 5 2" xfId="9984" xr:uid="{00000000-0005-0000-0000-00001E610000}"/>
    <cellStyle name="Heading 1 5 3" xfId="30761" xr:uid="{00000000-0005-0000-0000-00001F610000}"/>
    <cellStyle name="Heading 1 6" xfId="6437" xr:uid="{00000000-0005-0000-0000-000020610000}"/>
    <cellStyle name="Heading 1 6 2" xfId="9985" xr:uid="{00000000-0005-0000-0000-000021610000}"/>
    <cellStyle name="Heading 1 6 3" xfId="30762" xr:uid="{00000000-0005-0000-0000-000022610000}"/>
    <cellStyle name="Heading 1 7" xfId="6438" xr:uid="{00000000-0005-0000-0000-000023610000}"/>
    <cellStyle name="Heading 1 7 2" xfId="9986" xr:uid="{00000000-0005-0000-0000-000024610000}"/>
    <cellStyle name="Heading 1 7 3" xfId="30763" xr:uid="{00000000-0005-0000-0000-000025610000}"/>
    <cellStyle name="Heading 1 8" xfId="9964" xr:uid="{00000000-0005-0000-0000-000026610000}"/>
    <cellStyle name="Heading 2" xfId="16" builtinId="17" customBuiltin="1"/>
    <cellStyle name="Heading 2 2" xfId="6439" xr:uid="{00000000-0005-0000-0000-000028610000}"/>
    <cellStyle name="Heading 2 2 10" xfId="6440" xr:uid="{00000000-0005-0000-0000-000029610000}"/>
    <cellStyle name="Heading 2 2 10 2" xfId="6441" xr:uid="{00000000-0005-0000-0000-00002A610000}"/>
    <cellStyle name="Heading 2 2 10 2 2" xfId="11424" xr:uid="{00000000-0005-0000-0000-00002B610000}"/>
    <cellStyle name="Heading 2 2 10 2 3" xfId="30766" xr:uid="{00000000-0005-0000-0000-00002C610000}"/>
    <cellStyle name="Heading 2 2 10 3" xfId="9989" xr:uid="{00000000-0005-0000-0000-00002D610000}"/>
    <cellStyle name="Heading 2 2 10 4" xfId="30765" xr:uid="{00000000-0005-0000-0000-00002E610000}"/>
    <cellStyle name="Heading 2 2 11" xfId="6442" xr:uid="{00000000-0005-0000-0000-00002F610000}"/>
    <cellStyle name="Heading 2 2 11 2" xfId="6443" xr:uid="{00000000-0005-0000-0000-000030610000}"/>
    <cellStyle name="Heading 2 2 11 2 2" xfId="11425" xr:uid="{00000000-0005-0000-0000-000031610000}"/>
    <cellStyle name="Heading 2 2 11 2 3" xfId="30768" xr:uid="{00000000-0005-0000-0000-000032610000}"/>
    <cellStyle name="Heading 2 2 11 3" xfId="9990" xr:uid="{00000000-0005-0000-0000-000033610000}"/>
    <cellStyle name="Heading 2 2 11 4" xfId="30767" xr:uid="{00000000-0005-0000-0000-000034610000}"/>
    <cellStyle name="Heading 2 2 12" xfId="6444" xr:uid="{00000000-0005-0000-0000-000035610000}"/>
    <cellStyle name="Heading 2 2 12 2" xfId="6445" xr:uid="{00000000-0005-0000-0000-000036610000}"/>
    <cellStyle name="Heading 2 2 12 2 2" xfId="11426" xr:uid="{00000000-0005-0000-0000-000037610000}"/>
    <cellStyle name="Heading 2 2 12 2 3" xfId="30770" xr:uid="{00000000-0005-0000-0000-000038610000}"/>
    <cellStyle name="Heading 2 2 12 3" xfId="9991" xr:uid="{00000000-0005-0000-0000-000039610000}"/>
    <cellStyle name="Heading 2 2 12 4" xfId="30769" xr:uid="{00000000-0005-0000-0000-00003A610000}"/>
    <cellStyle name="Heading 2 2 13" xfId="6446" xr:uid="{00000000-0005-0000-0000-00003B610000}"/>
    <cellStyle name="Heading 2 2 13 2" xfId="6447" xr:uid="{00000000-0005-0000-0000-00003C610000}"/>
    <cellStyle name="Heading 2 2 13 2 2" xfId="15672" xr:uid="{00000000-0005-0000-0000-00003D610000}"/>
    <cellStyle name="Heading 2 2 13 2 3" xfId="30772" xr:uid="{00000000-0005-0000-0000-00003E610000}"/>
    <cellStyle name="Heading 2 2 13 3" xfId="9992" xr:uid="{00000000-0005-0000-0000-00003F610000}"/>
    <cellStyle name="Heading 2 2 13 4" xfId="30771" xr:uid="{00000000-0005-0000-0000-000040610000}"/>
    <cellStyle name="Heading 2 2 14" xfId="6448" xr:uid="{00000000-0005-0000-0000-000041610000}"/>
    <cellStyle name="Heading 2 2 14 2" xfId="6449" xr:uid="{00000000-0005-0000-0000-000042610000}"/>
    <cellStyle name="Heading 2 2 14 2 2" xfId="15673" xr:uid="{00000000-0005-0000-0000-000043610000}"/>
    <cellStyle name="Heading 2 2 14 2 3" xfId="30774" xr:uid="{00000000-0005-0000-0000-000044610000}"/>
    <cellStyle name="Heading 2 2 14 3" xfId="10491" xr:uid="{00000000-0005-0000-0000-000045610000}"/>
    <cellStyle name="Heading 2 2 14 4" xfId="30773" xr:uid="{00000000-0005-0000-0000-000046610000}"/>
    <cellStyle name="Heading 2 2 15" xfId="6450" xr:uid="{00000000-0005-0000-0000-000047610000}"/>
    <cellStyle name="Heading 2 2 15 2" xfId="11423" xr:uid="{00000000-0005-0000-0000-000048610000}"/>
    <cellStyle name="Heading 2 2 15 3" xfId="30775" xr:uid="{00000000-0005-0000-0000-000049610000}"/>
    <cellStyle name="Heading 2 2 16" xfId="8665" xr:uid="{00000000-0005-0000-0000-00004A610000}"/>
    <cellStyle name="Heading 2 2 16 2" xfId="9988" xr:uid="{00000000-0005-0000-0000-00004B610000}"/>
    <cellStyle name="Heading 2 2 17" xfId="17304" xr:uid="{00000000-0005-0000-0000-00004C610000}"/>
    <cellStyle name="Heading 2 2 18" xfId="30764" xr:uid="{00000000-0005-0000-0000-00004D610000}"/>
    <cellStyle name="Heading 2 2 19" xfId="33046" xr:uid="{00000000-0005-0000-0000-00004E610000}"/>
    <cellStyle name="Heading 2 2 2" xfId="6451" xr:uid="{00000000-0005-0000-0000-00004F610000}"/>
    <cellStyle name="Heading 2 2 2 2" xfId="6452" xr:uid="{00000000-0005-0000-0000-000050610000}"/>
    <cellStyle name="Heading 2 2 2 2 2" xfId="6453" xr:uid="{00000000-0005-0000-0000-000051610000}"/>
    <cellStyle name="Heading 2 2 2 2 2 2" xfId="11427" xr:uid="{00000000-0005-0000-0000-000052610000}"/>
    <cellStyle name="Heading 2 2 2 2 2 3" xfId="30778" xr:uid="{00000000-0005-0000-0000-000053610000}"/>
    <cellStyle name="Heading 2 2 2 2 3" xfId="9994" xr:uid="{00000000-0005-0000-0000-000054610000}"/>
    <cellStyle name="Heading 2 2 2 2 4" xfId="30777" xr:uid="{00000000-0005-0000-0000-000055610000}"/>
    <cellStyle name="Heading 2 2 2 3" xfId="6454" xr:uid="{00000000-0005-0000-0000-000056610000}"/>
    <cellStyle name="Heading 2 2 2 3 2" xfId="6455" xr:uid="{00000000-0005-0000-0000-000057610000}"/>
    <cellStyle name="Heading 2 2 2 3 2 2" xfId="15674" xr:uid="{00000000-0005-0000-0000-000058610000}"/>
    <cellStyle name="Heading 2 2 2 3 2 3" xfId="30780" xr:uid="{00000000-0005-0000-0000-000059610000}"/>
    <cellStyle name="Heading 2 2 2 3 3" xfId="11727" xr:uid="{00000000-0005-0000-0000-00005A610000}"/>
    <cellStyle name="Heading 2 2 2 3 4" xfId="30779" xr:uid="{00000000-0005-0000-0000-00005B610000}"/>
    <cellStyle name="Heading 2 2 2 4" xfId="6456" xr:uid="{00000000-0005-0000-0000-00005C610000}"/>
    <cellStyle name="Heading 2 2 2 4 2" xfId="12103" xr:uid="{00000000-0005-0000-0000-00005D610000}"/>
    <cellStyle name="Heading 2 2 2 4 3" xfId="30781" xr:uid="{00000000-0005-0000-0000-00005E610000}"/>
    <cellStyle name="Heading 2 2 2 5" xfId="6457" xr:uid="{00000000-0005-0000-0000-00005F610000}"/>
    <cellStyle name="Heading 2 2 2 5 2" xfId="9993" xr:uid="{00000000-0005-0000-0000-000060610000}"/>
    <cellStyle name="Heading 2 2 2 5 3" xfId="30782" xr:uid="{00000000-0005-0000-0000-000061610000}"/>
    <cellStyle name="Heading 2 2 2 6" xfId="8694" xr:uid="{00000000-0005-0000-0000-000062610000}"/>
    <cellStyle name="Heading 2 2 2 7" xfId="30776" xr:uid="{00000000-0005-0000-0000-000063610000}"/>
    <cellStyle name="Heading 2 2 3" xfId="6458" xr:uid="{00000000-0005-0000-0000-000064610000}"/>
    <cellStyle name="Heading 2 2 3 2" xfId="6459" xr:uid="{00000000-0005-0000-0000-000065610000}"/>
    <cellStyle name="Heading 2 2 3 2 2" xfId="9996" xr:uid="{00000000-0005-0000-0000-000066610000}"/>
    <cellStyle name="Heading 2 2 3 2 3" xfId="30784" xr:uid="{00000000-0005-0000-0000-000067610000}"/>
    <cellStyle name="Heading 2 2 3 3" xfId="6460" xr:uid="{00000000-0005-0000-0000-000068610000}"/>
    <cellStyle name="Heading 2 2 3 3 2" xfId="11428" xr:uid="{00000000-0005-0000-0000-000069610000}"/>
    <cellStyle name="Heading 2 2 3 3 3" xfId="30785" xr:uid="{00000000-0005-0000-0000-00006A610000}"/>
    <cellStyle name="Heading 2 2 3 4" xfId="6461" xr:uid="{00000000-0005-0000-0000-00006B610000}"/>
    <cellStyle name="Heading 2 2 3 4 2" xfId="17341" xr:uid="{00000000-0005-0000-0000-00006C610000}"/>
    <cellStyle name="Heading 2 2 3 4 3" xfId="30786" xr:uid="{00000000-0005-0000-0000-00006D610000}"/>
    <cellStyle name="Heading 2 2 3 5" xfId="8729" xr:uid="{00000000-0005-0000-0000-00006E610000}"/>
    <cellStyle name="Heading 2 2 3 6" xfId="9995" xr:uid="{00000000-0005-0000-0000-00006F610000}"/>
    <cellStyle name="Heading 2 2 3 7" xfId="30783" xr:uid="{00000000-0005-0000-0000-000070610000}"/>
    <cellStyle name="Heading 2 2 4" xfId="6462" xr:uid="{00000000-0005-0000-0000-000071610000}"/>
    <cellStyle name="Heading 2 2 4 2" xfId="6463" xr:uid="{00000000-0005-0000-0000-000072610000}"/>
    <cellStyle name="Heading 2 2 4 2 2" xfId="9998" xr:uid="{00000000-0005-0000-0000-000073610000}"/>
    <cellStyle name="Heading 2 2 4 2 3" xfId="30788" xr:uid="{00000000-0005-0000-0000-000074610000}"/>
    <cellStyle name="Heading 2 2 4 3" xfId="6464" xr:uid="{00000000-0005-0000-0000-000075610000}"/>
    <cellStyle name="Heading 2 2 4 3 2" xfId="13217" xr:uid="{00000000-0005-0000-0000-000076610000}"/>
    <cellStyle name="Heading 2 2 4 3 3" xfId="30789" xr:uid="{00000000-0005-0000-0000-000077610000}"/>
    <cellStyle name="Heading 2 2 4 4" xfId="6465" xr:uid="{00000000-0005-0000-0000-000078610000}"/>
    <cellStyle name="Heading 2 2 4 4 2" xfId="13216" xr:uid="{00000000-0005-0000-0000-000079610000}"/>
    <cellStyle name="Heading 2 2 4 4 3" xfId="30790" xr:uid="{00000000-0005-0000-0000-00007A610000}"/>
    <cellStyle name="Heading 2 2 4 5" xfId="9997" xr:uid="{00000000-0005-0000-0000-00007B610000}"/>
    <cellStyle name="Heading 2 2 4 6" xfId="30787" xr:uid="{00000000-0005-0000-0000-00007C610000}"/>
    <cellStyle name="Heading 2 2 5" xfId="6466" xr:uid="{00000000-0005-0000-0000-00007D610000}"/>
    <cellStyle name="Heading 2 2 5 2" xfId="6467" xr:uid="{00000000-0005-0000-0000-00007E610000}"/>
    <cellStyle name="Heading 2 2 5 2 2" xfId="13219" xr:uid="{00000000-0005-0000-0000-00007F610000}"/>
    <cellStyle name="Heading 2 2 5 2 3" xfId="30792" xr:uid="{00000000-0005-0000-0000-000080610000}"/>
    <cellStyle name="Heading 2 2 5 3" xfId="6468" xr:uid="{00000000-0005-0000-0000-000081610000}"/>
    <cellStyle name="Heading 2 2 5 3 2" xfId="13218" xr:uid="{00000000-0005-0000-0000-000082610000}"/>
    <cellStyle name="Heading 2 2 5 3 3" xfId="30793" xr:uid="{00000000-0005-0000-0000-000083610000}"/>
    <cellStyle name="Heading 2 2 5 4" xfId="6469" xr:uid="{00000000-0005-0000-0000-000084610000}"/>
    <cellStyle name="Heading 2 2 5 4 2" xfId="15675" xr:uid="{00000000-0005-0000-0000-000085610000}"/>
    <cellStyle name="Heading 2 2 5 4 3" xfId="30794" xr:uid="{00000000-0005-0000-0000-000086610000}"/>
    <cellStyle name="Heading 2 2 5 5" xfId="9999" xr:uid="{00000000-0005-0000-0000-000087610000}"/>
    <cellStyle name="Heading 2 2 5 6" xfId="30791" xr:uid="{00000000-0005-0000-0000-000088610000}"/>
    <cellStyle name="Heading 2 2 6" xfId="6470" xr:uid="{00000000-0005-0000-0000-000089610000}"/>
    <cellStyle name="Heading 2 2 6 2" xfId="6471" xr:uid="{00000000-0005-0000-0000-00008A610000}"/>
    <cellStyle name="Heading 2 2 6 2 2" xfId="6472" xr:uid="{00000000-0005-0000-0000-00008B610000}"/>
    <cellStyle name="Heading 2 2 6 2 2 2" xfId="11430" xr:uid="{00000000-0005-0000-0000-00008C610000}"/>
    <cellStyle name="Heading 2 2 6 2 2 3" xfId="30797" xr:uid="{00000000-0005-0000-0000-00008D610000}"/>
    <cellStyle name="Heading 2 2 6 2 3" xfId="10001" xr:uid="{00000000-0005-0000-0000-00008E610000}"/>
    <cellStyle name="Heading 2 2 6 2 4" xfId="30796" xr:uid="{00000000-0005-0000-0000-00008F610000}"/>
    <cellStyle name="Heading 2 2 6 3" xfId="6473" xr:uid="{00000000-0005-0000-0000-000090610000}"/>
    <cellStyle name="Heading 2 2 6 3 2" xfId="11429" xr:uid="{00000000-0005-0000-0000-000091610000}"/>
    <cellStyle name="Heading 2 2 6 3 3" xfId="30798" xr:uid="{00000000-0005-0000-0000-000092610000}"/>
    <cellStyle name="Heading 2 2 6 4" xfId="10000" xr:uid="{00000000-0005-0000-0000-000093610000}"/>
    <cellStyle name="Heading 2 2 6 5" xfId="30795" xr:uid="{00000000-0005-0000-0000-000094610000}"/>
    <cellStyle name="Heading 2 2 7" xfId="6474" xr:uid="{00000000-0005-0000-0000-000095610000}"/>
    <cellStyle name="Heading 2 2 7 2" xfId="6475" xr:uid="{00000000-0005-0000-0000-000096610000}"/>
    <cellStyle name="Heading 2 2 7 2 2" xfId="6476" xr:uid="{00000000-0005-0000-0000-000097610000}"/>
    <cellStyle name="Heading 2 2 7 2 2 2" xfId="11432" xr:uid="{00000000-0005-0000-0000-000098610000}"/>
    <cellStyle name="Heading 2 2 7 2 2 3" xfId="30801" xr:uid="{00000000-0005-0000-0000-000099610000}"/>
    <cellStyle name="Heading 2 2 7 2 3" xfId="10003" xr:uid="{00000000-0005-0000-0000-00009A610000}"/>
    <cellStyle name="Heading 2 2 7 2 4" xfId="30800" xr:uid="{00000000-0005-0000-0000-00009B610000}"/>
    <cellStyle name="Heading 2 2 7 3" xfId="6477" xr:uid="{00000000-0005-0000-0000-00009C610000}"/>
    <cellStyle name="Heading 2 2 7 3 2" xfId="11431" xr:uid="{00000000-0005-0000-0000-00009D610000}"/>
    <cellStyle name="Heading 2 2 7 3 3" xfId="30802" xr:uid="{00000000-0005-0000-0000-00009E610000}"/>
    <cellStyle name="Heading 2 2 7 4" xfId="10002" xr:uid="{00000000-0005-0000-0000-00009F610000}"/>
    <cellStyle name="Heading 2 2 7 5" xfId="30799" xr:uid="{00000000-0005-0000-0000-0000A0610000}"/>
    <cellStyle name="Heading 2 2 8" xfId="6478" xr:uid="{00000000-0005-0000-0000-0000A1610000}"/>
    <cellStyle name="Heading 2 2 8 2" xfId="6479" xr:uid="{00000000-0005-0000-0000-0000A2610000}"/>
    <cellStyle name="Heading 2 2 8 2 2" xfId="11433" xr:uid="{00000000-0005-0000-0000-0000A3610000}"/>
    <cellStyle name="Heading 2 2 8 2 3" xfId="30804" xr:uid="{00000000-0005-0000-0000-0000A4610000}"/>
    <cellStyle name="Heading 2 2 8 3" xfId="10004" xr:uid="{00000000-0005-0000-0000-0000A5610000}"/>
    <cellStyle name="Heading 2 2 8 4" xfId="30803" xr:uid="{00000000-0005-0000-0000-0000A6610000}"/>
    <cellStyle name="Heading 2 2 9" xfId="6480" xr:uid="{00000000-0005-0000-0000-0000A7610000}"/>
    <cellStyle name="Heading 2 2 9 2" xfId="6481" xr:uid="{00000000-0005-0000-0000-0000A8610000}"/>
    <cellStyle name="Heading 2 2 9 2 2" xfId="11434" xr:uid="{00000000-0005-0000-0000-0000A9610000}"/>
    <cellStyle name="Heading 2 2 9 2 3" xfId="30806" xr:uid="{00000000-0005-0000-0000-0000AA610000}"/>
    <cellStyle name="Heading 2 2 9 3" xfId="10005" xr:uid="{00000000-0005-0000-0000-0000AB610000}"/>
    <cellStyle name="Heading 2 2 9 4" xfId="30805" xr:uid="{00000000-0005-0000-0000-0000AC610000}"/>
    <cellStyle name="Heading 2 3" xfId="6482" xr:uid="{00000000-0005-0000-0000-0000AD610000}"/>
    <cellStyle name="Heading 2 3 2" xfId="8673" xr:uid="{00000000-0005-0000-0000-0000AE610000}"/>
    <cellStyle name="Heading 2 3 3" xfId="30807" xr:uid="{00000000-0005-0000-0000-0000AF610000}"/>
    <cellStyle name="Heading 2 3 4" xfId="33091" xr:uid="{00000000-0005-0000-0000-0000B0610000}"/>
    <cellStyle name="Heading 2 4" xfId="6483" xr:uid="{00000000-0005-0000-0000-0000B1610000}"/>
    <cellStyle name="Heading 2 4 2" xfId="10006" xr:uid="{00000000-0005-0000-0000-0000B2610000}"/>
    <cellStyle name="Heading 2 4 3" xfId="30808" xr:uid="{00000000-0005-0000-0000-0000B3610000}"/>
    <cellStyle name="Heading 2 5" xfId="6484" xr:uid="{00000000-0005-0000-0000-0000B4610000}"/>
    <cellStyle name="Heading 2 5 2" xfId="10007" xr:uid="{00000000-0005-0000-0000-0000B5610000}"/>
    <cellStyle name="Heading 2 5 3" xfId="30809" xr:uid="{00000000-0005-0000-0000-0000B6610000}"/>
    <cellStyle name="Heading 2 6" xfId="6485" xr:uid="{00000000-0005-0000-0000-0000B7610000}"/>
    <cellStyle name="Heading 2 6 2" xfId="10008" xr:uid="{00000000-0005-0000-0000-0000B8610000}"/>
    <cellStyle name="Heading 2 6 3" xfId="30810" xr:uid="{00000000-0005-0000-0000-0000B9610000}"/>
    <cellStyle name="Heading 2 7" xfId="6486" xr:uid="{00000000-0005-0000-0000-0000BA610000}"/>
    <cellStyle name="Heading 2 7 2" xfId="10009" xr:uid="{00000000-0005-0000-0000-0000BB610000}"/>
    <cellStyle name="Heading 2 7 3" xfId="30811" xr:uid="{00000000-0005-0000-0000-0000BC610000}"/>
    <cellStyle name="Heading 2 8" xfId="9987" xr:uid="{00000000-0005-0000-0000-0000BD610000}"/>
    <cellStyle name="Heading 3" xfId="17" builtinId="18" customBuiltin="1"/>
    <cellStyle name="Heading 3 10" xfId="6487" xr:uid="{00000000-0005-0000-0000-0000BF610000}"/>
    <cellStyle name="Heading 3 10 2" xfId="6488" xr:uid="{00000000-0005-0000-0000-0000C0610000}"/>
    <cellStyle name="Heading 3 10 2 2" xfId="11436" xr:uid="{00000000-0005-0000-0000-0000C1610000}"/>
    <cellStyle name="Heading 3 10 2 3" xfId="30813" xr:uid="{00000000-0005-0000-0000-0000C2610000}"/>
    <cellStyle name="Heading 3 10 3" xfId="10011" xr:uid="{00000000-0005-0000-0000-0000C3610000}"/>
    <cellStyle name="Heading 3 10 4" xfId="30812" xr:uid="{00000000-0005-0000-0000-0000C4610000}"/>
    <cellStyle name="Heading 3 11" xfId="6489" xr:uid="{00000000-0005-0000-0000-0000C5610000}"/>
    <cellStyle name="Heading 3 11 2" xfId="6490" xr:uid="{00000000-0005-0000-0000-0000C6610000}"/>
    <cellStyle name="Heading 3 11 2 2" xfId="11437" xr:uid="{00000000-0005-0000-0000-0000C7610000}"/>
    <cellStyle name="Heading 3 11 2 3" xfId="30815" xr:uid="{00000000-0005-0000-0000-0000C8610000}"/>
    <cellStyle name="Heading 3 11 3" xfId="10012" xr:uid="{00000000-0005-0000-0000-0000C9610000}"/>
    <cellStyle name="Heading 3 11 4" xfId="30814" xr:uid="{00000000-0005-0000-0000-0000CA610000}"/>
    <cellStyle name="Heading 3 12" xfId="6491" xr:uid="{00000000-0005-0000-0000-0000CB610000}"/>
    <cellStyle name="Heading 3 12 2" xfId="6492" xr:uid="{00000000-0005-0000-0000-0000CC610000}"/>
    <cellStyle name="Heading 3 12 2 2" xfId="15676" xr:uid="{00000000-0005-0000-0000-0000CD610000}"/>
    <cellStyle name="Heading 3 12 2 3" xfId="30817" xr:uid="{00000000-0005-0000-0000-0000CE610000}"/>
    <cellStyle name="Heading 3 12 3" xfId="10013" xr:uid="{00000000-0005-0000-0000-0000CF610000}"/>
    <cellStyle name="Heading 3 12 4" xfId="30816" xr:uid="{00000000-0005-0000-0000-0000D0610000}"/>
    <cellStyle name="Heading 3 13" xfId="6493" xr:uid="{00000000-0005-0000-0000-0000D1610000}"/>
    <cellStyle name="Heading 3 13 2" xfId="6494" xr:uid="{00000000-0005-0000-0000-0000D2610000}"/>
    <cellStyle name="Heading 3 13 2 2" xfId="15677" xr:uid="{00000000-0005-0000-0000-0000D3610000}"/>
    <cellStyle name="Heading 3 13 2 3" xfId="30819" xr:uid="{00000000-0005-0000-0000-0000D4610000}"/>
    <cellStyle name="Heading 3 13 3" xfId="10492" xr:uid="{00000000-0005-0000-0000-0000D5610000}"/>
    <cellStyle name="Heading 3 13 4" xfId="30818" xr:uid="{00000000-0005-0000-0000-0000D6610000}"/>
    <cellStyle name="Heading 3 14" xfId="6495" xr:uid="{00000000-0005-0000-0000-0000D7610000}"/>
    <cellStyle name="Heading 3 14 2" xfId="11435" xr:uid="{00000000-0005-0000-0000-0000D8610000}"/>
    <cellStyle name="Heading 3 14 3" xfId="30820" xr:uid="{00000000-0005-0000-0000-0000D9610000}"/>
    <cellStyle name="Heading 3 15" xfId="6496" xr:uid="{00000000-0005-0000-0000-0000DA610000}"/>
    <cellStyle name="Heading 3 15 2" xfId="10010" xr:uid="{00000000-0005-0000-0000-0000DB610000}"/>
    <cellStyle name="Heading 3 15 3" xfId="30821" xr:uid="{00000000-0005-0000-0000-0000DC610000}"/>
    <cellStyle name="Heading 3 2" xfId="6497" xr:uid="{00000000-0005-0000-0000-0000DD610000}"/>
    <cellStyle name="Heading 3 2 2" xfId="6498" xr:uid="{00000000-0005-0000-0000-0000DE610000}"/>
    <cellStyle name="Heading 3 2 2 2" xfId="11694" xr:uid="{00000000-0005-0000-0000-0000DF610000}"/>
    <cellStyle name="Heading 3 2 2 3" xfId="30823" xr:uid="{00000000-0005-0000-0000-0000E0610000}"/>
    <cellStyle name="Heading 3 2 3" xfId="6499" xr:uid="{00000000-0005-0000-0000-0000E1610000}"/>
    <cellStyle name="Heading 3 2 3 2" xfId="17342" xr:uid="{00000000-0005-0000-0000-0000E2610000}"/>
    <cellStyle name="Heading 3 2 3 3" xfId="30824" xr:uid="{00000000-0005-0000-0000-0000E3610000}"/>
    <cellStyle name="Heading 3 2 4" xfId="8734" xr:uid="{00000000-0005-0000-0000-0000E4610000}"/>
    <cellStyle name="Heading 3 2 5" xfId="10014" xr:uid="{00000000-0005-0000-0000-0000E5610000}"/>
    <cellStyle name="Heading 3 2 6" xfId="30822" xr:uid="{00000000-0005-0000-0000-0000E6610000}"/>
    <cellStyle name="Heading 3 2 7" xfId="33047" xr:uid="{00000000-0005-0000-0000-0000E7610000}"/>
    <cellStyle name="Heading 3 3" xfId="6500" xr:uid="{00000000-0005-0000-0000-0000E8610000}"/>
    <cellStyle name="Heading 3 3 2" xfId="6501" xr:uid="{00000000-0005-0000-0000-0000E9610000}"/>
    <cellStyle name="Heading 3 3 2 2" xfId="10016" xr:uid="{00000000-0005-0000-0000-0000EA610000}"/>
    <cellStyle name="Heading 3 3 2 3" xfId="30826" xr:uid="{00000000-0005-0000-0000-0000EB610000}"/>
    <cellStyle name="Heading 3 3 3" xfId="6502" xr:uid="{00000000-0005-0000-0000-0000EC610000}"/>
    <cellStyle name="Heading 3 3 3 2" xfId="13220" xr:uid="{00000000-0005-0000-0000-0000ED610000}"/>
    <cellStyle name="Heading 3 3 3 3" xfId="30827" xr:uid="{00000000-0005-0000-0000-0000EE610000}"/>
    <cellStyle name="Heading 3 3 4" xfId="10015" xr:uid="{00000000-0005-0000-0000-0000EF610000}"/>
    <cellStyle name="Heading 3 3 5" xfId="30825" xr:uid="{00000000-0005-0000-0000-0000F0610000}"/>
    <cellStyle name="Heading 3 4" xfId="6503" xr:uid="{00000000-0005-0000-0000-0000F1610000}"/>
    <cellStyle name="Heading 3 4 2" xfId="6504" xr:uid="{00000000-0005-0000-0000-0000F2610000}"/>
    <cellStyle name="Heading 3 4 2 2" xfId="10018" xr:uid="{00000000-0005-0000-0000-0000F3610000}"/>
    <cellStyle name="Heading 3 4 2 3" xfId="30829" xr:uid="{00000000-0005-0000-0000-0000F4610000}"/>
    <cellStyle name="Heading 3 4 3" xfId="6505" xr:uid="{00000000-0005-0000-0000-0000F5610000}"/>
    <cellStyle name="Heading 3 4 3 2" xfId="13222" xr:uid="{00000000-0005-0000-0000-0000F6610000}"/>
    <cellStyle name="Heading 3 4 3 3" xfId="30830" xr:uid="{00000000-0005-0000-0000-0000F7610000}"/>
    <cellStyle name="Heading 3 4 4" xfId="6506" xr:uid="{00000000-0005-0000-0000-0000F8610000}"/>
    <cellStyle name="Heading 3 4 4 2" xfId="13221" xr:uid="{00000000-0005-0000-0000-0000F9610000}"/>
    <cellStyle name="Heading 3 4 4 3" xfId="30831" xr:uid="{00000000-0005-0000-0000-0000FA610000}"/>
    <cellStyle name="Heading 3 4 5" xfId="10017" xr:uid="{00000000-0005-0000-0000-0000FB610000}"/>
    <cellStyle name="Heading 3 4 6" xfId="30828" xr:uid="{00000000-0005-0000-0000-0000FC610000}"/>
    <cellStyle name="Heading 3 5" xfId="6507" xr:uid="{00000000-0005-0000-0000-0000FD610000}"/>
    <cellStyle name="Heading 3 5 2" xfId="6508" xr:uid="{00000000-0005-0000-0000-0000FE610000}"/>
    <cellStyle name="Heading 3 5 2 2" xfId="6509" xr:uid="{00000000-0005-0000-0000-0000FF610000}"/>
    <cellStyle name="Heading 3 5 2 2 2" xfId="11439" xr:uid="{00000000-0005-0000-0000-000000620000}"/>
    <cellStyle name="Heading 3 5 2 2 3" xfId="30834" xr:uid="{00000000-0005-0000-0000-000001620000}"/>
    <cellStyle name="Heading 3 5 2 3" xfId="10020" xr:uid="{00000000-0005-0000-0000-000002620000}"/>
    <cellStyle name="Heading 3 5 2 4" xfId="30833" xr:uid="{00000000-0005-0000-0000-000003620000}"/>
    <cellStyle name="Heading 3 5 3" xfId="6510" xr:uid="{00000000-0005-0000-0000-000004620000}"/>
    <cellStyle name="Heading 3 5 3 2" xfId="11438" xr:uid="{00000000-0005-0000-0000-000005620000}"/>
    <cellStyle name="Heading 3 5 3 3" xfId="30835" xr:uid="{00000000-0005-0000-0000-000006620000}"/>
    <cellStyle name="Heading 3 5 4" xfId="6511" xr:uid="{00000000-0005-0000-0000-000007620000}"/>
    <cellStyle name="Heading 3 5 4 2" xfId="13223" xr:uid="{00000000-0005-0000-0000-000008620000}"/>
    <cellStyle name="Heading 3 5 4 3" xfId="30836" xr:uid="{00000000-0005-0000-0000-000009620000}"/>
    <cellStyle name="Heading 3 5 5" xfId="6512" xr:uid="{00000000-0005-0000-0000-00000A620000}"/>
    <cellStyle name="Heading 3 5 5 2" xfId="15678" xr:uid="{00000000-0005-0000-0000-00000B620000}"/>
    <cellStyle name="Heading 3 5 5 3" xfId="30837" xr:uid="{00000000-0005-0000-0000-00000C620000}"/>
    <cellStyle name="Heading 3 5 6" xfId="10019" xr:uid="{00000000-0005-0000-0000-00000D620000}"/>
    <cellStyle name="Heading 3 5 7" xfId="30832" xr:uid="{00000000-0005-0000-0000-00000E620000}"/>
    <cellStyle name="Heading 3 6" xfId="6513" xr:uid="{00000000-0005-0000-0000-00000F620000}"/>
    <cellStyle name="Heading 3 6 2" xfId="6514" xr:uid="{00000000-0005-0000-0000-000010620000}"/>
    <cellStyle name="Heading 3 6 2 2" xfId="6515" xr:uid="{00000000-0005-0000-0000-000011620000}"/>
    <cellStyle name="Heading 3 6 2 2 2" xfId="11441" xr:uid="{00000000-0005-0000-0000-000012620000}"/>
    <cellStyle name="Heading 3 6 2 2 3" xfId="30840" xr:uid="{00000000-0005-0000-0000-000013620000}"/>
    <cellStyle name="Heading 3 6 2 3" xfId="10022" xr:uid="{00000000-0005-0000-0000-000014620000}"/>
    <cellStyle name="Heading 3 6 2 4" xfId="30839" xr:uid="{00000000-0005-0000-0000-000015620000}"/>
    <cellStyle name="Heading 3 6 3" xfId="6516" xr:uid="{00000000-0005-0000-0000-000016620000}"/>
    <cellStyle name="Heading 3 6 3 2" xfId="11440" xr:uid="{00000000-0005-0000-0000-000017620000}"/>
    <cellStyle name="Heading 3 6 3 3" xfId="30841" xr:uid="{00000000-0005-0000-0000-000018620000}"/>
    <cellStyle name="Heading 3 6 4" xfId="10021" xr:uid="{00000000-0005-0000-0000-000019620000}"/>
    <cellStyle name="Heading 3 6 5" xfId="30838" xr:uid="{00000000-0005-0000-0000-00001A620000}"/>
    <cellStyle name="Heading 3 7" xfId="6517" xr:uid="{00000000-0005-0000-0000-00001B620000}"/>
    <cellStyle name="Heading 3 7 2" xfId="6518" xr:uid="{00000000-0005-0000-0000-00001C620000}"/>
    <cellStyle name="Heading 3 7 2 2" xfId="11442" xr:uid="{00000000-0005-0000-0000-00001D620000}"/>
    <cellStyle name="Heading 3 7 2 3" xfId="30843" xr:uid="{00000000-0005-0000-0000-00001E620000}"/>
    <cellStyle name="Heading 3 7 3" xfId="10023" xr:uid="{00000000-0005-0000-0000-00001F620000}"/>
    <cellStyle name="Heading 3 7 4" xfId="30842" xr:uid="{00000000-0005-0000-0000-000020620000}"/>
    <cellStyle name="Heading 3 8" xfId="6519" xr:uid="{00000000-0005-0000-0000-000021620000}"/>
    <cellStyle name="Heading 3 8 2" xfId="6520" xr:uid="{00000000-0005-0000-0000-000022620000}"/>
    <cellStyle name="Heading 3 8 2 2" xfId="11443" xr:uid="{00000000-0005-0000-0000-000023620000}"/>
    <cellStyle name="Heading 3 8 2 3" xfId="30845" xr:uid="{00000000-0005-0000-0000-000024620000}"/>
    <cellStyle name="Heading 3 8 3" xfId="10024" xr:uid="{00000000-0005-0000-0000-000025620000}"/>
    <cellStyle name="Heading 3 8 4" xfId="30844" xr:uid="{00000000-0005-0000-0000-000026620000}"/>
    <cellStyle name="Heading 3 9" xfId="6521" xr:uid="{00000000-0005-0000-0000-000027620000}"/>
    <cellStyle name="Heading 3 9 2" xfId="6522" xr:uid="{00000000-0005-0000-0000-000028620000}"/>
    <cellStyle name="Heading 3 9 2 2" xfId="11444" xr:uid="{00000000-0005-0000-0000-000029620000}"/>
    <cellStyle name="Heading 3 9 2 3" xfId="30847" xr:uid="{00000000-0005-0000-0000-00002A620000}"/>
    <cellStyle name="Heading 3 9 3" xfId="10025" xr:uid="{00000000-0005-0000-0000-00002B620000}"/>
    <cellStyle name="Heading 3 9 4" xfId="30846" xr:uid="{00000000-0005-0000-0000-00002C620000}"/>
    <cellStyle name="Heading 4" xfId="18" builtinId="19" customBuiltin="1"/>
    <cellStyle name="Heading 4 10" xfId="6523" xr:uid="{00000000-0005-0000-0000-00002E620000}"/>
    <cellStyle name="Heading 4 10 2" xfId="6524" xr:uid="{00000000-0005-0000-0000-00002F620000}"/>
    <cellStyle name="Heading 4 10 2 2" xfId="11446" xr:uid="{00000000-0005-0000-0000-000030620000}"/>
    <cellStyle name="Heading 4 10 2 3" xfId="30849" xr:uid="{00000000-0005-0000-0000-000031620000}"/>
    <cellStyle name="Heading 4 10 3" xfId="10027" xr:uid="{00000000-0005-0000-0000-000032620000}"/>
    <cellStyle name="Heading 4 10 4" xfId="30848" xr:uid="{00000000-0005-0000-0000-000033620000}"/>
    <cellStyle name="Heading 4 11" xfId="6525" xr:uid="{00000000-0005-0000-0000-000034620000}"/>
    <cellStyle name="Heading 4 11 2" xfId="6526" xr:uid="{00000000-0005-0000-0000-000035620000}"/>
    <cellStyle name="Heading 4 11 2 2" xfId="15679" xr:uid="{00000000-0005-0000-0000-000036620000}"/>
    <cellStyle name="Heading 4 11 2 3" xfId="30851" xr:uid="{00000000-0005-0000-0000-000037620000}"/>
    <cellStyle name="Heading 4 11 3" xfId="10028" xr:uid="{00000000-0005-0000-0000-000038620000}"/>
    <cellStyle name="Heading 4 11 4" xfId="30850" xr:uid="{00000000-0005-0000-0000-000039620000}"/>
    <cellStyle name="Heading 4 12" xfId="6527" xr:uid="{00000000-0005-0000-0000-00003A620000}"/>
    <cellStyle name="Heading 4 12 2" xfId="6528" xr:uid="{00000000-0005-0000-0000-00003B620000}"/>
    <cellStyle name="Heading 4 12 2 2" xfId="15680" xr:uid="{00000000-0005-0000-0000-00003C620000}"/>
    <cellStyle name="Heading 4 12 2 3" xfId="30853" xr:uid="{00000000-0005-0000-0000-00003D620000}"/>
    <cellStyle name="Heading 4 12 3" xfId="10493" xr:uid="{00000000-0005-0000-0000-00003E620000}"/>
    <cellStyle name="Heading 4 12 4" xfId="30852" xr:uid="{00000000-0005-0000-0000-00003F620000}"/>
    <cellStyle name="Heading 4 13" xfId="6529" xr:uid="{00000000-0005-0000-0000-000040620000}"/>
    <cellStyle name="Heading 4 13 2" xfId="11445" xr:uid="{00000000-0005-0000-0000-000041620000}"/>
    <cellStyle name="Heading 4 13 3" xfId="30854" xr:uid="{00000000-0005-0000-0000-000042620000}"/>
    <cellStyle name="Heading 4 14" xfId="6530" xr:uid="{00000000-0005-0000-0000-000043620000}"/>
    <cellStyle name="Heading 4 14 2" xfId="10026" xr:uid="{00000000-0005-0000-0000-000044620000}"/>
    <cellStyle name="Heading 4 14 3" xfId="30855" xr:uid="{00000000-0005-0000-0000-000045620000}"/>
    <cellStyle name="Heading 4 2" xfId="6531" xr:uid="{00000000-0005-0000-0000-000046620000}"/>
    <cellStyle name="Heading 4 2 2" xfId="6532" xr:uid="{00000000-0005-0000-0000-000047620000}"/>
    <cellStyle name="Heading 4 2 2 2" xfId="10030" xr:uid="{00000000-0005-0000-0000-000048620000}"/>
    <cellStyle name="Heading 4 2 2 3" xfId="30857" xr:uid="{00000000-0005-0000-0000-000049620000}"/>
    <cellStyle name="Heading 4 2 3" xfId="6533" xr:uid="{00000000-0005-0000-0000-00004A620000}"/>
    <cellStyle name="Heading 4 2 3 2" xfId="13224" xr:uid="{00000000-0005-0000-0000-00004B620000}"/>
    <cellStyle name="Heading 4 2 3 3" xfId="30858" xr:uid="{00000000-0005-0000-0000-00004C620000}"/>
    <cellStyle name="Heading 4 2 4" xfId="10029" xr:uid="{00000000-0005-0000-0000-00004D620000}"/>
    <cellStyle name="Heading 4 2 5" xfId="30856" xr:uid="{00000000-0005-0000-0000-00004E620000}"/>
    <cellStyle name="Heading 4 2 6" xfId="33048" xr:uid="{00000000-0005-0000-0000-00004F620000}"/>
    <cellStyle name="Heading 4 3" xfId="6534" xr:uid="{00000000-0005-0000-0000-000050620000}"/>
    <cellStyle name="Heading 4 3 2" xfId="6535" xr:uid="{00000000-0005-0000-0000-000051620000}"/>
    <cellStyle name="Heading 4 3 2 2" xfId="10032" xr:uid="{00000000-0005-0000-0000-000052620000}"/>
    <cellStyle name="Heading 4 3 2 3" xfId="30860" xr:uid="{00000000-0005-0000-0000-000053620000}"/>
    <cellStyle name="Heading 4 3 3" xfId="6536" xr:uid="{00000000-0005-0000-0000-000054620000}"/>
    <cellStyle name="Heading 4 3 3 2" xfId="13226" xr:uid="{00000000-0005-0000-0000-000055620000}"/>
    <cellStyle name="Heading 4 3 3 3" xfId="30861" xr:uid="{00000000-0005-0000-0000-000056620000}"/>
    <cellStyle name="Heading 4 3 4" xfId="6537" xr:uid="{00000000-0005-0000-0000-000057620000}"/>
    <cellStyle name="Heading 4 3 4 2" xfId="13225" xr:uid="{00000000-0005-0000-0000-000058620000}"/>
    <cellStyle name="Heading 4 3 4 3" xfId="30862" xr:uid="{00000000-0005-0000-0000-000059620000}"/>
    <cellStyle name="Heading 4 3 5" xfId="10031" xr:uid="{00000000-0005-0000-0000-00005A620000}"/>
    <cellStyle name="Heading 4 3 6" xfId="30859" xr:uid="{00000000-0005-0000-0000-00005B620000}"/>
    <cellStyle name="Heading 4 4" xfId="6538" xr:uid="{00000000-0005-0000-0000-00005C620000}"/>
    <cellStyle name="Heading 4 4 2" xfId="6539" xr:uid="{00000000-0005-0000-0000-00005D620000}"/>
    <cellStyle name="Heading 4 4 2 2" xfId="6540" xr:uid="{00000000-0005-0000-0000-00005E620000}"/>
    <cellStyle name="Heading 4 4 2 2 2" xfId="11448" xr:uid="{00000000-0005-0000-0000-00005F620000}"/>
    <cellStyle name="Heading 4 4 2 2 3" xfId="30865" xr:uid="{00000000-0005-0000-0000-000060620000}"/>
    <cellStyle name="Heading 4 4 2 3" xfId="10034" xr:uid="{00000000-0005-0000-0000-000061620000}"/>
    <cellStyle name="Heading 4 4 2 4" xfId="30864" xr:uid="{00000000-0005-0000-0000-000062620000}"/>
    <cellStyle name="Heading 4 4 3" xfId="6541" xr:uid="{00000000-0005-0000-0000-000063620000}"/>
    <cellStyle name="Heading 4 4 3 2" xfId="11447" xr:uid="{00000000-0005-0000-0000-000064620000}"/>
    <cellStyle name="Heading 4 4 3 3" xfId="30866" xr:uid="{00000000-0005-0000-0000-000065620000}"/>
    <cellStyle name="Heading 4 4 4" xfId="6542" xr:uid="{00000000-0005-0000-0000-000066620000}"/>
    <cellStyle name="Heading 4 4 4 2" xfId="13227" xr:uid="{00000000-0005-0000-0000-000067620000}"/>
    <cellStyle name="Heading 4 4 4 3" xfId="30867" xr:uid="{00000000-0005-0000-0000-000068620000}"/>
    <cellStyle name="Heading 4 4 5" xfId="6543" xr:uid="{00000000-0005-0000-0000-000069620000}"/>
    <cellStyle name="Heading 4 4 5 2" xfId="15681" xr:uid="{00000000-0005-0000-0000-00006A620000}"/>
    <cellStyle name="Heading 4 4 5 3" xfId="30868" xr:uid="{00000000-0005-0000-0000-00006B620000}"/>
    <cellStyle name="Heading 4 4 6" xfId="10033" xr:uid="{00000000-0005-0000-0000-00006C620000}"/>
    <cellStyle name="Heading 4 4 7" xfId="30863" xr:uid="{00000000-0005-0000-0000-00006D620000}"/>
    <cellStyle name="Heading 4 5" xfId="6544" xr:uid="{00000000-0005-0000-0000-00006E620000}"/>
    <cellStyle name="Heading 4 5 2" xfId="6545" xr:uid="{00000000-0005-0000-0000-00006F620000}"/>
    <cellStyle name="Heading 4 5 2 2" xfId="6546" xr:uid="{00000000-0005-0000-0000-000070620000}"/>
    <cellStyle name="Heading 4 5 2 2 2" xfId="11450" xr:uid="{00000000-0005-0000-0000-000071620000}"/>
    <cellStyle name="Heading 4 5 2 2 3" xfId="30871" xr:uid="{00000000-0005-0000-0000-000072620000}"/>
    <cellStyle name="Heading 4 5 2 3" xfId="10036" xr:uid="{00000000-0005-0000-0000-000073620000}"/>
    <cellStyle name="Heading 4 5 2 4" xfId="30870" xr:uid="{00000000-0005-0000-0000-000074620000}"/>
    <cellStyle name="Heading 4 5 3" xfId="6547" xr:uid="{00000000-0005-0000-0000-000075620000}"/>
    <cellStyle name="Heading 4 5 3 2" xfId="11449" xr:uid="{00000000-0005-0000-0000-000076620000}"/>
    <cellStyle name="Heading 4 5 3 3" xfId="30872" xr:uid="{00000000-0005-0000-0000-000077620000}"/>
    <cellStyle name="Heading 4 5 4" xfId="10035" xr:uid="{00000000-0005-0000-0000-000078620000}"/>
    <cellStyle name="Heading 4 5 5" xfId="30869" xr:uid="{00000000-0005-0000-0000-000079620000}"/>
    <cellStyle name="Heading 4 6" xfId="6548" xr:uid="{00000000-0005-0000-0000-00007A620000}"/>
    <cellStyle name="Heading 4 6 2" xfId="6549" xr:uid="{00000000-0005-0000-0000-00007B620000}"/>
    <cellStyle name="Heading 4 6 2 2" xfId="11451" xr:uid="{00000000-0005-0000-0000-00007C620000}"/>
    <cellStyle name="Heading 4 6 2 3" xfId="30874" xr:uid="{00000000-0005-0000-0000-00007D620000}"/>
    <cellStyle name="Heading 4 6 3" xfId="10037" xr:uid="{00000000-0005-0000-0000-00007E620000}"/>
    <cellStyle name="Heading 4 6 4" xfId="30873" xr:uid="{00000000-0005-0000-0000-00007F620000}"/>
    <cellStyle name="Heading 4 7" xfId="6550" xr:uid="{00000000-0005-0000-0000-000080620000}"/>
    <cellStyle name="Heading 4 7 2" xfId="6551" xr:uid="{00000000-0005-0000-0000-000081620000}"/>
    <cellStyle name="Heading 4 7 2 2" xfId="11452" xr:uid="{00000000-0005-0000-0000-000082620000}"/>
    <cellStyle name="Heading 4 7 2 3" xfId="30876" xr:uid="{00000000-0005-0000-0000-000083620000}"/>
    <cellStyle name="Heading 4 7 3" xfId="10038" xr:uid="{00000000-0005-0000-0000-000084620000}"/>
    <cellStyle name="Heading 4 7 4" xfId="30875" xr:uid="{00000000-0005-0000-0000-000085620000}"/>
    <cellStyle name="Heading 4 8" xfId="6552" xr:uid="{00000000-0005-0000-0000-000086620000}"/>
    <cellStyle name="Heading 4 8 2" xfId="6553" xr:uid="{00000000-0005-0000-0000-000087620000}"/>
    <cellStyle name="Heading 4 8 2 2" xfId="11453" xr:uid="{00000000-0005-0000-0000-000088620000}"/>
    <cellStyle name="Heading 4 8 2 3" xfId="30878" xr:uid="{00000000-0005-0000-0000-000089620000}"/>
    <cellStyle name="Heading 4 8 3" xfId="10039" xr:uid="{00000000-0005-0000-0000-00008A620000}"/>
    <cellStyle name="Heading 4 8 4" xfId="30877" xr:uid="{00000000-0005-0000-0000-00008B620000}"/>
    <cellStyle name="Heading 4 9" xfId="6554" xr:uid="{00000000-0005-0000-0000-00008C620000}"/>
    <cellStyle name="Heading 4 9 2" xfId="6555" xr:uid="{00000000-0005-0000-0000-00008D620000}"/>
    <cellStyle name="Heading 4 9 2 2" xfId="11454" xr:uid="{00000000-0005-0000-0000-00008E620000}"/>
    <cellStyle name="Heading 4 9 2 3" xfId="30880" xr:uid="{00000000-0005-0000-0000-00008F620000}"/>
    <cellStyle name="Heading 4 9 3" xfId="10040" xr:uid="{00000000-0005-0000-0000-000090620000}"/>
    <cellStyle name="Heading 4 9 4" xfId="30879" xr:uid="{00000000-0005-0000-0000-000091620000}"/>
    <cellStyle name="Hyperlink" xfId="7" builtinId="8"/>
    <cellStyle name="Hyperlink 2" xfId="6556" xr:uid="{00000000-0005-0000-0000-000093620000}"/>
    <cellStyle name="Hyperlink 2 2" xfId="8699" xr:uid="{00000000-0005-0000-0000-000094620000}"/>
    <cellStyle name="Hyperlink 2 3" xfId="30881" xr:uid="{00000000-0005-0000-0000-000095620000}"/>
    <cellStyle name="Hyperlink 2 4" xfId="33097" xr:uid="{00000000-0005-0000-0000-000096620000}"/>
    <cellStyle name="Hyperlink 3" xfId="6557" xr:uid="{00000000-0005-0000-0000-000097620000}"/>
    <cellStyle name="Hyperlink 3 2" xfId="10041" xr:uid="{00000000-0005-0000-0000-000098620000}"/>
    <cellStyle name="Hyperlink 3 3" xfId="30882" xr:uid="{00000000-0005-0000-0000-000099620000}"/>
    <cellStyle name="Input" xfId="22" builtinId="20" customBuiltin="1"/>
    <cellStyle name="Input 10" xfId="6558" xr:uid="{00000000-0005-0000-0000-00009B620000}"/>
    <cellStyle name="Input 10 2" xfId="10043" xr:uid="{00000000-0005-0000-0000-00009C620000}"/>
    <cellStyle name="Input 10 3" xfId="30883" xr:uid="{00000000-0005-0000-0000-00009D620000}"/>
    <cellStyle name="Input 11" xfId="6559" xr:uid="{00000000-0005-0000-0000-00009E620000}"/>
    <cellStyle name="Input 11 2" xfId="10044" xr:uid="{00000000-0005-0000-0000-00009F620000}"/>
    <cellStyle name="Input 11 3" xfId="30884" xr:uid="{00000000-0005-0000-0000-0000A0620000}"/>
    <cellStyle name="Input 12" xfId="6560" xr:uid="{00000000-0005-0000-0000-0000A1620000}"/>
    <cellStyle name="Input 12 2" xfId="6561" xr:uid="{00000000-0005-0000-0000-0000A2620000}"/>
    <cellStyle name="Input 12 2 2" xfId="15682" xr:uid="{00000000-0005-0000-0000-0000A3620000}"/>
    <cellStyle name="Input 12 2 3" xfId="30886" xr:uid="{00000000-0005-0000-0000-0000A4620000}"/>
    <cellStyle name="Input 12 3" xfId="10494" xr:uid="{00000000-0005-0000-0000-0000A5620000}"/>
    <cellStyle name="Input 12 4" xfId="30885" xr:uid="{00000000-0005-0000-0000-0000A6620000}"/>
    <cellStyle name="Input 13" xfId="6562" xr:uid="{00000000-0005-0000-0000-0000A7620000}"/>
    <cellStyle name="Input 13 2" xfId="11455" xr:uid="{00000000-0005-0000-0000-0000A8620000}"/>
    <cellStyle name="Input 13 3" xfId="30887" xr:uid="{00000000-0005-0000-0000-0000A9620000}"/>
    <cellStyle name="Input 14" xfId="6563" xr:uid="{00000000-0005-0000-0000-0000AA620000}"/>
    <cellStyle name="Input 14 2" xfId="10042" xr:uid="{00000000-0005-0000-0000-0000AB620000}"/>
    <cellStyle name="Input 14 3" xfId="30888" xr:uid="{00000000-0005-0000-0000-0000AC620000}"/>
    <cellStyle name="Input 2" xfId="6564" xr:uid="{00000000-0005-0000-0000-0000AD620000}"/>
    <cellStyle name="Input 2 2" xfId="10045" xr:uid="{00000000-0005-0000-0000-0000AE620000}"/>
    <cellStyle name="Input 2 3" xfId="30889" xr:uid="{00000000-0005-0000-0000-0000AF620000}"/>
    <cellStyle name="Input 2 4" xfId="33052" xr:uid="{00000000-0005-0000-0000-0000B0620000}"/>
    <cellStyle name="Input 3" xfId="6565" xr:uid="{00000000-0005-0000-0000-0000B1620000}"/>
    <cellStyle name="Input 3 2" xfId="6566" xr:uid="{00000000-0005-0000-0000-0000B2620000}"/>
    <cellStyle name="Input 3 2 2" xfId="10047" xr:uid="{00000000-0005-0000-0000-0000B3620000}"/>
    <cellStyle name="Input 3 2 3" xfId="30891" xr:uid="{00000000-0005-0000-0000-0000B4620000}"/>
    <cellStyle name="Input 3 3" xfId="10046" xr:uid="{00000000-0005-0000-0000-0000B5620000}"/>
    <cellStyle name="Input 3 4" xfId="30890" xr:uid="{00000000-0005-0000-0000-0000B6620000}"/>
    <cellStyle name="Input 4" xfId="6567" xr:uid="{00000000-0005-0000-0000-0000B7620000}"/>
    <cellStyle name="Input 4 2" xfId="6568" xr:uid="{00000000-0005-0000-0000-0000B8620000}"/>
    <cellStyle name="Input 4 2 2" xfId="13229" xr:uid="{00000000-0005-0000-0000-0000B9620000}"/>
    <cellStyle name="Input 4 2 3" xfId="30893" xr:uid="{00000000-0005-0000-0000-0000BA620000}"/>
    <cellStyle name="Input 4 3" xfId="6569" xr:uid="{00000000-0005-0000-0000-0000BB620000}"/>
    <cellStyle name="Input 4 3 2" xfId="13228" xr:uid="{00000000-0005-0000-0000-0000BC620000}"/>
    <cellStyle name="Input 4 3 3" xfId="30894" xr:uid="{00000000-0005-0000-0000-0000BD620000}"/>
    <cellStyle name="Input 4 4" xfId="10048" xr:uid="{00000000-0005-0000-0000-0000BE620000}"/>
    <cellStyle name="Input 4 5" xfId="30892" xr:uid="{00000000-0005-0000-0000-0000BF620000}"/>
    <cellStyle name="Input 5" xfId="6570" xr:uid="{00000000-0005-0000-0000-0000C0620000}"/>
    <cellStyle name="Input 5 2" xfId="6571" xr:uid="{00000000-0005-0000-0000-0000C1620000}"/>
    <cellStyle name="Input 5 2 2" xfId="10050" xr:uid="{00000000-0005-0000-0000-0000C2620000}"/>
    <cellStyle name="Input 5 2 3" xfId="30896" xr:uid="{00000000-0005-0000-0000-0000C3620000}"/>
    <cellStyle name="Input 5 3" xfId="10049" xr:uid="{00000000-0005-0000-0000-0000C4620000}"/>
    <cellStyle name="Input 5 4" xfId="30895" xr:uid="{00000000-0005-0000-0000-0000C5620000}"/>
    <cellStyle name="Input 6" xfId="6572" xr:uid="{00000000-0005-0000-0000-0000C6620000}"/>
    <cellStyle name="Input 6 2" xfId="10051" xr:uid="{00000000-0005-0000-0000-0000C7620000}"/>
    <cellStyle name="Input 6 3" xfId="30897" xr:uid="{00000000-0005-0000-0000-0000C8620000}"/>
    <cellStyle name="Input 7" xfId="6573" xr:uid="{00000000-0005-0000-0000-0000C9620000}"/>
    <cellStyle name="Input 7 2" xfId="10052" xr:uid="{00000000-0005-0000-0000-0000CA620000}"/>
    <cellStyle name="Input 7 3" xfId="30898" xr:uid="{00000000-0005-0000-0000-0000CB620000}"/>
    <cellStyle name="Input 8" xfId="6574" xr:uid="{00000000-0005-0000-0000-0000CC620000}"/>
    <cellStyle name="Input 8 2" xfId="10053" xr:uid="{00000000-0005-0000-0000-0000CD620000}"/>
    <cellStyle name="Input 8 3" xfId="30899" xr:uid="{00000000-0005-0000-0000-0000CE620000}"/>
    <cellStyle name="Input 9" xfId="6575" xr:uid="{00000000-0005-0000-0000-0000CF620000}"/>
    <cellStyle name="Input 9 2" xfId="10054" xr:uid="{00000000-0005-0000-0000-0000D0620000}"/>
    <cellStyle name="Input 9 3" xfId="30900" xr:uid="{00000000-0005-0000-0000-0000D1620000}"/>
    <cellStyle name="Linked Cell" xfId="25" builtinId="24" customBuiltin="1"/>
    <cellStyle name="Linked Cell 10" xfId="6576" xr:uid="{00000000-0005-0000-0000-0000D3620000}"/>
    <cellStyle name="Linked Cell 10 2" xfId="6577" xr:uid="{00000000-0005-0000-0000-0000D4620000}"/>
    <cellStyle name="Linked Cell 10 2 2" xfId="11457" xr:uid="{00000000-0005-0000-0000-0000D5620000}"/>
    <cellStyle name="Linked Cell 10 2 3" xfId="30902" xr:uid="{00000000-0005-0000-0000-0000D6620000}"/>
    <cellStyle name="Linked Cell 10 3" xfId="10056" xr:uid="{00000000-0005-0000-0000-0000D7620000}"/>
    <cellStyle name="Linked Cell 10 4" xfId="30901" xr:uid="{00000000-0005-0000-0000-0000D8620000}"/>
    <cellStyle name="Linked Cell 11" xfId="6578" xr:uid="{00000000-0005-0000-0000-0000D9620000}"/>
    <cellStyle name="Linked Cell 11 2" xfId="6579" xr:uid="{00000000-0005-0000-0000-0000DA620000}"/>
    <cellStyle name="Linked Cell 11 2 2" xfId="11458" xr:uid="{00000000-0005-0000-0000-0000DB620000}"/>
    <cellStyle name="Linked Cell 11 2 3" xfId="30904" xr:uid="{00000000-0005-0000-0000-0000DC620000}"/>
    <cellStyle name="Linked Cell 11 3" xfId="10057" xr:uid="{00000000-0005-0000-0000-0000DD620000}"/>
    <cellStyle name="Linked Cell 11 4" xfId="30903" xr:uid="{00000000-0005-0000-0000-0000DE620000}"/>
    <cellStyle name="Linked Cell 12" xfId="6580" xr:uid="{00000000-0005-0000-0000-0000DF620000}"/>
    <cellStyle name="Linked Cell 12 2" xfId="6581" xr:uid="{00000000-0005-0000-0000-0000E0620000}"/>
    <cellStyle name="Linked Cell 12 2 2" xfId="15683" xr:uid="{00000000-0005-0000-0000-0000E1620000}"/>
    <cellStyle name="Linked Cell 12 2 3" xfId="30906" xr:uid="{00000000-0005-0000-0000-0000E2620000}"/>
    <cellStyle name="Linked Cell 12 3" xfId="10058" xr:uid="{00000000-0005-0000-0000-0000E3620000}"/>
    <cellStyle name="Linked Cell 12 4" xfId="30905" xr:uid="{00000000-0005-0000-0000-0000E4620000}"/>
    <cellStyle name="Linked Cell 13" xfId="6582" xr:uid="{00000000-0005-0000-0000-0000E5620000}"/>
    <cellStyle name="Linked Cell 13 2" xfId="6583" xr:uid="{00000000-0005-0000-0000-0000E6620000}"/>
    <cellStyle name="Linked Cell 13 2 2" xfId="15684" xr:uid="{00000000-0005-0000-0000-0000E7620000}"/>
    <cellStyle name="Linked Cell 13 2 3" xfId="30908" xr:uid="{00000000-0005-0000-0000-0000E8620000}"/>
    <cellStyle name="Linked Cell 13 3" xfId="10495" xr:uid="{00000000-0005-0000-0000-0000E9620000}"/>
    <cellStyle name="Linked Cell 13 4" xfId="30907" xr:uid="{00000000-0005-0000-0000-0000EA620000}"/>
    <cellStyle name="Linked Cell 14" xfId="6584" xr:uid="{00000000-0005-0000-0000-0000EB620000}"/>
    <cellStyle name="Linked Cell 14 2" xfId="11456" xr:uid="{00000000-0005-0000-0000-0000EC620000}"/>
    <cellStyle name="Linked Cell 14 3" xfId="30909" xr:uid="{00000000-0005-0000-0000-0000ED620000}"/>
    <cellStyle name="Linked Cell 15" xfId="6585" xr:uid="{00000000-0005-0000-0000-0000EE620000}"/>
    <cellStyle name="Linked Cell 15 2" xfId="10055" xr:uid="{00000000-0005-0000-0000-0000EF620000}"/>
    <cellStyle name="Linked Cell 15 3" xfId="30910" xr:uid="{00000000-0005-0000-0000-0000F0620000}"/>
    <cellStyle name="Linked Cell 2" xfId="6586" xr:uid="{00000000-0005-0000-0000-0000F1620000}"/>
    <cellStyle name="Linked Cell 2 2" xfId="6587" xr:uid="{00000000-0005-0000-0000-0000F2620000}"/>
    <cellStyle name="Linked Cell 2 2 2" xfId="10060" xr:uid="{00000000-0005-0000-0000-0000F3620000}"/>
    <cellStyle name="Linked Cell 2 2 3" xfId="30912" xr:uid="{00000000-0005-0000-0000-0000F4620000}"/>
    <cellStyle name="Linked Cell 2 3" xfId="6588" xr:uid="{00000000-0005-0000-0000-0000F5620000}"/>
    <cellStyle name="Linked Cell 2 3 2" xfId="13230" xr:uid="{00000000-0005-0000-0000-0000F6620000}"/>
    <cellStyle name="Linked Cell 2 3 3" xfId="30913" xr:uid="{00000000-0005-0000-0000-0000F7620000}"/>
    <cellStyle name="Linked Cell 2 4" xfId="10059" xr:uid="{00000000-0005-0000-0000-0000F8620000}"/>
    <cellStyle name="Linked Cell 2 5" xfId="30911" xr:uid="{00000000-0005-0000-0000-0000F9620000}"/>
    <cellStyle name="Linked Cell 2 6" xfId="33055" xr:uid="{00000000-0005-0000-0000-0000FA620000}"/>
    <cellStyle name="Linked Cell 3" xfId="6589" xr:uid="{00000000-0005-0000-0000-0000FB620000}"/>
    <cellStyle name="Linked Cell 3 2" xfId="6590" xr:uid="{00000000-0005-0000-0000-0000FC620000}"/>
    <cellStyle name="Linked Cell 3 2 2" xfId="10062" xr:uid="{00000000-0005-0000-0000-0000FD620000}"/>
    <cellStyle name="Linked Cell 3 2 3" xfId="30915" xr:uid="{00000000-0005-0000-0000-0000FE620000}"/>
    <cellStyle name="Linked Cell 3 3" xfId="6591" xr:uid="{00000000-0005-0000-0000-0000FF620000}"/>
    <cellStyle name="Linked Cell 3 3 2" xfId="13232" xr:uid="{00000000-0005-0000-0000-000000630000}"/>
    <cellStyle name="Linked Cell 3 3 3" xfId="30916" xr:uid="{00000000-0005-0000-0000-000001630000}"/>
    <cellStyle name="Linked Cell 3 4" xfId="6592" xr:uid="{00000000-0005-0000-0000-000002630000}"/>
    <cellStyle name="Linked Cell 3 4 2" xfId="13231" xr:uid="{00000000-0005-0000-0000-000003630000}"/>
    <cellStyle name="Linked Cell 3 4 3" xfId="30917" xr:uid="{00000000-0005-0000-0000-000004630000}"/>
    <cellStyle name="Linked Cell 3 5" xfId="10061" xr:uid="{00000000-0005-0000-0000-000005630000}"/>
    <cellStyle name="Linked Cell 3 6" xfId="30914" xr:uid="{00000000-0005-0000-0000-000006630000}"/>
    <cellStyle name="Linked Cell 4" xfId="6593" xr:uid="{00000000-0005-0000-0000-000007630000}"/>
    <cellStyle name="Linked Cell 4 2" xfId="6594" xr:uid="{00000000-0005-0000-0000-000008630000}"/>
    <cellStyle name="Linked Cell 4 2 2" xfId="6595" xr:uid="{00000000-0005-0000-0000-000009630000}"/>
    <cellStyle name="Linked Cell 4 2 2 2" xfId="11460" xr:uid="{00000000-0005-0000-0000-00000A630000}"/>
    <cellStyle name="Linked Cell 4 2 2 3" xfId="30920" xr:uid="{00000000-0005-0000-0000-00000B630000}"/>
    <cellStyle name="Linked Cell 4 2 3" xfId="10064" xr:uid="{00000000-0005-0000-0000-00000C630000}"/>
    <cellStyle name="Linked Cell 4 2 4" xfId="30919" xr:uid="{00000000-0005-0000-0000-00000D630000}"/>
    <cellStyle name="Linked Cell 4 3" xfId="6596" xr:uid="{00000000-0005-0000-0000-00000E630000}"/>
    <cellStyle name="Linked Cell 4 3 2" xfId="11459" xr:uid="{00000000-0005-0000-0000-00000F630000}"/>
    <cellStyle name="Linked Cell 4 3 3" xfId="30921" xr:uid="{00000000-0005-0000-0000-000010630000}"/>
    <cellStyle name="Linked Cell 4 4" xfId="6597" xr:uid="{00000000-0005-0000-0000-000011630000}"/>
    <cellStyle name="Linked Cell 4 4 2" xfId="13233" xr:uid="{00000000-0005-0000-0000-000012630000}"/>
    <cellStyle name="Linked Cell 4 4 3" xfId="30922" xr:uid="{00000000-0005-0000-0000-000013630000}"/>
    <cellStyle name="Linked Cell 4 5" xfId="6598" xr:uid="{00000000-0005-0000-0000-000014630000}"/>
    <cellStyle name="Linked Cell 4 5 2" xfId="15685" xr:uid="{00000000-0005-0000-0000-000015630000}"/>
    <cellStyle name="Linked Cell 4 5 3" xfId="30923" xr:uid="{00000000-0005-0000-0000-000016630000}"/>
    <cellStyle name="Linked Cell 4 6" xfId="10063" xr:uid="{00000000-0005-0000-0000-000017630000}"/>
    <cellStyle name="Linked Cell 4 7" xfId="30918" xr:uid="{00000000-0005-0000-0000-000018630000}"/>
    <cellStyle name="Linked Cell 5" xfId="6599" xr:uid="{00000000-0005-0000-0000-000019630000}"/>
    <cellStyle name="Linked Cell 5 2" xfId="6600" xr:uid="{00000000-0005-0000-0000-00001A630000}"/>
    <cellStyle name="Linked Cell 5 2 2" xfId="6601" xr:uid="{00000000-0005-0000-0000-00001B630000}"/>
    <cellStyle name="Linked Cell 5 2 2 2" xfId="11462" xr:uid="{00000000-0005-0000-0000-00001C630000}"/>
    <cellStyle name="Linked Cell 5 2 2 3" xfId="30926" xr:uid="{00000000-0005-0000-0000-00001D630000}"/>
    <cellStyle name="Linked Cell 5 2 3" xfId="10066" xr:uid="{00000000-0005-0000-0000-00001E630000}"/>
    <cellStyle name="Linked Cell 5 2 4" xfId="30925" xr:uid="{00000000-0005-0000-0000-00001F630000}"/>
    <cellStyle name="Linked Cell 5 3" xfId="6602" xr:uid="{00000000-0005-0000-0000-000020630000}"/>
    <cellStyle name="Linked Cell 5 3 2" xfId="11461" xr:uid="{00000000-0005-0000-0000-000021630000}"/>
    <cellStyle name="Linked Cell 5 3 3" xfId="30927" xr:uid="{00000000-0005-0000-0000-000022630000}"/>
    <cellStyle name="Linked Cell 5 4" xfId="10065" xr:uid="{00000000-0005-0000-0000-000023630000}"/>
    <cellStyle name="Linked Cell 5 5" xfId="30924" xr:uid="{00000000-0005-0000-0000-000024630000}"/>
    <cellStyle name="Linked Cell 6" xfId="6603" xr:uid="{00000000-0005-0000-0000-000025630000}"/>
    <cellStyle name="Linked Cell 6 2" xfId="10067" xr:uid="{00000000-0005-0000-0000-000026630000}"/>
    <cellStyle name="Linked Cell 6 3" xfId="30928" xr:uid="{00000000-0005-0000-0000-000027630000}"/>
    <cellStyle name="Linked Cell 7" xfId="6604" xr:uid="{00000000-0005-0000-0000-000028630000}"/>
    <cellStyle name="Linked Cell 7 2" xfId="6605" xr:uid="{00000000-0005-0000-0000-000029630000}"/>
    <cellStyle name="Linked Cell 7 2 2" xfId="11463" xr:uid="{00000000-0005-0000-0000-00002A630000}"/>
    <cellStyle name="Linked Cell 7 2 3" xfId="30930" xr:uid="{00000000-0005-0000-0000-00002B630000}"/>
    <cellStyle name="Linked Cell 7 3" xfId="10068" xr:uid="{00000000-0005-0000-0000-00002C630000}"/>
    <cellStyle name="Linked Cell 7 4" xfId="30929" xr:uid="{00000000-0005-0000-0000-00002D630000}"/>
    <cellStyle name="Linked Cell 8" xfId="6606" xr:uid="{00000000-0005-0000-0000-00002E630000}"/>
    <cellStyle name="Linked Cell 8 2" xfId="6607" xr:uid="{00000000-0005-0000-0000-00002F630000}"/>
    <cellStyle name="Linked Cell 8 2 2" xfId="11464" xr:uid="{00000000-0005-0000-0000-000030630000}"/>
    <cellStyle name="Linked Cell 8 2 3" xfId="30932" xr:uid="{00000000-0005-0000-0000-000031630000}"/>
    <cellStyle name="Linked Cell 8 3" xfId="10069" xr:uid="{00000000-0005-0000-0000-000032630000}"/>
    <cellStyle name="Linked Cell 8 4" xfId="30931" xr:uid="{00000000-0005-0000-0000-000033630000}"/>
    <cellStyle name="Linked Cell 9" xfId="6608" xr:uid="{00000000-0005-0000-0000-000034630000}"/>
    <cellStyle name="Linked Cell 9 2" xfId="6609" xr:uid="{00000000-0005-0000-0000-000035630000}"/>
    <cellStyle name="Linked Cell 9 2 2" xfId="11465" xr:uid="{00000000-0005-0000-0000-000036630000}"/>
    <cellStyle name="Linked Cell 9 2 3" xfId="30934" xr:uid="{00000000-0005-0000-0000-000037630000}"/>
    <cellStyle name="Linked Cell 9 3" xfId="10070" xr:uid="{00000000-0005-0000-0000-000038630000}"/>
    <cellStyle name="Linked Cell 9 4" xfId="30933" xr:uid="{00000000-0005-0000-0000-000039630000}"/>
    <cellStyle name="Neutral" xfId="21" builtinId="28" customBuiltin="1"/>
    <cellStyle name="Neutral 10" xfId="6610" xr:uid="{00000000-0005-0000-0000-00003B630000}"/>
    <cellStyle name="Neutral 10 2" xfId="10072" xr:uid="{00000000-0005-0000-0000-00003C630000}"/>
    <cellStyle name="Neutral 10 3" xfId="30935" xr:uid="{00000000-0005-0000-0000-00003D630000}"/>
    <cellStyle name="Neutral 11" xfId="6611" xr:uid="{00000000-0005-0000-0000-00003E630000}"/>
    <cellStyle name="Neutral 11 2" xfId="10073" xr:uid="{00000000-0005-0000-0000-00003F630000}"/>
    <cellStyle name="Neutral 11 3" xfId="30936" xr:uid="{00000000-0005-0000-0000-000040630000}"/>
    <cellStyle name="Neutral 12" xfId="6612" xr:uid="{00000000-0005-0000-0000-000041630000}"/>
    <cellStyle name="Neutral 12 2" xfId="6613" xr:uid="{00000000-0005-0000-0000-000042630000}"/>
    <cellStyle name="Neutral 12 2 2" xfId="15686" xr:uid="{00000000-0005-0000-0000-000043630000}"/>
    <cellStyle name="Neutral 12 2 3" xfId="30938" xr:uid="{00000000-0005-0000-0000-000044630000}"/>
    <cellStyle name="Neutral 12 3" xfId="10496" xr:uid="{00000000-0005-0000-0000-000045630000}"/>
    <cellStyle name="Neutral 12 4" xfId="30937" xr:uid="{00000000-0005-0000-0000-000046630000}"/>
    <cellStyle name="Neutral 13" xfId="6614" xr:uid="{00000000-0005-0000-0000-000047630000}"/>
    <cellStyle name="Neutral 13 2" xfId="11466" xr:uid="{00000000-0005-0000-0000-000048630000}"/>
    <cellStyle name="Neutral 13 3" xfId="30939" xr:uid="{00000000-0005-0000-0000-000049630000}"/>
    <cellStyle name="Neutral 14" xfId="6615" xr:uid="{00000000-0005-0000-0000-00004A630000}"/>
    <cellStyle name="Neutral 14 2" xfId="10071" xr:uid="{00000000-0005-0000-0000-00004B630000}"/>
    <cellStyle name="Neutral 14 3" xfId="30940" xr:uid="{00000000-0005-0000-0000-00004C630000}"/>
    <cellStyle name="Neutral 2" xfId="6616" xr:uid="{00000000-0005-0000-0000-00004D630000}"/>
    <cellStyle name="Neutral 2 2" xfId="10074" xr:uid="{00000000-0005-0000-0000-00004E630000}"/>
    <cellStyle name="Neutral 2 3" xfId="30941" xr:uid="{00000000-0005-0000-0000-00004F630000}"/>
    <cellStyle name="Neutral 2 4" xfId="33051" xr:uid="{00000000-0005-0000-0000-000050630000}"/>
    <cellStyle name="Neutral 3" xfId="6617" xr:uid="{00000000-0005-0000-0000-000051630000}"/>
    <cellStyle name="Neutral 3 2" xfId="6618" xr:uid="{00000000-0005-0000-0000-000052630000}"/>
    <cellStyle name="Neutral 3 2 2" xfId="10076" xr:uid="{00000000-0005-0000-0000-000053630000}"/>
    <cellStyle name="Neutral 3 2 3" xfId="30943" xr:uid="{00000000-0005-0000-0000-000054630000}"/>
    <cellStyle name="Neutral 3 3" xfId="10075" xr:uid="{00000000-0005-0000-0000-000055630000}"/>
    <cellStyle name="Neutral 3 4" xfId="30942" xr:uid="{00000000-0005-0000-0000-000056630000}"/>
    <cellStyle name="Neutral 3 5" xfId="33103" xr:uid="{00000000-0005-0000-0000-000057630000}"/>
    <cellStyle name="Neutral 4" xfId="6619" xr:uid="{00000000-0005-0000-0000-000058630000}"/>
    <cellStyle name="Neutral 4 2" xfId="6620" xr:uid="{00000000-0005-0000-0000-000059630000}"/>
    <cellStyle name="Neutral 4 2 2" xfId="13235" xr:uid="{00000000-0005-0000-0000-00005A630000}"/>
    <cellStyle name="Neutral 4 2 3" xfId="30945" xr:uid="{00000000-0005-0000-0000-00005B630000}"/>
    <cellStyle name="Neutral 4 3" xfId="6621" xr:uid="{00000000-0005-0000-0000-00005C630000}"/>
    <cellStyle name="Neutral 4 3 2" xfId="13234" xr:uid="{00000000-0005-0000-0000-00005D630000}"/>
    <cellStyle name="Neutral 4 3 3" xfId="30946" xr:uid="{00000000-0005-0000-0000-00005E630000}"/>
    <cellStyle name="Neutral 4 4" xfId="10077" xr:uid="{00000000-0005-0000-0000-00005F630000}"/>
    <cellStyle name="Neutral 4 5" xfId="30944" xr:uid="{00000000-0005-0000-0000-000060630000}"/>
    <cellStyle name="Neutral 5" xfId="6622" xr:uid="{00000000-0005-0000-0000-000061630000}"/>
    <cellStyle name="Neutral 5 2" xfId="6623" xr:uid="{00000000-0005-0000-0000-000062630000}"/>
    <cellStyle name="Neutral 5 2 2" xfId="10079" xr:uid="{00000000-0005-0000-0000-000063630000}"/>
    <cellStyle name="Neutral 5 2 3" xfId="30948" xr:uid="{00000000-0005-0000-0000-000064630000}"/>
    <cellStyle name="Neutral 5 3" xfId="10078" xr:uid="{00000000-0005-0000-0000-000065630000}"/>
    <cellStyle name="Neutral 5 4" xfId="30947" xr:uid="{00000000-0005-0000-0000-000066630000}"/>
    <cellStyle name="Neutral 6" xfId="6624" xr:uid="{00000000-0005-0000-0000-000067630000}"/>
    <cellStyle name="Neutral 6 2" xfId="10080" xr:uid="{00000000-0005-0000-0000-000068630000}"/>
    <cellStyle name="Neutral 6 3" xfId="30949" xr:uid="{00000000-0005-0000-0000-000069630000}"/>
    <cellStyle name="Neutral 7" xfId="6625" xr:uid="{00000000-0005-0000-0000-00006A630000}"/>
    <cellStyle name="Neutral 7 2" xfId="10081" xr:uid="{00000000-0005-0000-0000-00006B630000}"/>
    <cellStyle name="Neutral 7 3" xfId="30950" xr:uid="{00000000-0005-0000-0000-00006C630000}"/>
    <cellStyle name="Neutral 8" xfId="6626" xr:uid="{00000000-0005-0000-0000-00006D630000}"/>
    <cellStyle name="Neutral 8 2" xfId="10082" xr:uid="{00000000-0005-0000-0000-00006E630000}"/>
    <cellStyle name="Neutral 8 3" xfId="30951" xr:uid="{00000000-0005-0000-0000-00006F630000}"/>
    <cellStyle name="Neutral 9" xfId="6627" xr:uid="{00000000-0005-0000-0000-000070630000}"/>
    <cellStyle name="Neutral 9 2" xfId="10083" xr:uid="{00000000-0005-0000-0000-000071630000}"/>
    <cellStyle name="Neutral 9 3" xfId="30952" xr:uid="{00000000-0005-0000-0000-000072630000}"/>
    <cellStyle name="Normal" xfId="0" builtinId="0"/>
    <cellStyle name="Normal 10" xfId="6628" xr:uid="{00000000-0005-0000-0000-000074630000}"/>
    <cellStyle name="Normal 10 2" xfId="6629" xr:uid="{00000000-0005-0000-0000-000075630000}"/>
    <cellStyle name="Normal 10 2 2" xfId="6630" xr:uid="{00000000-0005-0000-0000-000076630000}"/>
    <cellStyle name="Normal 10 2 2 2" xfId="11693" xr:uid="{00000000-0005-0000-0000-000077630000}"/>
    <cellStyle name="Normal 10 2 2 2 2" xfId="25429" xr:uid="{00000000-0005-0000-0000-000078630000}"/>
    <cellStyle name="Normal 10 2 2 3" xfId="30953" xr:uid="{00000000-0005-0000-0000-000079630000}"/>
    <cellStyle name="Normal 10 2 3" xfId="6631" xr:uid="{00000000-0005-0000-0000-00007A630000}"/>
    <cellStyle name="Normal 10 2 3 2" xfId="17343" xr:uid="{00000000-0005-0000-0000-00007B630000}"/>
    <cellStyle name="Normal 10 2 3 3" xfId="30954" xr:uid="{00000000-0005-0000-0000-00007C630000}"/>
    <cellStyle name="Normal 10 2 4" xfId="8730" xr:uid="{00000000-0005-0000-0000-00007D630000}"/>
    <cellStyle name="Normal 10 2 5" xfId="10085" xr:uid="{00000000-0005-0000-0000-00007E630000}"/>
    <cellStyle name="Normal 10 3" xfId="6632" xr:uid="{00000000-0005-0000-0000-00007F630000}"/>
    <cellStyle name="Normal 10 3 2" xfId="6633" xr:uid="{00000000-0005-0000-0000-000080630000}"/>
    <cellStyle name="Normal 10 3 2 2" xfId="13237" xr:uid="{00000000-0005-0000-0000-000081630000}"/>
    <cellStyle name="Normal 10 3 2 2 2" xfId="26882" xr:uid="{00000000-0005-0000-0000-000082630000}"/>
    <cellStyle name="Normal 10 3 2 3" xfId="30956" xr:uid="{00000000-0005-0000-0000-000083630000}"/>
    <cellStyle name="Normal 10 3 3" xfId="6634" xr:uid="{00000000-0005-0000-0000-000084630000}"/>
    <cellStyle name="Normal 10 3 3 2" xfId="15688" xr:uid="{00000000-0005-0000-0000-000085630000}"/>
    <cellStyle name="Normal 10 3 3 2 2" xfId="29174" xr:uid="{00000000-0005-0000-0000-000086630000}"/>
    <cellStyle name="Normal 10 3 3 3" xfId="30957" xr:uid="{00000000-0005-0000-0000-000087630000}"/>
    <cellStyle name="Normal 10 3 4" xfId="11467" xr:uid="{00000000-0005-0000-0000-000088630000}"/>
    <cellStyle name="Normal 10 3 4 2" xfId="25299" xr:uid="{00000000-0005-0000-0000-000089630000}"/>
    <cellStyle name="Normal 10 3 5" xfId="30955" xr:uid="{00000000-0005-0000-0000-00008A630000}"/>
    <cellStyle name="Normal 10 3 6" xfId="32946" xr:uid="{00000000-0005-0000-0000-00008B630000}"/>
    <cellStyle name="Normal 10 3 7" xfId="33004" xr:uid="{00000000-0005-0000-0000-00008C630000}"/>
    <cellStyle name="Normal 10 4" xfId="6635" xr:uid="{00000000-0005-0000-0000-00008D630000}"/>
    <cellStyle name="Normal 10 4 2" xfId="13236" xr:uid="{00000000-0005-0000-0000-00008E630000}"/>
    <cellStyle name="Normal 10 4 2 2" xfId="26881" xr:uid="{00000000-0005-0000-0000-00008F630000}"/>
    <cellStyle name="Normal 10 4 3" xfId="30958" xr:uid="{00000000-0005-0000-0000-000090630000}"/>
    <cellStyle name="Normal 10 5" xfId="6636" xr:uid="{00000000-0005-0000-0000-000091630000}"/>
    <cellStyle name="Normal 10 5 2" xfId="15687" xr:uid="{00000000-0005-0000-0000-000092630000}"/>
    <cellStyle name="Normal 10 5 2 2" xfId="29173" xr:uid="{00000000-0005-0000-0000-000093630000}"/>
    <cellStyle name="Normal 10 5 3" xfId="30959" xr:uid="{00000000-0005-0000-0000-000094630000}"/>
    <cellStyle name="Normal 10 6" xfId="6637" xr:uid="{00000000-0005-0000-0000-000095630000}"/>
    <cellStyle name="Normal 10 6 2" xfId="15803" xr:uid="{00000000-0005-0000-0000-000096630000}"/>
    <cellStyle name="Normal 10 6 2 2" xfId="29210" xr:uid="{00000000-0005-0000-0000-000097630000}"/>
    <cellStyle name="Normal 10 6 3" xfId="30960" xr:uid="{00000000-0005-0000-0000-000098630000}"/>
    <cellStyle name="Normal 10 7" xfId="8720" xr:uid="{00000000-0005-0000-0000-000099630000}"/>
    <cellStyle name="Normal 10 7 2" xfId="10084" xr:uid="{00000000-0005-0000-0000-00009A630000}"/>
    <cellStyle name="Normal 10 7 2 2" xfId="24316" xr:uid="{00000000-0005-0000-0000-00009B630000}"/>
    <cellStyle name="Normal 10 8" xfId="8721" xr:uid="{00000000-0005-0000-0000-00009C630000}"/>
    <cellStyle name="Normal 10 8 2" xfId="17329" xr:uid="{00000000-0005-0000-0000-00009D630000}"/>
    <cellStyle name="Normal 10 8 3" xfId="23236" xr:uid="{00000000-0005-0000-0000-00009E630000}"/>
    <cellStyle name="Normal 11" xfId="6638" xr:uid="{00000000-0005-0000-0000-00009F630000}"/>
    <cellStyle name="Normal 11 2" xfId="10086" xr:uid="{00000000-0005-0000-0000-0000A0630000}"/>
    <cellStyle name="Normal 11 3" xfId="30961" xr:uid="{00000000-0005-0000-0000-0000A1630000}"/>
    <cellStyle name="Normal 11 4" xfId="32917" xr:uid="{00000000-0005-0000-0000-0000A2630000}"/>
    <cellStyle name="Normal 11 5" xfId="32977" xr:uid="{00000000-0005-0000-0000-0000A3630000}"/>
    <cellStyle name="Normal 12" xfId="6639" xr:uid="{00000000-0005-0000-0000-0000A4630000}"/>
    <cellStyle name="Normal 12 2" xfId="10087" xr:uid="{00000000-0005-0000-0000-0000A5630000}"/>
    <cellStyle name="Normal 12 3" xfId="30962" xr:uid="{00000000-0005-0000-0000-0000A6630000}"/>
    <cellStyle name="Normal 12 4" xfId="32943" xr:uid="{00000000-0005-0000-0000-0000A7630000}"/>
    <cellStyle name="Normal 13" xfId="6640" xr:uid="{00000000-0005-0000-0000-0000A8630000}"/>
    <cellStyle name="Normal 13 10" xfId="6641" xr:uid="{00000000-0005-0000-0000-0000A9630000}"/>
    <cellStyle name="Normal 13 10 2" xfId="6642" xr:uid="{00000000-0005-0000-0000-0000AA630000}"/>
    <cellStyle name="Normal 13 10 2 2" xfId="13238" xr:uid="{00000000-0005-0000-0000-0000AB630000}"/>
    <cellStyle name="Normal 13 10 2 2 2" xfId="26883" xr:uid="{00000000-0005-0000-0000-0000AC630000}"/>
    <cellStyle name="Normal 13 10 2 3" xfId="30964" xr:uid="{00000000-0005-0000-0000-0000AD630000}"/>
    <cellStyle name="Normal 13 10 3" xfId="6643" xr:uid="{00000000-0005-0000-0000-0000AE630000}"/>
    <cellStyle name="Normal 13 10 3 2" xfId="15689" xr:uid="{00000000-0005-0000-0000-0000AF630000}"/>
    <cellStyle name="Normal 13 10 3 2 2" xfId="29175" xr:uid="{00000000-0005-0000-0000-0000B0630000}"/>
    <cellStyle name="Normal 13 10 3 3" xfId="30965" xr:uid="{00000000-0005-0000-0000-0000B1630000}"/>
    <cellStyle name="Normal 13 10 4" xfId="6644" xr:uid="{00000000-0005-0000-0000-0000B2630000}"/>
    <cellStyle name="Normal 13 10 4 2" xfId="17110" xr:uid="{00000000-0005-0000-0000-0000B3630000}"/>
    <cellStyle name="Normal 13 10 4 2 2" xfId="30469" xr:uid="{00000000-0005-0000-0000-0000B4630000}"/>
    <cellStyle name="Normal 13 10 4 3" xfId="30966" xr:uid="{00000000-0005-0000-0000-0000B5630000}"/>
    <cellStyle name="Normal 13 10 5" xfId="10521" xr:uid="{00000000-0005-0000-0000-0000B6630000}"/>
    <cellStyle name="Normal 13 10 5 2" xfId="24467" xr:uid="{00000000-0005-0000-0000-0000B7630000}"/>
    <cellStyle name="Normal 13 10 6" xfId="30963" xr:uid="{00000000-0005-0000-0000-0000B8630000}"/>
    <cellStyle name="Normal 13 11" xfId="6645" xr:uid="{00000000-0005-0000-0000-0000B9630000}"/>
    <cellStyle name="Normal 13 11 2" xfId="6646" xr:uid="{00000000-0005-0000-0000-0000BA630000}"/>
    <cellStyle name="Normal 13 11 2 2" xfId="13239" xr:uid="{00000000-0005-0000-0000-0000BB630000}"/>
    <cellStyle name="Normal 13 11 2 2 2" xfId="26884" xr:uid="{00000000-0005-0000-0000-0000BC630000}"/>
    <cellStyle name="Normal 13 11 2 3" xfId="30968" xr:uid="{00000000-0005-0000-0000-0000BD630000}"/>
    <cellStyle name="Normal 13 11 3" xfId="6647" xr:uid="{00000000-0005-0000-0000-0000BE630000}"/>
    <cellStyle name="Normal 13 11 3 2" xfId="15690" xr:uid="{00000000-0005-0000-0000-0000BF630000}"/>
    <cellStyle name="Normal 13 11 3 2 2" xfId="29176" xr:uid="{00000000-0005-0000-0000-0000C0630000}"/>
    <cellStyle name="Normal 13 11 3 3" xfId="30969" xr:uid="{00000000-0005-0000-0000-0000C1630000}"/>
    <cellStyle name="Normal 13 11 4" xfId="6648" xr:uid="{00000000-0005-0000-0000-0000C2630000}"/>
    <cellStyle name="Normal 13 11 4 2" xfId="17199" xr:uid="{00000000-0005-0000-0000-0000C3630000}"/>
    <cellStyle name="Normal 13 11 4 2 2" xfId="30558" xr:uid="{00000000-0005-0000-0000-0000C4630000}"/>
    <cellStyle name="Normal 13 11 4 3" xfId="30970" xr:uid="{00000000-0005-0000-0000-0000C5630000}"/>
    <cellStyle name="Normal 13 11 5" xfId="11468" xr:uid="{00000000-0005-0000-0000-0000C6630000}"/>
    <cellStyle name="Normal 13 11 5 2" xfId="25300" xr:uid="{00000000-0005-0000-0000-0000C7630000}"/>
    <cellStyle name="Normal 13 11 6" xfId="30967" xr:uid="{00000000-0005-0000-0000-0000C8630000}"/>
    <cellStyle name="Normal 13 12" xfId="6649" xr:uid="{00000000-0005-0000-0000-0000C9630000}"/>
    <cellStyle name="Normal 13 12 2" xfId="6650" xr:uid="{00000000-0005-0000-0000-0000CA630000}"/>
    <cellStyle name="Normal 13 12 2 2" xfId="17288" xr:uid="{00000000-0005-0000-0000-0000CB630000}"/>
    <cellStyle name="Normal 13 12 2 2 2" xfId="30647" xr:uid="{00000000-0005-0000-0000-0000CC630000}"/>
    <cellStyle name="Normal 13 12 2 3" xfId="30972" xr:uid="{00000000-0005-0000-0000-0000CD630000}"/>
    <cellStyle name="Normal 13 12 3" xfId="11777" xr:uid="{00000000-0005-0000-0000-0000CE630000}"/>
    <cellStyle name="Normal 13 12 3 2" xfId="25492" xr:uid="{00000000-0005-0000-0000-0000CF630000}"/>
    <cellStyle name="Normal 13 12 4" xfId="30971" xr:uid="{00000000-0005-0000-0000-0000D0630000}"/>
    <cellStyle name="Normal 13 13" xfId="6651" xr:uid="{00000000-0005-0000-0000-0000D1630000}"/>
    <cellStyle name="Normal 13 13 2" xfId="6652" xr:uid="{00000000-0005-0000-0000-0000D2630000}"/>
    <cellStyle name="Normal 13 13 2 2" xfId="16440" xr:uid="{00000000-0005-0000-0000-0000D3630000}"/>
    <cellStyle name="Normal 13 13 2 2 2" xfId="29847" xr:uid="{00000000-0005-0000-0000-0000D4630000}"/>
    <cellStyle name="Normal 13 13 2 3" xfId="30974" xr:uid="{00000000-0005-0000-0000-0000D5630000}"/>
    <cellStyle name="Normal 13 13 3" xfId="13392" xr:uid="{00000000-0005-0000-0000-0000D6630000}"/>
    <cellStyle name="Normal 13 13 3 2" xfId="26941" xr:uid="{00000000-0005-0000-0000-0000D7630000}"/>
    <cellStyle name="Normal 13 13 4" xfId="30973" xr:uid="{00000000-0005-0000-0000-0000D8630000}"/>
    <cellStyle name="Normal 13 14" xfId="6653" xr:uid="{00000000-0005-0000-0000-0000D9630000}"/>
    <cellStyle name="Normal 13 14 2" xfId="13973" xr:uid="{00000000-0005-0000-0000-0000DA630000}"/>
    <cellStyle name="Normal 13 14 2 2" xfId="27522" xr:uid="{00000000-0005-0000-0000-0000DB630000}"/>
    <cellStyle name="Normal 13 14 3" xfId="30975" xr:uid="{00000000-0005-0000-0000-0000DC630000}"/>
    <cellStyle name="Normal 13 15" xfId="6654" xr:uid="{00000000-0005-0000-0000-0000DD630000}"/>
    <cellStyle name="Normal 13 15 2" xfId="15842" xr:uid="{00000000-0005-0000-0000-0000DE630000}"/>
    <cellStyle name="Normal 13 15 2 2" xfId="29249" xr:uid="{00000000-0005-0000-0000-0000DF630000}"/>
    <cellStyle name="Normal 13 15 3" xfId="30976" xr:uid="{00000000-0005-0000-0000-0000E0630000}"/>
    <cellStyle name="Normal 13 16" xfId="6655" xr:uid="{00000000-0005-0000-0000-0000E1630000}"/>
    <cellStyle name="Normal 13 16 2" xfId="15859" xr:uid="{00000000-0005-0000-0000-0000E2630000}"/>
    <cellStyle name="Normal 13 16 2 2" xfId="29266" xr:uid="{00000000-0005-0000-0000-0000E3630000}"/>
    <cellStyle name="Normal 13 16 3" xfId="30977" xr:uid="{00000000-0005-0000-0000-0000E4630000}"/>
    <cellStyle name="Normal 13 17" xfId="17375" xr:uid="{00000000-0005-0000-0000-0000E5630000}"/>
    <cellStyle name="Normal 13 18" xfId="10088" xr:uid="{00000000-0005-0000-0000-0000E6630000}"/>
    <cellStyle name="Normal 13 18 2" xfId="24317" xr:uid="{00000000-0005-0000-0000-0000E7630000}"/>
    <cellStyle name="Normal 13 2" xfId="6656" xr:uid="{00000000-0005-0000-0000-0000E8630000}"/>
    <cellStyle name="Normal 13 2 10" xfId="6657" xr:uid="{00000000-0005-0000-0000-0000E9630000}"/>
    <cellStyle name="Normal 13 2 10 2" xfId="15916" xr:uid="{00000000-0005-0000-0000-0000EA630000}"/>
    <cellStyle name="Normal 13 2 10 2 2" xfId="29323" xr:uid="{00000000-0005-0000-0000-0000EB630000}"/>
    <cellStyle name="Normal 13 2 10 3" xfId="30979" xr:uid="{00000000-0005-0000-0000-0000EC630000}"/>
    <cellStyle name="Normal 13 2 11" xfId="10089" xr:uid="{00000000-0005-0000-0000-0000ED630000}"/>
    <cellStyle name="Normal 13 2 11 2" xfId="24318" xr:uid="{00000000-0005-0000-0000-0000EE630000}"/>
    <cellStyle name="Normal 13 2 12" xfId="30978" xr:uid="{00000000-0005-0000-0000-0000EF630000}"/>
    <cellStyle name="Normal 13 2 2" xfId="6658" xr:uid="{00000000-0005-0000-0000-0000F0630000}"/>
    <cellStyle name="Normal 13 2 2 10" xfId="30980" xr:uid="{00000000-0005-0000-0000-0000F1630000}"/>
    <cellStyle name="Normal 13 2 2 2" xfId="6659" xr:uid="{00000000-0005-0000-0000-0000F2630000}"/>
    <cellStyle name="Normal 13 2 2 2 2" xfId="6660" xr:uid="{00000000-0005-0000-0000-0000F3630000}"/>
    <cellStyle name="Normal 13 2 2 2 2 2" xfId="6661" xr:uid="{00000000-0005-0000-0000-0000F4630000}"/>
    <cellStyle name="Normal 13 2 2 2 2 2 2" xfId="6662" xr:uid="{00000000-0005-0000-0000-0000F5630000}"/>
    <cellStyle name="Normal 13 2 2 2 2 2 2 2" xfId="16975" xr:uid="{00000000-0005-0000-0000-0000F6630000}"/>
    <cellStyle name="Normal 13 2 2 2 2 2 2 2 2" xfId="30382" xr:uid="{00000000-0005-0000-0000-0000F7630000}"/>
    <cellStyle name="Normal 13 2 2 2 2 2 2 3" xfId="30984" xr:uid="{00000000-0005-0000-0000-0000F8630000}"/>
    <cellStyle name="Normal 13 2 2 2 2 2 3" xfId="11472" xr:uid="{00000000-0005-0000-0000-0000F9630000}"/>
    <cellStyle name="Normal 13 2 2 2 2 2 3 2" xfId="25304" xr:uid="{00000000-0005-0000-0000-0000FA630000}"/>
    <cellStyle name="Normal 13 2 2 2 2 2 4" xfId="30983" xr:uid="{00000000-0005-0000-0000-0000FB630000}"/>
    <cellStyle name="Normal 13 2 2 2 2 3" xfId="6663" xr:uid="{00000000-0005-0000-0000-0000FC630000}"/>
    <cellStyle name="Normal 13 2 2 2 2 3 2" xfId="12363" xr:uid="{00000000-0005-0000-0000-0000FD630000}"/>
    <cellStyle name="Normal 13 2 2 2 2 3 2 2" xfId="26075" xr:uid="{00000000-0005-0000-0000-0000FE630000}"/>
    <cellStyle name="Normal 13 2 2 2 2 3 3" xfId="30985" xr:uid="{00000000-0005-0000-0000-0000FF630000}"/>
    <cellStyle name="Normal 13 2 2 2 2 4" xfId="6664" xr:uid="{00000000-0005-0000-0000-000000640000}"/>
    <cellStyle name="Normal 13 2 2 2 2 4 2" xfId="13927" xr:uid="{00000000-0005-0000-0000-000001640000}"/>
    <cellStyle name="Normal 13 2 2 2 2 4 2 2" xfId="27476" xr:uid="{00000000-0005-0000-0000-000002640000}"/>
    <cellStyle name="Normal 13 2 2 2 2 4 3" xfId="30986" xr:uid="{00000000-0005-0000-0000-000003640000}"/>
    <cellStyle name="Normal 13 2 2 2 2 5" xfId="6665" xr:uid="{00000000-0005-0000-0000-000004640000}"/>
    <cellStyle name="Normal 13 2 2 2 2 5 2" xfId="14508" xr:uid="{00000000-0005-0000-0000-000005640000}"/>
    <cellStyle name="Normal 13 2 2 2 2 5 2 2" xfId="28057" xr:uid="{00000000-0005-0000-0000-000006640000}"/>
    <cellStyle name="Normal 13 2 2 2 2 5 3" xfId="30987" xr:uid="{00000000-0005-0000-0000-000007640000}"/>
    <cellStyle name="Normal 13 2 2 2 2 6" xfId="6666" xr:uid="{00000000-0005-0000-0000-000008640000}"/>
    <cellStyle name="Normal 13 2 2 2 2 6 2" xfId="16394" xr:uid="{00000000-0005-0000-0000-000009640000}"/>
    <cellStyle name="Normal 13 2 2 2 2 6 2 2" xfId="29801" xr:uid="{00000000-0005-0000-0000-00000A640000}"/>
    <cellStyle name="Normal 13 2 2 2 2 6 3" xfId="30988" xr:uid="{00000000-0005-0000-0000-00000B640000}"/>
    <cellStyle name="Normal 13 2 2 2 2 7" xfId="10092" xr:uid="{00000000-0005-0000-0000-00000C640000}"/>
    <cellStyle name="Normal 13 2 2 2 2 7 2" xfId="24321" xr:uid="{00000000-0005-0000-0000-00000D640000}"/>
    <cellStyle name="Normal 13 2 2 2 2 8" xfId="30982" xr:uid="{00000000-0005-0000-0000-00000E640000}"/>
    <cellStyle name="Normal 13 2 2 2 3" xfId="6667" xr:uid="{00000000-0005-0000-0000-00000F640000}"/>
    <cellStyle name="Normal 13 2 2 2 3 2" xfId="6668" xr:uid="{00000000-0005-0000-0000-000010640000}"/>
    <cellStyle name="Normal 13 2 2 2 3 2 2" xfId="16686" xr:uid="{00000000-0005-0000-0000-000011640000}"/>
    <cellStyle name="Normal 13 2 2 2 3 2 2 2" xfId="30093" xr:uid="{00000000-0005-0000-0000-000012640000}"/>
    <cellStyle name="Normal 13 2 2 2 3 2 3" xfId="30990" xr:uid="{00000000-0005-0000-0000-000013640000}"/>
    <cellStyle name="Normal 13 2 2 2 3 3" xfId="11471" xr:uid="{00000000-0005-0000-0000-000014640000}"/>
    <cellStyle name="Normal 13 2 2 2 3 3 2" xfId="25303" xr:uid="{00000000-0005-0000-0000-000015640000}"/>
    <cellStyle name="Normal 13 2 2 2 3 4" xfId="30989" xr:uid="{00000000-0005-0000-0000-000016640000}"/>
    <cellStyle name="Normal 13 2 2 2 4" xfId="6669" xr:uid="{00000000-0005-0000-0000-000017640000}"/>
    <cellStyle name="Normal 13 2 2 2 4 2" xfId="12063" xr:uid="{00000000-0005-0000-0000-000018640000}"/>
    <cellStyle name="Normal 13 2 2 2 4 2 2" xfId="25778" xr:uid="{00000000-0005-0000-0000-000019640000}"/>
    <cellStyle name="Normal 13 2 2 2 4 3" xfId="30991" xr:uid="{00000000-0005-0000-0000-00001A640000}"/>
    <cellStyle name="Normal 13 2 2 2 5" xfId="6670" xr:uid="{00000000-0005-0000-0000-00001B640000}"/>
    <cellStyle name="Normal 13 2 2 2 5 2" xfId="13638" xr:uid="{00000000-0005-0000-0000-00001C640000}"/>
    <cellStyle name="Normal 13 2 2 2 5 2 2" xfId="27187" xr:uid="{00000000-0005-0000-0000-00001D640000}"/>
    <cellStyle name="Normal 13 2 2 2 5 3" xfId="30992" xr:uid="{00000000-0005-0000-0000-00001E640000}"/>
    <cellStyle name="Normal 13 2 2 2 6" xfId="6671" xr:uid="{00000000-0005-0000-0000-00001F640000}"/>
    <cellStyle name="Normal 13 2 2 2 6 2" xfId="14219" xr:uid="{00000000-0005-0000-0000-000020640000}"/>
    <cellStyle name="Normal 13 2 2 2 6 2 2" xfId="27768" xr:uid="{00000000-0005-0000-0000-000021640000}"/>
    <cellStyle name="Normal 13 2 2 2 6 3" xfId="30993" xr:uid="{00000000-0005-0000-0000-000022640000}"/>
    <cellStyle name="Normal 13 2 2 2 7" xfId="6672" xr:uid="{00000000-0005-0000-0000-000023640000}"/>
    <cellStyle name="Normal 13 2 2 2 7 2" xfId="16105" xr:uid="{00000000-0005-0000-0000-000024640000}"/>
    <cellStyle name="Normal 13 2 2 2 7 2 2" xfId="29512" xr:uid="{00000000-0005-0000-0000-000025640000}"/>
    <cellStyle name="Normal 13 2 2 2 7 3" xfId="30994" xr:uid="{00000000-0005-0000-0000-000026640000}"/>
    <cellStyle name="Normal 13 2 2 2 8" xfId="10091" xr:uid="{00000000-0005-0000-0000-000027640000}"/>
    <cellStyle name="Normal 13 2 2 2 8 2" xfId="24320" xr:uid="{00000000-0005-0000-0000-000028640000}"/>
    <cellStyle name="Normal 13 2 2 2 9" xfId="30981" xr:uid="{00000000-0005-0000-0000-000029640000}"/>
    <cellStyle name="Normal 13 2 2 3" xfId="6673" xr:uid="{00000000-0005-0000-0000-00002A640000}"/>
    <cellStyle name="Normal 13 2 2 3 2" xfId="6674" xr:uid="{00000000-0005-0000-0000-00002B640000}"/>
    <cellStyle name="Normal 13 2 2 3 2 2" xfId="6675" xr:uid="{00000000-0005-0000-0000-00002C640000}"/>
    <cellStyle name="Normal 13 2 2 3 2 2 2" xfId="16832" xr:uid="{00000000-0005-0000-0000-00002D640000}"/>
    <cellStyle name="Normal 13 2 2 3 2 2 2 2" xfId="30239" xr:uid="{00000000-0005-0000-0000-00002E640000}"/>
    <cellStyle name="Normal 13 2 2 3 2 2 3" xfId="30997" xr:uid="{00000000-0005-0000-0000-00002F640000}"/>
    <cellStyle name="Normal 13 2 2 3 2 3" xfId="11473" xr:uid="{00000000-0005-0000-0000-000030640000}"/>
    <cellStyle name="Normal 13 2 2 3 2 3 2" xfId="25305" xr:uid="{00000000-0005-0000-0000-000031640000}"/>
    <cellStyle name="Normal 13 2 2 3 2 4" xfId="30996" xr:uid="{00000000-0005-0000-0000-000032640000}"/>
    <cellStyle name="Normal 13 2 2 3 3" xfId="6676" xr:uid="{00000000-0005-0000-0000-000033640000}"/>
    <cellStyle name="Normal 13 2 2 3 3 2" xfId="12220" xr:uid="{00000000-0005-0000-0000-000034640000}"/>
    <cellStyle name="Normal 13 2 2 3 3 2 2" xfId="25932" xr:uid="{00000000-0005-0000-0000-000035640000}"/>
    <cellStyle name="Normal 13 2 2 3 3 3" xfId="30998" xr:uid="{00000000-0005-0000-0000-000036640000}"/>
    <cellStyle name="Normal 13 2 2 3 4" xfId="6677" xr:uid="{00000000-0005-0000-0000-000037640000}"/>
    <cellStyle name="Normal 13 2 2 3 4 2" xfId="13784" xr:uid="{00000000-0005-0000-0000-000038640000}"/>
    <cellStyle name="Normal 13 2 2 3 4 2 2" xfId="27333" xr:uid="{00000000-0005-0000-0000-000039640000}"/>
    <cellStyle name="Normal 13 2 2 3 4 3" xfId="30999" xr:uid="{00000000-0005-0000-0000-00003A640000}"/>
    <cellStyle name="Normal 13 2 2 3 5" xfId="6678" xr:uid="{00000000-0005-0000-0000-00003B640000}"/>
    <cellStyle name="Normal 13 2 2 3 5 2" xfId="14365" xr:uid="{00000000-0005-0000-0000-00003C640000}"/>
    <cellStyle name="Normal 13 2 2 3 5 2 2" xfId="27914" xr:uid="{00000000-0005-0000-0000-00003D640000}"/>
    <cellStyle name="Normal 13 2 2 3 5 3" xfId="31000" xr:uid="{00000000-0005-0000-0000-00003E640000}"/>
    <cellStyle name="Normal 13 2 2 3 6" xfId="6679" xr:uid="{00000000-0005-0000-0000-00003F640000}"/>
    <cellStyle name="Normal 13 2 2 3 6 2" xfId="16251" xr:uid="{00000000-0005-0000-0000-000040640000}"/>
    <cellStyle name="Normal 13 2 2 3 6 2 2" xfId="29658" xr:uid="{00000000-0005-0000-0000-000041640000}"/>
    <cellStyle name="Normal 13 2 2 3 6 3" xfId="31001" xr:uid="{00000000-0005-0000-0000-000042640000}"/>
    <cellStyle name="Normal 13 2 2 3 7" xfId="10093" xr:uid="{00000000-0005-0000-0000-000043640000}"/>
    <cellStyle name="Normal 13 2 2 3 7 2" xfId="24322" xr:uid="{00000000-0005-0000-0000-000044640000}"/>
    <cellStyle name="Normal 13 2 2 3 8" xfId="30995" xr:uid="{00000000-0005-0000-0000-000045640000}"/>
    <cellStyle name="Normal 13 2 2 4" xfId="6680" xr:uid="{00000000-0005-0000-0000-000046640000}"/>
    <cellStyle name="Normal 13 2 2 4 2" xfId="6681" xr:uid="{00000000-0005-0000-0000-000047640000}"/>
    <cellStyle name="Normal 13 2 2 4 2 2" xfId="17179" xr:uid="{00000000-0005-0000-0000-000048640000}"/>
    <cellStyle name="Normal 13 2 2 4 2 2 2" xfId="30538" xr:uid="{00000000-0005-0000-0000-000049640000}"/>
    <cellStyle name="Normal 13 2 2 4 2 3" xfId="31003" xr:uid="{00000000-0005-0000-0000-00004A640000}"/>
    <cellStyle name="Normal 13 2 2 4 3" xfId="11470" xr:uid="{00000000-0005-0000-0000-00004B640000}"/>
    <cellStyle name="Normal 13 2 2 4 3 2" xfId="25302" xr:uid="{00000000-0005-0000-0000-00004C640000}"/>
    <cellStyle name="Normal 13 2 2 4 4" xfId="31002" xr:uid="{00000000-0005-0000-0000-00004D640000}"/>
    <cellStyle name="Normal 13 2 2 5" xfId="6682" xr:uid="{00000000-0005-0000-0000-00004E640000}"/>
    <cellStyle name="Normal 13 2 2 5 2" xfId="6683" xr:uid="{00000000-0005-0000-0000-00004F640000}"/>
    <cellStyle name="Normal 13 2 2 5 2 2" xfId="17268" xr:uid="{00000000-0005-0000-0000-000050640000}"/>
    <cellStyle name="Normal 13 2 2 5 2 2 2" xfId="30627" xr:uid="{00000000-0005-0000-0000-000051640000}"/>
    <cellStyle name="Normal 13 2 2 5 2 3" xfId="31005" xr:uid="{00000000-0005-0000-0000-000052640000}"/>
    <cellStyle name="Normal 13 2 2 5 3" xfId="11918" xr:uid="{00000000-0005-0000-0000-000053640000}"/>
    <cellStyle name="Normal 13 2 2 5 3 2" xfId="25633" xr:uid="{00000000-0005-0000-0000-000054640000}"/>
    <cellStyle name="Normal 13 2 2 5 4" xfId="31004" xr:uid="{00000000-0005-0000-0000-000055640000}"/>
    <cellStyle name="Normal 13 2 2 6" xfId="6684" xr:uid="{00000000-0005-0000-0000-000056640000}"/>
    <cellStyle name="Normal 13 2 2 6 2" xfId="6685" xr:uid="{00000000-0005-0000-0000-000057640000}"/>
    <cellStyle name="Normal 13 2 2 6 2 2" xfId="16543" xr:uid="{00000000-0005-0000-0000-000058640000}"/>
    <cellStyle name="Normal 13 2 2 6 2 2 2" xfId="29950" xr:uid="{00000000-0005-0000-0000-000059640000}"/>
    <cellStyle name="Normal 13 2 2 6 2 3" xfId="31007" xr:uid="{00000000-0005-0000-0000-00005A640000}"/>
    <cellStyle name="Normal 13 2 2 6 3" xfId="13495" xr:uid="{00000000-0005-0000-0000-00005B640000}"/>
    <cellStyle name="Normal 13 2 2 6 3 2" xfId="27044" xr:uid="{00000000-0005-0000-0000-00005C640000}"/>
    <cellStyle name="Normal 13 2 2 6 4" xfId="31006" xr:uid="{00000000-0005-0000-0000-00005D640000}"/>
    <cellStyle name="Normal 13 2 2 7" xfId="6686" xr:uid="{00000000-0005-0000-0000-00005E640000}"/>
    <cellStyle name="Normal 13 2 2 7 2" xfId="14076" xr:uid="{00000000-0005-0000-0000-00005F640000}"/>
    <cellStyle name="Normal 13 2 2 7 2 2" xfId="27625" xr:uid="{00000000-0005-0000-0000-000060640000}"/>
    <cellStyle name="Normal 13 2 2 7 3" xfId="31008" xr:uid="{00000000-0005-0000-0000-000061640000}"/>
    <cellStyle name="Normal 13 2 2 8" xfId="6687" xr:uid="{00000000-0005-0000-0000-000062640000}"/>
    <cellStyle name="Normal 13 2 2 8 2" xfId="15962" xr:uid="{00000000-0005-0000-0000-000063640000}"/>
    <cellStyle name="Normal 13 2 2 8 2 2" xfId="29369" xr:uid="{00000000-0005-0000-0000-000064640000}"/>
    <cellStyle name="Normal 13 2 2 8 3" xfId="31009" xr:uid="{00000000-0005-0000-0000-000065640000}"/>
    <cellStyle name="Normal 13 2 2 9" xfId="10090" xr:uid="{00000000-0005-0000-0000-000066640000}"/>
    <cellStyle name="Normal 13 2 2 9 2" xfId="24319" xr:uid="{00000000-0005-0000-0000-000067640000}"/>
    <cellStyle name="Normal 13 2 3" xfId="6688" xr:uid="{00000000-0005-0000-0000-000068640000}"/>
    <cellStyle name="Normal 13 2 3 2" xfId="6689" xr:uid="{00000000-0005-0000-0000-000069640000}"/>
    <cellStyle name="Normal 13 2 3 2 2" xfId="6690" xr:uid="{00000000-0005-0000-0000-00006A640000}"/>
    <cellStyle name="Normal 13 2 3 2 2 2" xfId="6691" xr:uid="{00000000-0005-0000-0000-00006B640000}"/>
    <cellStyle name="Normal 13 2 3 2 2 2 2" xfId="16929" xr:uid="{00000000-0005-0000-0000-00006C640000}"/>
    <cellStyle name="Normal 13 2 3 2 2 2 2 2" xfId="30336" xr:uid="{00000000-0005-0000-0000-00006D640000}"/>
    <cellStyle name="Normal 13 2 3 2 2 2 3" xfId="31013" xr:uid="{00000000-0005-0000-0000-00006E640000}"/>
    <cellStyle name="Normal 13 2 3 2 2 3" xfId="11475" xr:uid="{00000000-0005-0000-0000-00006F640000}"/>
    <cellStyle name="Normal 13 2 3 2 2 3 2" xfId="25307" xr:uid="{00000000-0005-0000-0000-000070640000}"/>
    <cellStyle name="Normal 13 2 3 2 2 4" xfId="31012" xr:uid="{00000000-0005-0000-0000-000071640000}"/>
    <cellStyle name="Normal 13 2 3 2 3" xfId="6692" xr:uid="{00000000-0005-0000-0000-000072640000}"/>
    <cellStyle name="Normal 13 2 3 2 3 2" xfId="12317" xr:uid="{00000000-0005-0000-0000-000073640000}"/>
    <cellStyle name="Normal 13 2 3 2 3 2 2" xfId="26029" xr:uid="{00000000-0005-0000-0000-000074640000}"/>
    <cellStyle name="Normal 13 2 3 2 3 3" xfId="31014" xr:uid="{00000000-0005-0000-0000-000075640000}"/>
    <cellStyle name="Normal 13 2 3 2 4" xfId="6693" xr:uid="{00000000-0005-0000-0000-000076640000}"/>
    <cellStyle name="Normal 13 2 3 2 4 2" xfId="13881" xr:uid="{00000000-0005-0000-0000-000077640000}"/>
    <cellStyle name="Normal 13 2 3 2 4 2 2" xfId="27430" xr:uid="{00000000-0005-0000-0000-000078640000}"/>
    <cellStyle name="Normal 13 2 3 2 4 3" xfId="31015" xr:uid="{00000000-0005-0000-0000-000079640000}"/>
    <cellStyle name="Normal 13 2 3 2 5" xfId="6694" xr:uid="{00000000-0005-0000-0000-00007A640000}"/>
    <cellStyle name="Normal 13 2 3 2 5 2" xfId="14462" xr:uid="{00000000-0005-0000-0000-00007B640000}"/>
    <cellStyle name="Normal 13 2 3 2 5 2 2" xfId="28011" xr:uid="{00000000-0005-0000-0000-00007C640000}"/>
    <cellStyle name="Normal 13 2 3 2 5 3" xfId="31016" xr:uid="{00000000-0005-0000-0000-00007D640000}"/>
    <cellStyle name="Normal 13 2 3 2 6" xfId="6695" xr:uid="{00000000-0005-0000-0000-00007E640000}"/>
    <cellStyle name="Normal 13 2 3 2 6 2" xfId="16348" xr:uid="{00000000-0005-0000-0000-00007F640000}"/>
    <cellStyle name="Normal 13 2 3 2 6 2 2" xfId="29755" xr:uid="{00000000-0005-0000-0000-000080640000}"/>
    <cellStyle name="Normal 13 2 3 2 6 3" xfId="31017" xr:uid="{00000000-0005-0000-0000-000081640000}"/>
    <cellStyle name="Normal 13 2 3 2 7" xfId="10095" xr:uid="{00000000-0005-0000-0000-000082640000}"/>
    <cellStyle name="Normal 13 2 3 2 7 2" xfId="24324" xr:uid="{00000000-0005-0000-0000-000083640000}"/>
    <cellStyle name="Normal 13 2 3 2 8" xfId="31011" xr:uid="{00000000-0005-0000-0000-000084640000}"/>
    <cellStyle name="Normal 13 2 3 3" xfId="6696" xr:uid="{00000000-0005-0000-0000-000085640000}"/>
    <cellStyle name="Normal 13 2 3 3 2" xfId="6697" xr:uid="{00000000-0005-0000-0000-000086640000}"/>
    <cellStyle name="Normal 13 2 3 3 2 2" xfId="16640" xr:uid="{00000000-0005-0000-0000-000087640000}"/>
    <cellStyle name="Normal 13 2 3 3 2 2 2" xfId="30047" xr:uid="{00000000-0005-0000-0000-000088640000}"/>
    <cellStyle name="Normal 13 2 3 3 2 3" xfId="31019" xr:uid="{00000000-0005-0000-0000-000089640000}"/>
    <cellStyle name="Normal 13 2 3 3 3" xfId="11474" xr:uid="{00000000-0005-0000-0000-00008A640000}"/>
    <cellStyle name="Normal 13 2 3 3 3 2" xfId="25306" xr:uid="{00000000-0005-0000-0000-00008B640000}"/>
    <cellStyle name="Normal 13 2 3 3 4" xfId="31018" xr:uid="{00000000-0005-0000-0000-00008C640000}"/>
    <cellStyle name="Normal 13 2 3 4" xfId="6698" xr:uid="{00000000-0005-0000-0000-00008D640000}"/>
    <cellStyle name="Normal 13 2 3 4 2" xfId="12017" xr:uid="{00000000-0005-0000-0000-00008E640000}"/>
    <cellStyle name="Normal 13 2 3 4 2 2" xfId="25732" xr:uid="{00000000-0005-0000-0000-00008F640000}"/>
    <cellStyle name="Normal 13 2 3 4 3" xfId="31020" xr:uid="{00000000-0005-0000-0000-000090640000}"/>
    <cellStyle name="Normal 13 2 3 5" xfId="6699" xr:uid="{00000000-0005-0000-0000-000091640000}"/>
    <cellStyle name="Normal 13 2 3 5 2" xfId="13592" xr:uid="{00000000-0005-0000-0000-000092640000}"/>
    <cellStyle name="Normal 13 2 3 5 2 2" xfId="27141" xr:uid="{00000000-0005-0000-0000-000093640000}"/>
    <cellStyle name="Normal 13 2 3 5 3" xfId="31021" xr:uid="{00000000-0005-0000-0000-000094640000}"/>
    <cellStyle name="Normal 13 2 3 6" xfId="6700" xr:uid="{00000000-0005-0000-0000-000095640000}"/>
    <cellStyle name="Normal 13 2 3 6 2" xfId="14173" xr:uid="{00000000-0005-0000-0000-000096640000}"/>
    <cellStyle name="Normal 13 2 3 6 2 2" xfId="27722" xr:uid="{00000000-0005-0000-0000-000097640000}"/>
    <cellStyle name="Normal 13 2 3 6 3" xfId="31022" xr:uid="{00000000-0005-0000-0000-000098640000}"/>
    <cellStyle name="Normal 13 2 3 7" xfId="6701" xr:uid="{00000000-0005-0000-0000-000099640000}"/>
    <cellStyle name="Normal 13 2 3 7 2" xfId="16059" xr:uid="{00000000-0005-0000-0000-00009A640000}"/>
    <cellStyle name="Normal 13 2 3 7 2 2" xfId="29466" xr:uid="{00000000-0005-0000-0000-00009B640000}"/>
    <cellStyle name="Normal 13 2 3 7 3" xfId="31023" xr:uid="{00000000-0005-0000-0000-00009C640000}"/>
    <cellStyle name="Normal 13 2 3 8" xfId="10094" xr:uid="{00000000-0005-0000-0000-00009D640000}"/>
    <cellStyle name="Normal 13 2 3 8 2" xfId="24323" xr:uid="{00000000-0005-0000-0000-00009E640000}"/>
    <cellStyle name="Normal 13 2 3 9" xfId="31010" xr:uid="{00000000-0005-0000-0000-00009F640000}"/>
    <cellStyle name="Normal 13 2 4" xfId="6702" xr:uid="{00000000-0005-0000-0000-0000A0640000}"/>
    <cellStyle name="Normal 13 2 4 2" xfId="6703" xr:uid="{00000000-0005-0000-0000-0000A1640000}"/>
    <cellStyle name="Normal 13 2 4 2 2" xfId="6704" xr:uid="{00000000-0005-0000-0000-0000A2640000}"/>
    <cellStyle name="Normal 13 2 4 2 2 2" xfId="16786" xr:uid="{00000000-0005-0000-0000-0000A3640000}"/>
    <cellStyle name="Normal 13 2 4 2 2 2 2" xfId="30193" xr:uid="{00000000-0005-0000-0000-0000A4640000}"/>
    <cellStyle name="Normal 13 2 4 2 2 3" xfId="31026" xr:uid="{00000000-0005-0000-0000-0000A5640000}"/>
    <cellStyle name="Normal 13 2 4 2 3" xfId="11476" xr:uid="{00000000-0005-0000-0000-0000A6640000}"/>
    <cellStyle name="Normal 13 2 4 2 3 2" xfId="25308" xr:uid="{00000000-0005-0000-0000-0000A7640000}"/>
    <cellStyle name="Normal 13 2 4 2 4" xfId="31025" xr:uid="{00000000-0005-0000-0000-0000A8640000}"/>
    <cellStyle name="Normal 13 2 4 3" xfId="6705" xr:uid="{00000000-0005-0000-0000-0000A9640000}"/>
    <cellStyle name="Normal 13 2 4 3 2" xfId="12174" xr:uid="{00000000-0005-0000-0000-0000AA640000}"/>
    <cellStyle name="Normal 13 2 4 3 2 2" xfId="25886" xr:uid="{00000000-0005-0000-0000-0000AB640000}"/>
    <cellStyle name="Normal 13 2 4 3 3" xfId="31027" xr:uid="{00000000-0005-0000-0000-0000AC640000}"/>
    <cellStyle name="Normal 13 2 4 4" xfId="6706" xr:uid="{00000000-0005-0000-0000-0000AD640000}"/>
    <cellStyle name="Normal 13 2 4 4 2" xfId="13738" xr:uid="{00000000-0005-0000-0000-0000AE640000}"/>
    <cellStyle name="Normal 13 2 4 4 2 2" xfId="27287" xr:uid="{00000000-0005-0000-0000-0000AF640000}"/>
    <cellStyle name="Normal 13 2 4 4 3" xfId="31028" xr:uid="{00000000-0005-0000-0000-0000B0640000}"/>
    <cellStyle name="Normal 13 2 4 5" xfId="6707" xr:uid="{00000000-0005-0000-0000-0000B1640000}"/>
    <cellStyle name="Normal 13 2 4 5 2" xfId="14319" xr:uid="{00000000-0005-0000-0000-0000B2640000}"/>
    <cellStyle name="Normal 13 2 4 5 2 2" xfId="27868" xr:uid="{00000000-0005-0000-0000-0000B3640000}"/>
    <cellStyle name="Normal 13 2 4 5 3" xfId="31029" xr:uid="{00000000-0005-0000-0000-0000B4640000}"/>
    <cellStyle name="Normal 13 2 4 6" xfId="6708" xr:uid="{00000000-0005-0000-0000-0000B5640000}"/>
    <cellStyle name="Normal 13 2 4 6 2" xfId="16205" xr:uid="{00000000-0005-0000-0000-0000B6640000}"/>
    <cellStyle name="Normal 13 2 4 6 2 2" xfId="29612" xr:uid="{00000000-0005-0000-0000-0000B7640000}"/>
    <cellStyle name="Normal 13 2 4 6 3" xfId="31030" xr:uid="{00000000-0005-0000-0000-0000B8640000}"/>
    <cellStyle name="Normal 13 2 4 7" xfId="10096" xr:uid="{00000000-0005-0000-0000-0000B9640000}"/>
    <cellStyle name="Normal 13 2 4 7 2" xfId="24325" xr:uid="{00000000-0005-0000-0000-0000BA640000}"/>
    <cellStyle name="Normal 13 2 4 8" xfId="31024" xr:uid="{00000000-0005-0000-0000-0000BB640000}"/>
    <cellStyle name="Normal 13 2 5" xfId="6709" xr:uid="{00000000-0005-0000-0000-0000BC640000}"/>
    <cellStyle name="Normal 13 2 5 2" xfId="6710" xr:uid="{00000000-0005-0000-0000-0000BD640000}"/>
    <cellStyle name="Normal 13 2 5 2 2" xfId="13240" xr:uid="{00000000-0005-0000-0000-0000BE640000}"/>
    <cellStyle name="Normal 13 2 5 2 2 2" xfId="26885" xr:uid="{00000000-0005-0000-0000-0000BF640000}"/>
    <cellStyle name="Normal 13 2 5 2 3" xfId="31032" xr:uid="{00000000-0005-0000-0000-0000C0640000}"/>
    <cellStyle name="Normal 13 2 5 3" xfId="6711" xr:uid="{00000000-0005-0000-0000-0000C1640000}"/>
    <cellStyle name="Normal 13 2 5 3 2" xfId="15691" xr:uid="{00000000-0005-0000-0000-0000C2640000}"/>
    <cellStyle name="Normal 13 2 5 3 2 2" xfId="29177" xr:uid="{00000000-0005-0000-0000-0000C3640000}"/>
    <cellStyle name="Normal 13 2 5 3 3" xfId="31033" xr:uid="{00000000-0005-0000-0000-0000C4640000}"/>
    <cellStyle name="Normal 13 2 5 4" xfId="6712" xr:uid="{00000000-0005-0000-0000-0000C5640000}"/>
    <cellStyle name="Normal 13 2 5 4 2" xfId="17037" xr:uid="{00000000-0005-0000-0000-0000C6640000}"/>
    <cellStyle name="Normal 13 2 5 4 2 2" xfId="30440" xr:uid="{00000000-0005-0000-0000-0000C7640000}"/>
    <cellStyle name="Normal 13 2 5 4 3" xfId="31034" xr:uid="{00000000-0005-0000-0000-0000C8640000}"/>
    <cellStyle name="Normal 13 2 5 5" xfId="10542" xr:uid="{00000000-0005-0000-0000-0000C9640000}"/>
    <cellStyle name="Normal 13 2 5 5 2" xfId="24484" xr:uid="{00000000-0005-0000-0000-0000CA640000}"/>
    <cellStyle name="Normal 13 2 5 6" xfId="31031" xr:uid="{00000000-0005-0000-0000-0000CB640000}"/>
    <cellStyle name="Normal 13 2 6" xfId="6713" xr:uid="{00000000-0005-0000-0000-0000CC640000}"/>
    <cellStyle name="Normal 13 2 6 2" xfId="6714" xr:uid="{00000000-0005-0000-0000-0000CD640000}"/>
    <cellStyle name="Normal 13 2 6 2 2" xfId="13241" xr:uid="{00000000-0005-0000-0000-0000CE640000}"/>
    <cellStyle name="Normal 13 2 6 2 2 2" xfId="26886" xr:uid="{00000000-0005-0000-0000-0000CF640000}"/>
    <cellStyle name="Normal 13 2 6 2 3" xfId="31036" xr:uid="{00000000-0005-0000-0000-0000D0640000}"/>
    <cellStyle name="Normal 13 2 6 3" xfId="6715" xr:uid="{00000000-0005-0000-0000-0000D1640000}"/>
    <cellStyle name="Normal 13 2 6 3 2" xfId="15692" xr:uid="{00000000-0005-0000-0000-0000D2640000}"/>
    <cellStyle name="Normal 13 2 6 3 2 2" xfId="29178" xr:uid="{00000000-0005-0000-0000-0000D3640000}"/>
    <cellStyle name="Normal 13 2 6 3 3" xfId="31037" xr:uid="{00000000-0005-0000-0000-0000D4640000}"/>
    <cellStyle name="Normal 13 2 6 4" xfId="6716" xr:uid="{00000000-0005-0000-0000-0000D5640000}"/>
    <cellStyle name="Normal 13 2 6 4 2" xfId="17133" xr:uid="{00000000-0005-0000-0000-0000D6640000}"/>
    <cellStyle name="Normal 13 2 6 4 2 2" xfId="30492" xr:uid="{00000000-0005-0000-0000-0000D7640000}"/>
    <cellStyle name="Normal 13 2 6 4 3" xfId="31038" xr:uid="{00000000-0005-0000-0000-0000D8640000}"/>
    <cellStyle name="Normal 13 2 6 5" xfId="11469" xr:uid="{00000000-0005-0000-0000-0000D9640000}"/>
    <cellStyle name="Normal 13 2 6 5 2" xfId="25301" xr:uid="{00000000-0005-0000-0000-0000DA640000}"/>
    <cellStyle name="Normal 13 2 6 6" xfId="31035" xr:uid="{00000000-0005-0000-0000-0000DB640000}"/>
    <cellStyle name="Normal 13 2 7" xfId="6717" xr:uid="{00000000-0005-0000-0000-0000DC640000}"/>
    <cellStyle name="Normal 13 2 7 2" xfId="6718" xr:uid="{00000000-0005-0000-0000-0000DD640000}"/>
    <cellStyle name="Normal 13 2 7 2 2" xfId="17222" xr:uid="{00000000-0005-0000-0000-0000DE640000}"/>
    <cellStyle name="Normal 13 2 7 2 2 2" xfId="30581" xr:uid="{00000000-0005-0000-0000-0000DF640000}"/>
    <cellStyle name="Normal 13 2 7 2 3" xfId="31040" xr:uid="{00000000-0005-0000-0000-0000E0640000}"/>
    <cellStyle name="Normal 13 2 7 3" xfId="11859" xr:uid="{00000000-0005-0000-0000-0000E1640000}"/>
    <cellStyle name="Normal 13 2 7 3 2" xfId="25574" xr:uid="{00000000-0005-0000-0000-0000E2640000}"/>
    <cellStyle name="Normal 13 2 7 4" xfId="31039" xr:uid="{00000000-0005-0000-0000-0000E3640000}"/>
    <cellStyle name="Normal 13 2 8" xfId="6719" xr:uid="{00000000-0005-0000-0000-0000E4640000}"/>
    <cellStyle name="Normal 13 2 8 2" xfId="6720" xr:uid="{00000000-0005-0000-0000-0000E5640000}"/>
    <cellStyle name="Normal 13 2 8 2 2" xfId="16497" xr:uid="{00000000-0005-0000-0000-0000E6640000}"/>
    <cellStyle name="Normal 13 2 8 2 2 2" xfId="29904" xr:uid="{00000000-0005-0000-0000-0000E7640000}"/>
    <cellStyle name="Normal 13 2 8 2 3" xfId="31042" xr:uid="{00000000-0005-0000-0000-0000E8640000}"/>
    <cellStyle name="Normal 13 2 8 3" xfId="13449" xr:uid="{00000000-0005-0000-0000-0000E9640000}"/>
    <cellStyle name="Normal 13 2 8 3 2" xfId="26998" xr:uid="{00000000-0005-0000-0000-0000EA640000}"/>
    <cellStyle name="Normal 13 2 8 4" xfId="31041" xr:uid="{00000000-0005-0000-0000-0000EB640000}"/>
    <cellStyle name="Normal 13 2 9" xfId="6721" xr:uid="{00000000-0005-0000-0000-0000EC640000}"/>
    <cellStyle name="Normal 13 2 9 2" xfId="14030" xr:uid="{00000000-0005-0000-0000-0000ED640000}"/>
    <cellStyle name="Normal 13 2 9 2 2" xfId="27579" xr:uid="{00000000-0005-0000-0000-0000EE640000}"/>
    <cellStyle name="Normal 13 2 9 3" xfId="31043" xr:uid="{00000000-0005-0000-0000-0000EF640000}"/>
    <cellStyle name="Normal 13 3" xfId="6722" xr:uid="{00000000-0005-0000-0000-0000F0640000}"/>
    <cellStyle name="Normal 13 3 10" xfId="31044" xr:uid="{00000000-0005-0000-0000-0000F1640000}"/>
    <cellStyle name="Normal 13 3 2" xfId="6723" xr:uid="{00000000-0005-0000-0000-0000F2640000}"/>
    <cellStyle name="Normal 13 3 2 2" xfId="6724" xr:uid="{00000000-0005-0000-0000-0000F3640000}"/>
    <cellStyle name="Normal 13 3 2 2 2" xfId="6725" xr:uid="{00000000-0005-0000-0000-0000F4640000}"/>
    <cellStyle name="Normal 13 3 2 2 2 2" xfId="6726" xr:uid="{00000000-0005-0000-0000-0000F5640000}"/>
    <cellStyle name="Normal 13 3 2 2 2 2 2" xfId="16952" xr:uid="{00000000-0005-0000-0000-0000F6640000}"/>
    <cellStyle name="Normal 13 3 2 2 2 2 2 2" xfId="30359" xr:uid="{00000000-0005-0000-0000-0000F7640000}"/>
    <cellStyle name="Normal 13 3 2 2 2 2 3" xfId="31048" xr:uid="{00000000-0005-0000-0000-0000F8640000}"/>
    <cellStyle name="Normal 13 3 2 2 2 3" xfId="11479" xr:uid="{00000000-0005-0000-0000-0000F9640000}"/>
    <cellStyle name="Normal 13 3 2 2 2 3 2" xfId="25311" xr:uid="{00000000-0005-0000-0000-0000FA640000}"/>
    <cellStyle name="Normal 13 3 2 2 2 4" xfId="31047" xr:uid="{00000000-0005-0000-0000-0000FB640000}"/>
    <cellStyle name="Normal 13 3 2 2 3" xfId="6727" xr:uid="{00000000-0005-0000-0000-0000FC640000}"/>
    <cellStyle name="Normal 13 3 2 2 3 2" xfId="12340" xr:uid="{00000000-0005-0000-0000-0000FD640000}"/>
    <cellStyle name="Normal 13 3 2 2 3 2 2" xfId="26052" xr:uid="{00000000-0005-0000-0000-0000FE640000}"/>
    <cellStyle name="Normal 13 3 2 2 3 3" xfId="31049" xr:uid="{00000000-0005-0000-0000-0000FF640000}"/>
    <cellStyle name="Normal 13 3 2 2 4" xfId="6728" xr:uid="{00000000-0005-0000-0000-000000650000}"/>
    <cellStyle name="Normal 13 3 2 2 4 2" xfId="13904" xr:uid="{00000000-0005-0000-0000-000001650000}"/>
    <cellStyle name="Normal 13 3 2 2 4 2 2" xfId="27453" xr:uid="{00000000-0005-0000-0000-000002650000}"/>
    <cellStyle name="Normal 13 3 2 2 4 3" xfId="31050" xr:uid="{00000000-0005-0000-0000-000003650000}"/>
    <cellStyle name="Normal 13 3 2 2 5" xfId="6729" xr:uid="{00000000-0005-0000-0000-000004650000}"/>
    <cellStyle name="Normal 13 3 2 2 5 2" xfId="14485" xr:uid="{00000000-0005-0000-0000-000005650000}"/>
    <cellStyle name="Normal 13 3 2 2 5 2 2" xfId="28034" xr:uid="{00000000-0005-0000-0000-000006650000}"/>
    <cellStyle name="Normal 13 3 2 2 5 3" xfId="31051" xr:uid="{00000000-0005-0000-0000-000007650000}"/>
    <cellStyle name="Normal 13 3 2 2 6" xfId="6730" xr:uid="{00000000-0005-0000-0000-000008650000}"/>
    <cellStyle name="Normal 13 3 2 2 6 2" xfId="16371" xr:uid="{00000000-0005-0000-0000-000009650000}"/>
    <cellStyle name="Normal 13 3 2 2 6 2 2" xfId="29778" xr:uid="{00000000-0005-0000-0000-00000A650000}"/>
    <cellStyle name="Normal 13 3 2 2 6 3" xfId="31052" xr:uid="{00000000-0005-0000-0000-00000B650000}"/>
    <cellStyle name="Normal 13 3 2 2 7" xfId="10099" xr:uid="{00000000-0005-0000-0000-00000C650000}"/>
    <cellStyle name="Normal 13 3 2 2 7 2" xfId="24328" xr:uid="{00000000-0005-0000-0000-00000D650000}"/>
    <cellStyle name="Normal 13 3 2 2 8" xfId="31046" xr:uid="{00000000-0005-0000-0000-00000E650000}"/>
    <cellStyle name="Normal 13 3 2 3" xfId="6731" xr:uid="{00000000-0005-0000-0000-00000F650000}"/>
    <cellStyle name="Normal 13 3 2 3 2" xfId="6732" xr:uid="{00000000-0005-0000-0000-000010650000}"/>
    <cellStyle name="Normal 13 3 2 3 2 2" xfId="16663" xr:uid="{00000000-0005-0000-0000-000011650000}"/>
    <cellStyle name="Normal 13 3 2 3 2 2 2" xfId="30070" xr:uid="{00000000-0005-0000-0000-000012650000}"/>
    <cellStyle name="Normal 13 3 2 3 2 3" xfId="31054" xr:uid="{00000000-0005-0000-0000-000013650000}"/>
    <cellStyle name="Normal 13 3 2 3 3" xfId="11478" xr:uid="{00000000-0005-0000-0000-000014650000}"/>
    <cellStyle name="Normal 13 3 2 3 3 2" xfId="25310" xr:uid="{00000000-0005-0000-0000-000015650000}"/>
    <cellStyle name="Normal 13 3 2 3 4" xfId="31053" xr:uid="{00000000-0005-0000-0000-000016650000}"/>
    <cellStyle name="Normal 13 3 2 4" xfId="6733" xr:uid="{00000000-0005-0000-0000-000017650000}"/>
    <cellStyle name="Normal 13 3 2 4 2" xfId="12040" xr:uid="{00000000-0005-0000-0000-000018650000}"/>
    <cellStyle name="Normal 13 3 2 4 2 2" xfId="25755" xr:uid="{00000000-0005-0000-0000-000019650000}"/>
    <cellStyle name="Normal 13 3 2 4 3" xfId="31055" xr:uid="{00000000-0005-0000-0000-00001A650000}"/>
    <cellStyle name="Normal 13 3 2 5" xfId="6734" xr:uid="{00000000-0005-0000-0000-00001B650000}"/>
    <cellStyle name="Normal 13 3 2 5 2" xfId="13615" xr:uid="{00000000-0005-0000-0000-00001C650000}"/>
    <cellStyle name="Normal 13 3 2 5 2 2" xfId="27164" xr:uid="{00000000-0005-0000-0000-00001D650000}"/>
    <cellStyle name="Normal 13 3 2 5 3" xfId="31056" xr:uid="{00000000-0005-0000-0000-00001E650000}"/>
    <cellStyle name="Normal 13 3 2 6" xfId="6735" xr:uid="{00000000-0005-0000-0000-00001F650000}"/>
    <cellStyle name="Normal 13 3 2 6 2" xfId="14196" xr:uid="{00000000-0005-0000-0000-000020650000}"/>
    <cellStyle name="Normal 13 3 2 6 2 2" xfId="27745" xr:uid="{00000000-0005-0000-0000-000021650000}"/>
    <cellStyle name="Normal 13 3 2 6 3" xfId="31057" xr:uid="{00000000-0005-0000-0000-000022650000}"/>
    <cellStyle name="Normal 13 3 2 7" xfId="6736" xr:uid="{00000000-0005-0000-0000-000023650000}"/>
    <cellStyle name="Normal 13 3 2 7 2" xfId="16082" xr:uid="{00000000-0005-0000-0000-000024650000}"/>
    <cellStyle name="Normal 13 3 2 7 2 2" xfId="29489" xr:uid="{00000000-0005-0000-0000-000025650000}"/>
    <cellStyle name="Normal 13 3 2 7 3" xfId="31058" xr:uid="{00000000-0005-0000-0000-000026650000}"/>
    <cellStyle name="Normal 13 3 2 8" xfId="10098" xr:uid="{00000000-0005-0000-0000-000027650000}"/>
    <cellStyle name="Normal 13 3 2 8 2" xfId="24327" xr:uid="{00000000-0005-0000-0000-000028650000}"/>
    <cellStyle name="Normal 13 3 2 9" xfId="31045" xr:uid="{00000000-0005-0000-0000-000029650000}"/>
    <cellStyle name="Normal 13 3 3" xfId="6737" xr:uid="{00000000-0005-0000-0000-00002A650000}"/>
    <cellStyle name="Normal 13 3 3 2" xfId="6738" xr:uid="{00000000-0005-0000-0000-00002B650000}"/>
    <cellStyle name="Normal 13 3 3 2 2" xfId="6739" xr:uid="{00000000-0005-0000-0000-00002C650000}"/>
    <cellStyle name="Normal 13 3 3 2 2 2" xfId="16809" xr:uid="{00000000-0005-0000-0000-00002D650000}"/>
    <cellStyle name="Normal 13 3 3 2 2 2 2" xfId="30216" xr:uid="{00000000-0005-0000-0000-00002E650000}"/>
    <cellStyle name="Normal 13 3 3 2 2 3" xfId="31061" xr:uid="{00000000-0005-0000-0000-00002F650000}"/>
    <cellStyle name="Normal 13 3 3 2 3" xfId="11480" xr:uid="{00000000-0005-0000-0000-000030650000}"/>
    <cellStyle name="Normal 13 3 3 2 3 2" xfId="25312" xr:uid="{00000000-0005-0000-0000-000031650000}"/>
    <cellStyle name="Normal 13 3 3 2 4" xfId="31060" xr:uid="{00000000-0005-0000-0000-000032650000}"/>
    <cellStyle name="Normal 13 3 3 3" xfId="6740" xr:uid="{00000000-0005-0000-0000-000033650000}"/>
    <cellStyle name="Normal 13 3 3 3 2" xfId="12197" xr:uid="{00000000-0005-0000-0000-000034650000}"/>
    <cellStyle name="Normal 13 3 3 3 2 2" xfId="25909" xr:uid="{00000000-0005-0000-0000-000035650000}"/>
    <cellStyle name="Normal 13 3 3 3 3" xfId="31062" xr:uid="{00000000-0005-0000-0000-000036650000}"/>
    <cellStyle name="Normal 13 3 3 4" xfId="6741" xr:uid="{00000000-0005-0000-0000-000037650000}"/>
    <cellStyle name="Normal 13 3 3 4 2" xfId="13761" xr:uid="{00000000-0005-0000-0000-000038650000}"/>
    <cellStyle name="Normal 13 3 3 4 2 2" xfId="27310" xr:uid="{00000000-0005-0000-0000-000039650000}"/>
    <cellStyle name="Normal 13 3 3 4 3" xfId="31063" xr:uid="{00000000-0005-0000-0000-00003A650000}"/>
    <cellStyle name="Normal 13 3 3 5" xfId="6742" xr:uid="{00000000-0005-0000-0000-00003B650000}"/>
    <cellStyle name="Normal 13 3 3 5 2" xfId="14342" xr:uid="{00000000-0005-0000-0000-00003C650000}"/>
    <cellStyle name="Normal 13 3 3 5 2 2" xfId="27891" xr:uid="{00000000-0005-0000-0000-00003D650000}"/>
    <cellStyle name="Normal 13 3 3 5 3" xfId="31064" xr:uid="{00000000-0005-0000-0000-00003E650000}"/>
    <cellStyle name="Normal 13 3 3 6" xfId="6743" xr:uid="{00000000-0005-0000-0000-00003F650000}"/>
    <cellStyle name="Normal 13 3 3 6 2" xfId="16228" xr:uid="{00000000-0005-0000-0000-000040650000}"/>
    <cellStyle name="Normal 13 3 3 6 2 2" xfId="29635" xr:uid="{00000000-0005-0000-0000-000041650000}"/>
    <cellStyle name="Normal 13 3 3 6 3" xfId="31065" xr:uid="{00000000-0005-0000-0000-000042650000}"/>
    <cellStyle name="Normal 13 3 3 7" xfId="10100" xr:uid="{00000000-0005-0000-0000-000043650000}"/>
    <cellStyle name="Normal 13 3 3 7 2" xfId="24329" xr:uid="{00000000-0005-0000-0000-000044650000}"/>
    <cellStyle name="Normal 13 3 3 8" xfId="31059" xr:uid="{00000000-0005-0000-0000-000045650000}"/>
    <cellStyle name="Normal 13 3 4" xfId="6744" xr:uid="{00000000-0005-0000-0000-000046650000}"/>
    <cellStyle name="Normal 13 3 4 2" xfId="6745" xr:uid="{00000000-0005-0000-0000-000047650000}"/>
    <cellStyle name="Normal 13 3 4 2 2" xfId="17156" xr:uid="{00000000-0005-0000-0000-000048650000}"/>
    <cellStyle name="Normal 13 3 4 2 2 2" xfId="30515" xr:uid="{00000000-0005-0000-0000-000049650000}"/>
    <cellStyle name="Normal 13 3 4 2 3" xfId="31067" xr:uid="{00000000-0005-0000-0000-00004A650000}"/>
    <cellStyle name="Normal 13 3 4 3" xfId="11477" xr:uid="{00000000-0005-0000-0000-00004B650000}"/>
    <cellStyle name="Normal 13 3 4 3 2" xfId="25309" xr:uid="{00000000-0005-0000-0000-00004C650000}"/>
    <cellStyle name="Normal 13 3 4 4" xfId="31066" xr:uid="{00000000-0005-0000-0000-00004D650000}"/>
    <cellStyle name="Normal 13 3 5" xfId="6746" xr:uid="{00000000-0005-0000-0000-00004E650000}"/>
    <cellStyle name="Normal 13 3 5 2" xfId="6747" xr:uid="{00000000-0005-0000-0000-00004F650000}"/>
    <cellStyle name="Normal 13 3 5 2 2" xfId="17245" xr:uid="{00000000-0005-0000-0000-000050650000}"/>
    <cellStyle name="Normal 13 3 5 2 2 2" xfId="30604" xr:uid="{00000000-0005-0000-0000-000051650000}"/>
    <cellStyle name="Normal 13 3 5 2 3" xfId="31069" xr:uid="{00000000-0005-0000-0000-000052650000}"/>
    <cellStyle name="Normal 13 3 5 3" xfId="11895" xr:uid="{00000000-0005-0000-0000-000053650000}"/>
    <cellStyle name="Normal 13 3 5 3 2" xfId="25610" xr:uid="{00000000-0005-0000-0000-000054650000}"/>
    <cellStyle name="Normal 13 3 5 4" xfId="31068" xr:uid="{00000000-0005-0000-0000-000055650000}"/>
    <cellStyle name="Normal 13 3 6" xfId="6748" xr:uid="{00000000-0005-0000-0000-000056650000}"/>
    <cellStyle name="Normal 13 3 6 2" xfId="6749" xr:uid="{00000000-0005-0000-0000-000057650000}"/>
    <cellStyle name="Normal 13 3 6 2 2" xfId="16520" xr:uid="{00000000-0005-0000-0000-000058650000}"/>
    <cellStyle name="Normal 13 3 6 2 2 2" xfId="29927" xr:uid="{00000000-0005-0000-0000-000059650000}"/>
    <cellStyle name="Normal 13 3 6 2 3" xfId="31071" xr:uid="{00000000-0005-0000-0000-00005A650000}"/>
    <cellStyle name="Normal 13 3 6 3" xfId="13472" xr:uid="{00000000-0005-0000-0000-00005B650000}"/>
    <cellStyle name="Normal 13 3 6 3 2" xfId="27021" xr:uid="{00000000-0005-0000-0000-00005C650000}"/>
    <cellStyle name="Normal 13 3 6 4" xfId="31070" xr:uid="{00000000-0005-0000-0000-00005D650000}"/>
    <cellStyle name="Normal 13 3 7" xfId="6750" xr:uid="{00000000-0005-0000-0000-00005E650000}"/>
    <cellStyle name="Normal 13 3 7 2" xfId="14053" xr:uid="{00000000-0005-0000-0000-00005F650000}"/>
    <cellStyle name="Normal 13 3 7 2 2" xfId="27602" xr:uid="{00000000-0005-0000-0000-000060650000}"/>
    <cellStyle name="Normal 13 3 7 3" xfId="31072" xr:uid="{00000000-0005-0000-0000-000061650000}"/>
    <cellStyle name="Normal 13 3 8" xfId="6751" xr:uid="{00000000-0005-0000-0000-000062650000}"/>
    <cellStyle name="Normal 13 3 8 2" xfId="15939" xr:uid="{00000000-0005-0000-0000-000063650000}"/>
    <cellStyle name="Normal 13 3 8 2 2" xfId="29346" xr:uid="{00000000-0005-0000-0000-000064650000}"/>
    <cellStyle name="Normal 13 3 8 3" xfId="31073" xr:uid="{00000000-0005-0000-0000-000065650000}"/>
    <cellStyle name="Normal 13 3 9" xfId="10097" xr:uid="{00000000-0005-0000-0000-000066650000}"/>
    <cellStyle name="Normal 13 3 9 2" xfId="24326" xr:uid="{00000000-0005-0000-0000-000067650000}"/>
    <cellStyle name="Normal 13 4" xfId="6752" xr:uid="{00000000-0005-0000-0000-000068650000}"/>
    <cellStyle name="Normal 13 4 10" xfId="31074" xr:uid="{00000000-0005-0000-0000-000069650000}"/>
    <cellStyle name="Normal 13 4 2" xfId="6753" xr:uid="{00000000-0005-0000-0000-00006A650000}"/>
    <cellStyle name="Normal 13 4 2 2" xfId="6754" xr:uid="{00000000-0005-0000-0000-00006B650000}"/>
    <cellStyle name="Normal 13 4 2 2 2" xfId="6755" xr:uid="{00000000-0005-0000-0000-00006C650000}"/>
    <cellStyle name="Normal 13 4 2 2 2 2" xfId="6756" xr:uid="{00000000-0005-0000-0000-00006D650000}"/>
    <cellStyle name="Normal 13 4 2 2 2 2 2" xfId="16906" xr:uid="{00000000-0005-0000-0000-00006E650000}"/>
    <cellStyle name="Normal 13 4 2 2 2 2 2 2" xfId="30313" xr:uid="{00000000-0005-0000-0000-00006F650000}"/>
    <cellStyle name="Normal 13 4 2 2 2 2 3" xfId="31078" xr:uid="{00000000-0005-0000-0000-000070650000}"/>
    <cellStyle name="Normal 13 4 2 2 2 3" xfId="11483" xr:uid="{00000000-0005-0000-0000-000071650000}"/>
    <cellStyle name="Normal 13 4 2 2 2 3 2" xfId="25315" xr:uid="{00000000-0005-0000-0000-000072650000}"/>
    <cellStyle name="Normal 13 4 2 2 2 4" xfId="31077" xr:uid="{00000000-0005-0000-0000-000073650000}"/>
    <cellStyle name="Normal 13 4 2 2 3" xfId="6757" xr:uid="{00000000-0005-0000-0000-000074650000}"/>
    <cellStyle name="Normal 13 4 2 2 3 2" xfId="12294" xr:uid="{00000000-0005-0000-0000-000075650000}"/>
    <cellStyle name="Normal 13 4 2 2 3 2 2" xfId="26006" xr:uid="{00000000-0005-0000-0000-000076650000}"/>
    <cellStyle name="Normal 13 4 2 2 3 3" xfId="31079" xr:uid="{00000000-0005-0000-0000-000077650000}"/>
    <cellStyle name="Normal 13 4 2 2 4" xfId="6758" xr:uid="{00000000-0005-0000-0000-000078650000}"/>
    <cellStyle name="Normal 13 4 2 2 4 2" xfId="13858" xr:uid="{00000000-0005-0000-0000-000079650000}"/>
    <cellStyle name="Normal 13 4 2 2 4 2 2" xfId="27407" xr:uid="{00000000-0005-0000-0000-00007A650000}"/>
    <cellStyle name="Normal 13 4 2 2 4 3" xfId="31080" xr:uid="{00000000-0005-0000-0000-00007B650000}"/>
    <cellStyle name="Normal 13 4 2 2 5" xfId="6759" xr:uid="{00000000-0005-0000-0000-00007C650000}"/>
    <cellStyle name="Normal 13 4 2 2 5 2" xfId="14439" xr:uid="{00000000-0005-0000-0000-00007D650000}"/>
    <cellStyle name="Normal 13 4 2 2 5 2 2" xfId="27988" xr:uid="{00000000-0005-0000-0000-00007E650000}"/>
    <cellStyle name="Normal 13 4 2 2 5 3" xfId="31081" xr:uid="{00000000-0005-0000-0000-00007F650000}"/>
    <cellStyle name="Normal 13 4 2 2 6" xfId="6760" xr:uid="{00000000-0005-0000-0000-000080650000}"/>
    <cellStyle name="Normal 13 4 2 2 6 2" xfId="16325" xr:uid="{00000000-0005-0000-0000-000081650000}"/>
    <cellStyle name="Normal 13 4 2 2 6 2 2" xfId="29732" xr:uid="{00000000-0005-0000-0000-000082650000}"/>
    <cellStyle name="Normal 13 4 2 2 6 3" xfId="31082" xr:uid="{00000000-0005-0000-0000-000083650000}"/>
    <cellStyle name="Normal 13 4 2 2 7" xfId="10103" xr:uid="{00000000-0005-0000-0000-000084650000}"/>
    <cellStyle name="Normal 13 4 2 2 7 2" xfId="24332" xr:uid="{00000000-0005-0000-0000-000085650000}"/>
    <cellStyle name="Normal 13 4 2 2 8" xfId="31076" xr:uid="{00000000-0005-0000-0000-000086650000}"/>
    <cellStyle name="Normal 13 4 2 3" xfId="6761" xr:uid="{00000000-0005-0000-0000-000087650000}"/>
    <cellStyle name="Normal 13 4 2 3 2" xfId="6762" xr:uid="{00000000-0005-0000-0000-000088650000}"/>
    <cellStyle name="Normal 13 4 2 3 2 2" xfId="16617" xr:uid="{00000000-0005-0000-0000-000089650000}"/>
    <cellStyle name="Normal 13 4 2 3 2 2 2" xfId="30024" xr:uid="{00000000-0005-0000-0000-00008A650000}"/>
    <cellStyle name="Normal 13 4 2 3 2 3" xfId="31084" xr:uid="{00000000-0005-0000-0000-00008B650000}"/>
    <cellStyle name="Normal 13 4 2 3 3" xfId="11482" xr:uid="{00000000-0005-0000-0000-00008C650000}"/>
    <cellStyle name="Normal 13 4 2 3 3 2" xfId="25314" xr:uid="{00000000-0005-0000-0000-00008D650000}"/>
    <cellStyle name="Normal 13 4 2 3 4" xfId="31083" xr:uid="{00000000-0005-0000-0000-00008E650000}"/>
    <cellStyle name="Normal 13 4 2 4" xfId="6763" xr:uid="{00000000-0005-0000-0000-00008F650000}"/>
    <cellStyle name="Normal 13 4 2 4 2" xfId="11994" xr:uid="{00000000-0005-0000-0000-000090650000}"/>
    <cellStyle name="Normal 13 4 2 4 2 2" xfId="25709" xr:uid="{00000000-0005-0000-0000-000091650000}"/>
    <cellStyle name="Normal 13 4 2 4 3" xfId="31085" xr:uid="{00000000-0005-0000-0000-000092650000}"/>
    <cellStyle name="Normal 13 4 2 5" xfId="6764" xr:uid="{00000000-0005-0000-0000-000093650000}"/>
    <cellStyle name="Normal 13 4 2 5 2" xfId="13569" xr:uid="{00000000-0005-0000-0000-000094650000}"/>
    <cellStyle name="Normal 13 4 2 5 2 2" xfId="27118" xr:uid="{00000000-0005-0000-0000-000095650000}"/>
    <cellStyle name="Normal 13 4 2 5 3" xfId="31086" xr:uid="{00000000-0005-0000-0000-000096650000}"/>
    <cellStyle name="Normal 13 4 2 6" xfId="6765" xr:uid="{00000000-0005-0000-0000-000097650000}"/>
    <cellStyle name="Normal 13 4 2 6 2" xfId="14150" xr:uid="{00000000-0005-0000-0000-000098650000}"/>
    <cellStyle name="Normal 13 4 2 6 2 2" xfId="27699" xr:uid="{00000000-0005-0000-0000-000099650000}"/>
    <cellStyle name="Normal 13 4 2 6 3" xfId="31087" xr:uid="{00000000-0005-0000-0000-00009A650000}"/>
    <cellStyle name="Normal 13 4 2 7" xfId="6766" xr:uid="{00000000-0005-0000-0000-00009B650000}"/>
    <cellStyle name="Normal 13 4 2 7 2" xfId="16036" xr:uid="{00000000-0005-0000-0000-00009C650000}"/>
    <cellStyle name="Normal 13 4 2 7 2 2" xfId="29443" xr:uid="{00000000-0005-0000-0000-00009D650000}"/>
    <cellStyle name="Normal 13 4 2 7 3" xfId="31088" xr:uid="{00000000-0005-0000-0000-00009E650000}"/>
    <cellStyle name="Normal 13 4 2 8" xfId="10102" xr:uid="{00000000-0005-0000-0000-00009F650000}"/>
    <cellStyle name="Normal 13 4 2 8 2" xfId="24331" xr:uid="{00000000-0005-0000-0000-0000A0650000}"/>
    <cellStyle name="Normal 13 4 2 9" xfId="31075" xr:uid="{00000000-0005-0000-0000-0000A1650000}"/>
    <cellStyle name="Normal 13 4 3" xfId="6767" xr:uid="{00000000-0005-0000-0000-0000A2650000}"/>
    <cellStyle name="Normal 13 4 3 2" xfId="6768" xr:uid="{00000000-0005-0000-0000-0000A3650000}"/>
    <cellStyle name="Normal 13 4 3 2 2" xfId="6769" xr:uid="{00000000-0005-0000-0000-0000A4650000}"/>
    <cellStyle name="Normal 13 4 3 2 2 2" xfId="16766" xr:uid="{00000000-0005-0000-0000-0000A5650000}"/>
    <cellStyle name="Normal 13 4 3 2 2 2 2" xfId="30173" xr:uid="{00000000-0005-0000-0000-0000A6650000}"/>
    <cellStyle name="Normal 13 4 3 2 2 3" xfId="31091" xr:uid="{00000000-0005-0000-0000-0000A7650000}"/>
    <cellStyle name="Normal 13 4 3 2 3" xfId="11484" xr:uid="{00000000-0005-0000-0000-0000A8650000}"/>
    <cellStyle name="Normal 13 4 3 2 3 2" xfId="25316" xr:uid="{00000000-0005-0000-0000-0000A9650000}"/>
    <cellStyle name="Normal 13 4 3 2 4" xfId="31090" xr:uid="{00000000-0005-0000-0000-0000AA650000}"/>
    <cellStyle name="Normal 13 4 3 3" xfId="6770" xr:uid="{00000000-0005-0000-0000-0000AB650000}"/>
    <cellStyle name="Normal 13 4 3 3 2" xfId="12154" xr:uid="{00000000-0005-0000-0000-0000AC650000}"/>
    <cellStyle name="Normal 13 4 3 3 2 2" xfId="25866" xr:uid="{00000000-0005-0000-0000-0000AD650000}"/>
    <cellStyle name="Normal 13 4 3 3 3" xfId="31092" xr:uid="{00000000-0005-0000-0000-0000AE650000}"/>
    <cellStyle name="Normal 13 4 3 4" xfId="6771" xr:uid="{00000000-0005-0000-0000-0000AF650000}"/>
    <cellStyle name="Normal 13 4 3 4 2" xfId="13718" xr:uid="{00000000-0005-0000-0000-0000B0650000}"/>
    <cellStyle name="Normal 13 4 3 4 2 2" xfId="27267" xr:uid="{00000000-0005-0000-0000-0000B1650000}"/>
    <cellStyle name="Normal 13 4 3 4 3" xfId="31093" xr:uid="{00000000-0005-0000-0000-0000B2650000}"/>
    <cellStyle name="Normal 13 4 3 5" xfId="6772" xr:uid="{00000000-0005-0000-0000-0000B3650000}"/>
    <cellStyle name="Normal 13 4 3 5 2" xfId="14299" xr:uid="{00000000-0005-0000-0000-0000B4650000}"/>
    <cellStyle name="Normal 13 4 3 5 2 2" xfId="27848" xr:uid="{00000000-0005-0000-0000-0000B5650000}"/>
    <cellStyle name="Normal 13 4 3 5 3" xfId="31094" xr:uid="{00000000-0005-0000-0000-0000B6650000}"/>
    <cellStyle name="Normal 13 4 3 6" xfId="6773" xr:uid="{00000000-0005-0000-0000-0000B7650000}"/>
    <cellStyle name="Normal 13 4 3 6 2" xfId="16185" xr:uid="{00000000-0005-0000-0000-0000B8650000}"/>
    <cellStyle name="Normal 13 4 3 6 2 2" xfId="29592" xr:uid="{00000000-0005-0000-0000-0000B9650000}"/>
    <cellStyle name="Normal 13 4 3 6 3" xfId="31095" xr:uid="{00000000-0005-0000-0000-0000BA650000}"/>
    <cellStyle name="Normal 13 4 3 7" xfId="10104" xr:uid="{00000000-0005-0000-0000-0000BB650000}"/>
    <cellStyle name="Normal 13 4 3 7 2" xfId="24333" xr:uid="{00000000-0005-0000-0000-0000BC650000}"/>
    <cellStyle name="Normal 13 4 3 8" xfId="31089" xr:uid="{00000000-0005-0000-0000-0000BD650000}"/>
    <cellStyle name="Normal 13 4 4" xfId="6774" xr:uid="{00000000-0005-0000-0000-0000BE650000}"/>
    <cellStyle name="Normal 13 4 4 2" xfId="6775" xr:uid="{00000000-0005-0000-0000-0000BF650000}"/>
    <cellStyle name="Normal 13 4 4 2 2" xfId="16474" xr:uid="{00000000-0005-0000-0000-0000C0650000}"/>
    <cellStyle name="Normal 13 4 4 2 2 2" xfId="29881" xr:uid="{00000000-0005-0000-0000-0000C1650000}"/>
    <cellStyle name="Normal 13 4 4 2 3" xfId="31097" xr:uid="{00000000-0005-0000-0000-0000C2650000}"/>
    <cellStyle name="Normal 13 4 4 3" xfId="11481" xr:uid="{00000000-0005-0000-0000-0000C3650000}"/>
    <cellStyle name="Normal 13 4 4 3 2" xfId="25313" xr:uid="{00000000-0005-0000-0000-0000C4650000}"/>
    <cellStyle name="Normal 13 4 4 4" xfId="31096" xr:uid="{00000000-0005-0000-0000-0000C5650000}"/>
    <cellStyle name="Normal 13 4 5" xfId="6776" xr:uid="{00000000-0005-0000-0000-0000C6650000}"/>
    <cellStyle name="Normal 13 4 5 2" xfId="11825" xr:uid="{00000000-0005-0000-0000-0000C7650000}"/>
    <cellStyle name="Normal 13 4 5 2 2" xfId="25540" xr:uid="{00000000-0005-0000-0000-0000C8650000}"/>
    <cellStyle name="Normal 13 4 5 3" xfId="31098" xr:uid="{00000000-0005-0000-0000-0000C9650000}"/>
    <cellStyle name="Normal 13 4 6" xfId="6777" xr:uid="{00000000-0005-0000-0000-0000CA650000}"/>
    <cellStyle name="Normal 13 4 6 2" xfId="13426" xr:uid="{00000000-0005-0000-0000-0000CB650000}"/>
    <cellStyle name="Normal 13 4 6 2 2" xfId="26975" xr:uid="{00000000-0005-0000-0000-0000CC650000}"/>
    <cellStyle name="Normal 13 4 6 3" xfId="31099" xr:uid="{00000000-0005-0000-0000-0000CD650000}"/>
    <cellStyle name="Normal 13 4 7" xfId="6778" xr:uid="{00000000-0005-0000-0000-0000CE650000}"/>
    <cellStyle name="Normal 13 4 7 2" xfId="14007" xr:uid="{00000000-0005-0000-0000-0000CF650000}"/>
    <cellStyle name="Normal 13 4 7 2 2" xfId="27556" xr:uid="{00000000-0005-0000-0000-0000D0650000}"/>
    <cellStyle name="Normal 13 4 7 3" xfId="31100" xr:uid="{00000000-0005-0000-0000-0000D1650000}"/>
    <cellStyle name="Normal 13 4 8" xfId="6779" xr:uid="{00000000-0005-0000-0000-0000D2650000}"/>
    <cellStyle name="Normal 13 4 8 2" xfId="15893" xr:uid="{00000000-0005-0000-0000-0000D3650000}"/>
    <cellStyle name="Normal 13 4 8 2 2" xfId="29300" xr:uid="{00000000-0005-0000-0000-0000D4650000}"/>
    <cellStyle name="Normal 13 4 8 3" xfId="31101" xr:uid="{00000000-0005-0000-0000-0000D5650000}"/>
    <cellStyle name="Normal 13 4 9" xfId="10101" xr:uid="{00000000-0005-0000-0000-0000D6650000}"/>
    <cellStyle name="Normal 13 4 9 2" xfId="24330" xr:uid="{00000000-0005-0000-0000-0000D7650000}"/>
    <cellStyle name="Normal 13 5" xfId="6780" xr:uid="{00000000-0005-0000-0000-0000D8650000}"/>
    <cellStyle name="Normal 13 5 10" xfId="31102" xr:uid="{00000000-0005-0000-0000-0000D9650000}"/>
    <cellStyle name="Normal 13 5 2" xfId="6781" xr:uid="{00000000-0005-0000-0000-0000DA650000}"/>
    <cellStyle name="Normal 13 5 2 2" xfId="6782" xr:uid="{00000000-0005-0000-0000-0000DB650000}"/>
    <cellStyle name="Normal 13 5 2 2 2" xfId="6783" xr:uid="{00000000-0005-0000-0000-0000DC650000}"/>
    <cellStyle name="Normal 13 5 2 2 2 2" xfId="6784" xr:uid="{00000000-0005-0000-0000-0000DD650000}"/>
    <cellStyle name="Normal 13 5 2 2 2 2 2" xfId="16889" xr:uid="{00000000-0005-0000-0000-0000DE650000}"/>
    <cellStyle name="Normal 13 5 2 2 2 2 2 2" xfId="30296" xr:uid="{00000000-0005-0000-0000-0000DF650000}"/>
    <cellStyle name="Normal 13 5 2 2 2 2 3" xfId="31106" xr:uid="{00000000-0005-0000-0000-0000E0650000}"/>
    <cellStyle name="Normal 13 5 2 2 2 3" xfId="11487" xr:uid="{00000000-0005-0000-0000-0000E1650000}"/>
    <cellStyle name="Normal 13 5 2 2 2 3 2" xfId="25319" xr:uid="{00000000-0005-0000-0000-0000E2650000}"/>
    <cellStyle name="Normal 13 5 2 2 2 4" xfId="31105" xr:uid="{00000000-0005-0000-0000-0000E3650000}"/>
    <cellStyle name="Normal 13 5 2 2 3" xfId="6785" xr:uid="{00000000-0005-0000-0000-0000E4650000}"/>
    <cellStyle name="Normal 13 5 2 2 3 2" xfId="12277" xr:uid="{00000000-0005-0000-0000-0000E5650000}"/>
    <cellStyle name="Normal 13 5 2 2 3 2 2" xfId="25989" xr:uid="{00000000-0005-0000-0000-0000E6650000}"/>
    <cellStyle name="Normal 13 5 2 2 3 3" xfId="31107" xr:uid="{00000000-0005-0000-0000-0000E7650000}"/>
    <cellStyle name="Normal 13 5 2 2 4" xfId="6786" xr:uid="{00000000-0005-0000-0000-0000E8650000}"/>
    <cellStyle name="Normal 13 5 2 2 4 2" xfId="13841" xr:uid="{00000000-0005-0000-0000-0000E9650000}"/>
    <cellStyle name="Normal 13 5 2 2 4 2 2" xfId="27390" xr:uid="{00000000-0005-0000-0000-0000EA650000}"/>
    <cellStyle name="Normal 13 5 2 2 4 3" xfId="31108" xr:uid="{00000000-0005-0000-0000-0000EB650000}"/>
    <cellStyle name="Normal 13 5 2 2 5" xfId="6787" xr:uid="{00000000-0005-0000-0000-0000EC650000}"/>
    <cellStyle name="Normal 13 5 2 2 5 2" xfId="14422" xr:uid="{00000000-0005-0000-0000-0000ED650000}"/>
    <cellStyle name="Normal 13 5 2 2 5 2 2" xfId="27971" xr:uid="{00000000-0005-0000-0000-0000EE650000}"/>
    <cellStyle name="Normal 13 5 2 2 5 3" xfId="31109" xr:uid="{00000000-0005-0000-0000-0000EF650000}"/>
    <cellStyle name="Normal 13 5 2 2 6" xfId="6788" xr:uid="{00000000-0005-0000-0000-0000F0650000}"/>
    <cellStyle name="Normal 13 5 2 2 6 2" xfId="16308" xr:uid="{00000000-0005-0000-0000-0000F1650000}"/>
    <cellStyle name="Normal 13 5 2 2 6 2 2" xfId="29715" xr:uid="{00000000-0005-0000-0000-0000F2650000}"/>
    <cellStyle name="Normal 13 5 2 2 6 3" xfId="31110" xr:uid="{00000000-0005-0000-0000-0000F3650000}"/>
    <cellStyle name="Normal 13 5 2 2 7" xfId="10107" xr:uid="{00000000-0005-0000-0000-0000F4650000}"/>
    <cellStyle name="Normal 13 5 2 2 7 2" xfId="24336" xr:uid="{00000000-0005-0000-0000-0000F5650000}"/>
    <cellStyle name="Normal 13 5 2 2 8" xfId="31104" xr:uid="{00000000-0005-0000-0000-0000F6650000}"/>
    <cellStyle name="Normal 13 5 2 3" xfId="6789" xr:uid="{00000000-0005-0000-0000-0000F7650000}"/>
    <cellStyle name="Normal 13 5 2 3 2" xfId="6790" xr:uid="{00000000-0005-0000-0000-0000F8650000}"/>
    <cellStyle name="Normal 13 5 2 3 2 2" xfId="16600" xr:uid="{00000000-0005-0000-0000-0000F9650000}"/>
    <cellStyle name="Normal 13 5 2 3 2 2 2" xfId="30007" xr:uid="{00000000-0005-0000-0000-0000FA650000}"/>
    <cellStyle name="Normal 13 5 2 3 2 3" xfId="31112" xr:uid="{00000000-0005-0000-0000-0000FB650000}"/>
    <cellStyle name="Normal 13 5 2 3 3" xfId="11486" xr:uid="{00000000-0005-0000-0000-0000FC650000}"/>
    <cellStyle name="Normal 13 5 2 3 3 2" xfId="25318" xr:uid="{00000000-0005-0000-0000-0000FD650000}"/>
    <cellStyle name="Normal 13 5 2 3 4" xfId="31111" xr:uid="{00000000-0005-0000-0000-0000FE650000}"/>
    <cellStyle name="Normal 13 5 2 4" xfId="6791" xr:uid="{00000000-0005-0000-0000-0000FF650000}"/>
    <cellStyle name="Normal 13 5 2 4 2" xfId="11977" xr:uid="{00000000-0005-0000-0000-000000660000}"/>
    <cellStyle name="Normal 13 5 2 4 2 2" xfId="25692" xr:uid="{00000000-0005-0000-0000-000001660000}"/>
    <cellStyle name="Normal 13 5 2 4 3" xfId="31113" xr:uid="{00000000-0005-0000-0000-000002660000}"/>
    <cellStyle name="Normal 13 5 2 5" xfId="6792" xr:uid="{00000000-0005-0000-0000-000003660000}"/>
    <cellStyle name="Normal 13 5 2 5 2" xfId="13552" xr:uid="{00000000-0005-0000-0000-000004660000}"/>
    <cellStyle name="Normal 13 5 2 5 2 2" xfId="27101" xr:uid="{00000000-0005-0000-0000-000005660000}"/>
    <cellStyle name="Normal 13 5 2 5 3" xfId="31114" xr:uid="{00000000-0005-0000-0000-000006660000}"/>
    <cellStyle name="Normal 13 5 2 6" xfId="6793" xr:uid="{00000000-0005-0000-0000-000007660000}"/>
    <cellStyle name="Normal 13 5 2 6 2" xfId="14133" xr:uid="{00000000-0005-0000-0000-000008660000}"/>
    <cellStyle name="Normal 13 5 2 6 2 2" xfId="27682" xr:uid="{00000000-0005-0000-0000-000009660000}"/>
    <cellStyle name="Normal 13 5 2 6 3" xfId="31115" xr:uid="{00000000-0005-0000-0000-00000A660000}"/>
    <cellStyle name="Normal 13 5 2 7" xfId="6794" xr:uid="{00000000-0005-0000-0000-00000B660000}"/>
    <cellStyle name="Normal 13 5 2 7 2" xfId="16019" xr:uid="{00000000-0005-0000-0000-00000C660000}"/>
    <cellStyle name="Normal 13 5 2 7 2 2" xfId="29426" xr:uid="{00000000-0005-0000-0000-00000D660000}"/>
    <cellStyle name="Normal 13 5 2 7 3" xfId="31116" xr:uid="{00000000-0005-0000-0000-00000E660000}"/>
    <cellStyle name="Normal 13 5 2 8" xfId="10106" xr:uid="{00000000-0005-0000-0000-00000F660000}"/>
    <cellStyle name="Normal 13 5 2 8 2" xfId="24335" xr:uid="{00000000-0005-0000-0000-000010660000}"/>
    <cellStyle name="Normal 13 5 2 9" xfId="31103" xr:uid="{00000000-0005-0000-0000-000011660000}"/>
    <cellStyle name="Normal 13 5 3" xfId="6795" xr:uid="{00000000-0005-0000-0000-000012660000}"/>
    <cellStyle name="Normal 13 5 3 2" xfId="6796" xr:uid="{00000000-0005-0000-0000-000013660000}"/>
    <cellStyle name="Normal 13 5 3 2 2" xfId="6797" xr:uid="{00000000-0005-0000-0000-000014660000}"/>
    <cellStyle name="Normal 13 5 3 2 2 2" xfId="16749" xr:uid="{00000000-0005-0000-0000-000015660000}"/>
    <cellStyle name="Normal 13 5 3 2 2 2 2" xfId="30156" xr:uid="{00000000-0005-0000-0000-000016660000}"/>
    <cellStyle name="Normal 13 5 3 2 2 3" xfId="31119" xr:uid="{00000000-0005-0000-0000-000017660000}"/>
    <cellStyle name="Normal 13 5 3 2 3" xfId="11488" xr:uid="{00000000-0005-0000-0000-000018660000}"/>
    <cellStyle name="Normal 13 5 3 2 3 2" xfId="25320" xr:uid="{00000000-0005-0000-0000-000019660000}"/>
    <cellStyle name="Normal 13 5 3 2 4" xfId="31118" xr:uid="{00000000-0005-0000-0000-00001A660000}"/>
    <cellStyle name="Normal 13 5 3 3" xfId="6798" xr:uid="{00000000-0005-0000-0000-00001B660000}"/>
    <cellStyle name="Normal 13 5 3 3 2" xfId="12137" xr:uid="{00000000-0005-0000-0000-00001C660000}"/>
    <cellStyle name="Normal 13 5 3 3 2 2" xfId="25849" xr:uid="{00000000-0005-0000-0000-00001D660000}"/>
    <cellStyle name="Normal 13 5 3 3 3" xfId="31120" xr:uid="{00000000-0005-0000-0000-00001E660000}"/>
    <cellStyle name="Normal 13 5 3 4" xfId="6799" xr:uid="{00000000-0005-0000-0000-00001F660000}"/>
    <cellStyle name="Normal 13 5 3 4 2" xfId="13701" xr:uid="{00000000-0005-0000-0000-000020660000}"/>
    <cellStyle name="Normal 13 5 3 4 2 2" xfId="27250" xr:uid="{00000000-0005-0000-0000-000021660000}"/>
    <cellStyle name="Normal 13 5 3 4 3" xfId="31121" xr:uid="{00000000-0005-0000-0000-000022660000}"/>
    <cellStyle name="Normal 13 5 3 5" xfId="6800" xr:uid="{00000000-0005-0000-0000-000023660000}"/>
    <cellStyle name="Normal 13 5 3 5 2" xfId="14282" xr:uid="{00000000-0005-0000-0000-000024660000}"/>
    <cellStyle name="Normal 13 5 3 5 2 2" xfId="27831" xr:uid="{00000000-0005-0000-0000-000025660000}"/>
    <cellStyle name="Normal 13 5 3 5 3" xfId="31122" xr:uid="{00000000-0005-0000-0000-000026660000}"/>
    <cellStyle name="Normal 13 5 3 6" xfId="6801" xr:uid="{00000000-0005-0000-0000-000027660000}"/>
    <cellStyle name="Normal 13 5 3 6 2" xfId="16168" xr:uid="{00000000-0005-0000-0000-000028660000}"/>
    <cellStyle name="Normal 13 5 3 6 2 2" xfId="29575" xr:uid="{00000000-0005-0000-0000-000029660000}"/>
    <cellStyle name="Normal 13 5 3 6 3" xfId="31123" xr:uid="{00000000-0005-0000-0000-00002A660000}"/>
    <cellStyle name="Normal 13 5 3 7" xfId="10108" xr:uid="{00000000-0005-0000-0000-00002B660000}"/>
    <cellStyle name="Normal 13 5 3 7 2" xfId="24337" xr:uid="{00000000-0005-0000-0000-00002C660000}"/>
    <cellStyle name="Normal 13 5 3 8" xfId="31117" xr:uid="{00000000-0005-0000-0000-00002D660000}"/>
    <cellStyle name="Normal 13 5 4" xfId="6802" xr:uid="{00000000-0005-0000-0000-00002E660000}"/>
    <cellStyle name="Normal 13 5 4 2" xfId="6803" xr:uid="{00000000-0005-0000-0000-00002F660000}"/>
    <cellStyle name="Normal 13 5 4 2 2" xfId="16457" xr:uid="{00000000-0005-0000-0000-000030660000}"/>
    <cellStyle name="Normal 13 5 4 2 2 2" xfId="29864" xr:uid="{00000000-0005-0000-0000-000031660000}"/>
    <cellStyle name="Normal 13 5 4 2 3" xfId="31125" xr:uid="{00000000-0005-0000-0000-000032660000}"/>
    <cellStyle name="Normal 13 5 4 3" xfId="11485" xr:uid="{00000000-0005-0000-0000-000033660000}"/>
    <cellStyle name="Normal 13 5 4 3 2" xfId="25317" xr:uid="{00000000-0005-0000-0000-000034660000}"/>
    <cellStyle name="Normal 13 5 4 4" xfId="31124" xr:uid="{00000000-0005-0000-0000-000035660000}"/>
    <cellStyle name="Normal 13 5 5" xfId="6804" xr:uid="{00000000-0005-0000-0000-000036660000}"/>
    <cellStyle name="Normal 13 5 5 2" xfId="11808" xr:uid="{00000000-0005-0000-0000-000037660000}"/>
    <cellStyle name="Normal 13 5 5 2 2" xfId="25523" xr:uid="{00000000-0005-0000-0000-000038660000}"/>
    <cellStyle name="Normal 13 5 5 3" xfId="31126" xr:uid="{00000000-0005-0000-0000-000039660000}"/>
    <cellStyle name="Normal 13 5 6" xfId="6805" xr:uid="{00000000-0005-0000-0000-00003A660000}"/>
    <cellStyle name="Normal 13 5 6 2" xfId="13409" xr:uid="{00000000-0005-0000-0000-00003B660000}"/>
    <cellStyle name="Normal 13 5 6 2 2" xfId="26958" xr:uid="{00000000-0005-0000-0000-00003C660000}"/>
    <cellStyle name="Normal 13 5 6 3" xfId="31127" xr:uid="{00000000-0005-0000-0000-00003D660000}"/>
    <cellStyle name="Normal 13 5 7" xfId="6806" xr:uid="{00000000-0005-0000-0000-00003E660000}"/>
    <cellStyle name="Normal 13 5 7 2" xfId="13990" xr:uid="{00000000-0005-0000-0000-00003F660000}"/>
    <cellStyle name="Normal 13 5 7 2 2" xfId="27539" xr:uid="{00000000-0005-0000-0000-000040660000}"/>
    <cellStyle name="Normal 13 5 7 3" xfId="31128" xr:uid="{00000000-0005-0000-0000-000041660000}"/>
    <cellStyle name="Normal 13 5 8" xfId="6807" xr:uid="{00000000-0005-0000-0000-000042660000}"/>
    <cellStyle name="Normal 13 5 8 2" xfId="15876" xr:uid="{00000000-0005-0000-0000-000043660000}"/>
    <cellStyle name="Normal 13 5 8 2 2" xfId="29283" xr:uid="{00000000-0005-0000-0000-000044660000}"/>
    <cellStyle name="Normal 13 5 8 3" xfId="31129" xr:uid="{00000000-0005-0000-0000-000045660000}"/>
    <cellStyle name="Normal 13 5 9" xfId="10105" xr:uid="{00000000-0005-0000-0000-000046660000}"/>
    <cellStyle name="Normal 13 5 9 2" xfId="24334" xr:uid="{00000000-0005-0000-0000-000047660000}"/>
    <cellStyle name="Normal 13 6" xfId="6808" xr:uid="{00000000-0005-0000-0000-000048660000}"/>
    <cellStyle name="Normal 13 6 10" xfId="31130" xr:uid="{00000000-0005-0000-0000-000049660000}"/>
    <cellStyle name="Normal 13 6 2" xfId="6809" xr:uid="{00000000-0005-0000-0000-00004A660000}"/>
    <cellStyle name="Normal 13 6 2 2" xfId="6810" xr:uid="{00000000-0005-0000-0000-00004B660000}"/>
    <cellStyle name="Normal 13 6 2 2 2" xfId="6811" xr:uid="{00000000-0005-0000-0000-00004C660000}"/>
    <cellStyle name="Normal 13 6 2 2 2 2" xfId="6812" xr:uid="{00000000-0005-0000-0000-00004D660000}"/>
    <cellStyle name="Normal 13 6 2 2 2 2 2" xfId="16995" xr:uid="{00000000-0005-0000-0000-00004E660000}"/>
    <cellStyle name="Normal 13 6 2 2 2 2 2 2" xfId="30402" xr:uid="{00000000-0005-0000-0000-00004F660000}"/>
    <cellStyle name="Normal 13 6 2 2 2 2 3" xfId="31134" xr:uid="{00000000-0005-0000-0000-000050660000}"/>
    <cellStyle name="Normal 13 6 2 2 2 3" xfId="11491" xr:uid="{00000000-0005-0000-0000-000051660000}"/>
    <cellStyle name="Normal 13 6 2 2 2 3 2" xfId="25323" xr:uid="{00000000-0005-0000-0000-000052660000}"/>
    <cellStyle name="Normal 13 6 2 2 2 4" xfId="31133" xr:uid="{00000000-0005-0000-0000-000053660000}"/>
    <cellStyle name="Normal 13 6 2 2 3" xfId="6813" xr:uid="{00000000-0005-0000-0000-000054660000}"/>
    <cellStyle name="Normal 13 6 2 2 3 2" xfId="12383" xr:uid="{00000000-0005-0000-0000-000055660000}"/>
    <cellStyle name="Normal 13 6 2 2 3 2 2" xfId="26095" xr:uid="{00000000-0005-0000-0000-000056660000}"/>
    <cellStyle name="Normal 13 6 2 2 3 3" xfId="31135" xr:uid="{00000000-0005-0000-0000-000057660000}"/>
    <cellStyle name="Normal 13 6 2 2 4" xfId="6814" xr:uid="{00000000-0005-0000-0000-000058660000}"/>
    <cellStyle name="Normal 13 6 2 2 4 2" xfId="13947" xr:uid="{00000000-0005-0000-0000-000059660000}"/>
    <cellStyle name="Normal 13 6 2 2 4 2 2" xfId="27496" xr:uid="{00000000-0005-0000-0000-00005A660000}"/>
    <cellStyle name="Normal 13 6 2 2 4 3" xfId="31136" xr:uid="{00000000-0005-0000-0000-00005B660000}"/>
    <cellStyle name="Normal 13 6 2 2 5" xfId="6815" xr:uid="{00000000-0005-0000-0000-00005C660000}"/>
    <cellStyle name="Normal 13 6 2 2 5 2" xfId="14528" xr:uid="{00000000-0005-0000-0000-00005D660000}"/>
    <cellStyle name="Normal 13 6 2 2 5 2 2" xfId="28077" xr:uid="{00000000-0005-0000-0000-00005E660000}"/>
    <cellStyle name="Normal 13 6 2 2 5 3" xfId="31137" xr:uid="{00000000-0005-0000-0000-00005F660000}"/>
    <cellStyle name="Normal 13 6 2 2 6" xfId="6816" xr:uid="{00000000-0005-0000-0000-000060660000}"/>
    <cellStyle name="Normal 13 6 2 2 6 2" xfId="16414" xr:uid="{00000000-0005-0000-0000-000061660000}"/>
    <cellStyle name="Normal 13 6 2 2 6 2 2" xfId="29821" xr:uid="{00000000-0005-0000-0000-000062660000}"/>
    <cellStyle name="Normal 13 6 2 2 6 3" xfId="31138" xr:uid="{00000000-0005-0000-0000-000063660000}"/>
    <cellStyle name="Normal 13 6 2 2 7" xfId="10111" xr:uid="{00000000-0005-0000-0000-000064660000}"/>
    <cellStyle name="Normal 13 6 2 2 7 2" xfId="24340" xr:uid="{00000000-0005-0000-0000-000065660000}"/>
    <cellStyle name="Normal 13 6 2 2 8" xfId="31132" xr:uid="{00000000-0005-0000-0000-000066660000}"/>
    <cellStyle name="Normal 13 6 2 3" xfId="6817" xr:uid="{00000000-0005-0000-0000-000067660000}"/>
    <cellStyle name="Normal 13 6 2 3 2" xfId="6818" xr:uid="{00000000-0005-0000-0000-000068660000}"/>
    <cellStyle name="Normal 13 6 2 3 2 2" xfId="16706" xr:uid="{00000000-0005-0000-0000-000069660000}"/>
    <cellStyle name="Normal 13 6 2 3 2 2 2" xfId="30113" xr:uid="{00000000-0005-0000-0000-00006A660000}"/>
    <cellStyle name="Normal 13 6 2 3 2 3" xfId="31140" xr:uid="{00000000-0005-0000-0000-00006B660000}"/>
    <cellStyle name="Normal 13 6 2 3 3" xfId="11490" xr:uid="{00000000-0005-0000-0000-00006C660000}"/>
    <cellStyle name="Normal 13 6 2 3 3 2" xfId="25322" xr:uid="{00000000-0005-0000-0000-00006D660000}"/>
    <cellStyle name="Normal 13 6 2 3 4" xfId="31139" xr:uid="{00000000-0005-0000-0000-00006E660000}"/>
    <cellStyle name="Normal 13 6 2 4" xfId="6819" xr:uid="{00000000-0005-0000-0000-00006F660000}"/>
    <cellStyle name="Normal 13 6 2 4 2" xfId="12083" xr:uid="{00000000-0005-0000-0000-000070660000}"/>
    <cellStyle name="Normal 13 6 2 4 2 2" xfId="25798" xr:uid="{00000000-0005-0000-0000-000071660000}"/>
    <cellStyle name="Normal 13 6 2 4 3" xfId="31141" xr:uid="{00000000-0005-0000-0000-000072660000}"/>
    <cellStyle name="Normal 13 6 2 5" xfId="6820" xr:uid="{00000000-0005-0000-0000-000073660000}"/>
    <cellStyle name="Normal 13 6 2 5 2" xfId="13658" xr:uid="{00000000-0005-0000-0000-000074660000}"/>
    <cellStyle name="Normal 13 6 2 5 2 2" xfId="27207" xr:uid="{00000000-0005-0000-0000-000075660000}"/>
    <cellStyle name="Normal 13 6 2 5 3" xfId="31142" xr:uid="{00000000-0005-0000-0000-000076660000}"/>
    <cellStyle name="Normal 13 6 2 6" xfId="6821" xr:uid="{00000000-0005-0000-0000-000077660000}"/>
    <cellStyle name="Normal 13 6 2 6 2" xfId="14239" xr:uid="{00000000-0005-0000-0000-000078660000}"/>
    <cellStyle name="Normal 13 6 2 6 2 2" xfId="27788" xr:uid="{00000000-0005-0000-0000-000079660000}"/>
    <cellStyle name="Normal 13 6 2 6 3" xfId="31143" xr:uid="{00000000-0005-0000-0000-00007A660000}"/>
    <cellStyle name="Normal 13 6 2 7" xfId="6822" xr:uid="{00000000-0005-0000-0000-00007B660000}"/>
    <cellStyle name="Normal 13 6 2 7 2" xfId="16125" xr:uid="{00000000-0005-0000-0000-00007C660000}"/>
    <cellStyle name="Normal 13 6 2 7 2 2" xfId="29532" xr:uid="{00000000-0005-0000-0000-00007D660000}"/>
    <cellStyle name="Normal 13 6 2 7 3" xfId="31144" xr:uid="{00000000-0005-0000-0000-00007E660000}"/>
    <cellStyle name="Normal 13 6 2 8" xfId="10110" xr:uid="{00000000-0005-0000-0000-00007F660000}"/>
    <cellStyle name="Normal 13 6 2 8 2" xfId="24339" xr:uid="{00000000-0005-0000-0000-000080660000}"/>
    <cellStyle name="Normal 13 6 2 9" xfId="31131" xr:uid="{00000000-0005-0000-0000-000081660000}"/>
    <cellStyle name="Normal 13 6 3" xfId="6823" xr:uid="{00000000-0005-0000-0000-000082660000}"/>
    <cellStyle name="Normal 13 6 3 2" xfId="6824" xr:uid="{00000000-0005-0000-0000-000083660000}"/>
    <cellStyle name="Normal 13 6 3 2 2" xfId="6825" xr:uid="{00000000-0005-0000-0000-000084660000}"/>
    <cellStyle name="Normal 13 6 3 2 2 2" xfId="16852" xr:uid="{00000000-0005-0000-0000-000085660000}"/>
    <cellStyle name="Normal 13 6 3 2 2 2 2" xfId="30259" xr:uid="{00000000-0005-0000-0000-000086660000}"/>
    <cellStyle name="Normal 13 6 3 2 2 3" xfId="31147" xr:uid="{00000000-0005-0000-0000-000087660000}"/>
    <cellStyle name="Normal 13 6 3 2 3" xfId="11492" xr:uid="{00000000-0005-0000-0000-000088660000}"/>
    <cellStyle name="Normal 13 6 3 2 3 2" xfId="25324" xr:uid="{00000000-0005-0000-0000-000089660000}"/>
    <cellStyle name="Normal 13 6 3 2 4" xfId="31146" xr:uid="{00000000-0005-0000-0000-00008A660000}"/>
    <cellStyle name="Normal 13 6 3 3" xfId="6826" xr:uid="{00000000-0005-0000-0000-00008B660000}"/>
    <cellStyle name="Normal 13 6 3 3 2" xfId="12240" xr:uid="{00000000-0005-0000-0000-00008C660000}"/>
    <cellStyle name="Normal 13 6 3 3 2 2" xfId="25952" xr:uid="{00000000-0005-0000-0000-00008D660000}"/>
    <cellStyle name="Normal 13 6 3 3 3" xfId="31148" xr:uid="{00000000-0005-0000-0000-00008E660000}"/>
    <cellStyle name="Normal 13 6 3 4" xfId="6827" xr:uid="{00000000-0005-0000-0000-00008F660000}"/>
    <cellStyle name="Normal 13 6 3 4 2" xfId="13804" xr:uid="{00000000-0005-0000-0000-000090660000}"/>
    <cellStyle name="Normal 13 6 3 4 2 2" xfId="27353" xr:uid="{00000000-0005-0000-0000-000091660000}"/>
    <cellStyle name="Normal 13 6 3 4 3" xfId="31149" xr:uid="{00000000-0005-0000-0000-000092660000}"/>
    <cellStyle name="Normal 13 6 3 5" xfId="6828" xr:uid="{00000000-0005-0000-0000-000093660000}"/>
    <cellStyle name="Normal 13 6 3 5 2" xfId="14385" xr:uid="{00000000-0005-0000-0000-000094660000}"/>
    <cellStyle name="Normal 13 6 3 5 2 2" xfId="27934" xr:uid="{00000000-0005-0000-0000-000095660000}"/>
    <cellStyle name="Normal 13 6 3 5 3" xfId="31150" xr:uid="{00000000-0005-0000-0000-000096660000}"/>
    <cellStyle name="Normal 13 6 3 6" xfId="6829" xr:uid="{00000000-0005-0000-0000-000097660000}"/>
    <cellStyle name="Normal 13 6 3 6 2" xfId="16271" xr:uid="{00000000-0005-0000-0000-000098660000}"/>
    <cellStyle name="Normal 13 6 3 6 2 2" xfId="29678" xr:uid="{00000000-0005-0000-0000-000099660000}"/>
    <cellStyle name="Normal 13 6 3 6 3" xfId="31151" xr:uid="{00000000-0005-0000-0000-00009A660000}"/>
    <cellStyle name="Normal 13 6 3 7" xfId="10112" xr:uid="{00000000-0005-0000-0000-00009B660000}"/>
    <cellStyle name="Normal 13 6 3 7 2" xfId="24341" xr:uid="{00000000-0005-0000-0000-00009C660000}"/>
    <cellStyle name="Normal 13 6 3 8" xfId="31145" xr:uid="{00000000-0005-0000-0000-00009D660000}"/>
    <cellStyle name="Normal 13 6 4" xfId="6830" xr:uid="{00000000-0005-0000-0000-00009E660000}"/>
    <cellStyle name="Normal 13 6 4 2" xfId="6831" xr:uid="{00000000-0005-0000-0000-00009F660000}"/>
    <cellStyle name="Normal 13 6 4 2 2" xfId="16563" xr:uid="{00000000-0005-0000-0000-0000A0660000}"/>
    <cellStyle name="Normal 13 6 4 2 2 2" xfId="29970" xr:uid="{00000000-0005-0000-0000-0000A1660000}"/>
    <cellStyle name="Normal 13 6 4 2 3" xfId="31153" xr:uid="{00000000-0005-0000-0000-0000A2660000}"/>
    <cellStyle name="Normal 13 6 4 3" xfId="11489" xr:uid="{00000000-0005-0000-0000-0000A3660000}"/>
    <cellStyle name="Normal 13 6 4 3 2" xfId="25321" xr:uid="{00000000-0005-0000-0000-0000A4660000}"/>
    <cellStyle name="Normal 13 6 4 4" xfId="31152" xr:uid="{00000000-0005-0000-0000-0000A5660000}"/>
    <cellStyle name="Normal 13 6 5" xfId="6832" xr:uid="{00000000-0005-0000-0000-0000A6660000}"/>
    <cellStyle name="Normal 13 6 5 2" xfId="11938" xr:uid="{00000000-0005-0000-0000-0000A7660000}"/>
    <cellStyle name="Normal 13 6 5 2 2" xfId="25653" xr:uid="{00000000-0005-0000-0000-0000A8660000}"/>
    <cellStyle name="Normal 13 6 5 3" xfId="31154" xr:uid="{00000000-0005-0000-0000-0000A9660000}"/>
    <cellStyle name="Normal 13 6 6" xfId="6833" xr:uid="{00000000-0005-0000-0000-0000AA660000}"/>
    <cellStyle name="Normal 13 6 6 2" xfId="13515" xr:uid="{00000000-0005-0000-0000-0000AB660000}"/>
    <cellStyle name="Normal 13 6 6 2 2" xfId="27064" xr:uid="{00000000-0005-0000-0000-0000AC660000}"/>
    <cellStyle name="Normal 13 6 6 3" xfId="31155" xr:uid="{00000000-0005-0000-0000-0000AD660000}"/>
    <cellStyle name="Normal 13 6 7" xfId="6834" xr:uid="{00000000-0005-0000-0000-0000AE660000}"/>
    <cellStyle name="Normal 13 6 7 2" xfId="14096" xr:uid="{00000000-0005-0000-0000-0000AF660000}"/>
    <cellStyle name="Normal 13 6 7 2 2" xfId="27645" xr:uid="{00000000-0005-0000-0000-0000B0660000}"/>
    <cellStyle name="Normal 13 6 7 3" xfId="31156" xr:uid="{00000000-0005-0000-0000-0000B1660000}"/>
    <cellStyle name="Normal 13 6 8" xfId="6835" xr:uid="{00000000-0005-0000-0000-0000B2660000}"/>
    <cellStyle name="Normal 13 6 8 2" xfId="15982" xr:uid="{00000000-0005-0000-0000-0000B3660000}"/>
    <cellStyle name="Normal 13 6 8 2 2" xfId="29389" xr:uid="{00000000-0005-0000-0000-0000B4660000}"/>
    <cellStyle name="Normal 13 6 8 3" xfId="31157" xr:uid="{00000000-0005-0000-0000-0000B5660000}"/>
    <cellStyle name="Normal 13 6 9" xfId="10109" xr:uid="{00000000-0005-0000-0000-0000B6660000}"/>
    <cellStyle name="Normal 13 6 9 2" xfId="24338" xr:uid="{00000000-0005-0000-0000-0000B7660000}"/>
    <cellStyle name="Normal 13 7" xfId="6836" xr:uid="{00000000-0005-0000-0000-0000B8660000}"/>
    <cellStyle name="Normal 13 7 2" xfId="6837" xr:uid="{00000000-0005-0000-0000-0000B9660000}"/>
    <cellStyle name="Normal 13 7 2 2" xfId="6838" xr:uid="{00000000-0005-0000-0000-0000BA660000}"/>
    <cellStyle name="Normal 13 7 2 2 2" xfId="6839" xr:uid="{00000000-0005-0000-0000-0000BB660000}"/>
    <cellStyle name="Normal 13 7 2 2 2 2" xfId="16872" xr:uid="{00000000-0005-0000-0000-0000BC660000}"/>
    <cellStyle name="Normal 13 7 2 2 2 2 2" xfId="30279" xr:uid="{00000000-0005-0000-0000-0000BD660000}"/>
    <cellStyle name="Normal 13 7 2 2 2 3" xfId="31161" xr:uid="{00000000-0005-0000-0000-0000BE660000}"/>
    <cellStyle name="Normal 13 7 2 2 3" xfId="11494" xr:uid="{00000000-0005-0000-0000-0000BF660000}"/>
    <cellStyle name="Normal 13 7 2 2 3 2" xfId="25326" xr:uid="{00000000-0005-0000-0000-0000C0660000}"/>
    <cellStyle name="Normal 13 7 2 2 4" xfId="31160" xr:uid="{00000000-0005-0000-0000-0000C1660000}"/>
    <cellStyle name="Normal 13 7 2 3" xfId="6840" xr:uid="{00000000-0005-0000-0000-0000C2660000}"/>
    <cellStyle name="Normal 13 7 2 3 2" xfId="12260" xr:uid="{00000000-0005-0000-0000-0000C3660000}"/>
    <cellStyle name="Normal 13 7 2 3 2 2" xfId="25972" xr:uid="{00000000-0005-0000-0000-0000C4660000}"/>
    <cellStyle name="Normal 13 7 2 3 3" xfId="31162" xr:uid="{00000000-0005-0000-0000-0000C5660000}"/>
    <cellStyle name="Normal 13 7 2 4" xfId="6841" xr:uid="{00000000-0005-0000-0000-0000C6660000}"/>
    <cellStyle name="Normal 13 7 2 4 2" xfId="13824" xr:uid="{00000000-0005-0000-0000-0000C7660000}"/>
    <cellStyle name="Normal 13 7 2 4 2 2" xfId="27373" xr:uid="{00000000-0005-0000-0000-0000C8660000}"/>
    <cellStyle name="Normal 13 7 2 4 3" xfId="31163" xr:uid="{00000000-0005-0000-0000-0000C9660000}"/>
    <cellStyle name="Normal 13 7 2 5" xfId="6842" xr:uid="{00000000-0005-0000-0000-0000CA660000}"/>
    <cellStyle name="Normal 13 7 2 5 2" xfId="14405" xr:uid="{00000000-0005-0000-0000-0000CB660000}"/>
    <cellStyle name="Normal 13 7 2 5 2 2" xfId="27954" xr:uid="{00000000-0005-0000-0000-0000CC660000}"/>
    <cellStyle name="Normal 13 7 2 5 3" xfId="31164" xr:uid="{00000000-0005-0000-0000-0000CD660000}"/>
    <cellStyle name="Normal 13 7 2 6" xfId="6843" xr:uid="{00000000-0005-0000-0000-0000CE660000}"/>
    <cellStyle name="Normal 13 7 2 6 2" xfId="16291" xr:uid="{00000000-0005-0000-0000-0000CF660000}"/>
    <cellStyle name="Normal 13 7 2 6 2 2" xfId="29698" xr:uid="{00000000-0005-0000-0000-0000D0660000}"/>
    <cellStyle name="Normal 13 7 2 6 3" xfId="31165" xr:uid="{00000000-0005-0000-0000-0000D1660000}"/>
    <cellStyle name="Normal 13 7 2 7" xfId="10114" xr:uid="{00000000-0005-0000-0000-0000D2660000}"/>
    <cellStyle name="Normal 13 7 2 7 2" xfId="24343" xr:uid="{00000000-0005-0000-0000-0000D3660000}"/>
    <cellStyle name="Normal 13 7 2 8" xfId="31159" xr:uid="{00000000-0005-0000-0000-0000D4660000}"/>
    <cellStyle name="Normal 13 7 3" xfId="6844" xr:uid="{00000000-0005-0000-0000-0000D5660000}"/>
    <cellStyle name="Normal 13 7 3 2" xfId="6845" xr:uid="{00000000-0005-0000-0000-0000D6660000}"/>
    <cellStyle name="Normal 13 7 3 2 2" xfId="16583" xr:uid="{00000000-0005-0000-0000-0000D7660000}"/>
    <cellStyle name="Normal 13 7 3 2 2 2" xfId="29990" xr:uid="{00000000-0005-0000-0000-0000D8660000}"/>
    <cellStyle name="Normal 13 7 3 2 3" xfId="31167" xr:uid="{00000000-0005-0000-0000-0000D9660000}"/>
    <cellStyle name="Normal 13 7 3 3" xfId="11493" xr:uid="{00000000-0005-0000-0000-0000DA660000}"/>
    <cellStyle name="Normal 13 7 3 3 2" xfId="25325" xr:uid="{00000000-0005-0000-0000-0000DB660000}"/>
    <cellStyle name="Normal 13 7 3 4" xfId="31166" xr:uid="{00000000-0005-0000-0000-0000DC660000}"/>
    <cellStyle name="Normal 13 7 4" xfId="6846" xr:uid="{00000000-0005-0000-0000-0000DD660000}"/>
    <cellStyle name="Normal 13 7 4 2" xfId="11960" xr:uid="{00000000-0005-0000-0000-0000DE660000}"/>
    <cellStyle name="Normal 13 7 4 2 2" xfId="25675" xr:uid="{00000000-0005-0000-0000-0000DF660000}"/>
    <cellStyle name="Normal 13 7 4 3" xfId="31168" xr:uid="{00000000-0005-0000-0000-0000E0660000}"/>
    <cellStyle name="Normal 13 7 5" xfId="6847" xr:uid="{00000000-0005-0000-0000-0000E1660000}"/>
    <cellStyle name="Normal 13 7 5 2" xfId="13535" xr:uid="{00000000-0005-0000-0000-0000E2660000}"/>
    <cellStyle name="Normal 13 7 5 2 2" xfId="27084" xr:uid="{00000000-0005-0000-0000-0000E3660000}"/>
    <cellStyle name="Normal 13 7 5 3" xfId="31169" xr:uid="{00000000-0005-0000-0000-0000E4660000}"/>
    <cellStyle name="Normal 13 7 6" xfId="6848" xr:uid="{00000000-0005-0000-0000-0000E5660000}"/>
    <cellStyle name="Normal 13 7 6 2" xfId="14116" xr:uid="{00000000-0005-0000-0000-0000E6660000}"/>
    <cellStyle name="Normal 13 7 6 2 2" xfId="27665" xr:uid="{00000000-0005-0000-0000-0000E7660000}"/>
    <cellStyle name="Normal 13 7 6 3" xfId="31170" xr:uid="{00000000-0005-0000-0000-0000E8660000}"/>
    <cellStyle name="Normal 13 7 7" xfId="6849" xr:uid="{00000000-0005-0000-0000-0000E9660000}"/>
    <cellStyle name="Normal 13 7 7 2" xfId="16002" xr:uid="{00000000-0005-0000-0000-0000EA660000}"/>
    <cellStyle name="Normal 13 7 7 2 2" xfId="29409" xr:uid="{00000000-0005-0000-0000-0000EB660000}"/>
    <cellStyle name="Normal 13 7 7 3" xfId="31171" xr:uid="{00000000-0005-0000-0000-0000EC660000}"/>
    <cellStyle name="Normal 13 7 8" xfId="10113" xr:uid="{00000000-0005-0000-0000-0000ED660000}"/>
    <cellStyle name="Normal 13 7 8 2" xfId="24342" xr:uid="{00000000-0005-0000-0000-0000EE660000}"/>
    <cellStyle name="Normal 13 7 9" xfId="31158" xr:uid="{00000000-0005-0000-0000-0000EF660000}"/>
    <cellStyle name="Normal 13 8" xfId="6850" xr:uid="{00000000-0005-0000-0000-0000F0660000}"/>
    <cellStyle name="Normal 13 8 2" xfId="6851" xr:uid="{00000000-0005-0000-0000-0000F1660000}"/>
    <cellStyle name="Normal 13 8 2 2" xfId="6852" xr:uid="{00000000-0005-0000-0000-0000F2660000}"/>
    <cellStyle name="Normal 13 8 2 2 2" xfId="16728" xr:uid="{00000000-0005-0000-0000-0000F3660000}"/>
    <cellStyle name="Normal 13 8 2 2 2 2" xfId="30135" xr:uid="{00000000-0005-0000-0000-0000F4660000}"/>
    <cellStyle name="Normal 13 8 2 2 3" xfId="31174" xr:uid="{00000000-0005-0000-0000-0000F5660000}"/>
    <cellStyle name="Normal 13 8 2 3" xfId="11495" xr:uid="{00000000-0005-0000-0000-0000F6660000}"/>
    <cellStyle name="Normal 13 8 2 3 2" xfId="25327" xr:uid="{00000000-0005-0000-0000-0000F7660000}"/>
    <cellStyle name="Normal 13 8 2 4" xfId="31173" xr:uid="{00000000-0005-0000-0000-0000F8660000}"/>
    <cellStyle name="Normal 13 8 3" xfId="6853" xr:uid="{00000000-0005-0000-0000-0000F9660000}"/>
    <cellStyle name="Normal 13 8 3 2" xfId="12113" xr:uid="{00000000-0005-0000-0000-0000FA660000}"/>
    <cellStyle name="Normal 13 8 3 2 2" xfId="25825" xr:uid="{00000000-0005-0000-0000-0000FB660000}"/>
    <cellStyle name="Normal 13 8 3 3" xfId="31175" xr:uid="{00000000-0005-0000-0000-0000FC660000}"/>
    <cellStyle name="Normal 13 8 4" xfId="6854" xr:uid="{00000000-0005-0000-0000-0000FD660000}"/>
    <cellStyle name="Normal 13 8 4 2" xfId="13680" xr:uid="{00000000-0005-0000-0000-0000FE660000}"/>
    <cellStyle name="Normal 13 8 4 2 2" xfId="27229" xr:uid="{00000000-0005-0000-0000-0000FF660000}"/>
    <cellStyle name="Normal 13 8 4 3" xfId="31176" xr:uid="{00000000-0005-0000-0000-000000670000}"/>
    <cellStyle name="Normal 13 8 5" xfId="6855" xr:uid="{00000000-0005-0000-0000-000001670000}"/>
    <cellStyle name="Normal 13 8 5 2" xfId="14261" xr:uid="{00000000-0005-0000-0000-000002670000}"/>
    <cellStyle name="Normal 13 8 5 2 2" xfId="27810" xr:uid="{00000000-0005-0000-0000-000003670000}"/>
    <cellStyle name="Normal 13 8 5 3" xfId="31177" xr:uid="{00000000-0005-0000-0000-000004670000}"/>
    <cellStyle name="Normal 13 8 6" xfId="6856" xr:uid="{00000000-0005-0000-0000-000005670000}"/>
    <cellStyle name="Normal 13 8 6 2" xfId="16147" xr:uid="{00000000-0005-0000-0000-000006670000}"/>
    <cellStyle name="Normal 13 8 6 2 2" xfId="29554" xr:uid="{00000000-0005-0000-0000-000007670000}"/>
    <cellStyle name="Normal 13 8 6 3" xfId="31178" xr:uid="{00000000-0005-0000-0000-000008670000}"/>
    <cellStyle name="Normal 13 8 7" xfId="10115" xr:uid="{00000000-0005-0000-0000-000009670000}"/>
    <cellStyle name="Normal 13 8 7 2" xfId="24344" xr:uid="{00000000-0005-0000-0000-00000A670000}"/>
    <cellStyle name="Normal 13 8 8" xfId="31172" xr:uid="{00000000-0005-0000-0000-00000B670000}"/>
    <cellStyle name="Normal 13 9" xfId="6857" xr:uid="{00000000-0005-0000-0000-00000C670000}"/>
    <cellStyle name="Normal 13 9 2" xfId="6858" xr:uid="{00000000-0005-0000-0000-00000D670000}"/>
    <cellStyle name="Normal 13 9 2 2" xfId="11724" xr:uid="{00000000-0005-0000-0000-00000E670000}"/>
    <cellStyle name="Normal 13 9 2 2 2" xfId="25444" xr:uid="{00000000-0005-0000-0000-00000F670000}"/>
    <cellStyle name="Normal 13 9 2 3" xfId="31180" xr:uid="{00000000-0005-0000-0000-000010670000}"/>
    <cellStyle name="Normal 13 9 3" xfId="6859" xr:uid="{00000000-0005-0000-0000-000011670000}"/>
    <cellStyle name="Normal 13 9 3 2" xfId="13242" xr:uid="{00000000-0005-0000-0000-000012670000}"/>
    <cellStyle name="Normal 13 9 3 2 2" xfId="26887" xr:uid="{00000000-0005-0000-0000-000013670000}"/>
    <cellStyle name="Normal 13 9 3 3" xfId="31181" xr:uid="{00000000-0005-0000-0000-000014670000}"/>
    <cellStyle name="Normal 13 9 4" xfId="6860" xr:uid="{00000000-0005-0000-0000-000015670000}"/>
    <cellStyle name="Normal 13 9 4 2" xfId="15693" xr:uid="{00000000-0005-0000-0000-000016670000}"/>
    <cellStyle name="Normal 13 9 4 2 2" xfId="29179" xr:uid="{00000000-0005-0000-0000-000017670000}"/>
    <cellStyle name="Normal 13 9 4 3" xfId="31182" xr:uid="{00000000-0005-0000-0000-000018670000}"/>
    <cellStyle name="Normal 13 9 5" xfId="6861" xr:uid="{00000000-0005-0000-0000-000019670000}"/>
    <cellStyle name="Normal 13 9 5 2" xfId="17036" xr:uid="{00000000-0005-0000-0000-00001A670000}"/>
    <cellStyle name="Normal 13 9 5 2 2" xfId="30439" xr:uid="{00000000-0005-0000-0000-00001B670000}"/>
    <cellStyle name="Normal 13 9 5 3" xfId="31183" xr:uid="{00000000-0005-0000-0000-00001C670000}"/>
    <cellStyle name="Normal 13 9 6" xfId="10497" xr:uid="{00000000-0005-0000-0000-00001D670000}"/>
    <cellStyle name="Normal 13 9 6 2" xfId="24448" xr:uid="{00000000-0005-0000-0000-00001E670000}"/>
    <cellStyle name="Normal 13 9 7" xfId="31179" xr:uid="{00000000-0005-0000-0000-00001F670000}"/>
    <cellStyle name="Normal 14" xfId="6862" xr:uid="{00000000-0005-0000-0000-000020670000}"/>
    <cellStyle name="Normal 14 10" xfId="6863" xr:uid="{00000000-0005-0000-0000-000021670000}"/>
    <cellStyle name="Normal 14 10 2" xfId="6864" xr:uid="{00000000-0005-0000-0000-000022670000}"/>
    <cellStyle name="Normal 14 10 2 2" xfId="17291" xr:uid="{00000000-0005-0000-0000-000023670000}"/>
    <cellStyle name="Normal 14 10 2 2 2" xfId="30650" xr:uid="{00000000-0005-0000-0000-000024670000}"/>
    <cellStyle name="Normal 14 10 2 3" xfId="31186" xr:uid="{00000000-0005-0000-0000-000025670000}"/>
    <cellStyle name="Normal 14 10 3" xfId="14010" xr:uid="{00000000-0005-0000-0000-000026670000}"/>
    <cellStyle name="Normal 14 10 3 2" xfId="27559" xr:uid="{00000000-0005-0000-0000-000027670000}"/>
    <cellStyle name="Normal 14 10 4" xfId="31185" xr:uid="{00000000-0005-0000-0000-000028670000}"/>
    <cellStyle name="Normal 14 11" xfId="6865" xr:uid="{00000000-0005-0000-0000-000029670000}"/>
    <cellStyle name="Normal 14 11 2" xfId="16477" xr:uid="{00000000-0005-0000-0000-00002A670000}"/>
    <cellStyle name="Normal 14 11 2 2" xfId="29884" xr:uid="{00000000-0005-0000-0000-00002B670000}"/>
    <cellStyle name="Normal 14 11 3" xfId="31187" xr:uid="{00000000-0005-0000-0000-00002C670000}"/>
    <cellStyle name="Normal 14 12" xfId="6866" xr:uid="{00000000-0005-0000-0000-00002D670000}"/>
    <cellStyle name="Normal 14 12 2" xfId="15896" xr:uid="{00000000-0005-0000-0000-00002E670000}"/>
    <cellStyle name="Normal 14 12 2 2" xfId="29303" xr:uid="{00000000-0005-0000-0000-00002F670000}"/>
    <cellStyle name="Normal 14 12 3" xfId="31188" xr:uid="{00000000-0005-0000-0000-000030670000}"/>
    <cellStyle name="Normal 14 13" xfId="10116" xr:uid="{00000000-0005-0000-0000-000031670000}"/>
    <cellStyle name="Normal 14 14" xfId="31184" xr:uid="{00000000-0005-0000-0000-000032670000}"/>
    <cellStyle name="Normal 14 15" xfId="33038" xr:uid="{00000000-0005-0000-0000-000033670000}"/>
    <cellStyle name="Normal 14 2" xfId="6867" xr:uid="{00000000-0005-0000-0000-000034670000}"/>
    <cellStyle name="Normal 14 2 10" xfId="10117" xr:uid="{00000000-0005-0000-0000-000035670000}"/>
    <cellStyle name="Normal 14 2 10 2" xfId="24345" xr:uid="{00000000-0005-0000-0000-000036670000}"/>
    <cellStyle name="Normal 14 2 11" xfId="31189" xr:uid="{00000000-0005-0000-0000-000037670000}"/>
    <cellStyle name="Normal 14 2 2" xfId="6868" xr:uid="{00000000-0005-0000-0000-000038670000}"/>
    <cellStyle name="Normal 14 2 2 10" xfId="31190" xr:uid="{00000000-0005-0000-0000-000039670000}"/>
    <cellStyle name="Normal 14 2 2 2" xfId="6869" xr:uid="{00000000-0005-0000-0000-00003A670000}"/>
    <cellStyle name="Normal 14 2 2 2 2" xfId="6870" xr:uid="{00000000-0005-0000-0000-00003B670000}"/>
    <cellStyle name="Normal 14 2 2 2 2 2" xfId="6871" xr:uid="{00000000-0005-0000-0000-00003C670000}"/>
    <cellStyle name="Normal 14 2 2 2 2 2 2" xfId="6872" xr:uid="{00000000-0005-0000-0000-00003D670000}"/>
    <cellStyle name="Normal 14 2 2 2 2 2 2 2" xfId="16978" xr:uid="{00000000-0005-0000-0000-00003E670000}"/>
    <cellStyle name="Normal 14 2 2 2 2 2 2 2 2" xfId="30385" xr:uid="{00000000-0005-0000-0000-00003F670000}"/>
    <cellStyle name="Normal 14 2 2 2 2 2 2 3" xfId="31194" xr:uid="{00000000-0005-0000-0000-000040670000}"/>
    <cellStyle name="Normal 14 2 2 2 2 2 3" xfId="11499" xr:uid="{00000000-0005-0000-0000-000041670000}"/>
    <cellStyle name="Normal 14 2 2 2 2 2 3 2" xfId="25331" xr:uid="{00000000-0005-0000-0000-000042670000}"/>
    <cellStyle name="Normal 14 2 2 2 2 2 4" xfId="31193" xr:uid="{00000000-0005-0000-0000-000043670000}"/>
    <cellStyle name="Normal 14 2 2 2 2 3" xfId="6873" xr:uid="{00000000-0005-0000-0000-000044670000}"/>
    <cellStyle name="Normal 14 2 2 2 2 3 2" xfId="12366" xr:uid="{00000000-0005-0000-0000-000045670000}"/>
    <cellStyle name="Normal 14 2 2 2 2 3 2 2" xfId="26078" xr:uid="{00000000-0005-0000-0000-000046670000}"/>
    <cellStyle name="Normal 14 2 2 2 2 3 3" xfId="31195" xr:uid="{00000000-0005-0000-0000-000047670000}"/>
    <cellStyle name="Normal 14 2 2 2 2 4" xfId="6874" xr:uid="{00000000-0005-0000-0000-000048670000}"/>
    <cellStyle name="Normal 14 2 2 2 2 4 2" xfId="13930" xr:uid="{00000000-0005-0000-0000-000049670000}"/>
    <cellStyle name="Normal 14 2 2 2 2 4 2 2" xfId="27479" xr:uid="{00000000-0005-0000-0000-00004A670000}"/>
    <cellStyle name="Normal 14 2 2 2 2 4 3" xfId="31196" xr:uid="{00000000-0005-0000-0000-00004B670000}"/>
    <cellStyle name="Normal 14 2 2 2 2 5" xfId="6875" xr:uid="{00000000-0005-0000-0000-00004C670000}"/>
    <cellStyle name="Normal 14 2 2 2 2 5 2" xfId="14511" xr:uid="{00000000-0005-0000-0000-00004D670000}"/>
    <cellStyle name="Normal 14 2 2 2 2 5 2 2" xfId="28060" xr:uid="{00000000-0005-0000-0000-00004E670000}"/>
    <cellStyle name="Normal 14 2 2 2 2 5 3" xfId="31197" xr:uid="{00000000-0005-0000-0000-00004F670000}"/>
    <cellStyle name="Normal 14 2 2 2 2 6" xfId="6876" xr:uid="{00000000-0005-0000-0000-000050670000}"/>
    <cellStyle name="Normal 14 2 2 2 2 6 2" xfId="16397" xr:uid="{00000000-0005-0000-0000-000051670000}"/>
    <cellStyle name="Normal 14 2 2 2 2 6 2 2" xfId="29804" xr:uid="{00000000-0005-0000-0000-000052670000}"/>
    <cellStyle name="Normal 14 2 2 2 2 6 3" xfId="31198" xr:uid="{00000000-0005-0000-0000-000053670000}"/>
    <cellStyle name="Normal 14 2 2 2 2 7" xfId="10120" xr:uid="{00000000-0005-0000-0000-000054670000}"/>
    <cellStyle name="Normal 14 2 2 2 2 7 2" xfId="24348" xr:uid="{00000000-0005-0000-0000-000055670000}"/>
    <cellStyle name="Normal 14 2 2 2 2 8" xfId="31192" xr:uid="{00000000-0005-0000-0000-000056670000}"/>
    <cellStyle name="Normal 14 2 2 2 3" xfId="6877" xr:uid="{00000000-0005-0000-0000-000057670000}"/>
    <cellStyle name="Normal 14 2 2 2 3 2" xfId="6878" xr:uid="{00000000-0005-0000-0000-000058670000}"/>
    <cellStyle name="Normal 14 2 2 2 3 2 2" xfId="16689" xr:uid="{00000000-0005-0000-0000-000059670000}"/>
    <cellStyle name="Normal 14 2 2 2 3 2 2 2" xfId="30096" xr:uid="{00000000-0005-0000-0000-00005A670000}"/>
    <cellStyle name="Normal 14 2 2 2 3 2 3" xfId="31200" xr:uid="{00000000-0005-0000-0000-00005B670000}"/>
    <cellStyle name="Normal 14 2 2 2 3 3" xfId="11498" xr:uid="{00000000-0005-0000-0000-00005C670000}"/>
    <cellStyle name="Normal 14 2 2 2 3 3 2" xfId="25330" xr:uid="{00000000-0005-0000-0000-00005D670000}"/>
    <cellStyle name="Normal 14 2 2 2 3 4" xfId="31199" xr:uid="{00000000-0005-0000-0000-00005E670000}"/>
    <cellStyle name="Normal 14 2 2 2 4" xfId="6879" xr:uid="{00000000-0005-0000-0000-00005F670000}"/>
    <cellStyle name="Normal 14 2 2 2 4 2" xfId="12066" xr:uid="{00000000-0005-0000-0000-000060670000}"/>
    <cellStyle name="Normal 14 2 2 2 4 2 2" xfId="25781" xr:uid="{00000000-0005-0000-0000-000061670000}"/>
    <cellStyle name="Normal 14 2 2 2 4 3" xfId="31201" xr:uid="{00000000-0005-0000-0000-000062670000}"/>
    <cellStyle name="Normal 14 2 2 2 5" xfId="6880" xr:uid="{00000000-0005-0000-0000-000063670000}"/>
    <cellStyle name="Normal 14 2 2 2 5 2" xfId="13641" xr:uid="{00000000-0005-0000-0000-000064670000}"/>
    <cellStyle name="Normal 14 2 2 2 5 2 2" xfId="27190" xr:uid="{00000000-0005-0000-0000-000065670000}"/>
    <cellStyle name="Normal 14 2 2 2 5 3" xfId="31202" xr:uid="{00000000-0005-0000-0000-000066670000}"/>
    <cellStyle name="Normal 14 2 2 2 6" xfId="6881" xr:uid="{00000000-0005-0000-0000-000067670000}"/>
    <cellStyle name="Normal 14 2 2 2 6 2" xfId="14222" xr:uid="{00000000-0005-0000-0000-000068670000}"/>
    <cellStyle name="Normal 14 2 2 2 6 2 2" xfId="27771" xr:uid="{00000000-0005-0000-0000-000069670000}"/>
    <cellStyle name="Normal 14 2 2 2 6 3" xfId="31203" xr:uid="{00000000-0005-0000-0000-00006A670000}"/>
    <cellStyle name="Normal 14 2 2 2 7" xfId="6882" xr:uid="{00000000-0005-0000-0000-00006B670000}"/>
    <cellStyle name="Normal 14 2 2 2 7 2" xfId="16108" xr:uid="{00000000-0005-0000-0000-00006C670000}"/>
    <cellStyle name="Normal 14 2 2 2 7 2 2" xfId="29515" xr:uid="{00000000-0005-0000-0000-00006D670000}"/>
    <cellStyle name="Normal 14 2 2 2 7 3" xfId="31204" xr:uid="{00000000-0005-0000-0000-00006E670000}"/>
    <cellStyle name="Normal 14 2 2 2 8" xfId="10119" xr:uid="{00000000-0005-0000-0000-00006F670000}"/>
    <cellStyle name="Normal 14 2 2 2 8 2" xfId="24347" xr:uid="{00000000-0005-0000-0000-000070670000}"/>
    <cellStyle name="Normal 14 2 2 2 9" xfId="31191" xr:uid="{00000000-0005-0000-0000-000071670000}"/>
    <cellStyle name="Normal 14 2 2 3" xfId="6883" xr:uid="{00000000-0005-0000-0000-000072670000}"/>
    <cellStyle name="Normal 14 2 2 3 2" xfId="6884" xr:uid="{00000000-0005-0000-0000-000073670000}"/>
    <cellStyle name="Normal 14 2 2 3 2 2" xfId="6885" xr:uid="{00000000-0005-0000-0000-000074670000}"/>
    <cellStyle name="Normal 14 2 2 3 2 2 2" xfId="16835" xr:uid="{00000000-0005-0000-0000-000075670000}"/>
    <cellStyle name="Normal 14 2 2 3 2 2 2 2" xfId="30242" xr:uid="{00000000-0005-0000-0000-000076670000}"/>
    <cellStyle name="Normal 14 2 2 3 2 2 3" xfId="31207" xr:uid="{00000000-0005-0000-0000-000077670000}"/>
    <cellStyle name="Normal 14 2 2 3 2 3" xfId="11500" xr:uid="{00000000-0005-0000-0000-000078670000}"/>
    <cellStyle name="Normal 14 2 2 3 2 3 2" xfId="25332" xr:uid="{00000000-0005-0000-0000-000079670000}"/>
    <cellStyle name="Normal 14 2 2 3 2 4" xfId="31206" xr:uid="{00000000-0005-0000-0000-00007A670000}"/>
    <cellStyle name="Normal 14 2 2 3 3" xfId="6886" xr:uid="{00000000-0005-0000-0000-00007B670000}"/>
    <cellStyle name="Normal 14 2 2 3 3 2" xfId="12223" xr:uid="{00000000-0005-0000-0000-00007C670000}"/>
    <cellStyle name="Normal 14 2 2 3 3 2 2" xfId="25935" xr:uid="{00000000-0005-0000-0000-00007D670000}"/>
    <cellStyle name="Normal 14 2 2 3 3 3" xfId="31208" xr:uid="{00000000-0005-0000-0000-00007E670000}"/>
    <cellStyle name="Normal 14 2 2 3 4" xfId="6887" xr:uid="{00000000-0005-0000-0000-00007F670000}"/>
    <cellStyle name="Normal 14 2 2 3 4 2" xfId="13787" xr:uid="{00000000-0005-0000-0000-000080670000}"/>
    <cellStyle name="Normal 14 2 2 3 4 2 2" xfId="27336" xr:uid="{00000000-0005-0000-0000-000081670000}"/>
    <cellStyle name="Normal 14 2 2 3 4 3" xfId="31209" xr:uid="{00000000-0005-0000-0000-000082670000}"/>
    <cellStyle name="Normal 14 2 2 3 5" xfId="6888" xr:uid="{00000000-0005-0000-0000-000083670000}"/>
    <cellStyle name="Normal 14 2 2 3 5 2" xfId="14368" xr:uid="{00000000-0005-0000-0000-000084670000}"/>
    <cellStyle name="Normal 14 2 2 3 5 2 2" xfId="27917" xr:uid="{00000000-0005-0000-0000-000085670000}"/>
    <cellStyle name="Normal 14 2 2 3 5 3" xfId="31210" xr:uid="{00000000-0005-0000-0000-000086670000}"/>
    <cellStyle name="Normal 14 2 2 3 6" xfId="6889" xr:uid="{00000000-0005-0000-0000-000087670000}"/>
    <cellStyle name="Normal 14 2 2 3 6 2" xfId="16254" xr:uid="{00000000-0005-0000-0000-000088670000}"/>
    <cellStyle name="Normal 14 2 2 3 6 2 2" xfId="29661" xr:uid="{00000000-0005-0000-0000-000089670000}"/>
    <cellStyle name="Normal 14 2 2 3 6 3" xfId="31211" xr:uid="{00000000-0005-0000-0000-00008A670000}"/>
    <cellStyle name="Normal 14 2 2 3 7" xfId="10121" xr:uid="{00000000-0005-0000-0000-00008B670000}"/>
    <cellStyle name="Normal 14 2 2 3 7 2" xfId="24349" xr:uid="{00000000-0005-0000-0000-00008C670000}"/>
    <cellStyle name="Normal 14 2 2 3 8" xfId="31205" xr:uid="{00000000-0005-0000-0000-00008D670000}"/>
    <cellStyle name="Normal 14 2 2 4" xfId="6890" xr:uid="{00000000-0005-0000-0000-00008E670000}"/>
    <cellStyle name="Normal 14 2 2 4 2" xfId="6891" xr:uid="{00000000-0005-0000-0000-00008F670000}"/>
    <cellStyle name="Normal 14 2 2 4 2 2" xfId="17182" xr:uid="{00000000-0005-0000-0000-000090670000}"/>
    <cellStyle name="Normal 14 2 2 4 2 2 2" xfId="30541" xr:uid="{00000000-0005-0000-0000-000091670000}"/>
    <cellStyle name="Normal 14 2 2 4 2 3" xfId="31213" xr:uid="{00000000-0005-0000-0000-000092670000}"/>
    <cellStyle name="Normal 14 2 2 4 3" xfId="11497" xr:uid="{00000000-0005-0000-0000-000093670000}"/>
    <cellStyle name="Normal 14 2 2 4 3 2" xfId="25329" xr:uid="{00000000-0005-0000-0000-000094670000}"/>
    <cellStyle name="Normal 14 2 2 4 4" xfId="31212" xr:uid="{00000000-0005-0000-0000-000095670000}"/>
    <cellStyle name="Normal 14 2 2 5" xfId="6892" xr:uid="{00000000-0005-0000-0000-000096670000}"/>
    <cellStyle name="Normal 14 2 2 5 2" xfId="6893" xr:uid="{00000000-0005-0000-0000-000097670000}"/>
    <cellStyle name="Normal 14 2 2 5 2 2" xfId="17271" xr:uid="{00000000-0005-0000-0000-000098670000}"/>
    <cellStyle name="Normal 14 2 2 5 2 2 2" xfId="30630" xr:uid="{00000000-0005-0000-0000-000099670000}"/>
    <cellStyle name="Normal 14 2 2 5 2 3" xfId="31215" xr:uid="{00000000-0005-0000-0000-00009A670000}"/>
    <cellStyle name="Normal 14 2 2 5 3" xfId="11921" xr:uid="{00000000-0005-0000-0000-00009B670000}"/>
    <cellStyle name="Normal 14 2 2 5 3 2" xfId="25636" xr:uid="{00000000-0005-0000-0000-00009C670000}"/>
    <cellStyle name="Normal 14 2 2 5 4" xfId="31214" xr:uid="{00000000-0005-0000-0000-00009D670000}"/>
    <cellStyle name="Normal 14 2 2 6" xfId="6894" xr:uid="{00000000-0005-0000-0000-00009E670000}"/>
    <cellStyle name="Normal 14 2 2 6 2" xfId="6895" xr:uid="{00000000-0005-0000-0000-00009F670000}"/>
    <cellStyle name="Normal 14 2 2 6 2 2" xfId="16546" xr:uid="{00000000-0005-0000-0000-0000A0670000}"/>
    <cellStyle name="Normal 14 2 2 6 2 2 2" xfId="29953" xr:uid="{00000000-0005-0000-0000-0000A1670000}"/>
    <cellStyle name="Normal 14 2 2 6 2 3" xfId="31217" xr:uid="{00000000-0005-0000-0000-0000A2670000}"/>
    <cellStyle name="Normal 14 2 2 6 3" xfId="13498" xr:uid="{00000000-0005-0000-0000-0000A3670000}"/>
    <cellStyle name="Normal 14 2 2 6 3 2" xfId="27047" xr:uid="{00000000-0005-0000-0000-0000A4670000}"/>
    <cellStyle name="Normal 14 2 2 6 4" xfId="31216" xr:uid="{00000000-0005-0000-0000-0000A5670000}"/>
    <cellStyle name="Normal 14 2 2 7" xfId="6896" xr:uid="{00000000-0005-0000-0000-0000A6670000}"/>
    <cellStyle name="Normal 14 2 2 7 2" xfId="14079" xr:uid="{00000000-0005-0000-0000-0000A7670000}"/>
    <cellStyle name="Normal 14 2 2 7 2 2" xfId="27628" xr:uid="{00000000-0005-0000-0000-0000A8670000}"/>
    <cellStyle name="Normal 14 2 2 7 3" xfId="31218" xr:uid="{00000000-0005-0000-0000-0000A9670000}"/>
    <cellStyle name="Normal 14 2 2 8" xfId="6897" xr:uid="{00000000-0005-0000-0000-0000AA670000}"/>
    <cellStyle name="Normal 14 2 2 8 2" xfId="15965" xr:uid="{00000000-0005-0000-0000-0000AB670000}"/>
    <cellStyle name="Normal 14 2 2 8 2 2" xfId="29372" xr:uid="{00000000-0005-0000-0000-0000AC670000}"/>
    <cellStyle name="Normal 14 2 2 8 3" xfId="31219" xr:uid="{00000000-0005-0000-0000-0000AD670000}"/>
    <cellStyle name="Normal 14 2 2 9" xfId="10118" xr:uid="{00000000-0005-0000-0000-0000AE670000}"/>
    <cellStyle name="Normal 14 2 2 9 2" xfId="24346" xr:uid="{00000000-0005-0000-0000-0000AF670000}"/>
    <cellStyle name="Normal 14 2 3" xfId="6898" xr:uid="{00000000-0005-0000-0000-0000B0670000}"/>
    <cellStyle name="Normal 14 2 3 2" xfId="6899" xr:uid="{00000000-0005-0000-0000-0000B1670000}"/>
    <cellStyle name="Normal 14 2 3 2 2" xfId="6900" xr:uid="{00000000-0005-0000-0000-0000B2670000}"/>
    <cellStyle name="Normal 14 2 3 2 2 2" xfId="6901" xr:uid="{00000000-0005-0000-0000-0000B3670000}"/>
    <cellStyle name="Normal 14 2 3 2 2 2 2" xfId="16932" xr:uid="{00000000-0005-0000-0000-0000B4670000}"/>
    <cellStyle name="Normal 14 2 3 2 2 2 2 2" xfId="30339" xr:uid="{00000000-0005-0000-0000-0000B5670000}"/>
    <cellStyle name="Normal 14 2 3 2 2 2 3" xfId="31223" xr:uid="{00000000-0005-0000-0000-0000B6670000}"/>
    <cellStyle name="Normal 14 2 3 2 2 3" xfId="11502" xr:uid="{00000000-0005-0000-0000-0000B7670000}"/>
    <cellStyle name="Normal 14 2 3 2 2 3 2" xfId="25334" xr:uid="{00000000-0005-0000-0000-0000B8670000}"/>
    <cellStyle name="Normal 14 2 3 2 2 4" xfId="31222" xr:uid="{00000000-0005-0000-0000-0000B9670000}"/>
    <cellStyle name="Normal 14 2 3 2 3" xfId="6902" xr:uid="{00000000-0005-0000-0000-0000BA670000}"/>
    <cellStyle name="Normal 14 2 3 2 3 2" xfId="12320" xr:uid="{00000000-0005-0000-0000-0000BB670000}"/>
    <cellStyle name="Normal 14 2 3 2 3 2 2" xfId="26032" xr:uid="{00000000-0005-0000-0000-0000BC670000}"/>
    <cellStyle name="Normal 14 2 3 2 3 3" xfId="31224" xr:uid="{00000000-0005-0000-0000-0000BD670000}"/>
    <cellStyle name="Normal 14 2 3 2 4" xfId="6903" xr:uid="{00000000-0005-0000-0000-0000BE670000}"/>
    <cellStyle name="Normal 14 2 3 2 4 2" xfId="13884" xr:uid="{00000000-0005-0000-0000-0000BF670000}"/>
    <cellStyle name="Normal 14 2 3 2 4 2 2" xfId="27433" xr:uid="{00000000-0005-0000-0000-0000C0670000}"/>
    <cellStyle name="Normal 14 2 3 2 4 3" xfId="31225" xr:uid="{00000000-0005-0000-0000-0000C1670000}"/>
    <cellStyle name="Normal 14 2 3 2 5" xfId="6904" xr:uid="{00000000-0005-0000-0000-0000C2670000}"/>
    <cellStyle name="Normal 14 2 3 2 5 2" xfId="14465" xr:uid="{00000000-0005-0000-0000-0000C3670000}"/>
    <cellStyle name="Normal 14 2 3 2 5 2 2" xfId="28014" xr:uid="{00000000-0005-0000-0000-0000C4670000}"/>
    <cellStyle name="Normal 14 2 3 2 5 3" xfId="31226" xr:uid="{00000000-0005-0000-0000-0000C5670000}"/>
    <cellStyle name="Normal 14 2 3 2 6" xfId="6905" xr:uid="{00000000-0005-0000-0000-0000C6670000}"/>
    <cellStyle name="Normal 14 2 3 2 6 2" xfId="16351" xr:uid="{00000000-0005-0000-0000-0000C7670000}"/>
    <cellStyle name="Normal 14 2 3 2 6 2 2" xfId="29758" xr:uid="{00000000-0005-0000-0000-0000C8670000}"/>
    <cellStyle name="Normal 14 2 3 2 6 3" xfId="31227" xr:uid="{00000000-0005-0000-0000-0000C9670000}"/>
    <cellStyle name="Normal 14 2 3 2 7" xfId="10123" xr:uid="{00000000-0005-0000-0000-0000CA670000}"/>
    <cellStyle name="Normal 14 2 3 2 7 2" xfId="24351" xr:uid="{00000000-0005-0000-0000-0000CB670000}"/>
    <cellStyle name="Normal 14 2 3 2 8" xfId="31221" xr:uid="{00000000-0005-0000-0000-0000CC670000}"/>
    <cellStyle name="Normal 14 2 3 3" xfId="6906" xr:uid="{00000000-0005-0000-0000-0000CD670000}"/>
    <cellStyle name="Normal 14 2 3 3 2" xfId="6907" xr:uid="{00000000-0005-0000-0000-0000CE670000}"/>
    <cellStyle name="Normal 14 2 3 3 2 2" xfId="16643" xr:uid="{00000000-0005-0000-0000-0000CF670000}"/>
    <cellStyle name="Normal 14 2 3 3 2 2 2" xfId="30050" xr:uid="{00000000-0005-0000-0000-0000D0670000}"/>
    <cellStyle name="Normal 14 2 3 3 2 3" xfId="31229" xr:uid="{00000000-0005-0000-0000-0000D1670000}"/>
    <cellStyle name="Normal 14 2 3 3 3" xfId="11501" xr:uid="{00000000-0005-0000-0000-0000D2670000}"/>
    <cellStyle name="Normal 14 2 3 3 3 2" xfId="25333" xr:uid="{00000000-0005-0000-0000-0000D3670000}"/>
    <cellStyle name="Normal 14 2 3 3 4" xfId="31228" xr:uid="{00000000-0005-0000-0000-0000D4670000}"/>
    <cellStyle name="Normal 14 2 3 4" xfId="6908" xr:uid="{00000000-0005-0000-0000-0000D5670000}"/>
    <cellStyle name="Normal 14 2 3 4 2" xfId="12020" xr:uid="{00000000-0005-0000-0000-0000D6670000}"/>
    <cellStyle name="Normal 14 2 3 4 2 2" xfId="25735" xr:uid="{00000000-0005-0000-0000-0000D7670000}"/>
    <cellStyle name="Normal 14 2 3 4 3" xfId="31230" xr:uid="{00000000-0005-0000-0000-0000D8670000}"/>
    <cellStyle name="Normal 14 2 3 5" xfId="6909" xr:uid="{00000000-0005-0000-0000-0000D9670000}"/>
    <cellStyle name="Normal 14 2 3 5 2" xfId="13595" xr:uid="{00000000-0005-0000-0000-0000DA670000}"/>
    <cellStyle name="Normal 14 2 3 5 2 2" xfId="27144" xr:uid="{00000000-0005-0000-0000-0000DB670000}"/>
    <cellStyle name="Normal 14 2 3 5 3" xfId="31231" xr:uid="{00000000-0005-0000-0000-0000DC670000}"/>
    <cellStyle name="Normal 14 2 3 6" xfId="6910" xr:uid="{00000000-0005-0000-0000-0000DD670000}"/>
    <cellStyle name="Normal 14 2 3 6 2" xfId="14176" xr:uid="{00000000-0005-0000-0000-0000DE670000}"/>
    <cellStyle name="Normal 14 2 3 6 2 2" xfId="27725" xr:uid="{00000000-0005-0000-0000-0000DF670000}"/>
    <cellStyle name="Normal 14 2 3 6 3" xfId="31232" xr:uid="{00000000-0005-0000-0000-0000E0670000}"/>
    <cellStyle name="Normal 14 2 3 7" xfId="6911" xr:uid="{00000000-0005-0000-0000-0000E1670000}"/>
    <cellStyle name="Normal 14 2 3 7 2" xfId="16062" xr:uid="{00000000-0005-0000-0000-0000E2670000}"/>
    <cellStyle name="Normal 14 2 3 7 2 2" xfId="29469" xr:uid="{00000000-0005-0000-0000-0000E3670000}"/>
    <cellStyle name="Normal 14 2 3 7 3" xfId="31233" xr:uid="{00000000-0005-0000-0000-0000E4670000}"/>
    <cellStyle name="Normal 14 2 3 8" xfId="10122" xr:uid="{00000000-0005-0000-0000-0000E5670000}"/>
    <cellStyle name="Normal 14 2 3 8 2" xfId="24350" xr:uid="{00000000-0005-0000-0000-0000E6670000}"/>
    <cellStyle name="Normal 14 2 3 9" xfId="31220" xr:uid="{00000000-0005-0000-0000-0000E7670000}"/>
    <cellStyle name="Normal 14 2 4" xfId="6912" xr:uid="{00000000-0005-0000-0000-0000E8670000}"/>
    <cellStyle name="Normal 14 2 4 2" xfId="6913" xr:uid="{00000000-0005-0000-0000-0000E9670000}"/>
    <cellStyle name="Normal 14 2 4 2 2" xfId="6914" xr:uid="{00000000-0005-0000-0000-0000EA670000}"/>
    <cellStyle name="Normal 14 2 4 2 2 2" xfId="16789" xr:uid="{00000000-0005-0000-0000-0000EB670000}"/>
    <cellStyle name="Normal 14 2 4 2 2 2 2" xfId="30196" xr:uid="{00000000-0005-0000-0000-0000EC670000}"/>
    <cellStyle name="Normal 14 2 4 2 2 3" xfId="31236" xr:uid="{00000000-0005-0000-0000-0000ED670000}"/>
    <cellStyle name="Normal 14 2 4 2 3" xfId="11503" xr:uid="{00000000-0005-0000-0000-0000EE670000}"/>
    <cellStyle name="Normal 14 2 4 2 3 2" xfId="25335" xr:uid="{00000000-0005-0000-0000-0000EF670000}"/>
    <cellStyle name="Normal 14 2 4 2 4" xfId="31235" xr:uid="{00000000-0005-0000-0000-0000F0670000}"/>
    <cellStyle name="Normal 14 2 4 3" xfId="6915" xr:uid="{00000000-0005-0000-0000-0000F1670000}"/>
    <cellStyle name="Normal 14 2 4 3 2" xfId="12177" xr:uid="{00000000-0005-0000-0000-0000F2670000}"/>
    <cellStyle name="Normal 14 2 4 3 2 2" xfId="25889" xr:uid="{00000000-0005-0000-0000-0000F3670000}"/>
    <cellStyle name="Normal 14 2 4 3 3" xfId="31237" xr:uid="{00000000-0005-0000-0000-0000F4670000}"/>
    <cellStyle name="Normal 14 2 4 4" xfId="6916" xr:uid="{00000000-0005-0000-0000-0000F5670000}"/>
    <cellStyle name="Normal 14 2 4 4 2" xfId="13741" xr:uid="{00000000-0005-0000-0000-0000F6670000}"/>
    <cellStyle name="Normal 14 2 4 4 2 2" xfId="27290" xr:uid="{00000000-0005-0000-0000-0000F7670000}"/>
    <cellStyle name="Normal 14 2 4 4 3" xfId="31238" xr:uid="{00000000-0005-0000-0000-0000F8670000}"/>
    <cellStyle name="Normal 14 2 4 5" xfId="6917" xr:uid="{00000000-0005-0000-0000-0000F9670000}"/>
    <cellStyle name="Normal 14 2 4 5 2" xfId="14322" xr:uid="{00000000-0005-0000-0000-0000FA670000}"/>
    <cellStyle name="Normal 14 2 4 5 2 2" xfId="27871" xr:uid="{00000000-0005-0000-0000-0000FB670000}"/>
    <cellStyle name="Normal 14 2 4 5 3" xfId="31239" xr:uid="{00000000-0005-0000-0000-0000FC670000}"/>
    <cellStyle name="Normal 14 2 4 6" xfId="6918" xr:uid="{00000000-0005-0000-0000-0000FD670000}"/>
    <cellStyle name="Normal 14 2 4 6 2" xfId="16208" xr:uid="{00000000-0005-0000-0000-0000FE670000}"/>
    <cellStyle name="Normal 14 2 4 6 2 2" xfId="29615" xr:uid="{00000000-0005-0000-0000-0000FF670000}"/>
    <cellStyle name="Normal 14 2 4 6 3" xfId="31240" xr:uid="{00000000-0005-0000-0000-000000680000}"/>
    <cellStyle name="Normal 14 2 4 7" xfId="10124" xr:uid="{00000000-0005-0000-0000-000001680000}"/>
    <cellStyle name="Normal 14 2 4 7 2" xfId="24352" xr:uid="{00000000-0005-0000-0000-000002680000}"/>
    <cellStyle name="Normal 14 2 4 8" xfId="31234" xr:uid="{00000000-0005-0000-0000-000003680000}"/>
    <cellStyle name="Normal 14 2 5" xfId="6919" xr:uid="{00000000-0005-0000-0000-000004680000}"/>
    <cellStyle name="Normal 14 2 5 2" xfId="6920" xr:uid="{00000000-0005-0000-0000-000005680000}"/>
    <cellStyle name="Normal 14 2 5 2 2" xfId="17136" xr:uid="{00000000-0005-0000-0000-000006680000}"/>
    <cellStyle name="Normal 14 2 5 2 2 2" xfId="30495" xr:uid="{00000000-0005-0000-0000-000007680000}"/>
    <cellStyle name="Normal 14 2 5 2 3" xfId="31242" xr:uid="{00000000-0005-0000-0000-000008680000}"/>
    <cellStyle name="Normal 14 2 5 3" xfId="11496" xr:uid="{00000000-0005-0000-0000-000009680000}"/>
    <cellStyle name="Normal 14 2 5 3 2" xfId="25328" xr:uid="{00000000-0005-0000-0000-00000A680000}"/>
    <cellStyle name="Normal 14 2 5 4" xfId="31241" xr:uid="{00000000-0005-0000-0000-00000B680000}"/>
    <cellStyle name="Normal 14 2 6" xfId="6921" xr:uid="{00000000-0005-0000-0000-00000C680000}"/>
    <cellStyle name="Normal 14 2 6 2" xfId="6922" xr:uid="{00000000-0005-0000-0000-00000D680000}"/>
    <cellStyle name="Normal 14 2 6 2 2" xfId="17225" xr:uid="{00000000-0005-0000-0000-00000E680000}"/>
    <cellStyle name="Normal 14 2 6 2 2 2" xfId="30584" xr:uid="{00000000-0005-0000-0000-00000F680000}"/>
    <cellStyle name="Normal 14 2 6 2 3" xfId="31244" xr:uid="{00000000-0005-0000-0000-000010680000}"/>
    <cellStyle name="Normal 14 2 6 3" xfId="11864" xr:uid="{00000000-0005-0000-0000-000011680000}"/>
    <cellStyle name="Normal 14 2 6 3 2" xfId="25579" xr:uid="{00000000-0005-0000-0000-000012680000}"/>
    <cellStyle name="Normal 14 2 6 4" xfId="31243" xr:uid="{00000000-0005-0000-0000-000013680000}"/>
    <cellStyle name="Normal 14 2 7" xfId="6923" xr:uid="{00000000-0005-0000-0000-000014680000}"/>
    <cellStyle name="Normal 14 2 7 2" xfId="6924" xr:uid="{00000000-0005-0000-0000-000015680000}"/>
    <cellStyle name="Normal 14 2 7 2 2" xfId="16500" xr:uid="{00000000-0005-0000-0000-000016680000}"/>
    <cellStyle name="Normal 14 2 7 2 2 2" xfId="29907" xr:uid="{00000000-0005-0000-0000-000017680000}"/>
    <cellStyle name="Normal 14 2 7 2 3" xfId="31246" xr:uid="{00000000-0005-0000-0000-000018680000}"/>
    <cellStyle name="Normal 14 2 7 3" xfId="13452" xr:uid="{00000000-0005-0000-0000-000019680000}"/>
    <cellStyle name="Normal 14 2 7 3 2" xfId="27001" xr:uid="{00000000-0005-0000-0000-00001A680000}"/>
    <cellStyle name="Normal 14 2 7 4" xfId="31245" xr:uid="{00000000-0005-0000-0000-00001B680000}"/>
    <cellStyle name="Normal 14 2 8" xfId="6925" xr:uid="{00000000-0005-0000-0000-00001C680000}"/>
    <cellStyle name="Normal 14 2 8 2" xfId="14033" xr:uid="{00000000-0005-0000-0000-00001D680000}"/>
    <cellStyle name="Normal 14 2 8 2 2" xfId="27582" xr:uid="{00000000-0005-0000-0000-00001E680000}"/>
    <cellStyle name="Normal 14 2 8 3" xfId="31247" xr:uid="{00000000-0005-0000-0000-00001F680000}"/>
    <cellStyle name="Normal 14 2 9" xfId="6926" xr:uid="{00000000-0005-0000-0000-000020680000}"/>
    <cellStyle name="Normal 14 2 9 2" xfId="15919" xr:uid="{00000000-0005-0000-0000-000021680000}"/>
    <cellStyle name="Normal 14 2 9 2 2" xfId="29326" xr:uid="{00000000-0005-0000-0000-000022680000}"/>
    <cellStyle name="Normal 14 2 9 3" xfId="31248" xr:uid="{00000000-0005-0000-0000-000023680000}"/>
    <cellStyle name="Normal 14 3" xfId="6927" xr:uid="{00000000-0005-0000-0000-000024680000}"/>
    <cellStyle name="Normal 14 3 10" xfId="31249" xr:uid="{00000000-0005-0000-0000-000025680000}"/>
    <cellStyle name="Normal 14 3 2" xfId="6928" xr:uid="{00000000-0005-0000-0000-000026680000}"/>
    <cellStyle name="Normal 14 3 2 2" xfId="6929" xr:uid="{00000000-0005-0000-0000-000027680000}"/>
    <cellStyle name="Normal 14 3 2 2 2" xfId="6930" xr:uid="{00000000-0005-0000-0000-000028680000}"/>
    <cellStyle name="Normal 14 3 2 2 2 2" xfId="6931" xr:uid="{00000000-0005-0000-0000-000029680000}"/>
    <cellStyle name="Normal 14 3 2 2 2 2 2" xfId="16955" xr:uid="{00000000-0005-0000-0000-00002A680000}"/>
    <cellStyle name="Normal 14 3 2 2 2 2 2 2" xfId="30362" xr:uid="{00000000-0005-0000-0000-00002B680000}"/>
    <cellStyle name="Normal 14 3 2 2 2 2 3" xfId="31253" xr:uid="{00000000-0005-0000-0000-00002C680000}"/>
    <cellStyle name="Normal 14 3 2 2 2 3" xfId="11506" xr:uid="{00000000-0005-0000-0000-00002D680000}"/>
    <cellStyle name="Normal 14 3 2 2 2 3 2" xfId="25338" xr:uid="{00000000-0005-0000-0000-00002E680000}"/>
    <cellStyle name="Normal 14 3 2 2 2 4" xfId="31252" xr:uid="{00000000-0005-0000-0000-00002F680000}"/>
    <cellStyle name="Normal 14 3 2 2 3" xfId="6932" xr:uid="{00000000-0005-0000-0000-000030680000}"/>
    <cellStyle name="Normal 14 3 2 2 3 2" xfId="12343" xr:uid="{00000000-0005-0000-0000-000031680000}"/>
    <cellStyle name="Normal 14 3 2 2 3 2 2" xfId="26055" xr:uid="{00000000-0005-0000-0000-000032680000}"/>
    <cellStyle name="Normal 14 3 2 2 3 3" xfId="31254" xr:uid="{00000000-0005-0000-0000-000033680000}"/>
    <cellStyle name="Normal 14 3 2 2 4" xfId="6933" xr:uid="{00000000-0005-0000-0000-000034680000}"/>
    <cellStyle name="Normal 14 3 2 2 4 2" xfId="13907" xr:uid="{00000000-0005-0000-0000-000035680000}"/>
    <cellStyle name="Normal 14 3 2 2 4 2 2" xfId="27456" xr:uid="{00000000-0005-0000-0000-000036680000}"/>
    <cellStyle name="Normal 14 3 2 2 4 3" xfId="31255" xr:uid="{00000000-0005-0000-0000-000037680000}"/>
    <cellStyle name="Normal 14 3 2 2 5" xfId="6934" xr:uid="{00000000-0005-0000-0000-000038680000}"/>
    <cellStyle name="Normal 14 3 2 2 5 2" xfId="14488" xr:uid="{00000000-0005-0000-0000-000039680000}"/>
    <cellStyle name="Normal 14 3 2 2 5 2 2" xfId="28037" xr:uid="{00000000-0005-0000-0000-00003A680000}"/>
    <cellStyle name="Normal 14 3 2 2 5 3" xfId="31256" xr:uid="{00000000-0005-0000-0000-00003B680000}"/>
    <cellStyle name="Normal 14 3 2 2 6" xfId="6935" xr:uid="{00000000-0005-0000-0000-00003C680000}"/>
    <cellStyle name="Normal 14 3 2 2 6 2" xfId="16374" xr:uid="{00000000-0005-0000-0000-00003D680000}"/>
    <cellStyle name="Normal 14 3 2 2 6 2 2" xfId="29781" xr:uid="{00000000-0005-0000-0000-00003E680000}"/>
    <cellStyle name="Normal 14 3 2 2 6 3" xfId="31257" xr:uid="{00000000-0005-0000-0000-00003F680000}"/>
    <cellStyle name="Normal 14 3 2 2 7" xfId="10127" xr:uid="{00000000-0005-0000-0000-000040680000}"/>
    <cellStyle name="Normal 14 3 2 2 7 2" xfId="24355" xr:uid="{00000000-0005-0000-0000-000041680000}"/>
    <cellStyle name="Normal 14 3 2 2 8" xfId="31251" xr:uid="{00000000-0005-0000-0000-000042680000}"/>
    <cellStyle name="Normal 14 3 2 3" xfId="6936" xr:uid="{00000000-0005-0000-0000-000043680000}"/>
    <cellStyle name="Normal 14 3 2 3 2" xfId="6937" xr:uid="{00000000-0005-0000-0000-000044680000}"/>
    <cellStyle name="Normal 14 3 2 3 2 2" xfId="16666" xr:uid="{00000000-0005-0000-0000-000045680000}"/>
    <cellStyle name="Normal 14 3 2 3 2 2 2" xfId="30073" xr:uid="{00000000-0005-0000-0000-000046680000}"/>
    <cellStyle name="Normal 14 3 2 3 2 3" xfId="31259" xr:uid="{00000000-0005-0000-0000-000047680000}"/>
    <cellStyle name="Normal 14 3 2 3 3" xfId="11505" xr:uid="{00000000-0005-0000-0000-000048680000}"/>
    <cellStyle name="Normal 14 3 2 3 3 2" xfId="25337" xr:uid="{00000000-0005-0000-0000-000049680000}"/>
    <cellStyle name="Normal 14 3 2 3 4" xfId="31258" xr:uid="{00000000-0005-0000-0000-00004A680000}"/>
    <cellStyle name="Normal 14 3 2 4" xfId="6938" xr:uid="{00000000-0005-0000-0000-00004B680000}"/>
    <cellStyle name="Normal 14 3 2 4 2" xfId="12043" xr:uid="{00000000-0005-0000-0000-00004C680000}"/>
    <cellStyle name="Normal 14 3 2 4 2 2" xfId="25758" xr:uid="{00000000-0005-0000-0000-00004D680000}"/>
    <cellStyle name="Normal 14 3 2 4 3" xfId="31260" xr:uid="{00000000-0005-0000-0000-00004E680000}"/>
    <cellStyle name="Normal 14 3 2 5" xfId="6939" xr:uid="{00000000-0005-0000-0000-00004F680000}"/>
    <cellStyle name="Normal 14 3 2 5 2" xfId="13618" xr:uid="{00000000-0005-0000-0000-000050680000}"/>
    <cellStyle name="Normal 14 3 2 5 2 2" xfId="27167" xr:uid="{00000000-0005-0000-0000-000051680000}"/>
    <cellStyle name="Normal 14 3 2 5 3" xfId="31261" xr:uid="{00000000-0005-0000-0000-000052680000}"/>
    <cellStyle name="Normal 14 3 2 6" xfId="6940" xr:uid="{00000000-0005-0000-0000-000053680000}"/>
    <cellStyle name="Normal 14 3 2 6 2" xfId="14199" xr:uid="{00000000-0005-0000-0000-000054680000}"/>
    <cellStyle name="Normal 14 3 2 6 2 2" xfId="27748" xr:uid="{00000000-0005-0000-0000-000055680000}"/>
    <cellStyle name="Normal 14 3 2 6 3" xfId="31262" xr:uid="{00000000-0005-0000-0000-000056680000}"/>
    <cellStyle name="Normal 14 3 2 7" xfId="6941" xr:uid="{00000000-0005-0000-0000-000057680000}"/>
    <cellStyle name="Normal 14 3 2 7 2" xfId="16085" xr:uid="{00000000-0005-0000-0000-000058680000}"/>
    <cellStyle name="Normal 14 3 2 7 2 2" xfId="29492" xr:uid="{00000000-0005-0000-0000-000059680000}"/>
    <cellStyle name="Normal 14 3 2 7 3" xfId="31263" xr:uid="{00000000-0005-0000-0000-00005A680000}"/>
    <cellStyle name="Normal 14 3 2 8" xfId="10126" xr:uid="{00000000-0005-0000-0000-00005B680000}"/>
    <cellStyle name="Normal 14 3 2 8 2" xfId="24354" xr:uid="{00000000-0005-0000-0000-00005C680000}"/>
    <cellStyle name="Normal 14 3 2 9" xfId="31250" xr:uid="{00000000-0005-0000-0000-00005D680000}"/>
    <cellStyle name="Normal 14 3 3" xfId="6942" xr:uid="{00000000-0005-0000-0000-00005E680000}"/>
    <cellStyle name="Normal 14 3 3 2" xfId="6943" xr:uid="{00000000-0005-0000-0000-00005F680000}"/>
    <cellStyle name="Normal 14 3 3 2 2" xfId="6944" xr:uid="{00000000-0005-0000-0000-000060680000}"/>
    <cellStyle name="Normal 14 3 3 2 2 2" xfId="16812" xr:uid="{00000000-0005-0000-0000-000061680000}"/>
    <cellStyle name="Normal 14 3 3 2 2 2 2" xfId="30219" xr:uid="{00000000-0005-0000-0000-000062680000}"/>
    <cellStyle name="Normal 14 3 3 2 2 3" xfId="31266" xr:uid="{00000000-0005-0000-0000-000063680000}"/>
    <cellStyle name="Normal 14 3 3 2 3" xfId="11507" xr:uid="{00000000-0005-0000-0000-000064680000}"/>
    <cellStyle name="Normal 14 3 3 2 3 2" xfId="25339" xr:uid="{00000000-0005-0000-0000-000065680000}"/>
    <cellStyle name="Normal 14 3 3 2 4" xfId="31265" xr:uid="{00000000-0005-0000-0000-000066680000}"/>
    <cellStyle name="Normal 14 3 3 3" xfId="6945" xr:uid="{00000000-0005-0000-0000-000067680000}"/>
    <cellStyle name="Normal 14 3 3 3 2" xfId="12200" xr:uid="{00000000-0005-0000-0000-000068680000}"/>
    <cellStyle name="Normal 14 3 3 3 2 2" xfId="25912" xr:uid="{00000000-0005-0000-0000-000069680000}"/>
    <cellStyle name="Normal 14 3 3 3 3" xfId="31267" xr:uid="{00000000-0005-0000-0000-00006A680000}"/>
    <cellStyle name="Normal 14 3 3 4" xfId="6946" xr:uid="{00000000-0005-0000-0000-00006B680000}"/>
    <cellStyle name="Normal 14 3 3 4 2" xfId="13764" xr:uid="{00000000-0005-0000-0000-00006C680000}"/>
    <cellStyle name="Normal 14 3 3 4 2 2" xfId="27313" xr:uid="{00000000-0005-0000-0000-00006D680000}"/>
    <cellStyle name="Normal 14 3 3 4 3" xfId="31268" xr:uid="{00000000-0005-0000-0000-00006E680000}"/>
    <cellStyle name="Normal 14 3 3 5" xfId="6947" xr:uid="{00000000-0005-0000-0000-00006F680000}"/>
    <cellStyle name="Normal 14 3 3 5 2" xfId="14345" xr:uid="{00000000-0005-0000-0000-000070680000}"/>
    <cellStyle name="Normal 14 3 3 5 2 2" xfId="27894" xr:uid="{00000000-0005-0000-0000-000071680000}"/>
    <cellStyle name="Normal 14 3 3 5 3" xfId="31269" xr:uid="{00000000-0005-0000-0000-000072680000}"/>
    <cellStyle name="Normal 14 3 3 6" xfId="6948" xr:uid="{00000000-0005-0000-0000-000073680000}"/>
    <cellStyle name="Normal 14 3 3 6 2" xfId="16231" xr:uid="{00000000-0005-0000-0000-000074680000}"/>
    <cellStyle name="Normal 14 3 3 6 2 2" xfId="29638" xr:uid="{00000000-0005-0000-0000-000075680000}"/>
    <cellStyle name="Normal 14 3 3 6 3" xfId="31270" xr:uid="{00000000-0005-0000-0000-000076680000}"/>
    <cellStyle name="Normal 14 3 3 7" xfId="10128" xr:uid="{00000000-0005-0000-0000-000077680000}"/>
    <cellStyle name="Normal 14 3 3 7 2" xfId="24356" xr:uid="{00000000-0005-0000-0000-000078680000}"/>
    <cellStyle name="Normal 14 3 3 8" xfId="31264" xr:uid="{00000000-0005-0000-0000-000079680000}"/>
    <cellStyle name="Normal 14 3 4" xfId="6949" xr:uid="{00000000-0005-0000-0000-00007A680000}"/>
    <cellStyle name="Normal 14 3 4 2" xfId="6950" xr:uid="{00000000-0005-0000-0000-00007B680000}"/>
    <cellStyle name="Normal 14 3 4 2 2" xfId="17159" xr:uid="{00000000-0005-0000-0000-00007C680000}"/>
    <cellStyle name="Normal 14 3 4 2 2 2" xfId="30518" xr:uid="{00000000-0005-0000-0000-00007D680000}"/>
    <cellStyle name="Normal 14 3 4 2 3" xfId="31272" xr:uid="{00000000-0005-0000-0000-00007E680000}"/>
    <cellStyle name="Normal 14 3 4 3" xfId="11504" xr:uid="{00000000-0005-0000-0000-00007F680000}"/>
    <cellStyle name="Normal 14 3 4 3 2" xfId="25336" xr:uid="{00000000-0005-0000-0000-000080680000}"/>
    <cellStyle name="Normal 14 3 4 4" xfId="31271" xr:uid="{00000000-0005-0000-0000-000081680000}"/>
    <cellStyle name="Normal 14 3 5" xfId="6951" xr:uid="{00000000-0005-0000-0000-000082680000}"/>
    <cellStyle name="Normal 14 3 5 2" xfId="6952" xr:uid="{00000000-0005-0000-0000-000083680000}"/>
    <cellStyle name="Normal 14 3 5 2 2" xfId="17248" xr:uid="{00000000-0005-0000-0000-000084680000}"/>
    <cellStyle name="Normal 14 3 5 2 2 2" xfId="30607" xr:uid="{00000000-0005-0000-0000-000085680000}"/>
    <cellStyle name="Normal 14 3 5 2 3" xfId="31274" xr:uid="{00000000-0005-0000-0000-000086680000}"/>
    <cellStyle name="Normal 14 3 5 3" xfId="11898" xr:uid="{00000000-0005-0000-0000-000087680000}"/>
    <cellStyle name="Normal 14 3 5 3 2" xfId="25613" xr:uid="{00000000-0005-0000-0000-000088680000}"/>
    <cellStyle name="Normal 14 3 5 4" xfId="31273" xr:uid="{00000000-0005-0000-0000-000089680000}"/>
    <cellStyle name="Normal 14 3 6" xfId="6953" xr:uid="{00000000-0005-0000-0000-00008A680000}"/>
    <cellStyle name="Normal 14 3 6 2" xfId="6954" xr:uid="{00000000-0005-0000-0000-00008B680000}"/>
    <cellStyle name="Normal 14 3 6 2 2" xfId="16523" xr:uid="{00000000-0005-0000-0000-00008C680000}"/>
    <cellStyle name="Normal 14 3 6 2 2 2" xfId="29930" xr:uid="{00000000-0005-0000-0000-00008D680000}"/>
    <cellStyle name="Normal 14 3 6 2 3" xfId="31276" xr:uid="{00000000-0005-0000-0000-00008E680000}"/>
    <cellStyle name="Normal 14 3 6 3" xfId="13475" xr:uid="{00000000-0005-0000-0000-00008F680000}"/>
    <cellStyle name="Normal 14 3 6 3 2" xfId="27024" xr:uid="{00000000-0005-0000-0000-000090680000}"/>
    <cellStyle name="Normal 14 3 6 4" xfId="31275" xr:uid="{00000000-0005-0000-0000-000091680000}"/>
    <cellStyle name="Normal 14 3 7" xfId="6955" xr:uid="{00000000-0005-0000-0000-000092680000}"/>
    <cellStyle name="Normal 14 3 7 2" xfId="14056" xr:uid="{00000000-0005-0000-0000-000093680000}"/>
    <cellStyle name="Normal 14 3 7 2 2" xfId="27605" xr:uid="{00000000-0005-0000-0000-000094680000}"/>
    <cellStyle name="Normal 14 3 7 3" xfId="31277" xr:uid="{00000000-0005-0000-0000-000095680000}"/>
    <cellStyle name="Normal 14 3 8" xfId="6956" xr:uid="{00000000-0005-0000-0000-000096680000}"/>
    <cellStyle name="Normal 14 3 8 2" xfId="15942" xr:uid="{00000000-0005-0000-0000-000097680000}"/>
    <cellStyle name="Normal 14 3 8 2 2" xfId="29349" xr:uid="{00000000-0005-0000-0000-000098680000}"/>
    <cellStyle name="Normal 14 3 8 3" xfId="31278" xr:uid="{00000000-0005-0000-0000-000099680000}"/>
    <cellStyle name="Normal 14 3 9" xfId="10125" xr:uid="{00000000-0005-0000-0000-00009A680000}"/>
    <cellStyle name="Normal 14 3 9 2" xfId="24353" xr:uid="{00000000-0005-0000-0000-00009B680000}"/>
    <cellStyle name="Normal 14 4" xfId="6957" xr:uid="{00000000-0005-0000-0000-00009C680000}"/>
    <cellStyle name="Normal 14 4 10" xfId="31279" xr:uid="{00000000-0005-0000-0000-00009D680000}"/>
    <cellStyle name="Normal 14 4 2" xfId="6958" xr:uid="{00000000-0005-0000-0000-00009E680000}"/>
    <cellStyle name="Normal 14 4 2 2" xfId="6959" xr:uid="{00000000-0005-0000-0000-00009F680000}"/>
    <cellStyle name="Normal 14 4 2 2 2" xfId="6960" xr:uid="{00000000-0005-0000-0000-0000A0680000}"/>
    <cellStyle name="Normal 14 4 2 2 2 2" xfId="6961" xr:uid="{00000000-0005-0000-0000-0000A1680000}"/>
    <cellStyle name="Normal 14 4 2 2 2 2 2" xfId="16998" xr:uid="{00000000-0005-0000-0000-0000A2680000}"/>
    <cellStyle name="Normal 14 4 2 2 2 2 2 2" xfId="30405" xr:uid="{00000000-0005-0000-0000-0000A3680000}"/>
    <cellStyle name="Normal 14 4 2 2 2 2 3" xfId="31283" xr:uid="{00000000-0005-0000-0000-0000A4680000}"/>
    <cellStyle name="Normal 14 4 2 2 2 3" xfId="11510" xr:uid="{00000000-0005-0000-0000-0000A5680000}"/>
    <cellStyle name="Normal 14 4 2 2 2 3 2" xfId="25342" xr:uid="{00000000-0005-0000-0000-0000A6680000}"/>
    <cellStyle name="Normal 14 4 2 2 2 4" xfId="31282" xr:uid="{00000000-0005-0000-0000-0000A7680000}"/>
    <cellStyle name="Normal 14 4 2 2 3" xfId="6962" xr:uid="{00000000-0005-0000-0000-0000A8680000}"/>
    <cellStyle name="Normal 14 4 2 2 3 2" xfId="12386" xr:uid="{00000000-0005-0000-0000-0000A9680000}"/>
    <cellStyle name="Normal 14 4 2 2 3 2 2" xfId="26098" xr:uid="{00000000-0005-0000-0000-0000AA680000}"/>
    <cellStyle name="Normal 14 4 2 2 3 3" xfId="31284" xr:uid="{00000000-0005-0000-0000-0000AB680000}"/>
    <cellStyle name="Normal 14 4 2 2 4" xfId="6963" xr:uid="{00000000-0005-0000-0000-0000AC680000}"/>
    <cellStyle name="Normal 14 4 2 2 4 2" xfId="13950" xr:uid="{00000000-0005-0000-0000-0000AD680000}"/>
    <cellStyle name="Normal 14 4 2 2 4 2 2" xfId="27499" xr:uid="{00000000-0005-0000-0000-0000AE680000}"/>
    <cellStyle name="Normal 14 4 2 2 4 3" xfId="31285" xr:uid="{00000000-0005-0000-0000-0000AF680000}"/>
    <cellStyle name="Normal 14 4 2 2 5" xfId="6964" xr:uid="{00000000-0005-0000-0000-0000B0680000}"/>
    <cellStyle name="Normal 14 4 2 2 5 2" xfId="14531" xr:uid="{00000000-0005-0000-0000-0000B1680000}"/>
    <cellStyle name="Normal 14 4 2 2 5 2 2" xfId="28080" xr:uid="{00000000-0005-0000-0000-0000B2680000}"/>
    <cellStyle name="Normal 14 4 2 2 5 3" xfId="31286" xr:uid="{00000000-0005-0000-0000-0000B3680000}"/>
    <cellStyle name="Normal 14 4 2 2 6" xfId="6965" xr:uid="{00000000-0005-0000-0000-0000B4680000}"/>
    <cellStyle name="Normal 14 4 2 2 6 2" xfId="16417" xr:uid="{00000000-0005-0000-0000-0000B5680000}"/>
    <cellStyle name="Normal 14 4 2 2 6 2 2" xfId="29824" xr:uid="{00000000-0005-0000-0000-0000B6680000}"/>
    <cellStyle name="Normal 14 4 2 2 6 3" xfId="31287" xr:uid="{00000000-0005-0000-0000-0000B7680000}"/>
    <cellStyle name="Normal 14 4 2 2 7" xfId="10131" xr:uid="{00000000-0005-0000-0000-0000B8680000}"/>
    <cellStyle name="Normal 14 4 2 2 7 2" xfId="24359" xr:uid="{00000000-0005-0000-0000-0000B9680000}"/>
    <cellStyle name="Normal 14 4 2 2 8" xfId="31281" xr:uid="{00000000-0005-0000-0000-0000BA680000}"/>
    <cellStyle name="Normal 14 4 2 3" xfId="6966" xr:uid="{00000000-0005-0000-0000-0000BB680000}"/>
    <cellStyle name="Normal 14 4 2 3 2" xfId="6967" xr:uid="{00000000-0005-0000-0000-0000BC680000}"/>
    <cellStyle name="Normal 14 4 2 3 2 2" xfId="16709" xr:uid="{00000000-0005-0000-0000-0000BD680000}"/>
    <cellStyle name="Normal 14 4 2 3 2 2 2" xfId="30116" xr:uid="{00000000-0005-0000-0000-0000BE680000}"/>
    <cellStyle name="Normal 14 4 2 3 2 3" xfId="31289" xr:uid="{00000000-0005-0000-0000-0000BF680000}"/>
    <cellStyle name="Normal 14 4 2 3 3" xfId="11509" xr:uid="{00000000-0005-0000-0000-0000C0680000}"/>
    <cellStyle name="Normal 14 4 2 3 3 2" xfId="25341" xr:uid="{00000000-0005-0000-0000-0000C1680000}"/>
    <cellStyle name="Normal 14 4 2 3 4" xfId="31288" xr:uid="{00000000-0005-0000-0000-0000C2680000}"/>
    <cellStyle name="Normal 14 4 2 4" xfId="6968" xr:uid="{00000000-0005-0000-0000-0000C3680000}"/>
    <cellStyle name="Normal 14 4 2 4 2" xfId="12086" xr:uid="{00000000-0005-0000-0000-0000C4680000}"/>
    <cellStyle name="Normal 14 4 2 4 2 2" xfId="25801" xr:uid="{00000000-0005-0000-0000-0000C5680000}"/>
    <cellStyle name="Normal 14 4 2 4 3" xfId="31290" xr:uid="{00000000-0005-0000-0000-0000C6680000}"/>
    <cellStyle name="Normal 14 4 2 5" xfId="6969" xr:uid="{00000000-0005-0000-0000-0000C7680000}"/>
    <cellStyle name="Normal 14 4 2 5 2" xfId="13661" xr:uid="{00000000-0005-0000-0000-0000C8680000}"/>
    <cellStyle name="Normal 14 4 2 5 2 2" xfId="27210" xr:uid="{00000000-0005-0000-0000-0000C9680000}"/>
    <cellStyle name="Normal 14 4 2 5 3" xfId="31291" xr:uid="{00000000-0005-0000-0000-0000CA680000}"/>
    <cellStyle name="Normal 14 4 2 6" xfId="6970" xr:uid="{00000000-0005-0000-0000-0000CB680000}"/>
    <cellStyle name="Normal 14 4 2 6 2" xfId="14242" xr:uid="{00000000-0005-0000-0000-0000CC680000}"/>
    <cellStyle name="Normal 14 4 2 6 2 2" xfId="27791" xr:uid="{00000000-0005-0000-0000-0000CD680000}"/>
    <cellStyle name="Normal 14 4 2 6 3" xfId="31292" xr:uid="{00000000-0005-0000-0000-0000CE680000}"/>
    <cellStyle name="Normal 14 4 2 7" xfId="6971" xr:uid="{00000000-0005-0000-0000-0000CF680000}"/>
    <cellStyle name="Normal 14 4 2 7 2" xfId="16128" xr:uid="{00000000-0005-0000-0000-0000D0680000}"/>
    <cellStyle name="Normal 14 4 2 7 2 2" xfId="29535" xr:uid="{00000000-0005-0000-0000-0000D1680000}"/>
    <cellStyle name="Normal 14 4 2 7 3" xfId="31293" xr:uid="{00000000-0005-0000-0000-0000D2680000}"/>
    <cellStyle name="Normal 14 4 2 8" xfId="10130" xr:uid="{00000000-0005-0000-0000-0000D3680000}"/>
    <cellStyle name="Normal 14 4 2 8 2" xfId="24358" xr:uid="{00000000-0005-0000-0000-0000D4680000}"/>
    <cellStyle name="Normal 14 4 2 9" xfId="31280" xr:uid="{00000000-0005-0000-0000-0000D5680000}"/>
    <cellStyle name="Normal 14 4 3" xfId="6972" xr:uid="{00000000-0005-0000-0000-0000D6680000}"/>
    <cellStyle name="Normal 14 4 3 2" xfId="6973" xr:uid="{00000000-0005-0000-0000-0000D7680000}"/>
    <cellStyle name="Normal 14 4 3 2 2" xfId="6974" xr:uid="{00000000-0005-0000-0000-0000D8680000}"/>
    <cellStyle name="Normal 14 4 3 2 2 2" xfId="16855" xr:uid="{00000000-0005-0000-0000-0000D9680000}"/>
    <cellStyle name="Normal 14 4 3 2 2 2 2" xfId="30262" xr:uid="{00000000-0005-0000-0000-0000DA680000}"/>
    <cellStyle name="Normal 14 4 3 2 2 3" xfId="31296" xr:uid="{00000000-0005-0000-0000-0000DB680000}"/>
    <cellStyle name="Normal 14 4 3 2 3" xfId="11511" xr:uid="{00000000-0005-0000-0000-0000DC680000}"/>
    <cellStyle name="Normal 14 4 3 2 3 2" xfId="25343" xr:uid="{00000000-0005-0000-0000-0000DD680000}"/>
    <cellStyle name="Normal 14 4 3 2 4" xfId="31295" xr:uid="{00000000-0005-0000-0000-0000DE680000}"/>
    <cellStyle name="Normal 14 4 3 3" xfId="6975" xr:uid="{00000000-0005-0000-0000-0000DF680000}"/>
    <cellStyle name="Normal 14 4 3 3 2" xfId="12243" xr:uid="{00000000-0005-0000-0000-0000E0680000}"/>
    <cellStyle name="Normal 14 4 3 3 2 2" xfId="25955" xr:uid="{00000000-0005-0000-0000-0000E1680000}"/>
    <cellStyle name="Normal 14 4 3 3 3" xfId="31297" xr:uid="{00000000-0005-0000-0000-0000E2680000}"/>
    <cellStyle name="Normal 14 4 3 4" xfId="6976" xr:uid="{00000000-0005-0000-0000-0000E3680000}"/>
    <cellStyle name="Normal 14 4 3 4 2" xfId="13807" xr:uid="{00000000-0005-0000-0000-0000E4680000}"/>
    <cellStyle name="Normal 14 4 3 4 2 2" xfId="27356" xr:uid="{00000000-0005-0000-0000-0000E5680000}"/>
    <cellStyle name="Normal 14 4 3 4 3" xfId="31298" xr:uid="{00000000-0005-0000-0000-0000E6680000}"/>
    <cellStyle name="Normal 14 4 3 5" xfId="6977" xr:uid="{00000000-0005-0000-0000-0000E7680000}"/>
    <cellStyle name="Normal 14 4 3 5 2" xfId="14388" xr:uid="{00000000-0005-0000-0000-0000E8680000}"/>
    <cellStyle name="Normal 14 4 3 5 2 2" xfId="27937" xr:uid="{00000000-0005-0000-0000-0000E9680000}"/>
    <cellStyle name="Normal 14 4 3 5 3" xfId="31299" xr:uid="{00000000-0005-0000-0000-0000EA680000}"/>
    <cellStyle name="Normal 14 4 3 6" xfId="6978" xr:uid="{00000000-0005-0000-0000-0000EB680000}"/>
    <cellStyle name="Normal 14 4 3 6 2" xfId="16274" xr:uid="{00000000-0005-0000-0000-0000EC680000}"/>
    <cellStyle name="Normal 14 4 3 6 2 2" xfId="29681" xr:uid="{00000000-0005-0000-0000-0000ED680000}"/>
    <cellStyle name="Normal 14 4 3 6 3" xfId="31300" xr:uid="{00000000-0005-0000-0000-0000EE680000}"/>
    <cellStyle name="Normal 14 4 3 7" xfId="10132" xr:uid="{00000000-0005-0000-0000-0000EF680000}"/>
    <cellStyle name="Normal 14 4 3 7 2" xfId="24360" xr:uid="{00000000-0005-0000-0000-0000F0680000}"/>
    <cellStyle name="Normal 14 4 3 8" xfId="31294" xr:uid="{00000000-0005-0000-0000-0000F1680000}"/>
    <cellStyle name="Normal 14 4 4" xfId="6979" xr:uid="{00000000-0005-0000-0000-0000F2680000}"/>
    <cellStyle name="Normal 14 4 4 2" xfId="6980" xr:uid="{00000000-0005-0000-0000-0000F3680000}"/>
    <cellStyle name="Normal 14 4 4 2 2" xfId="16566" xr:uid="{00000000-0005-0000-0000-0000F4680000}"/>
    <cellStyle name="Normal 14 4 4 2 2 2" xfId="29973" xr:uid="{00000000-0005-0000-0000-0000F5680000}"/>
    <cellStyle name="Normal 14 4 4 2 3" xfId="31302" xr:uid="{00000000-0005-0000-0000-0000F6680000}"/>
    <cellStyle name="Normal 14 4 4 3" xfId="11508" xr:uid="{00000000-0005-0000-0000-0000F7680000}"/>
    <cellStyle name="Normal 14 4 4 3 2" xfId="25340" xr:uid="{00000000-0005-0000-0000-0000F8680000}"/>
    <cellStyle name="Normal 14 4 4 4" xfId="31301" xr:uid="{00000000-0005-0000-0000-0000F9680000}"/>
    <cellStyle name="Normal 14 4 5" xfId="6981" xr:uid="{00000000-0005-0000-0000-0000FA680000}"/>
    <cellStyle name="Normal 14 4 5 2" xfId="11941" xr:uid="{00000000-0005-0000-0000-0000FB680000}"/>
    <cellStyle name="Normal 14 4 5 2 2" xfId="25656" xr:uid="{00000000-0005-0000-0000-0000FC680000}"/>
    <cellStyle name="Normal 14 4 5 3" xfId="31303" xr:uid="{00000000-0005-0000-0000-0000FD680000}"/>
    <cellStyle name="Normal 14 4 6" xfId="6982" xr:uid="{00000000-0005-0000-0000-0000FE680000}"/>
    <cellStyle name="Normal 14 4 6 2" xfId="13518" xr:uid="{00000000-0005-0000-0000-0000FF680000}"/>
    <cellStyle name="Normal 14 4 6 2 2" xfId="27067" xr:uid="{00000000-0005-0000-0000-000000690000}"/>
    <cellStyle name="Normal 14 4 6 3" xfId="31304" xr:uid="{00000000-0005-0000-0000-000001690000}"/>
    <cellStyle name="Normal 14 4 7" xfId="6983" xr:uid="{00000000-0005-0000-0000-000002690000}"/>
    <cellStyle name="Normal 14 4 7 2" xfId="14099" xr:uid="{00000000-0005-0000-0000-000003690000}"/>
    <cellStyle name="Normal 14 4 7 2 2" xfId="27648" xr:uid="{00000000-0005-0000-0000-000004690000}"/>
    <cellStyle name="Normal 14 4 7 3" xfId="31305" xr:uid="{00000000-0005-0000-0000-000005690000}"/>
    <cellStyle name="Normal 14 4 8" xfId="6984" xr:uid="{00000000-0005-0000-0000-000006690000}"/>
    <cellStyle name="Normal 14 4 8 2" xfId="15985" xr:uid="{00000000-0005-0000-0000-000007690000}"/>
    <cellStyle name="Normal 14 4 8 2 2" xfId="29392" xr:uid="{00000000-0005-0000-0000-000008690000}"/>
    <cellStyle name="Normal 14 4 8 3" xfId="31306" xr:uid="{00000000-0005-0000-0000-000009690000}"/>
    <cellStyle name="Normal 14 4 9" xfId="10129" xr:uid="{00000000-0005-0000-0000-00000A690000}"/>
    <cellStyle name="Normal 14 4 9 2" xfId="24357" xr:uid="{00000000-0005-0000-0000-00000B690000}"/>
    <cellStyle name="Normal 14 5" xfId="6985" xr:uid="{00000000-0005-0000-0000-00000C690000}"/>
    <cellStyle name="Normal 14 5 2" xfId="6986" xr:uid="{00000000-0005-0000-0000-00000D690000}"/>
    <cellStyle name="Normal 14 5 2 2" xfId="6987" xr:uid="{00000000-0005-0000-0000-00000E690000}"/>
    <cellStyle name="Normal 14 5 2 2 2" xfId="6988" xr:uid="{00000000-0005-0000-0000-00000F690000}"/>
    <cellStyle name="Normal 14 5 2 2 2 2" xfId="16909" xr:uid="{00000000-0005-0000-0000-000010690000}"/>
    <cellStyle name="Normal 14 5 2 2 2 2 2" xfId="30316" xr:uid="{00000000-0005-0000-0000-000011690000}"/>
    <cellStyle name="Normal 14 5 2 2 2 3" xfId="31310" xr:uid="{00000000-0005-0000-0000-000012690000}"/>
    <cellStyle name="Normal 14 5 2 2 3" xfId="11513" xr:uid="{00000000-0005-0000-0000-000013690000}"/>
    <cellStyle name="Normal 14 5 2 2 3 2" xfId="25345" xr:uid="{00000000-0005-0000-0000-000014690000}"/>
    <cellStyle name="Normal 14 5 2 2 4" xfId="31309" xr:uid="{00000000-0005-0000-0000-000015690000}"/>
    <cellStyle name="Normal 14 5 2 3" xfId="6989" xr:uid="{00000000-0005-0000-0000-000016690000}"/>
    <cellStyle name="Normal 14 5 2 3 2" xfId="12297" xr:uid="{00000000-0005-0000-0000-000017690000}"/>
    <cellStyle name="Normal 14 5 2 3 2 2" xfId="26009" xr:uid="{00000000-0005-0000-0000-000018690000}"/>
    <cellStyle name="Normal 14 5 2 3 3" xfId="31311" xr:uid="{00000000-0005-0000-0000-000019690000}"/>
    <cellStyle name="Normal 14 5 2 4" xfId="6990" xr:uid="{00000000-0005-0000-0000-00001A690000}"/>
    <cellStyle name="Normal 14 5 2 4 2" xfId="13861" xr:uid="{00000000-0005-0000-0000-00001B690000}"/>
    <cellStyle name="Normal 14 5 2 4 2 2" xfId="27410" xr:uid="{00000000-0005-0000-0000-00001C690000}"/>
    <cellStyle name="Normal 14 5 2 4 3" xfId="31312" xr:uid="{00000000-0005-0000-0000-00001D690000}"/>
    <cellStyle name="Normal 14 5 2 5" xfId="6991" xr:uid="{00000000-0005-0000-0000-00001E690000}"/>
    <cellStyle name="Normal 14 5 2 5 2" xfId="14442" xr:uid="{00000000-0005-0000-0000-00001F690000}"/>
    <cellStyle name="Normal 14 5 2 5 2 2" xfId="27991" xr:uid="{00000000-0005-0000-0000-000020690000}"/>
    <cellStyle name="Normal 14 5 2 5 3" xfId="31313" xr:uid="{00000000-0005-0000-0000-000021690000}"/>
    <cellStyle name="Normal 14 5 2 6" xfId="6992" xr:uid="{00000000-0005-0000-0000-000022690000}"/>
    <cellStyle name="Normal 14 5 2 6 2" xfId="16328" xr:uid="{00000000-0005-0000-0000-000023690000}"/>
    <cellStyle name="Normal 14 5 2 6 2 2" xfId="29735" xr:uid="{00000000-0005-0000-0000-000024690000}"/>
    <cellStyle name="Normal 14 5 2 6 3" xfId="31314" xr:uid="{00000000-0005-0000-0000-000025690000}"/>
    <cellStyle name="Normal 14 5 2 7" xfId="10134" xr:uid="{00000000-0005-0000-0000-000026690000}"/>
    <cellStyle name="Normal 14 5 2 7 2" xfId="24362" xr:uid="{00000000-0005-0000-0000-000027690000}"/>
    <cellStyle name="Normal 14 5 2 8" xfId="31308" xr:uid="{00000000-0005-0000-0000-000028690000}"/>
    <cellStyle name="Normal 14 5 3" xfId="6993" xr:uid="{00000000-0005-0000-0000-000029690000}"/>
    <cellStyle name="Normal 14 5 3 2" xfId="6994" xr:uid="{00000000-0005-0000-0000-00002A690000}"/>
    <cellStyle name="Normal 14 5 3 2 2" xfId="16620" xr:uid="{00000000-0005-0000-0000-00002B690000}"/>
    <cellStyle name="Normal 14 5 3 2 2 2" xfId="30027" xr:uid="{00000000-0005-0000-0000-00002C690000}"/>
    <cellStyle name="Normal 14 5 3 2 3" xfId="31316" xr:uid="{00000000-0005-0000-0000-00002D690000}"/>
    <cellStyle name="Normal 14 5 3 3" xfId="11512" xr:uid="{00000000-0005-0000-0000-00002E690000}"/>
    <cellStyle name="Normal 14 5 3 3 2" xfId="25344" xr:uid="{00000000-0005-0000-0000-00002F690000}"/>
    <cellStyle name="Normal 14 5 3 4" xfId="31315" xr:uid="{00000000-0005-0000-0000-000030690000}"/>
    <cellStyle name="Normal 14 5 4" xfId="6995" xr:uid="{00000000-0005-0000-0000-000031690000}"/>
    <cellStyle name="Normal 14 5 4 2" xfId="11997" xr:uid="{00000000-0005-0000-0000-000032690000}"/>
    <cellStyle name="Normal 14 5 4 2 2" xfId="25712" xr:uid="{00000000-0005-0000-0000-000033690000}"/>
    <cellStyle name="Normal 14 5 4 3" xfId="31317" xr:uid="{00000000-0005-0000-0000-000034690000}"/>
    <cellStyle name="Normal 14 5 5" xfId="6996" xr:uid="{00000000-0005-0000-0000-000035690000}"/>
    <cellStyle name="Normal 14 5 5 2" xfId="13572" xr:uid="{00000000-0005-0000-0000-000036690000}"/>
    <cellStyle name="Normal 14 5 5 2 2" xfId="27121" xr:uid="{00000000-0005-0000-0000-000037690000}"/>
    <cellStyle name="Normal 14 5 5 3" xfId="31318" xr:uid="{00000000-0005-0000-0000-000038690000}"/>
    <cellStyle name="Normal 14 5 6" xfId="6997" xr:uid="{00000000-0005-0000-0000-000039690000}"/>
    <cellStyle name="Normal 14 5 6 2" xfId="14153" xr:uid="{00000000-0005-0000-0000-00003A690000}"/>
    <cellStyle name="Normal 14 5 6 2 2" xfId="27702" xr:uid="{00000000-0005-0000-0000-00003B690000}"/>
    <cellStyle name="Normal 14 5 6 3" xfId="31319" xr:uid="{00000000-0005-0000-0000-00003C690000}"/>
    <cellStyle name="Normal 14 5 7" xfId="6998" xr:uid="{00000000-0005-0000-0000-00003D690000}"/>
    <cellStyle name="Normal 14 5 7 2" xfId="16039" xr:uid="{00000000-0005-0000-0000-00003E690000}"/>
    <cellStyle name="Normal 14 5 7 2 2" xfId="29446" xr:uid="{00000000-0005-0000-0000-00003F690000}"/>
    <cellStyle name="Normal 14 5 7 3" xfId="31320" xr:uid="{00000000-0005-0000-0000-000040690000}"/>
    <cellStyle name="Normal 14 5 8" xfId="10133" xr:uid="{00000000-0005-0000-0000-000041690000}"/>
    <cellStyle name="Normal 14 5 8 2" xfId="24361" xr:uid="{00000000-0005-0000-0000-000042690000}"/>
    <cellStyle name="Normal 14 5 9" xfId="31307" xr:uid="{00000000-0005-0000-0000-000043690000}"/>
    <cellStyle name="Normal 14 6" xfId="6999" xr:uid="{00000000-0005-0000-0000-000044690000}"/>
    <cellStyle name="Normal 14 6 2" xfId="7000" xr:uid="{00000000-0005-0000-0000-000045690000}"/>
    <cellStyle name="Normal 14 6 2 2" xfId="7001" xr:uid="{00000000-0005-0000-0000-000046690000}"/>
    <cellStyle name="Normal 14 6 2 2 2" xfId="16732" xr:uid="{00000000-0005-0000-0000-000047690000}"/>
    <cellStyle name="Normal 14 6 2 2 2 2" xfId="30139" xr:uid="{00000000-0005-0000-0000-000048690000}"/>
    <cellStyle name="Normal 14 6 2 2 3" xfId="31323" xr:uid="{00000000-0005-0000-0000-000049690000}"/>
    <cellStyle name="Normal 14 6 2 3" xfId="11514" xr:uid="{00000000-0005-0000-0000-00004A690000}"/>
    <cellStyle name="Normal 14 6 2 3 2" xfId="25346" xr:uid="{00000000-0005-0000-0000-00004B690000}"/>
    <cellStyle name="Normal 14 6 2 4" xfId="31322" xr:uid="{00000000-0005-0000-0000-00004C690000}"/>
    <cellStyle name="Normal 14 6 3" xfId="7002" xr:uid="{00000000-0005-0000-0000-00004D690000}"/>
    <cellStyle name="Normal 14 6 3 2" xfId="12120" xr:uid="{00000000-0005-0000-0000-00004E690000}"/>
    <cellStyle name="Normal 14 6 3 2 2" xfId="25832" xr:uid="{00000000-0005-0000-0000-00004F690000}"/>
    <cellStyle name="Normal 14 6 3 3" xfId="31324" xr:uid="{00000000-0005-0000-0000-000050690000}"/>
    <cellStyle name="Normal 14 6 4" xfId="7003" xr:uid="{00000000-0005-0000-0000-000051690000}"/>
    <cellStyle name="Normal 14 6 4 2" xfId="13684" xr:uid="{00000000-0005-0000-0000-000052690000}"/>
    <cellStyle name="Normal 14 6 4 2 2" xfId="27233" xr:uid="{00000000-0005-0000-0000-000053690000}"/>
    <cellStyle name="Normal 14 6 4 3" xfId="31325" xr:uid="{00000000-0005-0000-0000-000054690000}"/>
    <cellStyle name="Normal 14 6 5" xfId="7004" xr:uid="{00000000-0005-0000-0000-000055690000}"/>
    <cellStyle name="Normal 14 6 5 2" xfId="14265" xr:uid="{00000000-0005-0000-0000-000056690000}"/>
    <cellStyle name="Normal 14 6 5 2 2" xfId="27814" xr:uid="{00000000-0005-0000-0000-000057690000}"/>
    <cellStyle name="Normal 14 6 5 3" xfId="31326" xr:uid="{00000000-0005-0000-0000-000058690000}"/>
    <cellStyle name="Normal 14 6 6" xfId="7005" xr:uid="{00000000-0005-0000-0000-000059690000}"/>
    <cellStyle name="Normal 14 6 6 2" xfId="16151" xr:uid="{00000000-0005-0000-0000-00005A690000}"/>
    <cellStyle name="Normal 14 6 6 2 2" xfId="29558" xr:uid="{00000000-0005-0000-0000-00005B690000}"/>
    <cellStyle name="Normal 14 6 6 3" xfId="31327" xr:uid="{00000000-0005-0000-0000-00005C690000}"/>
    <cellStyle name="Normal 14 6 7" xfId="10135" xr:uid="{00000000-0005-0000-0000-00005D690000}"/>
    <cellStyle name="Normal 14 6 7 2" xfId="24363" xr:uid="{00000000-0005-0000-0000-00005E690000}"/>
    <cellStyle name="Normal 14 6 8" xfId="31321" xr:uid="{00000000-0005-0000-0000-00005F690000}"/>
    <cellStyle name="Normal 14 7" xfId="7006" xr:uid="{00000000-0005-0000-0000-000060690000}"/>
    <cellStyle name="Normal 14 7 2" xfId="7007" xr:uid="{00000000-0005-0000-0000-000061690000}"/>
    <cellStyle name="Normal 14 7 2 2" xfId="17038" xr:uid="{00000000-0005-0000-0000-000062690000}"/>
    <cellStyle name="Normal 14 7 2 2 2" xfId="30441" xr:uid="{00000000-0005-0000-0000-000063690000}"/>
    <cellStyle name="Normal 14 7 2 3" xfId="31329" xr:uid="{00000000-0005-0000-0000-000064690000}"/>
    <cellStyle name="Normal 14 7 3" xfId="10136" xr:uid="{00000000-0005-0000-0000-000065690000}"/>
    <cellStyle name="Normal 14 7 4" xfId="31328" xr:uid="{00000000-0005-0000-0000-000066690000}"/>
    <cellStyle name="Normal 14 8" xfId="7008" xr:uid="{00000000-0005-0000-0000-000067690000}"/>
    <cellStyle name="Normal 14 8 2" xfId="7009" xr:uid="{00000000-0005-0000-0000-000068690000}"/>
    <cellStyle name="Normal 14 8 2 2" xfId="13243" xr:uid="{00000000-0005-0000-0000-000069690000}"/>
    <cellStyle name="Normal 14 8 2 3" xfId="31331" xr:uid="{00000000-0005-0000-0000-00006A690000}"/>
    <cellStyle name="Normal 14 8 3" xfId="7010" xr:uid="{00000000-0005-0000-0000-00006B690000}"/>
    <cellStyle name="Normal 14 8 3 2" xfId="17113" xr:uid="{00000000-0005-0000-0000-00006C690000}"/>
    <cellStyle name="Normal 14 8 3 2 2" xfId="30472" xr:uid="{00000000-0005-0000-0000-00006D690000}"/>
    <cellStyle name="Normal 14 8 3 3" xfId="31332" xr:uid="{00000000-0005-0000-0000-00006E690000}"/>
    <cellStyle name="Normal 14 8 4" xfId="11828" xr:uid="{00000000-0005-0000-0000-00006F690000}"/>
    <cellStyle name="Normal 14 8 4 2" xfId="25543" xr:uid="{00000000-0005-0000-0000-000070690000}"/>
    <cellStyle name="Normal 14 8 5" xfId="31330" xr:uid="{00000000-0005-0000-0000-000071690000}"/>
    <cellStyle name="Normal 14 9" xfId="7011" xr:uid="{00000000-0005-0000-0000-000072690000}"/>
    <cellStyle name="Normal 14 9 2" xfId="7012" xr:uid="{00000000-0005-0000-0000-000073690000}"/>
    <cellStyle name="Normal 14 9 2 2" xfId="17202" xr:uid="{00000000-0005-0000-0000-000074690000}"/>
    <cellStyle name="Normal 14 9 2 2 2" xfId="30561" xr:uid="{00000000-0005-0000-0000-000075690000}"/>
    <cellStyle name="Normal 14 9 2 3" xfId="31334" xr:uid="{00000000-0005-0000-0000-000076690000}"/>
    <cellStyle name="Normal 14 9 3" xfId="13429" xr:uid="{00000000-0005-0000-0000-000077690000}"/>
    <cellStyle name="Normal 14 9 3 2" xfId="26978" xr:uid="{00000000-0005-0000-0000-000078690000}"/>
    <cellStyle name="Normal 14 9 4" xfId="31333" xr:uid="{00000000-0005-0000-0000-000079690000}"/>
    <cellStyle name="Normal 15" xfId="7013" xr:uid="{00000000-0005-0000-0000-00007A690000}"/>
    <cellStyle name="Normal 15 10" xfId="7014" xr:uid="{00000000-0005-0000-0000-00007B690000}"/>
    <cellStyle name="Normal 15 10 2" xfId="7015" xr:uid="{00000000-0005-0000-0000-00007C690000}"/>
    <cellStyle name="Normal 15 10 2 2" xfId="17293" xr:uid="{00000000-0005-0000-0000-00007D690000}"/>
    <cellStyle name="Normal 15 10 2 2 2" xfId="30652" xr:uid="{00000000-0005-0000-0000-00007E690000}"/>
    <cellStyle name="Normal 15 10 2 3" xfId="31336" xr:uid="{00000000-0005-0000-0000-00007F690000}"/>
    <cellStyle name="Normal 15 10 3" xfId="13431" xr:uid="{00000000-0005-0000-0000-000080690000}"/>
    <cellStyle name="Normal 15 10 3 2" xfId="26980" xr:uid="{00000000-0005-0000-0000-000081690000}"/>
    <cellStyle name="Normal 15 10 4" xfId="31335" xr:uid="{00000000-0005-0000-0000-000082690000}"/>
    <cellStyle name="Normal 15 11" xfId="7016" xr:uid="{00000000-0005-0000-0000-000083690000}"/>
    <cellStyle name="Normal 15 11 2" xfId="7017" xr:uid="{00000000-0005-0000-0000-000084690000}"/>
    <cellStyle name="Normal 15 11 2 2" xfId="16479" xr:uid="{00000000-0005-0000-0000-000085690000}"/>
    <cellStyle name="Normal 15 11 2 2 2" xfId="29886" xr:uid="{00000000-0005-0000-0000-000086690000}"/>
    <cellStyle name="Normal 15 11 2 3" xfId="31338" xr:uid="{00000000-0005-0000-0000-000087690000}"/>
    <cellStyle name="Normal 15 11 3" xfId="14012" xr:uid="{00000000-0005-0000-0000-000088690000}"/>
    <cellStyle name="Normal 15 11 3 2" xfId="27561" xr:uid="{00000000-0005-0000-0000-000089690000}"/>
    <cellStyle name="Normal 15 11 4" xfId="31337" xr:uid="{00000000-0005-0000-0000-00008A690000}"/>
    <cellStyle name="Normal 15 12" xfId="7018" xr:uid="{00000000-0005-0000-0000-00008B690000}"/>
    <cellStyle name="Normal 15 12 2" xfId="15898" xr:uid="{00000000-0005-0000-0000-00008C690000}"/>
    <cellStyle name="Normal 15 12 2 2" xfId="29305" xr:uid="{00000000-0005-0000-0000-00008D690000}"/>
    <cellStyle name="Normal 15 12 3" xfId="31339" xr:uid="{00000000-0005-0000-0000-00008E690000}"/>
    <cellStyle name="Normal 15 13" xfId="10137" xr:uid="{00000000-0005-0000-0000-00008F690000}"/>
    <cellStyle name="Normal 15 14" xfId="33043" xr:uid="{00000000-0005-0000-0000-000090690000}"/>
    <cellStyle name="Normal 15 2" xfId="7019" xr:uid="{00000000-0005-0000-0000-000091690000}"/>
    <cellStyle name="Normal 15 2 10" xfId="10138" xr:uid="{00000000-0005-0000-0000-000092690000}"/>
    <cellStyle name="Normal 15 2 10 2" xfId="24364" xr:uid="{00000000-0005-0000-0000-000093690000}"/>
    <cellStyle name="Normal 15 2 2" xfId="7020" xr:uid="{00000000-0005-0000-0000-000094690000}"/>
    <cellStyle name="Normal 15 2 2 10" xfId="31340" xr:uid="{00000000-0005-0000-0000-000095690000}"/>
    <cellStyle name="Normal 15 2 2 2" xfId="7021" xr:uid="{00000000-0005-0000-0000-000096690000}"/>
    <cellStyle name="Normal 15 2 2 2 2" xfId="7022" xr:uid="{00000000-0005-0000-0000-000097690000}"/>
    <cellStyle name="Normal 15 2 2 2 2 2" xfId="7023" xr:uid="{00000000-0005-0000-0000-000098690000}"/>
    <cellStyle name="Normal 15 2 2 2 2 2 2" xfId="7024" xr:uid="{00000000-0005-0000-0000-000099690000}"/>
    <cellStyle name="Normal 15 2 2 2 2 2 2 2" xfId="16980" xr:uid="{00000000-0005-0000-0000-00009A690000}"/>
    <cellStyle name="Normal 15 2 2 2 2 2 2 2 2" xfId="30387" xr:uid="{00000000-0005-0000-0000-00009B690000}"/>
    <cellStyle name="Normal 15 2 2 2 2 2 2 3" xfId="31344" xr:uid="{00000000-0005-0000-0000-00009C690000}"/>
    <cellStyle name="Normal 15 2 2 2 2 2 3" xfId="11518" xr:uid="{00000000-0005-0000-0000-00009D690000}"/>
    <cellStyle name="Normal 15 2 2 2 2 2 3 2" xfId="25350" xr:uid="{00000000-0005-0000-0000-00009E690000}"/>
    <cellStyle name="Normal 15 2 2 2 2 2 4" xfId="31343" xr:uid="{00000000-0005-0000-0000-00009F690000}"/>
    <cellStyle name="Normal 15 2 2 2 2 3" xfId="7025" xr:uid="{00000000-0005-0000-0000-0000A0690000}"/>
    <cellStyle name="Normal 15 2 2 2 2 3 2" xfId="12368" xr:uid="{00000000-0005-0000-0000-0000A1690000}"/>
    <cellStyle name="Normal 15 2 2 2 2 3 2 2" xfId="26080" xr:uid="{00000000-0005-0000-0000-0000A2690000}"/>
    <cellStyle name="Normal 15 2 2 2 2 3 3" xfId="31345" xr:uid="{00000000-0005-0000-0000-0000A3690000}"/>
    <cellStyle name="Normal 15 2 2 2 2 4" xfId="7026" xr:uid="{00000000-0005-0000-0000-0000A4690000}"/>
    <cellStyle name="Normal 15 2 2 2 2 4 2" xfId="13932" xr:uid="{00000000-0005-0000-0000-0000A5690000}"/>
    <cellStyle name="Normal 15 2 2 2 2 4 2 2" xfId="27481" xr:uid="{00000000-0005-0000-0000-0000A6690000}"/>
    <cellStyle name="Normal 15 2 2 2 2 4 3" xfId="31346" xr:uid="{00000000-0005-0000-0000-0000A7690000}"/>
    <cellStyle name="Normal 15 2 2 2 2 5" xfId="7027" xr:uid="{00000000-0005-0000-0000-0000A8690000}"/>
    <cellStyle name="Normal 15 2 2 2 2 5 2" xfId="14513" xr:uid="{00000000-0005-0000-0000-0000A9690000}"/>
    <cellStyle name="Normal 15 2 2 2 2 5 2 2" xfId="28062" xr:uid="{00000000-0005-0000-0000-0000AA690000}"/>
    <cellStyle name="Normal 15 2 2 2 2 5 3" xfId="31347" xr:uid="{00000000-0005-0000-0000-0000AB690000}"/>
    <cellStyle name="Normal 15 2 2 2 2 6" xfId="7028" xr:uid="{00000000-0005-0000-0000-0000AC690000}"/>
    <cellStyle name="Normal 15 2 2 2 2 6 2" xfId="16399" xr:uid="{00000000-0005-0000-0000-0000AD690000}"/>
    <cellStyle name="Normal 15 2 2 2 2 6 2 2" xfId="29806" xr:uid="{00000000-0005-0000-0000-0000AE690000}"/>
    <cellStyle name="Normal 15 2 2 2 2 6 3" xfId="31348" xr:uid="{00000000-0005-0000-0000-0000AF690000}"/>
    <cellStyle name="Normal 15 2 2 2 2 7" xfId="10141" xr:uid="{00000000-0005-0000-0000-0000B0690000}"/>
    <cellStyle name="Normal 15 2 2 2 2 7 2" xfId="24367" xr:uid="{00000000-0005-0000-0000-0000B1690000}"/>
    <cellStyle name="Normal 15 2 2 2 2 8" xfId="31342" xr:uid="{00000000-0005-0000-0000-0000B2690000}"/>
    <cellStyle name="Normal 15 2 2 2 3" xfId="7029" xr:uid="{00000000-0005-0000-0000-0000B3690000}"/>
    <cellStyle name="Normal 15 2 2 2 3 2" xfId="7030" xr:uid="{00000000-0005-0000-0000-0000B4690000}"/>
    <cellStyle name="Normal 15 2 2 2 3 2 2" xfId="16691" xr:uid="{00000000-0005-0000-0000-0000B5690000}"/>
    <cellStyle name="Normal 15 2 2 2 3 2 2 2" xfId="30098" xr:uid="{00000000-0005-0000-0000-0000B6690000}"/>
    <cellStyle name="Normal 15 2 2 2 3 2 3" xfId="31350" xr:uid="{00000000-0005-0000-0000-0000B7690000}"/>
    <cellStyle name="Normal 15 2 2 2 3 3" xfId="11517" xr:uid="{00000000-0005-0000-0000-0000B8690000}"/>
    <cellStyle name="Normal 15 2 2 2 3 3 2" xfId="25349" xr:uid="{00000000-0005-0000-0000-0000B9690000}"/>
    <cellStyle name="Normal 15 2 2 2 3 4" xfId="31349" xr:uid="{00000000-0005-0000-0000-0000BA690000}"/>
    <cellStyle name="Normal 15 2 2 2 4" xfId="7031" xr:uid="{00000000-0005-0000-0000-0000BB690000}"/>
    <cellStyle name="Normal 15 2 2 2 4 2" xfId="12068" xr:uid="{00000000-0005-0000-0000-0000BC690000}"/>
    <cellStyle name="Normal 15 2 2 2 4 2 2" xfId="25783" xr:uid="{00000000-0005-0000-0000-0000BD690000}"/>
    <cellStyle name="Normal 15 2 2 2 4 3" xfId="31351" xr:uid="{00000000-0005-0000-0000-0000BE690000}"/>
    <cellStyle name="Normal 15 2 2 2 5" xfId="7032" xr:uid="{00000000-0005-0000-0000-0000BF690000}"/>
    <cellStyle name="Normal 15 2 2 2 5 2" xfId="13643" xr:uid="{00000000-0005-0000-0000-0000C0690000}"/>
    <cellStyle name="Normal 15 2 2 2 5 2 2" xfId="27192" xr:uid="{00000000-0005-0000-0000-0000C1690000}"/>
    <cellStyle name="Normal 15 2 2 2 5 3" xfId="31352" xr:uid="{00000000-0005-0000-0000-0000C2690000}"/>
    <cellStyle name="Normal 15 2 2 2 6" xfId="7033" xr:uid="{00000000-0005-0000-0000-0000C3690000}"/>
    <cellStyle name="Normal 15 2 2 2 6 2" xfId="14224" xr:uid="{00000000-0005-0000-0000-0000C4690000}"/>
    <cellStyle name="Normal 15 2 2 2 6 2 2" xfId="27773" xr:uid="{00000000-0005-0000-0000-0000C5690000}"/>
    <cellStyle name="Normal 15 2 2 2 6 3" xfId="31353" xr:uid="{00000000-0005-0000-0000-0000C6690000}"/>
    <cellStyle name="Normal 15 2 2 2 7" xfId="7034" xr:uid="{00000000-0005-0000-0000-0000C7690000}"/>
    <cellStyle name="Normal 15 2 2 2 7 2" xfId="16110" xr:uid="{00000000-0005-0000-0000-0000C8690000}"/>
    <cellStyle name="Normal 15 2 2 2 7 2 2" xfId="29517" xr:uid="{00000000-0005-0000-0000-0000C9690000}"/>
    <cellStyle name="Normal 15 2 2 2 7 3" xfId="31354" xr:uid="{00000000-0005-0000-0000-0000CA690000}"/>
    <cellStyle name="Normal 15 2 2 2 8" xfId="10140" xr:uid="{00000000-0005-0000-0000-0000CB690000}"/>
    <cellStyle name="Normal 15 2 2 2 8 2" xfId="24366" xr:uid="{00000000-0005-0000-0000-0000CC690000}"/>
    <cellStyle name="Normal 15 2 2 2 9" xfId="31341" xr:uid="{00000000-0005-0000-0000-0000CD690000}"/>
    <cellStyle name="Normal 15 2 2 3" xfId="7035" xr:uid="{00000000-0005-0000-0000-0000CE690000}"/>
    <cellStyle name="Normal 15 2 2 3 2" xfId="7036" xr:uid="{00000000-0005-0000-0000-0000CF690000}"/>
    <cellStyle name="Normal 15 2 2 3 2 2" xfId="7037" xr:uid="{00000000-0005-0000-0000-0000D0690000}"/>
    <cellStyle name="Normal 15 2 2 3 2 2 2" xfId="16837" xr:uid="{00000000-0005-0000-0000-0000D1690000}"/>
    <cellStyle name="Normal 15 2 2 3 2 2 2 2" xfId="30244" xr:uid="{00000000-0005-0000-0000-0000D2690000}"/>
    <cellStyle name="Normal 15 2 2 3 2 2 3" xfId="31357" xr:uid="{00000000-0005-0000-0000-0000D3690000}"/>
    <cellStyle name="Normal 15 2 2 3 2 3" xfId="11519" xr:uid="{00000000-0005-0000-0000-0000D4690000}"/>
    <cellStyle name="Normal 15 2 2 3 2 3 2" xfId="25351" xr:uid="{00000000-0005-0000-0000-0000D5690000}"/>
    <cellStyle name="Normal 15 2 2 3 2 4" xfId="31356" xr:uid="{00000000-0005-0000-0000-0000D6690000}"/>
    <cellStyle name="Normal 15 2 2 3 3" xfId="7038" xr:uid="{00000000-0005-0000-0000-0000D7690000}"/>
    <cellStyle name="Normal 15 2 2 3 3 2" xfId="12225" xr:uid="{00000000-0005-0000-0000-0000D8690000}"/>
    <cellStyle name="Normal 15 2 2 3 3 2 2" xfId="25937" xr:uid="{00000000-0005-0000-0000-0000D9690000}"/>
    <cellStyle name="Normal 15 2 2 3 3 3" xfId="31358" xr:uid="{00000000-0005-0000-0000-0000DA690000}"/>
    <cellStyle name="Normal 15 2 2 3 4" xfId="7039" xr:uid="{00000000-0005-0000-0000-0000DB690000}"/>
    <cellStyle name="Normal 15 2 2 3 4 2" xfId="13789" xr:uid="{00000000-0005-0000-0000-0000DC690000}"/>
    <cellStyle name="Normal 15 2 2 3 4 2 2" xfId="27338" xr:uid="{00000000-0005-0000-0000-0000DD690000}"/>
    <cellStyle name="Normal 15 2 2 3 4 3" xfId="31359" xr:uid="{00000000-0005-0000-0000-0000DE690000}"/>
    <cellStyle name="Normal 15 2 2 3 5" xfId="7040" xr:uid="{00000000-0005-0000-0000-0000DF690000}"/>
    <cellStyle name="Normal 15 2 2 3 5 2" xfId="14370" xr:uid="{00000000-0005-0000-0000-0000E0690000}"/>
    <cellStyle name="Normal 15 2 2 3 5 2 2" xfId="27919" xr:uid="{00000000-0005-0000-0000-0000E1690000}"/>
    <cellStyle name="Normal 15 2 2 3 5 3" xfId="31360" xr:uid="{00000000-0005-0000-0000-0000E2690000}"/>
    <cellStyle name="Normal 15 2 2 3 6" xfId="7041" xr:uid="{00000000-0005-0000-0000-0000E3690000}"/>
    <cellStyle name="Normal 15 2 2 3 6 2" xfId="16256" xr:uid="{00000000-0005-0000-0000-0000E4690000}"/>
    <cellStyle name="Normal 15 2 2 3 6 2 2" xfId="29663" xr:uid="{00000000-0005-0000-0000-0000E5690000}"/>
    <cellStyle name="Normal 15 2 2 3 6 3" xfId="31361" xr:uid="{00000000-0005-0000-0000-0000E6690000}"/>
    <cellStyle name="Normal 15 2 2 3 7" xfId="10142" xr:uid="{00000000-0005-0000-0000-0000E7690000}"/>
    <cellStyle name="Normal 15 2 2 3 7 2" xfId="24368" xr:uid="{00000000-0005-0000-0000-0000E8690000}"/>
    <cellStyle name="Normal 15 2 2 3 8" xfId="31355" xr:uid="{00000000-0005-0000-0000-0000E9690000}"/>
    <cellStyle name="Normal 15 2 2 4" xfId="7042" xr:uid="{00000000-0005-0000-0000-0000EA690000}"/>
    <cellStyle name="Normal 15 2 2 4 2" xfId="7043" xr:uid="{00000000-0005-0000-0000-0000EB690000}"/>
    <cellStyle name="Normal 15 2 2 4 2 2" xfId="17184" xr:uid="{00000000-0005-0000-0000-0000EC690000}"/>
    <cellStyle name="Normal 15 2 2 4 2 2 2" xfId="30543" xr:uid="{00000000-0005-0000-0000-0000ED690000}"/>
    <cellStyle name="Normal 15 2 2 4 2 3" xfId="31363" xr:uid="{00000000-0005-0000-0000-0000EE690000}"/>
    <cellStyle name="Normal 15 2 2 4 3" xfId="11516" xr:uid="{00000000-0005-0000-0000-0000EF690000}"/>
    <cellStyle name="Normal 15 2 2 4 3 2" xfId="25348" xr:uid="{00000000-0005-0000-0000-0000F0690000}"/>
    <cellStyle name="Normal 15 2 2 4 4" xfId="31362" xr:uid="{00000000-0005-0000-0000-0000F1690000}"/>
    <cellStyle name="Normal 15 2 2 5" xfId="7044" xr:uid="{00000000-0005-0000-0000-0000F2690000}"/>
    <cellStyle name="Normal 15 2 2 5 2" xfId="7045" xr:uid="{00000000-0005-0000-0000-0000F3690000}"/>
    <cellStyle name="Normal 15 2 2 5 2 2" xfId="17273" xr:uid="{00000000-0005-0000-0000-0000F4690000}"/>
    <cellStyle name="Normal 15 2 2 5 2 2 2" xfId="30632" xr:uid="{00000000-0005-0000-0000-0000F5690000}"/>
    <cellStyle name="Normal 15 2 2 5 2 3" xfId="31365" xr:uid="{00000000-0005-0000-0000-0000F6690000}"/>
    <cellStyle name="Normal 15 2 2 5 3" xfId="11923" xr:uid="{00000000-0005-0000-0000-0000F7690000}"/>
    <cellStyle name="Normal 15 2 2 5 3 2" xfId="25638" xr:uid="{00000000-0005-0000-0000-0000F8690000}"/>
    <cellStyle name="Normal 15 2 2 5 4" xfId="31364" xr:uid="{00000000-0005-0000-0000-0000F9690000}"/>
    <cellStyle name="Normal 15 2 2 6" xfId="7046" xr:uid="{00000000-0005-0000-0000-0000FA690000}"/>
    <cellStyle name="Normal 15 2 2 6 2" xfId="7047" xr:uid="{00000000-0005-0000-0000-0000FB690000}"/>
    <cellStyle name="Normal 15 2 2 6 2 2" xfId="16548" xr:uid="{00000000-0005-0000-0000-0000FC690000}"/>
    <cellStyle name="Normal 15 2 2 6 2 2 2" xfId="29955" xr:uid="{00000000-0005-0000-0000-0000FD690000}"/>
    <cellStyle name="Normal 15 2 2 6 2 3" xfId="31367" xr:uid="{00000000-0005-0000-0000-0000FE690000}"/>
    <cellStyle name="Normal 15 2 2 6 3" xfId="13500" xr:uid="{00000000-0005-0000-0000-0000FF690000}"/>
    <cellStyle name="Normal 15 2 2 6 3 2" xfId="27049" xr:uid="{00000000-0005-0000-0000-0000006A0000}"/>
    <cellStyle name="Normal 15 2 2 6 4" xfId="31366" xr:uid="{00000000-0005-0000-0000-0000016A0000}"/>
    <cellStyle name="Normal 15 2 2 7" xfId="7048" xr:uid="{00000000-0005-0000-0000-0000026A0000}"/>
    <cellStyle name="Normal 15 2 2 7 2" xfId="14081" xr:uid="{00000000-0005-0000-0000-0000036A0000}"/>
    <cellStyle name="Normal 15 2 2 7 2 2" xfId="27630" xr:uid="{00000000-0005-0000-0000-0000046A0000}"/>
    <cellStyle name="Normal 15 2 2 7 3" xfId="31368" xr:uid="{00000000-0005-0000-0000-0000056A0000}"/>
    <cellStyle name="Normal 15 2 2 8" xfId="7049" xr:uid="{00000000-0005-0000-0000-0000066A0000}"/>
    <cellStyle name="Normal 15 2 2 8 2" xfId="15967" xr:uid="{00000000-0005-0000-0000-0000076A0000}"/>
    <cellStyle name="Normal 15 2 2 8 2 2" xfId="29374" xr:uid="{00000000-0005-0000-0000-0000086A0000}"/>
    <cellStyle name="Normal 15 2 2 8 3" xfId="31369" xr:uid="{00000000-0005-0000-0000-0000096A0000}"/>
    <cellStyle name="Normal 15 2 2 9" xfId="10139" xr:uid="{00000000-0005-0000-0000-00000A6A0000}"/>
    <cellStyle name="Normal 15 2 2 9 2" xfId="24365" xr:uid="{00000000-0005-0000-0000-00000B6A0000}"/>
    <cellStyle name="Normal 15 2 3" xfId="7050" xr:uid="{00000000-0005-0000-0000-00000C6A0000}"/>
    <cellStyle name="Normal 15 2 3 2" xfId="7051" xr:uid="{00000000-0005-0000-0000-00000D6A0000}"/>
    <cellStyle name="Normal 15 2 3 2 2" xfId="7052" xr:uid="{00000000-0005-0000-0000-00000E6A0000}"/>
    <cellStyle name="Normal 15 2 3 2 2 2" xfId="7053" xr:uid="{00000000-0005-0000-0000-00000F6A0000}"/>
    <cellStyle name="Normal 15 2 3 2 2 2 2" xfId="16934" xr:uid="{00000000-0005-0000-0000-0000106A0000}"/>
    <cellStyle name="Normal 15 2 3 2 2 2 2 2" xfId="30341" xr:uid="{00000000-0005-0000-0000-0000116A0000}"/>
    <cellStyle name="Normal 15 2 3 2 2 2 3" xfId="31373" xr:uid="{00000000-0005-0000-0000-0000126A0000}"/>
    <cellStyle name="Normal 15 2 3 2 2 3" xfId="11521" xr:uid="{00000000-0005-0000-0000-0000136A0000}"/>
    <cellStyle name="Normal 15 2 3 2 2 3 2" xfId="25353" xr:uid="{00000000-0005-0000-0000-0000146A0000}"/>
    <cellStyle name="Normal 15 2 3 2 2 4" xfId="31372" xr:uid="{00000000-0005-0000-0000-0000156A0000}"/>
    <cellStyle name="Normal 15 2 3 2 3" xfId="7054" xr:uid="{00000000-0005-0000-0000-0000166A0000}"/>
    <cellStyle name="Normal 15 2 3 2 3 2" xfId="12322" xr:uid="{00000000-0005-0000-0000-0000176A0000}"/>
    <cellStyle name="Normal 15 2 3 2 3 2 2" xfId="26034" xr:uid="{00000000-0005-0000-0000-0000186A0000}"/>
    <cellStyle name="Normal 15 2 3 2 3 3" xfId="31374" xr:uid="{00000000-0005-0000-0000-0000196A0000}"/>
    <cellStyle name="Normal 15 2 3 2 4" xfId="7055" xr:uid="{00000000-0005-0000-0000-00001A6A0000}"/>
    <cellStyle name="Normal 15 2 3 2 4 2" xfId="13886" xr:uid="{00000000-0005-0000-0000-00001B6A0000}"/>
    <cellStyle name="Normal 15 2 3 2 4 2 2" xfId="27435" xr:uid="{00000000-0005-0000-0000-00001C6A0000}"/>
    <cellStyle name="Normal 15 2 3 2 4 3" xfId="31375" xr:uid="{00000000-0005-0000-0000-00001D6A0000}"/>
    <cellStyle name="Normal 15 2 3 2 5" xfId="7056" xr:uid="{00000000-0005-0000-0000-00001E6A0000}"/>
    <cellStyle name="Normal 15 2 3 2 5 2" xfId="14467" xr:uid="{00000000-0005-0000-0000-00001F6A0000}"/>
    <cellStyle name="Normal 15 2 3 2 5 2 2" xfId="28016" xr:uid="{00000000-0005-0000-0000-0000206A0000}"/>
    <cellStyle name="Normal 15 2 3 2 5 3" xfId="31376" xr:uid="{00000000-0005-0000-0000-0000216A0000}"/>
    <cellStyle name="Normal 15 2 3 2 6" xfId="7057" xr:uid="{00000000-0005-0000-0000-0000226A0000}"/>
    <cellStyle name="Normal 15 2 3 2 6 2" xfId="16353" xr:uid="{00000000-0005-0000-0000-0000236A0000}"/>
    <cellStyle name="Normal 15 2 3 2 6 2 2" xfId="29760" xr:uid="{00000000-0005-0000-0000-0000246A0000}"/>
    <cellStyle name="Normal 15 2 3 2 6 3" xfId="31377" xr:uid="{00000000-0005-0000-0000-0000256A0000}"/>
    <cellStyle name="Normal 15 2 3 2 7" xfId="10144" xr:uid="{00000000-0005-0000-0000-0000266A0000}"/>
    <cellStyle name="Normal 15 2 3 2 7 2" xfId="24370" xr:uid="{00000000-0005-0000-0000-0000276A0000}"/>
    <cellStyle name="Normal 15 2 3 2 8" xfId="31371" xr:uid="{00000000-0005-0000-0000-0000286A0000}"/>
    <cellStyle name="Normal 15 2 3 3" xfId="7058" xr:uid="{00000000-0005-0000-0000-0000296A0000}"/>
    <cellStyle name="Normal 15 2 3 3 2" xfId="7059" xr:uid="{00000000-0005-0000-0000-00002A6A0000}"/>
    <cellStyle name="Normal 15 2 3 3 2 2" xfId="16645" xr:uid="{00000000-0005-0000-0000-00002B6A0000}"/>
    <cellStyle name="Normal 15 2 3 3 2 2 2" xfId="30052" xr:uid="{00000000-0005-0000-0000-00002C6A0000}"/>
    <cellStyle name="Normal 15 2 3 3 2 3" xfId="31379" xr:uid="{00000000-0005-0000-0000-00002D6A0000}"/>
    <cellStyle name="Normal 15 2 3 3 3" xfId="11520" xr:uid="{00000000-0005-0000-0000-00002E6A0000}"/>
    <cellStyle name="Normal 15 2 3 3 3 2" xfId="25352" xr:uid="{00000000-0005-0000-0000-00002F6A0000}"/>
    <cellStyle name="Normal 15 2 3 3 4" xfId="31378" xr:uid="{00000000-0005-0000-0000-0000306A0000}"/>
    <cellStyle name="Normal 15 2 3 4" xfId="7060" xr:uid="{00000000-0005-0000-0000-0000316A0000}"/>
    <cellStyle name="Normal 15 2 3 4 2" xfId="12022" xr:uid="{00000000-0005-0000-0000-0000326A0000}"/>
    <cellStyle name="Normal 15 2 3 4 2 2" xfId="25737" xr:uid="{00000000-0005-0000-0000-0000336A0000}"/>
    <cellStyle name="Normal 15 2 3 4 3" xfId="31380" xr:uid="{00000000-0005-0000-0000-0000346A0000}"/>
    <cellStyle name="Normal 15 2 3 5" xfId="7061" xr:uid="{00000000-0005-0000-0000-0000356A0000}"/>
    <cellStyle name="Normal 15 2 3 5 2" xfId="13597" xr:uid="{00000000-0005-0000-0000-0000366A0000}"/>
    <cellStyle name="Normal 15 2 3 5 2 2" xfId="27146" xr:uid="{00000000-0005-0000-0000-0000376A0000}"/>
    <cellStyle name="Normal 15 2 3 5 3" xfId="31381" xr:uid="{00000000-0005-0000-0000-0000386A0000}"/>
    <cellStyle name="Normal 15 2 3 6" xfId="7062" xr:uid="{00000000-0005-0000-0000-0000396A0000}"/>
    <cellStyle name="Normal 15 2 3 6 2" xfId="14178" xr:uid="{00000000-0005-0000-0000-00003A6A0000}"/>
    <cellStyle name="Normal 15 2 3 6 2 2" xfId="27727" xr:uid="{00000000-0005-0000-0000-00003B6A0000}"/>
    <cellStyle name="Normal 15 2 3 6 3" xfId="31382" xr:uid="{00000000-0005-0000-0000-00003C6A0000}"/>
    <cellStyle name="Normal 15 2 3 7" xfId="7063" xr:uid="{00000000-0005-0000-0000-00003D6A0000}"/>
    <cellStyle name="Normal 15 2 3 7 2" xfId="16064" xr:uid="{00000000-0005-0000-0000-00003E6A0000}"/>
    <cellStyle name="Normal 15 2 3 7 2 2" xfId="29471" xr:uid="{00000000-0005-0000-0000-00003F6A0000}"/>
    <cellStyle name="Normal 15 2 3 7 3" xfId="31383" xr:uid="{00000000-0005-0000-0000-0000406A0000}"/>
    <cellStyle name="Normal 15 2 3 8" xfId="10143" xr:uid="{00000000-0005-0000-0000-0000416A0000}"/>
    <cellStyle name="Normal 15 2 3 8 2" xfId="24369" xr:uid="{00000000-0005-0000-0000-0000426A0000}"/>
    <cellStyle name="Normal 15 2 3 9" xfId="31370" xr:uid="{00000000-0005-0000-0000-0000436A0000}"/>
    <cellStyle name="Normal 15 2 4" xfId="7064" xr:uid="{00000000-0005-0000-0000-0000446A0000}"/>
    <cellStyle name="Normal 15 2 4 2" xfId="7065" xr:uid="{00000000-0005-0000-0000-0000456A0000}"/>
    <cellStyle name="Normal 15 2 4 2 2" xfId="7066" xr:uid="{00000000-0005-0000-0000-0000466A0000}"/>
    <cellStyle name="Normal 15 2 4 2 2 2" xfId="16791" xr:uid="{00000000-0005-0000-0000-0000476A0000}"/>
    <cellStyle name="Normal 15 2 4 2 2 2 2" xfId="30198" xr:uid="{00000000-0005-0000-0000-0000486A0000}"/>
    <cellStyle name="Normal 15 2 4 2 2 3" xfId="31386" xr:uid="{00000000-0005-0000-0000-0000496A0000}"/>
    <cellStyle name="Normal 15 2 4 2 3" xfId="11522" xr:uid="{00000000-0005-0000-0000-00004A6A0000}"/>
    <cellStyle name="Normal 15 2 4 2 3 2" xfId="25354" xr:uid="{00000000-0005-0000-0000-00004B6A0000}"/>
    <cellStyle name="Normal 15 2 4 2 4" xfId="31385" xr:uid="{00000000-0005-0000-0000-00004C6A0000}"/>
    <cellStyle name="Normal 15 2 4 3" xfId="7067" xr:uid="{00000000-0005-0000-0000-00004D6A0000}"/>
    <cellStyle name="Normal 15 2 4 3 2" xfId="12179" xr:uid="{00000000-0005-0000-0000-00004E6A0000}"/>
    <cellStyle name="Normal 15 2 4 3 2 2" xfId="25891" xr:uid="{00000000-0005-0000-0000-00004F6A0000}"/>
    <cellStyle name="Normal 15 2 4 3 3" xfId="31387" xr:uid="{00000000-0005-0000-0000-0000506A0000}"/>
    <cellStyle name="Normal 15 2 4 4" xfId="7068" xr:uid="{00000000-0005-0000-0000-0000516A0000}"/>
    <cellStyle name="Normal 15 2 4 4 2" xfId="13743" xr:uid="{00000000-0005-0000-0000-0000526A0000}"/>
    <cellStyle name="Normal 15 2 4 4 2 2" xfId="27292" xr:uid="{00000000-0005-0000-0000-0000536A0000}"/>
    <cellStyle name="Normal 15 2 4 4 3" xfId="31388" xr:uid="{00000000-0005-0000-0000-0000546A0000}"/>
    <cellStyle name="Normal 15 2 4 5" xfId="7069" xr:uid="{00000000-0005-0000-0000-0000556A0000}"/>
    <cellStyle name="Normal 15 2 4 5 2" xfId="14324" xr:uid="{00000000-0005-0000-0000-0000566A0000}"/>
    <cellStyle name="Normal 15 2 4 5 2 2" xfId="27873" xr:uid="{00000000-0005-0000-0000-0000576A0000}"/>
    <cellStyle name="Normal 15 2 4 5 3" xfId="31389" xr:uid="{00000000-0005-0000-0000-0000586A0000}"/>
    <cellStyle name="Normal 15 2 4 6" xfId="7070" xr:uid="{00000000-0005-0000-0000-0000596A0000}"/>
    <cellStyle name="Normal 15 2 4 6 2" xfId="16210" xr:uid="{00000000-0005-0000-0000-00005A6A0000}"/>
    <cellStyle name="Normal 15 2 4 6 2 2" xfId="29617" xr:uid="{00000000-0005-0000-0000-00005B6A0000}"/>
    <cellStyle name="Normal 15 2 4 6 3" xfId="31390" xr:uid="{00000000-0005-0000-0000-00005C6A0000}"/>
    <cellStyle name="Normal 15 2 4 7" xfId="10145" xr:uid="{00000000-0005-0000-0000-00005D6A0000}"/>
    <cellStyle name="Normal 15 2 4 7 2" xfId="24371" xr:uid="{00000000-0005-0000-0000-00005E6A0000}"/>
    <cellStyle name="Normal 15 2 4 8" xfId="31384" xr:uid="{00000000-0005-0000-0000-00005F6A0000}"/>
    <cellStyle name="Normal 15 2 5" xfId="7071" xr:uid="{00000000-0005-0000-0000-0000606A0000}"/>
    <cellStyle name="Normal 15 2 5 2" xfId="7072" xr:uid="{00000000-0005-0000-0000-0000616A0000}"/>
    <cellStyle name="Normal 15 2 5 2 2" xfId="17039" xr:uid="{00000000-0005-0000-0000-0000626A0000}"/>
    <cellStyle name="Normal 15 2 5 3" xfId="11515" xr:uid="{00000000-0005-0000-0000-0000636A0000}"/>
    <cellStyle name="Normal 15 2 5 3 2" xfId="25347" xr:uid="{00000000-0005-0000-0000-0000646A0000}"/>
    <cellStyle name="Normal 15 2 6" xfId="7073" xr:uid="{00000000-0005-0000-0000-0000656A0000}"/>
    <cellStyle name="Normal 15 2 6 2" xfId="7074" xr:uid="{00000000-0005-0000-0000-0000666A0000}"/>
    <cellStyle name="Normal 15 2 6 2 2" xfId="17138" xr:uid="{00000000-0005-0000-0000-0000676A0000}"/>
    <cellStyle name="Normal 15 2 6 2 2 2" xfId="30497" xr:uid="{00000000-0005-0000-0000-0000686A0000}"/>
    <cellStyle name="Normal 15 2 6 2 3" xfId="31392" xr:uid="{00000000-0005-0000-0000-0000696A0000}"/>
    <cellStyle name="Normal 15 2 6 3" xfId="11867" xr:uid="{00000000-0005-0000-0000-00006A6A0000}"/>
    <cellStyle name="Normal 15 2 6 3 2" xfId="25582" xr:uid="{00000000-0005-0000-0000-00006B6A0000}"/>
    <cellStyle name="Normal 15 2 6 4" xfId="31391" xr:uid="{00000000-0005-0000-0000-00006C6A0000}"/>
    <cellStyle name="Normal 15 2 7" xfId="7075" xr:uid="{00000000-0005-0000-0000-00006D6A0000}"/>
    <cellStyle name="Normal 15 2 7 2" xfId="7076" xr:uid="{00000000-0005-0000-0000-00006E6A0000}"/>
    <cellStyle name="Normal 15 2 7 2 2" xfId="17227" xr:uid="{00000000-0005-0000-0000-00006F6A0000}"/>
    <cellStyle name="Normal 15 2 7 2 2 2" xfId="30586" xr:uid="{00000000-0005-0000-0000-0000706A0000}"/>
    <cellStyle name="Normal 15 2 7 2 3" xfId="31394" xr:uid="{00000000-0005-0000-0000-0000716A0000}"/>
    <cellStyle name="Normal 15 2 7 3" xfId="13454" xr:uid="{00000000-0005-0000-0000-0000726A0000}"/>
    <cellStyle name="Normal 15 2 7 3 2" xfId="27003" xr:uid="{00000000-0005-0000-0000-0000736A0000}"/>
    <cellStyle name="Normal 15 2 7 4" xfId="31393" xr:uid="{00000000-0005-0000-0000-0000746A0000}"/>
    <cellStyle name="Normal 15 2 8" xfId="7077" xr:uid="{00000000-0005-0000-0000-0000756A0000}"/>
    <cellStyle name="Normal 15 2 8 2" xfId="7078" xr:uid="{00000000-0005-0000-0000-0000766A0000}"/>
    <cellStyle name="Normal 15 2 8 2 2" xfId="16502" xr:uid="{00000000-0005-0000-0000-0000776A0000}"/>
    <cellStyle name="Normal 15 2 8 2 2 2" xfId="29909" xr:uid="{00000000-0005-0000-0000-0000786A0000}"/>
    <cellStyle name="Normal 15 2 8 2 3" xfId="31396" xr:uid="{00000000-0005-0000-0000-0000796A0000}"/>
    <cellStyle name="Normal 15 2 8 3" xfId="14035" xr:uid="{00000000-0005-0000-0000-00007A6A0000}"/>
    <cellStyle name="Normal 15 2 8 3 2" xfId="27584" xr:uid="{00000000-0005-0000-0000-00007B6A0000}"/>
    <cellStyle name="Normal 15 2 8 4" xfId="31395" xr:uid="{00000000-0005-0000-0000-00007C6A0000}"/>
    <cellStyle name="Normal 15 2 9" xfId="7079" xr:uid="{00000000-0005-0000-0000-00007D6A0000}"/>
    <cellStyle name="Normal 15 2 9 2" xfId="15921" xr:uid="{00000000-0005-0000-0000-00007E6A0000}"/>
    <cellStyle name="Normal 15 2 9 2 2" xfId="29328" xr:uid="{00000000-0005-0000-0000-00007F6A0000}"/>
    <cellStyle name="Normal 15 2 9 3" xfId="31397" xr:uid="{00000000-0005-0000-0000-0000806A0000}"/>
    <cellStyle name="Normal 15 3" xfId="7080" xr:uid="{00000000-0005-0000-0000-0000816A0000}"/>
    <cellStyle name="Normal 15 3 2" xfId="7081" xr:uid="{00000000-0005-0000-0000-0000826A0000}"/>
    <cellStyle name="Normal 15 3 2 2" xfId="10147" xr:uid="{00000000-0005-0000-0000-0000836A0000}"/>
    <cellStyle name="Normal 15 3 3" xfId="10146" xr:uid="{00000000-0005-0000-0000-0000846A0000}"/>
    <cellStyle name="Normal 15 4" xfId="7082" xr:uid="{00000000-0005-0000-0000-0000856A0000}"/>
    <cellStyle name="Normal 15 4 10" xfId="31398" xr:uid="{00000000-0005-0000-0000-0000866A0000}"/>
    <cellStyle name="Normal 15 4 2" xfId="7083" xr:uid="{00000000-0005-0000-0000-0000876A0000}"/>
    <cellStyle name="Normal 15 4 2 2" xfId="7084" xr:uid="{00000000-0005-0000-0000-0000886A0000}"/>
    <cellStyle name="Normal 15 4 2 2 2" xfId="7085" xr:uid="{00000000-0005-0000-0000-0000896A0000}"/>
    <cellStyle name="Normal 15 4 2 2 2 2" xfId="7086" xr:uid="{00000000-0005-0000-0000-00008A6A0000}"/>
    <cellStyle name="Normal 15 4 2 2 2 2 2" xfId="16957" xr:uid="{00000000-0005-0000-0000-00008B6A0000}"/>
    <cellStyle name="Normal 15 4 2 2 2 2 2 2" xfId="30364" xr:uid="{00000000-0005-0000-0000-00008C6A0000}"/>
    <cellStyle name="Normal 15 4 2 2 2 2 3" xfId="31402" xr:uid="{00000000-0005-0000-0000-00008D6A0000}"/>
    <cellStyle name="Normal 15 4 2 2 2 3" xfId="11525" xr:uid="{00000000-0005-0000-0000-00008E6A0000}"/>
    <cellStyle name="Normal 15 4 2 2 2 3 2" xfId="25357" xr:uid="{00000000-0005-0000-0000-00008F6A0000}"/>
    <cellStyle name="Normal 15 4 2 2 2 4" xfId="31401" xr:uid="{00000000-0005-0000-0000-0000906A0000}"/>
    <cellStyle name="Normal 15 4 2 2 3" xfId="7087" xr:uid="{00000000-0005-0000-0000-0000916A0000}"/>
    <cellStyle name="Normal 15 4 2 2 3 2" xfId="12345" xr:uid="{00000000-0005-0000-0000-0000926A0000}"/>
    <cellStyle name="Normal 15 4 2 2 3 2 2" xfId="26057" xr:uid="{00000000-0005-0000-0000-0000936A0000}"/>
    <cellStyle name="Normal 15 4 2 2 3 3" xfId="31403" xr:uid="{00000000-0005-0000-0000-0000946A0000}"/>
    <cellStyle name="Normal 15 4 2 2 4" xfId="7088" xr:uid="{00000000-0005-0000-0000-0000956A0000}"/>
    <cellStyle name="Normal 15 4 2 2 4 2" xfId="13909" xr:uid="{00000000-0005-0000-0000-0000966A0000}"/>
    <cellStyle name="Normal 15 4 2 2 4 2 2" xfId="27458" xr:uid="{00000000-0005-0000-0000-0000976A0000}"/>
    <cellStyle name="Normal 15 4 2 2 4 3" xfId="31404" xr:uid="{00000000-0005-0000-0000-0000986A0000}"/>
    <cellStyle name="Normal 15 4 2 2 5" xfId="7089" xr:uid="{00000000-0005-0000-0000-0000996A0000}"/>
    <cellStyle name="Normal 15 4 2 2 5 2" xfId="14490" xr:uid="{00000000-0005-0000-0000-00009A6A0000}"/>
    <cellStyle name="Normal 15 4 2 2 5 2 2" xfId="28039" xr:uid="{00000000-0005-0000-0000-00009B6A0000}"/>
    <cellStyle name="Normal 15 4 2 2 5 3" xfId="31405" xr:uid="{00000000-0005-0000-0000-00009C6A0000}"/>
    <cellStyle name="Normal 15 4 2 2 6" xfId="7090" xr:uid="{00000000-0005-0000-0000-00009D6A0000}"/>
    <cellStyle name="Normal 15 4 2 2 6 2" xfId="16376" xr:uid="{00000000-0005-0000-0000-00009E6A0000}"/>
    <cellStyle name="Normal 15 4 2 2 6 2 2" xfId="29783" xr:uid="{00000000-0005-0000-0000-00009F6A0000}"/>
    <cellStyle name="Normal 15 4 2 2 6 3" xfId="31406" xr:uid="{00000000-0005-0000-0000-0000A06A0000}"/>
    <cellStyle name="Normal 15 4 2 2 7" xfId="10150" xr:uid="{00000000-0005-0000-0000-0000A16A0000}"/>
    <cellStyle name="Normal 15 4 2 2 7 2" xfId="24374" xr:uid="{00000000-0005-0000-0000-0000A26A0000}"/>
    <cellStyle name="Normal 15 4 2 2 8" xfId="31400" xr:uid="{00000000-0005-0000-0000-0000A36A0000}"/>
    <cellStyle name="Normal 15 4 2 3" xfId="7091" xr:uid="{00000000-0005-0000-0000-0000A46A0000}"/>
    <cellStyle name="Normal 15 4 2 3 2" xfId="7092" xr:uid="{00000000-0005-0000-0000-0000A56A0000}"/>
    <cellStyle name="Normal 15 4 2 3 2 2" xfId="16668" xr:uid="{00000000-0005-0000-0000-0000A66A0000}"/>
    <cellStyle name="Normal 15 4 2 3 2 2 2" xfId="30075" xr:uid="{00000000-0005-0000-0000-0000A76A0000}"/>
    <cellStyle name="Normal 15 4 2 3 2 3" xfId="31408" xr:uid="{00000000-0005-0000-0000-0000A86A0000}"/>
    <cellStyle name="Normal 15 4 2 3 3" xfId="11524" xr:uid="{00000000-0005-0000-0000-0000A96A0000}"/>
    <cellStyle name="Normal 15 4 2 3 3 2" xfId="25356" xr:uid="{00000000-0005-0000-0000-0000AA6A0000}"/>
    <cellStyle name="Normal 15 4 2 3 4" xfId="31407" xr:uid="{00000000-0005-0000-0000-0000AB6A0000}"/>
    <cellStyle name="Normal 15 4 2 4" xfId="7093" xr:uid="{00000000-0005-0000-0000-0000AC6A0000}"/>
    <cellStyle name="Normal 15 4 2 4 2" xfId="12045" xr:uid="{00000000-0005-0000-0000-0000AD6A0000}"/>
    <cellStyle name="Normal 15 4 2 4 2 2" xfId="25760" xr:uid="{00000000-0005-0000-0000-0000AE6A0000}"/>
    <cellStyle name="Normal 15 4 2 4 3" xfId="31409" xr:uid="{00000000-0005-0000-0000-0000AF6A0000}"/>
    <cellStyle name="Normal 15 4 2 5" xfId="7094" xr:uid="{00000000-0005-0000-0000-0000B06A0000}"/>
    <cellStyle name="Normal 15 4 2 5 2" xfId="13620" xr:uid="{00000000-0005-0000-0000-0000B16A0000}"/>
    <cellStyle name="Normal 15 4 2 5 2 2" xfId="27169" xr:uid="{00000000-0005-0000-0000-0000B26A0000}"/>
    <cellStyle name="Normal 15 4 2 5 3" xfId="31410" xr:uid="{00000000-0005-0000-0000-0000B36A0000}"/>
    <cellStyle name="Normal 15 4 2 6" xfId="7095" xr:uid="{00000000-0005-0000-0000-0000B46A0000}"/>
    <cellStyle name="Normal 15 4 2 6 2" xfId="14201" xr:uid="{00000000-0005-0000-0000-0000B56A0000}"/>
    <cellStyle name="Normal 15 4 2 6 2 2" xfId="27750" xr:uid="{00000000-0005-0000-0000-0000B66A0000}"/>
    <cellStyle name="Normal 15 4 2 6 3" xfId="31411" xr:uid="{00000000-0005-0000-0000-0000B76A0000}"/>
    <cellStyle name="Normal 15 4 2 7" xfId="7096" xr:uid="{00000000-0005-0000-0000-0000B86A0000}"/>
    <cellStyle name="Normal 15 4 2 7 2" xfId="16087" xr:uid="{00000000-0005-0000-0000-0000B96A0000}"/>
    <cellStyle name="Normal 15 4 2 7 2 2" xfId="29494" xr:uid="{00000000-0005-0000-0000-0000BA6A0000}"/>
    <cellStyle name="Normal 15 4 2 7 3" xfId="31412" xr:uid="{00000000-0005-0000-0000-0000BB6A0000}"/>
    <cellStyle name="Normal 15 4 2 8" xfId="10149" xr:uid="{00000000-0005-0000-0000-0000BC6A0000}"/>
    <cellStyle name="Normal 15 4 2 8 2" xfId="24373" xr:uid="{00000000-0005-0000-0000-0000BD6A0000}"/>
    <cellStyle name="Normal 15 4 2 9" xfId="31399" xr:uid="{00000000-0005-0000-0000-0000BE6A0000}"/>
    <cellStyle name="Normal 15 4 3" xfId="7097" xr:uid="{00000000-0005-0000-0000-0000BF6A0000}"/>
    <cellStyle name="Normal 15 4 3 2" xfId="7098" xr:uid="{00000000-0005-0000-0000-0000C06A0000}"/>
    <cellStyle name="Normal 15 4 3 2 2" xfId="7099" xr:uid="{00000000-0005-0000-0000-0000C16A0000}"/>
    <cellStyle name="Normal 15 4 3 2 2 2" xfId="16814" xr:uid="{00000000-0005-0000-0000-0000C26A0000}"/>
    <cellStyle name="Normal 15 4 3 2 2 2 2" xfId="30221" xr:uid="{00000000-0005-0000-0000-0000C36A0000}"/>
    <cellStyle name="Normal 15 4 3 2 2 3" xfId="31415" xr:uid="{00000000-0005-0000-0000-0000C46A0000}"/>
    <cellStyle name="Normal 15 4 3 2 3" xfId="11526" xr:uid="{00000000-0005-0000-0000-0000C56A0000}"/>
    <cellStyle name="Normal 15 4 3 2 3 2" xfId="25358" xr:uid="{00000000-0005-0000-0000-0000C66A0000}"/>
    <cellStyle name="Normal 15 4 3 2 4" xfId="31414" xr:uid="{00000000-0005-0000-0000-0000C76A0000}"/>
    <cellStyle name="Normal 15 4 3 3" xfId="7100" xr:uid="{00000000-0005-0000-0000-0000C86A0000}"/>
    <cellStyle name="Normal 15 4 3 3 2" xfId="12202" xr:uid="{00000000-0005-0000-0000-0000C96A0000}"/>
    <cellStyle name="Normal 15 4 3 3 2 2" xfId="25914" xr:uid="{00000000-0005-0000-0000-0000CA6A0000}"/>
    <cellStyle name="Normal 15 4 3 3 3" xfId="31416" xr:uid="{00000000-0005-0000-0000-0000CB6A0000}"/>
    <cellStyle name="Normal 15 4 3 4" xfId="7101" xr:uid="{00000000-0005-0000-0000-0000CC6A0000}"/>
    <cellStyle name="Normal 15 4 3 4 2" xfId="13766" xr:uid="{00000000-0005-0000-0000-0000CD6A0000}"/>
    <cellStyle name="Normal 15 4 3 4 2 2" xfId="27315" xr:uid="{00000000-0005-0000-0000-0000CE6A0000}"/>
    <cellStyle name="Normal 15 4 3 4 3" xfId="31417" xr:uid="{00000000-0005-0000-0000-0000CF6A0000}"/>
    <cellStyle name="Normal 15 4 3 5" xfId="7102" xr:uid="{00000000-0005-0000-0000-0000D06A0000}"/>
    <cellStyle name="Normal 15 4 3 5 2" xfId="14347" xr:uid="{00000000-0005-0000-0000-0000D16A0000}"/>
    <cellStyle name="Normal 15 4 3 5 2 2" xfId="27896" xr:uid="{00000000-0005-0000-0000-0000D26A0000}"/>
    <cellStyle name="Normal 15 4 3 5 3" xfId="31418" xr:uid="{00000000-0005-0000-0000-0000D36A0000}"/>
    <cellStyle name="Normal 15 4 3 6" xfId="7103" xr:uid="{00000000-0005-0000-0000-0000D46A0000}"/>
    <cellStyle name="Normal 15 4 3 6 2" xfId="16233" xr:uid="{00000000-0005-0000-0000-0000D56A0000}"/>
    <cellStyle name="Normal 15 4 3 6 2 2" xfId="29640" xr:uid="{00000000-0005-0000-0000-0000D66A0000}"/>
    <cellStyle name="Normal 15 4 3 6 3" xfId="31419" xr:uid="{00000000-0005-0000-0000-0000D76A0000}"/>
    <cellStyle name="Normal 15 4 3 7" xfId="10151" xr:uid="{00000000-0005-0000-0000-0000D86A0000}"/>
    <cellStyle name="Normal 15 4 3 7 2" xfId="24375" xr:uid="{00000000-0005-0000-0000-0000D96A0000}"/>
    <cellStyle name="Normal 15 4 3 8" xfId="31413" xr:uid="{00000000-0005-0000-0000-0000DA6A0000}"/>
    <cellStyle name="Normal 15 4 4" xfId="7104" xr:uid="{00000000-0005-0000-0000-0000DB6A0000}"/>
    <cellStyle name="Normal 15 4 4 2" xfId="7105" xr:uid="{00000000-0005-0000-0000-0000DC6A0000}"/>
    <cellStyle name="Normal 15 4 4 2 2" xfId="17161" xr:uid="{00000000-0005-0000-0000-0000DD6A0000}"/>
    <cellStyle name="Normal 15 4 4 2 2 2" xfId="30520" xr:uid="{00000000-0005-0000-0000-0000DE6A0000}"/>
    <cellStyle name="Normal 15 4 4 2 3" xfId="31421" xr:uid="{00000000-0005-0000-0000-0000DF6A0000}"/>
    <cellStyle name="Normal 15 4 4 3" xfId="11523" xr:uid="{00000000-0005-0000-0000-0000E06A0000}"/>
    <cellStyle name="Normal 15 4 4 3 2" xfId="25355" xr:uid="{00000000-0005-0000-0000-0000E16A0000}"/>
    <cellStyle name="Normal 15 4 4 4" xfId="31420" xr:uid="{00000000-0005-0000-0000-0000E26A0000}"/>
    <cellStyle name="Normal 15 4 5" xfId="7106" xr:uid="{00000000-0005-0000-0000-0000E36A0000}"/>
    <cellStyle name="Normal 15 4 5 2" xfId="7107" xr:uid="{00000000-0005-0000-0000-0000E46A0000}"/>
    <cellStyle name="Normal 15 4 5 2 2" xfId="17250" xr:uid="{00000000-0005-0000-0000-0000E56A0000}"/>
    <cellStyle name="Normal 15 4 5 2 2 2" xfId="30609" xr:uid="{00000000-0005-0000-0000-0000E66A0000}"/>
    <cellStyle name="Normal 15 4 5 2 3" xfId="31423" xr:uid="{00000000-0005-0000-0000-0000E76A0000}"/>
    <cellStyle name="Normal 15 4 5 3" xfId="11900" xr:uid="{00000000-0005-0000-0000-0000E86A0000}"/>
    <cellStyle name="Normal 15 4 5 3 2" xfId="25615" xr:uid="{00000000-0005-0000-0000-0000E96A0000}"/>
    <cellStyle name="Normal 15 4 5 4" xfId="31422" xr:uid="{00000000-0005-0000-0000-0000EA6A0000}"/>
    <cellStyle name="Normal 15 4 6" xfId="7108" xr:uid="{00000000-0005-0000-0000-0000EB6A0000}"/>
    <cellStyle name="Normal 15 4 6 2" xfId="7109" xr:uid="{00000000-0005-0000-0000-0000EC6A0000}"/>
    <cellStyle name="Normal 15 4 6 2 2" xfId="16525" xr:uid="{00000000-0005-0000-0000-0000ED6A0000}"/>
    <cellStyle name="Normal 15 4 6 2 2 2" xfId="29932" xr:uid="{00000000-0005-0000-0000-0000EE6A0000}"/>
    <cellStyle name="Normal 15 4 6 2 3" xfId="31425" xr:uid="{00000000-0005-0000-0000-0000EF6A0000}"/>
    <cellStyle name="Normal 15 4 6 3" xfId="13477" xr:uid="{00000000-0005-0000-0000-0000F06A0000}"/>
    <cellStyle name="Normal 15 4 6 3 2" xfId="27026" xr:uid="{00000000-0005-0000-0000-0000F16A0000}"/>
    <cellStyle name="Normal 15 4 6 4" xfId="31424" xr:uid="{00000000-0005-0000-0000-0000F26A0000}"/>
    <cellStyle name="Normal 15 4 7" xfId="7110" xr:uid="{00000000-0005-0000-0000-0000F36A0000}"/>
    <cellStyle name="Normal 15 4 7 2" xfId="14058" xr:uid="{00000000-0005-0000-0000-0000F46A0000}"/>
    <cellStyle name="Normal 15 4 7 2 2" xfId="27607" xr:uid="{00000000-0005-0000-0000-0000F56A0000}"/>
    <cellStyle name="Normal 15 4 7 3" xfId="31426" xr:uid="{00000000-0005-0000-0000-0000F66A0000}"/>
    <cellStyle name="Normal 15 4 8" xfId="7111" xr:uid="{00000000-0005-0000-0000-0000F76A0000}"/>
    <cellStyle name="Normal 15 4 8 2" xfId="15944" xr:uid="{00000000-0005-0000-0000-0000F86A0000}"/>
    <cellStyle name="Normal 15 4 8 2 2" xfId="29351" xr:uid="{00000000-0005-0000-0000-0000F96A0000}"/>
    <cellStyle name="Normal 15 4 8 3" xfId="31427" xr:uid="{00000000-0005-0000-0000-0000FA6A0000}"/>
    <cellStyle name="Normal 15 4 9" xfId="10148" xr:uid="{00000000-0005-0000-0000-0000FB6A0000}"/>
    <cellStyle name="Normal 15 4 9 2" xfId="24372" xr:uid="{00000000-0005-0000-0000-0000FC6A0000}"/>
    <cellStyle name="Normal 15 5" xfId="7112" xr:uid="{00000000-0005-0000-0000-0000FD6A0000}"/>
    <cellStyle name="Normal 15 5 10" xfId="31428" xr:uid="{00000000-0005-0000-0000-0000FE6A0000}"/>
    <cellStyle name="Normal 15 5 2" xfId="7113" xr:uid="{00000000-0005-0000-0000-0000FF6A0000}"/>
    <cellStyle name="Normal 15 5 2 2" xfId="7114" xr:uid="{00000000-0005-0000-0000-0000006B0000}"/>
    <cellStyle name="Normal 15 5 2 2 2" xfId="7115" xr:uid="{00000000-0005-0000-0000-0000016B0000}"/>
    <cellStyle name="Normal 15 5 2 2 2 2" xfId="7116" xr:uid="{00000000-0005-0000-0000-0000026B0000}"/>
    <cellStyle name="Normal 15 5 2 2 2 2 2" xfId="17000" xr:uid="{00000000-0005-0000-0000-0000036B0000}"/>
    <cellStyle name="Normal 15 5 2 2 2 2 2 2" xfId="30407" xr:uid="{00000000-0005-0000-0000-0000046B0000}"/>
    <cellStyle name="Normal 15 5 2 2 2 2 3" xfId="31432" xr:uid="{00000000-0005-0000-0000-0000056B0000}"/>
    <cellStyle name="Normal 15 5 2 2 2 3" xfId="11529" xr:uid="{00000000-0005-0000-0000-0000066B0000}"/>
    <cellStyle name="Normal 15 5 2 2 2 3 2" xfId="25361" xr:uid="{00000000-0005-0000-0000-0000076B0000}"/>
    <cellStyle name="Normal 15 5 2 2 2 4" xfId="31431" xr:uid="{00000000-0005-0000-0000-0000086B0000}"/>
    <cellStyle name="Normal 15 5 2 2 3" xfId="7117" xr:uid="{00000000-0005-0000-0000-0000096B0000}"/>
    <cellStyle name="Normal 15 5 2 2 3 2" xfId="12388" xr:uid="{00000000-0005-0000-0000-00000A6B0000}"/>
    <cellStyle name="Normal 15 5 2 2 3 2 2" xfId="26100" xr:uid="{00000000-0005-0000-0000-00000B6B0000}"/>
    <cellStyle name="Normal 15 5 2 2 3 3" xfId="31433" xr:uid="{00000000-0005-0000-0000-00000C6B0000}"/>
    <cellStyle name="Normal 15 5 2 2 4" xfId="7118" xr:uid="{00000000-0005-0000-0000-00000D6B0000}"/>
    <cellStyle name="Normal 15 5 2 2 4 2" xfId="13952" xr:uid="{00000000-0005-0000-0000-00000E6B0000}"/>
    <cellStyle name="Normal 15 5 2 2 4 2 2" xfId="27501" xr:uid="{00000000-0005-0000-0000-00000F6B0000}"/>
    <cellStyle name="Normal 15 5 2 2 4 3" xfId="31434" xr:uid="{00000000-0005-0000-0000-0000106B0000}"/>
    <cellStyle name="Normal 15 5 2 2 5" xfId="7119" xr:uid="{00000000-0005-0000-0000-0000116B0000}"/>
    <cellStyle name="Normal 15 5 2 2 5 2" xfId="14533" xr:uid="{00000000-0005-0000-0000-0000126B0000}"/>
    <cellStyle name="Normal 15 5 2 2 5 2 2" xfId="28082" xr:uid="{00000000-0005-0000-0000-0000136B0000}"/>
    <cellStyle name="Normal 15 5 2 2 5 3" xfId="31435" xr:uid="{00000000-0005-0000-0000-0000146B0000}"/>
    <cellStyle name="Normal 15 5 2 2 6" xfId="7120" xr:uid="{00000000-0005-0000-0000-0000156B0000}"/>
    <cellStyle name="Normal 15 5 2 2 6 2" xfId="16419" xr:uid="{00000000-0005-0000-0000-0000166B0000}"/>
    <cellStyle name="Normal 15 5 2 2 6 2 2" xfId="29826" xr:uid="{00000000-0005-0000-0000-0000176B0000}"/>
    <cellStyle name="Normal 15 5 2 2 6 3" xfId="31436" xr:uid="{00000000-0005-0000-0000-0000186B0000}"/>
    <cellStyle name="Normal 15 5 2 2 7" xfId="10154" xr:uid="{00000000-0005-0000-0000-0000196B0000}"/>
    <cellStyle name="Normal 15 5 2 2 7 2" xfId="24378" xr:uid="{00000000-0005-0000-0000-00001A6B0000}"/>
    <cellStyle name="Normal 15 5 2 2 8" xfId="31430" xr:uid="{00000000-0005-0000-0000-00001B6B0000}"/>
    <cellStyle name="Normal 15 5 2 3" xfId="7121" xr:uid="{00000000-0005-0000-0000-00001C6B0000}"/>
    <cellStyle name="Normal 15 5 2 3 2" xfId="7122" xr:uid="{00000000-0005-0000-0000-00001D6B0000}"/>
    <cellStyle name="Normal 15 5 2 3 2 2" xfId="16711" xr:uid="{00000000-0005-0000-0000-00001E6B0000}"/>
    <cellStyle name="Normal 15 5 2 3 2 2 2" xfId="30118" xr:uid="{00000000-0005-0000-0000-00001F6B0000}"/>
    <cellStyle name="Normal 15 5 2 3 2 3" xfId="31438" xr:uid="{00000000-0005-0000-0000-0000206B0000}"/>
    <cellStyle name="Normal 15 5 2 3 3" xfId="11528" xr:uid="{00000000-0005-0000-0000-0000216B0000}"/>
    <cellStyle name="Normal 15 5 2 3 3 2" xfId="25360" xr:uid="{00000000-0005-0000-0000-0000226B0000}"/>
    <cellStyle name="Normal 15 5 2 3 4" xfId="31437" xr:uid="{00000000-0005-0000-0000-0000236B0000}"/>
    <cellStyle name="Normal 15 5 2 4" xfId="7123" xr:uid="{00000000-0005-0000-0000-0000246B0000}"/>
    <cellStyle name="Normal 15 5 2 4 2" xfId="12088" xr:uid="{00000000-0005-0000-0000-0000256B0000}"/>
    <cellStyle name="Normal 15 5 2 4 2 2" xfId="25803" xr:uid="{00000000-0005-0000-0000-0000266B0000}"/>
    <cellStyle name="Normal 15 5 2 4 3" xfId="31439" xr:uid="{00000000-0005-0000-0000-0000276B0000}"/>
    <cellStyle name="Normal 15 5 2 5" xfId="7124" xr:uid="{00000000-0005-0000-0000-0000286B0000}"/>
    <cellStyle name="Normal 15 5 2 5 2" xfId="13663" xr:uid="{00000000-0005-0000-0000-0000296B0000}"/>
    <cellStyle name="Normal 15 5 2 5 2 2" xfId="27212" xr:uid="{00000000-0005-0000-0000-00002A6B0000}"/>
    <cellStyle name="Normal 15 5 2 5 3" xfId="31440" xr:uid="{00000000-0005-0000-0000-00002B6B0000}"/>
    <cellStyle name="Normal 15 5 2 6" xfId="7125" xr:uid="{00000000-0005-0000-0000-00002C6B0000}"/>
    <cellStyle name="Normal 15 5 2 6 2" xfId="14244" xr:uid="{00000000-0005-0000-0000-00002D6B0000}"/>
    <cellStyle name="Normal 15 5 2 6 2 2" xfId="27793" xr:uid="{00000000-0005-0000-0000-00002E6B0000}"/>
    <cellStyle name="Normal 15 5 2 6 3" xfId="31441" xr:uid="{00000000-0005-0000-0000-00002F6B0000}"/>
    <cellStyle name="Normal 15 5 2 7" xfId="7126" xr:uid="{00000000-0005-0000-0000-0000306B0000}"/>
    <cellStyle name="Normal 15 5 2 7 2" xfId="16130" xr:uid="{00000000-0005-0000-0000-0000316B0000}"/>
    <cellStyle name="Normal 15 5 2 7 2 2" xfId="29537" xr:uid="{00000000-0005-0000-0000-0000326B0000}"/>
    <cellStyle name="Normal 15 5 2 7 3" xfId="31442" xr:uid="{00000000-0005-0000-0000-0000336B0000}"/>
    <cellStyle name="Normal 15 5 2 8" xfId="10153" xr:uid="{00000000-0005-0000-0000-0000346B0000}"/>
    <cellStyle name="Normal 15 5 2 8 2" xfId="24377" xr:uid="{00000000-0005-0000-0000-0000356B0000}"/>
    <cellStyle name="Normal 15 5 2 9" xfId="31429" xr:uid="{00000000-0005-0000-0000-0000366B0000}"/>
    <cellStyle name="Normal 15 5 3" xfId="7127" xr:uid="{00000000-0005-0000-0000-0000376B0000}"/>
    <cellStyle name="Normal 15 5 3 2" xfId="7128" xr:uid="{00000000-0005-0000-0000-0000386B0000}"/>
    <cellStyle name="Normal 15 5 3 2 2" xfId="7129" xr:uid="{00000000-0005-0000-0000-0000396B0000}"/>
    <cellStyle name="Normal 15 5 3 2 2 2" xfId="16857" xr:uid="{00000000-0005-0000-0000-00003A6B0000}"/>
    <cellStyle name="Normal 15 5 3 2 2 2 2" xfId="30264" xr:uid="{00000000-0005-0000-0000-00003B6B0000}"/>
    <cellStyle name="Normal 15 5 3 2 2 3" xfId="31445" xr:uid="{00000000-0005-0000-0000-00003C6B0000}"/>
    <cellStyle name="Normal 15 5 3 2 3" xfId="11530" xr:uid="{00000000-0005-0000-0000-00003D6B0000}"/>
    <cellStyle name="Normal 15 5 3 2 3 2" xfId="25362" xr:uid="{00000000-0005-0000-0000-00003E6B0000}"/>
    <cellStyle name="Normal 15 5 3 2 4" xfId="31444" xr:uid="{00000000-0005-0000-0000-00003F6B0000}"/>
    <cellStyle name="Normal 15 5 3 3" xfId="7130" xr:uid="{00000000-0005-0000-0000-0000406B0000}"/>
    <cellStyle name="Normal 15 5 3 3 2" xfId="12245" xr:uid="{00000000-0005-0000-0000-0000416B0000}"/>
    <cellStyle name="Normal 15 5 3 3 2 2" xfId="25957" xr:uid="{00000000-0005-0000-0000-0000426B0000}"/>
    <cellStyle name="Normal 15 5 3 3 3" xfId="31446" xr:uid="{00000000-0005-0000-0000-0000436B0000}"/>
    <cellStyle name="Normal 15 5 3 4" xfId="7131" xr:uid="{00000000-0005-0000-0000-0000446B0000}"/>
    <cellStyle name="Normal 15 5 3 4 2" xfId="13809" xr:uid="{00000000-0005-0000-0000-0000456B0000}"/>
    <cellStyle name="Normal 15 5 3 4 2 2" xfId="27358" xr:uid="{00000000-0005-0000-0000-0000466B0000}"/>
    <cellStyle name="Normal 15 5 3 4 3" xfId="31447" xr:uid="{00000000-0005-0000-0000-0000476B0000}"/>
    <cellStyle name="Normal 15 5 3 5" xfId="7132" xr:uid="{00000000-0005-0000-0000-0000486B0000}"/>
    <cellStyle name="Normal 15 5 3 5 2" xfId="14390" xr:uid="{00000000-0005-0000-0000-0000496B0000}"/>
    <cellStyle name="Normal 15 5 3 5 2 2" xfId="27939" xr:uid="{00000000-0005-0000-0000-00004A6B0000}"/>
    <cellStyle name="Normal 15 5 3 5 3" xfId="31448" xr:uid="{00000000-0005-0000-0000-00004B6B0000}"/>
    <cellStyle name="Normal 15 5 3 6" xfId="7133" xr:uid="{00000000-0005-0000-0000-00004C6B0000}"/>
    <cellStyle name="Normal 15 5 3 6 2" xfId="16276" xr:uid="{00000000-0005-0000-0000-00004D6B0000}"/>
    <cellStyle name="Normal 15 5 3 6 2 2" xfId="29683" xr:uid="{00000000-0005-0000-0000-00004E6B0000}"/>
    <cellStyle name="Normal 15 5 3 6 3" xfId="31449" xr:uid="{00000000-0005-0000-0000-00004F6B0000}"/>
    <cellStyle name="Normal 15 5 3 7" xfId="10155" xr:uid="{00000000-0005-0000-0000-0000506B0000}"/>
    <cellStyle name="Normal 15 5 3 7 2" xfId="24379" xr:uid="{00000000-0005-0000-0000-0000516B0000}"/>
    <cellStyle name="Normal 15 5 3 8" xfId="31443" xr:uid="{00000000-0005-0000-0000-0000526B0000}"/>
    <cellStyle name="Normal 15 5 4" xfId="7134" xr:uid="{00000000-0005-0000-0000-0000536B0000}"/>
    <cellStyle name="Normal 15 5 4 2" xfId="7135" xr:uid="{00000000-0005-0000-0000-0000546B0000}"/>
    <cellStyle name="Normal 15 5 4 2 2" xfId="16568" xr:uid="{00000000-0005-0000-0000-0000556B0000}"/>
    <cellStyle name="Normal 15 5 4 2 2 2" xfId="29975" xr:uid="{00000000-0005-0000-0000-0000566B0000}"/>
    <cellStyle name="Normal 15 5 4 2 3" xfId="31451" xr:uid="{00000000-0005-0000-0000-0000576B0000}"/>
    <cellStyle name="Normal 15 5 4 3" xfId="11527" xr:uid="{00000000-0005-0000-0000-0000586B0000}"/>
    <cellStyle name="Normal 15 5 4 3 2" xfId="25359" xr:uid="{00000000-0005-0000-0000-0000596B0000}"/>
    <cellStyle name="Normal 15 5 4 4" xfId="31450" xr:uid="{00000000-0005-0000-0000-00005A6B0000}"/>
    <cellStyle name="Normal 15 5 5" xfId="7136" xr:uid="{00000000-0005-0000-0000-00005B6B0000}"/>
    <cellStyle name="Normal 15 5 5 2" xfId="11943" xr:uid="{00000000-0005-0000-0000-00005C6B0000}"/>
    <cellStyle name="Normal 15 5 5 2 2" xfId="25658" xr:uid="{00000000-0005-0000-0000-00005D6B0000}"/>
    <cellStyle name="Normal 15 5 5 3" xfId="31452" xr:uid="{00000000-0005-0000-0000-00005E6B0000}"/>
    <cellStyle name="Normal 15 5 6" xfId="7137" xr:uid="{00000000-0005-0000-0000-00005F6B0000}"/>
    <cellStyle name="Normal 15 5 6 2" xfId="13520" xr:uid="{00000000-0005-0000-0000-0000606B0000}"/>
    <cellStyle name="Normal 15 5 6 2 2" xfId="27069" xr:uid="{00000000-0005-0000-0000-0000616B0000}"/>
    <cellStyle name="Normal 15 5 6 3" xfId="31453" xr:uid="{00000000-0005-0000-0000-0000626B0000}"/>
    <cellStyle name="Normal 15 5 7" xfId="7138" xr:uid="{00000000-0005-0000-0000-0000636B0000}"/>
    <cellStyle name="Normal 15 5 7 2" xfId="14101" xr:uid="{00000000-0005-0000-0000-0000646B0000}"/>
    <cellStyle name="Normal 15 5 7 2 2" xfId="27650" xr:uid="{00000000-0005-0000-0000-0000656B0000}"/>
    <cellStyle name="Normal 15 5 7 3" xfId="31454" xr:uid="{00000000-0005-0000-0000-0000666B0000}"/>
    <cellStyle name="Normal 15 5 8" xfId="7139" xr:uid="{00000000-0005-0000-0000-0000676B0000}"/>
    <cellStyle name="Normal 15 5 8 2" xfId="15987" xr:uid="{00000000-0005-0000-0000-0000686B0000}"/>
    <cellStyle name="Normal 15 5 8 2 2" xfId="29394" xr:uid="{00000000-0005-0000-0000-0000696B0000}"/>
    <cellStyle name="Normal 15 5 8 3" xfId="31455" xr:uid="{00000000-0005-0000-0000-00006A6B0000}"/>
    <cellStyle name="Normal 15 5 9" xfId="10152" xr:uid="{00000000-0005-0000-0000-00006B6B0000}"/>
    <cellStyle name="Normal 15 5 9 2" xfId="24376" xr:uid="{00000000-0005-0000-0000-00006C6B0000}"/>
    <cellStyle name="Normal 15 6" xfId="7140" xr:uid="{00000000-0005-0000-0000-00006D6B0000}"/>
    <cellStyle name="Normal 15 6 2" xfId="7141" xr:uid="{00000000-0005-0000-0000-00006E6B0000}"/>
    <cellStyle name="Normal 15 6 2 2" xfId="7142" xr:uid="{00000000-0005-0000-0000-00006F6B0000}"/>
    <cellStyle name="Normal 15 6 2 2 2" xfId="7143" xr:uid="{00000000-0005-0000-0000-0000706B0000}"/>
    <cellStyle name="Normal 15 6 2 2 2 2" xfId="16911" xr:uid="{00000000-0005-0000-0000-0000716B0000}"/>
    <cellStyle name="Normal 15 6 2 2 2 2 2" xfId="30318" xr:uid="{00000000-0005-0000-0000-0000726B0000}"/>
    <cellStyle name="Normal 15 6 2 2 2 3" xfId="31459" xr:uid="{00000000-0005-0000-0000-0000736B0000}"/>
    <cellStyle name="Normal 15 6 2 2 3" xfId="11532" xr:uid="{00000000-0005-0000-0000-0000746B0000}"/>
    <cellStyle name="Normal 15 6 2 2 3 2" xfId="25364" xr:uid="{00000000-0005-0000-0000-0000756B0000}"/>
    <cellStyle name="Normal 15 6 2 2 4" xfId="31458" xr:uid="{00000000-0005-0000-0000-0000766B0000}"/>
    <cellStyle name="Normal 15 6 2 3" xfId="7144" xr:uid="{00000000-0005-0000-0000-0000776B0000}"/>
    <cellStyle name="Normal 15 6 2 3 2" xfId="12299" xr:uid="{00000000-0005-0000-0000-0000786B0000}"/>
    <cellStyle name="Normal 15 6 2 3 2 2" xfId="26011" xr:uid="{00000000-0005-0000-0000-0000796B0000}"/>
    <cellStyle name="Normal 15 6 2 3 3" xfId="31460" xr:uid="{00000000-0005-0000-0000-00007A6B0000}"/>
    <cellStyle name="Normal 15 6 2 4" xfId="7145" xr:uid="{00000000-0005-0000-0000-00007B6B0000}"/>
    <cellStyle name="Normal 15 6 2 4 2" xfId="13863" xr:uid="{00000000-0005-0000-0000-00007C6B0000}"/>
    <cellStyle name="Normal 15 6 2 4 2 2" xfId="27412" xr:uid="{00000000-0005-0000-0000-00007D6B0000}"/>
    <cellStyle name="Normal 15 6 2 4 3" xfId="31461" xr:uid="{00000000-0005-0000-0000-00007E6B0000}"/>
    <cellStyle name="Normal 15 6 2 5" xfId="7146" xr:uid="{00000000-0005-0000-0000-00007F6B0000}"/>
    <cellStyle name="Normal 15 6 2 5 2" xfId="14444" xr:uid="{00000000-0005-0000-0000-0000806B0000}"/>
    <cellStyle name="Normal 15 6 2 5 2 2" xfId="27993" xr:uid="{00000000-0005-0000-0000-0000816B0000}"/>
    <cellStyle name="Normal 15 6 2 5 3" xfId="31462" xr:uid="{00000000-0005-0000-0000-0000826B0000}"/>
    <cellStyle name="Normal 15 6 2 6" xfId="7147" xr:uid="{00000000-0005-0000-0000-0000836B0000}"/>
    <cellStyle name="Normal 15 6 2 6 2" xfId="16330" xr:uid="{00000000-0005-0000-0000-0000846B0000}"/>
    <cellStyle name="Normal 15 6 2 6 2 2" xfId="29737" xr:uid="{00000000-0005-0000-0000-0000856B0000}"/>
    <cellStyle name="Normal 15 6 2 6 3" xfId="31463" xr:uid="{00000000-0005-0000-0000-0000866B0000}"/>
    <cellStyle name="Normal 15 6 2 7" xfId="10157" xr:uid="{00000000-0005-0000-0000-0000876B0000}"/>
    <cellStyle name="Normal 15 6 2 7 2" xfId="24381" xr:uid="{00000000-0005-0000-0000-0000886B0000}"/>
    <cellStyle name="Normal 15 6 2 8" xfId="31457" xr:uid="{00000000-0005-0000-0000-0000896B0000}"/>
    <cellStyle name="Normal 15 6 3" xfId="7148" xr:uid="{00000000-0005-0000-0000-00008A6B0000}"/>
    <cellStyle name="Normal 15 6 3 2" xfId="7149" xr:uid="{00000000-0005-0000-0000-00008B6B0000}"/>
    <cellStyle name="Normal 15 6 3 2 2" xfId="16622" xr:uid="{00000000-0005-0000-0000-00008C6B0000}"/>
    <cellStyle name="Normal 15 6 3 2 2 2" xfId="30029" xr:uid="{00000000-0005-0000-0000-00008D6B0000}"/>
    <cellStyle name="Normal 15 6 3 2 3" xfId="31465" xr:uid="{00000000-0005-0000-0000-00008E6B0000}"/>
    <cellStyle name="Normal 15 6 3 3" xfId="11531" xr:uid="{00000000-0005-0000-0000-00008F6B0000}"/>
    <cellStyle name="Normal 15 6 3 3 2" xfId="25363" xr:uid="{00000000-0005-0000-0000-0000906B0000}"/>
    <cellStyle name="Normal 15 6 3 4" xfId="31464" xr:uid="{00000000-0005-0000-0000-0000916B0000}"/>
    <cellStyle name="Normal 15 6 4" xfId="7150" xr:uid="{00000000-0005-0000-0000-0000926B0000}"/>
    <cellStyle name="Normal 15 6 4 2" xfId="11999" xr:uid="{00000000-0005-0000-0000-0000936B0000}"/>
    <cellStyle name="Normal 15 6 4 2 2" xfId="25714" xr:uid="{00000000-0005-0000-0000-0000946B0000}"/>
    <cellStyle name="Normal 15 6 4 3" xfId="31466" xr:uid="{00000000-0005-0000-0000-0000956B0000}"/>
    <cellStyle name="Normal 15 6 5" xfId="7151" xr:uid="{00000000-0005-0000-0000-0000966B0000}"/>
    <cellStyle name="Normal 15 6 5 2" xfId="13574" xr:uid="{00000000-0005-0000-0000-0000976B0000}"/>
    <cellStyle name="Normal 15 6 5 2 2" xfId="27123" xr:uid="{00000000-0005-0000-0000-0000986B0000}"/>
    <cellStyle name="Normal 15 6 5 3" xfId="31467" xr:uid="{00000000-0005-0000-0000-0000996B0000}"/>
    <cellStyle name="Normal 15 6 6" xfId="7152" xr:uid="{00000000-0005-0000-0000-00009A6B0000}"/>
    <cellStyle name="Normal 15 6 6 2" xfId="14155" xr:uid="{00000000-0005-0000-0000-00009B6B0000}"/>
    <cellStyle name="Normal 15 6 6 2 2" xfId="27704" xr:uid="{00000000-0005-0000-0000-00009C6B0000}"/>
    <cellStyle name="Normal 15 6 6 3" xfId="31468" xr:uid="{00000000-0005-0000-0000-00009D6B0000}"/>
    <cellStyle name="Normal 15 6 7" xfId="7153" xr:uid="{00000000-0005-0000-0000-00009E6B0000}"/>
    <cellStyle name="Normal 15 6 7 2" xfId="16041" xr:uid="{00000000-0005-0000-0000-00009F6B0000}"/>
    <cellStyle name="Normal 15 6 7 2 2" xfId="29448" xr:uid="{00000000-0005-0000-0000-0000A06B0000}"/>
    <cellStyle name="Normal 15 6 7 3" xfId="31469" xr:uid="{00000000-0005-0000-0000-0000A16B0000}"/>
    <cellStyle name="Normal 15 6 8" xfId="10156" xr:uid="{00000000-0005-0000-0000-0000A26B0000}"/>
    <cellStyle name="Normal 15 6 8 2" xfId="24380" xr:uid="{00000000-0005-0000-0000-0000A36B0000}"/>
    <cellStyle name="Normal 15 6 9" xfId="31456" xr:uid="{00000000-0005-0000-0000-0000A46B0000}"/>
    <cellStyle name="Normal 15 7" xfId="7154" xr:uid="{00000000-0005-0000-0000-0000A56B0000}"/>
    <cellStyle name="Normal 15 7 2" xfId="7155" xr:uid="{00000000-0005-0000-0000-0000A66B0000}"/>
    <cellStyle name="Normal 15 7 2 2" xfId="7156" xr:uid="{00000000-0005-0000-0000-0000A76B0000}"/>
    <cellStyle name="Normal 15 7 2 2 2" xfId="16734" xr:uid="{00000000-0005-0000-0000-0000A86B0000}"/>
    <cellStyle name="Normal 15 7 2 2 2 2" xfId="30141" xr:uid="{00000000-0005-0000-0000-0000A96B0000}"/>
    <cellStyle name="Normal 15 7 2 2 3" xfId="31472" xr:uid="{00000000-0005-0000-0000-0000AA6B0000}"/>
    <cellStyle name="Normal 15 7 2 3" xfId="11533" xr:uid="{00000000-0005-0000-0000-0000AB6B0000}"/>
    <cellStyle name="Normal 15 7 2 3 2" xfId="25365" xr:uid="{00000000-0005-0000-0000-0000AC6B0000}"/>
    <cellStyle name="Normal 15 7 2 4" xfId="31471" xr:uid="{00000000-0005-0000-0000-0000AD6B0000}"/>
    <cellStyle name="Normal 15 7 3" xfId="7157" xr:uid="{00000000-0005-0000-0000-0000AE6B0000}"/>
    <cellStyle name="Normal 15 7 3 2" xfId="12122" xr:uid="{00000000-0005-0000-0000-0000AF6B0000}"/>
    <cellStyle name="Normal 15 7 3 2 2" xfId="25834" xr:uid="{00000000-0005-0000-0000-0000B06B0000}"/>
    <cellStyle name="Normal 15 7 3 3" xfId="31473" xr:uid="{00000000-0005-0000-0000-0000B16B0000}"/>
    <cellStyle name="Normal 15 7 4" xfId="7158" xr:uid="{00000000-0005-0000-0000-0000B26B0000}"/>
    <cellStyle name="Normal 15 7 4 2" xfId="13686" xr:uid="{00000000-0005-0000-0000-0000B36B0000}"/>
    <cellStyle name="Normal 15 7 4 2 2" xfId="27235" xr:uid="{00000000-0005-0000-0000-0000B46B0000}"/>
    <cellStyle name="Normal 15 7 4 3" xfId="31474" xr:uid="{00000000-0005-0000-0000-0000B56B0000}"/>
    <cellStyle name="Normal 15 7 5" xfId="7159" xr:uid="{00000000-0005-0000-0000-0000B66B0000}"/>
    <cellStyle name="Normal 15 7 5 2" xfId="14267" xr:uid="{00000000-0005-0000-0000-0000B76B0000}"/>
    <cellStyle name="Normal 15 7 5 2 2" xfId="27816" xr:uid="{00000000-0005-0000-0000-0000B86B0000}"/>
    <cellStyle name="Normal 15 7 5 3" xfId="31475" xr:uid="{00000000-0005-0000-0000-0000B96B0000}"/>
    <cellStyle name="Normal 15 7 6" xfId="7160" xr:uid="{00000000-0005-0000-0000-0000BA6B0000}"/>
    <cellStyle name="Normal 15 7 6 2" xfId="16153" xr:uid="{00000000-0005-0000-0000-0000BB6B0000}"/>
    <cellStyle name="Normal 15 7 6 2 2" xfId="29560" xr:uid="{00000000-0005-0000-0000-0000BC6B0000}"/>
    <cellStyle name="Normal 15 7 6 3" xfId="31476" xr:uid="{00000000-0005-0000-0000-0000BD6B0000}"/>
    <cellStyle name="Normal 15 7 7" xfId="10158" xr:uid="{00000000-0005-0000-0000-0000BE6B0000}"/>
    <cellStyle name="Normal 15 7 7 2" xfId="24382" xr:uid="{00000000-0005-0000-0000-0000BF6B0000}"/>
    <cellStyle name="Normal 15 7 8" xfId="31470" xr:uid="{00000000-0005-0000-0000-0000C06B0000}"/>
    <cellStyle name="Normal 15 8" xfId="7161" xr:uid="{00000000-0005-0000-0000-0000C16B0000}"/>
    <cellStyle name="Normal 15 8 2" xfId="7162" xr:uid="{00000000-0005-0000-0000-0000C26B0000}"/>
    <cellStyle name="Normal 15 8 2 2" xfId="11534" xr:uid="{00000000-0005-0000-0000-0000C36B0000}"/>
    <cellStyle name="Normal 15 8 2 2 2" xfId="25366" xr:uid="{00000000-0005-0000-0000-0000C46B0000}"/>
    <cellStyle name="Normal 15 8 2 3" xfId="31478" xr:uid="{00000000-0005-0000-0000-0000C56B0000}"/>
    <cellStyle name="Normal 15 8 3" xfId="7163" xr:uid="{00000000-0005-0000-0000-0000C66B0000}"/>
    <cellStyle name="Normal 15 8 3 2" xfId="13244" xr:uid="{00000000-0005-0000-0000-0000C76B0000}"/>
    <cellStyle name="Normal 15 8 3 2 2" xfId="26888" xr:uid="{00000000-0005-0000-0000-0000C86B0000}"/>
    <cellStyle name="Normal 15 8 3 3" xfId="31479" xr:uid="{00000000-0005-0000-0000-0000C96B0000}"/>
    <cellStyle name="Normal 15 8 4" xfId="7164" xr:uid="{00000000-0005-0000-0000-0000CA6B0000}"/>
    <cellStyle name="Normal 15 8 4 2" xfId="15694" xr:uid="{00000000-0005-0000-0000-0000CB6B0000}"/>
    <cellStyle name="Normal 15 8 4 2 2" xfId="29180" xr:uid="{00000000-0005-0000-0000-0000CC6B0000}"/>
    <cellStyle name="Normal 15 8 4 3" xfId="31480" xr:uid="{00000000-0005-0000-0000-0000CD6B0000}"/>
    <cellStyle name="Normal 15 8 5" xfId="7165" xr:uid="{00000000-0005-0000-0000-0000CE6B0000}"/>
    <cellStyle name="Normal 15 8 5 2" xfId="17115" xr:uid="{00000000-0005-0000-0000-0000CF6B0000}"/>
    <cellStyle name="Normal 15 8 5 2 2" xfId="30474" xr:uid="{00000000-0005-0000-0000-0000D06B0000}"/>
    <cellStyle name="Normal 15 8 5 3" xfId="31481" xr:uid="{00000000-0005-0000-0000-0000D16B0000}"/>
    <cellStyle name="Normal 15 8 6" xfId="10159" xr:uid="{00000000-0005-0000-0000-0000D26B0000}"/>
    <cellStyle name="Normal 15 8 6 2" xfId="24383" xr:uid="{00000000-0005-0000-0000-0000D36B0000}"/>
    <cellStyle name="Normal 15 8 7" xfId="31477" xr:uid="{00000000-0005-0000-0000-0000D46B0000}"/>
    <cellStyle name="Normal 15 9" xfId="7166" xr:uid="{00000000-0005-0000-0000-0000D56B0000}"/>
    <cellStyle name="Normal 15 9 2" xfId="7167" xr:uid="{00000000-0005-0000-0000-0000D66B0000}"/>
    <cellStyle name="Normal 15 9 2 2" xfId="13245" xr:uid="{00000000-0005-0000-0000-0000D76B0000}"/>
    <cellStyle name="Normal 15 9 2 3" xfId="31483" xr:uid="{00000000-0005-0000-0000-0000D86B0000}"/>
    <cellStyle name="Normal 15 9 3" xfId="7168" xr:uid="{00000000-0005-0000-0000-0000D96B0000}"/>
    <cellStyle name="Normal 15 9 3 2" xfId="17204" xr:uid="{00000000-0005-0000-0000-0000DA6B0000}"/>
    <cellStyle name="Normal 15 9 3 2 2" xfId="30563" xr:uid="{00000000-0005-0000-0000-0000DB6B0000}"/>
    <cellStyle name="Normal 15 9 3 3" xfId="31484" xr:uid="{00000000-0005-0000-0000-0000DC6B0000}"/>
    <cellStyle name="Normal 15 9 4" xfId="11830" xr:uid="{00000000-0005-0000-0000-0000DD6B0000}"/>
    <cellStyle name="Normal 15 9 4 2" xfId="25545" xr:uid="{00000000-0005-0000-0000-0000DE6B0000}"/>
    <cellStyle name="Normal 15 9 5" xfId="31482" xr:uid="{00000000-0005-0000-0000-0000DF6B0000}"/>
    <cellStyle name="Normal 16" xfId="7169" xr:uid="{00000000-0005-0000-0000-0000E06B0000}"/>
    <cellStyle name="Normal 16 10" xfId="10160" xr:uid="{00000000-0005-0000-0000-0000E16B0000}"/>
    <cellStyle name="Normal 16 10 2" xfId="24384" xr:uid="{00000000-0005-0000-0000-0000E26B0000}"/>
    <cellStyle name="Normal 16 11" xfId="31485" xr:uid="{00000000-0005-0000-0000-0000E36B0000}"/>
    <cellStyle name="Normal 16 2" xfId="7170" xr:uid="{00000000-0005-0000-0000-0000E46B0000}"/>
    <cellStyle name="Normal 16 2 10" xfId="31486" xr:uid="{00000000-0005-0000-0000-0000E56B0000}"/>
    <cellStyle name="Normal 16 2 2" xfId="7171" xr:uid="{00000000-0005-0000-0000-0000E66B0000}"/>
    <cellStyle name="Normal 16 2 2 2" xfId="7172" xr:uid="{00000000-0005-0000-0000-0000E76B0000}"/>
    <cellStyle name="Normal 16 2 2 2 2" xfId="7173" xr:uid="{00000000-0005-0000-0000-0000E86B0000}"/>
    <cellStyle name="Normal 16 2 2 2 2 2" xfId="7174" xr:uid="{00000000-0005-0000-0000-0000E96B0000}"/>
    <cellStyle name="Normal 16 2 2 2 2 2 2" xfId="16958" xr:uid="{00000000-0005-0000-0000-0000EA6B0000}"/>
    <cellStyle name="Normal 16 2 2 2 2 2 2 2" xfId="30365" xr:uid="{00000000-0005-0000-0000-0000EB6B0000}"/>
    <cellStyle name="Normal 16 2 2 2 2 2 3" xfId="31490" xr:uid="{00000000-0005-0000-0000-0000EC6B0000}"/>
    <cellStyle name="Normal 16 2 2 2 2 3" xfId="11538" xr:uid="{00000000-0005-0000-0000-0000ED6B0000}"/>
    <cellStyle name="Normal 16 2 2 2 2 3 2" xfId="25370" xr:uid="{00000000-0005-0000-0000-0000EE6B0000}"/>
    <cellStyle name="Normal 16 2 2 2 2 4" xfId="31489" xr:uid="{00000000-0005-0000-0000-0000EF6B0000}"/>
    <cellStyle name="Normal 16 2 2 2 3" xfId="7175" xr:uid="{00000000-0005-0000-0000-0000F06B0000}"/>
    <cellStyle name="Normal 16 2 2 2 3 2" xfId="12346" xr:uid="{00000000-0005-0000-0000-0000F16B0000}"/>
    <cellStyle name="Normal 16 2 2 2 3 2 2" xfId="26058" xr:uid="{00000000-0005-0000-0000-0000F26B0000}"/>
    <cellStyle name="Normal 16 2 2 2 3 3" xfId="31491" xr:uid="{00000000-0005-0000-0000-0000F36B0000}"/>
    <cellStyle name="Normal 16 2 2 2 4" xfId="7176" xr:uid="{00000000-0005-0000-0000-0000F46B0000}"/>
    <cellStyle name="Normal 16 2 2 2 4 2" xfId="13910" xr:uid="{00000000-0005-0000-0000-0000F56B0000}"/>
    <cellStyle name="Normal 16 2 2 2 4 2 2" xfId="27459" xr:uid="{00000000-0005-0000-0000-0000F66B0000}"/>
    <cellStyle name="Normal 16 2 2 2 4 3" xfId="31492" xr:uid="{00000000-0005-0000-0000-0000F76B0000}"/>
    <cellStyle name="Normal 16 2 2 2 5" xfId="7177" xr:uid="{00000000-0005-0000-0000-0000F86B0000}"/>
    <cellStyle name="Normal 16 2 2 2 5 2" xfId="14491" xr:uid="{00000000-0005-0000-0000-0000F96B0000}"/>
    <cellStyle name="Normal 16 2 2 2 5 2 2" xfId="28040" xr:uid="{00000000-0005-0000-0000-0000FA6B0000}"/>
    <cellStyle name="Normal 16 2 2 2 5 3" xfId="31493" xr:uid="{00000000-0005-0000-0000-0000FB6B0000}"/>
    <cellStyle name="Normal 16 2 2 2 6" xfId="7178" xr:uid="{00000000-0005-0000-0000-0000FC6B0000}"/>
    <cellStyle name="Normal 16 2 2 2 6 2" xfId="16377" xr:uid="{00000000-0005-0000-0000-0000FD6B0000}"/>
    <cellStyle name="Normal 16 2 2 2 6 2 2" xfId="29784" xr:uid="{00000000-0005-0000-0000-0000FE6B0000}"/>
    <cellStyle name="Normal 16 2 2 2 6 3" xfId="31494" xr:uid="{00000000-0005-0000-0000-0000FF6B0000}"/>
    <cellStyle name="Normal 16 2 2 2 7" xfId="10163" xr:uid="{00000000-0005-0000-0000-0000006C0000}"/>
    <cellStyle name="Normal 16 2 2 2 7 2" xfId="24387" xr:uid="{00000000-0005-0000-0000-0000016C0000}"/>
    <cellStyle name="Normal 16 2 2 2 8" xfId="31488" xr:uid="{00000000-0005-0000-0000-0000026C0000}"/>
    <cellStyle name="Normal 16 2 2 3" xfId="7179" xr:uid="{00000000-0005-0000-0000-0000036C0000}"/>
    <cellStyle name="Normal 16 2 2 3 2" xfId="7180" xr:uid="{00000000-0005-0000-0000-0000046C0000}"/>
    <cellStyle name="Normal 16 2 2 3 2 2" xfId="16669" xr:uid="{00000000-0005-0000-0000-0000056C0000}"/>
    <cellStyle name="Normal 16 2 2 3 2 2 2" xfId="30076" xr:uid="{00000000-0005-0000-0000-0000066C0000}"/>
    <cellStyle name="Normal 16 2 2 3 2 3" xfId="31496" xr:uid="{00000000-0005-0000-0000-0000076C0000}"/>
    <cellStyle name="Normal 16 2 2 3 3" xfId="11537" xr:uid="{00000000-0005-0000-0000-0000086C0000}"/>
    <cellStyle name="Normal 16 2 2 3 3 2" xfId="25369" xr:uid="{00000000-0005-0000-0000-0000096C0000}"/>
    <cellStyle name="Normal 16 2 2 3 4" xfId="31495" xr:uid="{00000000-0005-0000-0000-00000A6C0000}"/>
    <cellStyle name="Normal 16 2 2 4" xfId="7181" xr:uid="{00000000-0005-0000-0000-00000B6C0000}"/>
    <cellStyle name="Normal 16 2 2 4 2" xfId="12046" xr:uid="{00000000-0005-0000-0000-00000C6C0000}"/>
    <cellStyle name="Normal 16 2 2 4 2 2" xfId="25761" xr:uid="{00000000-0005-0000-0000-00000D6C0000}"/>
    <cellStyle name="Normal 16 2 2 4 3" xfId="31497" xr:uid="{00000000-0005-0000-0000-00000E6C0000}"/>
    <cellStyle name="Normal 16 2 2 5" xfId="7182" xr:uid="{00000000-0005-0000-0000-00000F6C0000}"/>
    <cellStyle name="Normal 16 2 2 5 2" xfId="13621" xr:uid="{00000000-0005-0000-0000-0000106C0000}"/>
    <cellStyle name="Normal 16 2 2 5 2 2" xfId="27170" xr:uid="{00000000-0005-0000-0000-0000116C0000}"/>
    <cellStyle name="Normal 16 2 2 5 3" xfId="31498" xr:uid="{00000000-0005-0000-0000-0000126C0000}"/>
    <cellStyle name="Normal 16 2 2 6" xfId="7183" xr:uid="{00000000-0005-0000-0000-0000136C0000}"/>
    <cellStyle name="Normal 16 2 2 6 2" xfId="14202" xr:uid="{00000000-0005-0000-0000-0000146C0000}"/>
    <cellStyle name="Normal 16 2 2 6 2 2" xfId="27751" xr:uid="{00000000-0005-0000-0000-0000156C0000}"/>
    <cellStyle name="Normal 16 2 2 6 3" xfId="31499" xr:uid="{00000000-0005-0000-0000-0000166C0000}"/>
    <cellStyle name="Normal 16 2 2 7" xfId="7184" xr:uid="{00000000-0005-0000-0000-0000176C0000}"/>
    <cellStyle name="Normal 16 2 2 7 2" xfId="16088" xr:uid="{00000000-0005-0000-0000-0000186C0000}"/>
    <cellStyle name="Normal 16 2 2 7 2 2" xfId="29495" xr:uid="{00000000-0005-0000-0000-0000196C0000}"/>
    <cellStyle name="Normal 16 2 2 7 3" xfId="31500" xr:uid="{00000000-0005-0000-0000-00001A6C0000}"/>
    <cellStyle name="Normal 16 2 2 8" xfId="10162" xr:uid="{00000000-0005-0000-0000-00001B6C0000}"/>
    <cellStyle name="Normal 16 2 2 8 2" xfId="24386" xr:uid="{00000000-0005-0000-0000-00001C6C0000}"/>
    <cellStyle name="Normal 16 2 2 9" xfId="31487" xr:uid="{00000000-0005-0000-0000-00001D6C0000}"/>
    <cellStyle name="Normal 16 2 3" xfId="7185" xr:uid="{00000000-0005-0000-0000-00001E6C0000}"/>
    <cellStyle name="Normal 16 2 3 2" xfId="7186" xr:uid="{00000000-0005-0000-0000-00001F6C0000}"/>
    <cellStyle name="Normal 16 2 3 2 2" xfId="7187" xr:uid="{00000000-0005-0000-0000-0000206C0000}"/>
    <cellStyle name="Normal 16 2 3 2 2 2" xfId="16815" xr:uid="{00000000-0005-0000-0000-0000216C0000}"/>
    <cellStyle name="Normal 16 2 3 2 2 2 2" xfId="30222" xr:uid="{00000000-0005-0000-0000-0000226C0000}"/>
    <cellStyle name="Normal 16 2 3 2 2 3" xfId="31503" xr:uid="{00000000-0005-0000-0000-0000236C0000}"/>
    <cellStyle name="Normal 16 2 3 2 3" xfId="11539" xr:uid="{00000000-0005-0000-0000-0000246C0000}"/>
    <cellStyle name="Normal 16 2 3 2 3 2" xfId="25371" xr:uid="{00000000-0005-0000-0000-0000256C0000}"/>
    <cellStyle name="Normal 16 2 3 2 4" xfId="31502" xr:uid="{00000000-0005-0000-0000-0000266C0000}"/>
    <cellStyle name="Normal 16 2 3 3" xfId="7188" xr:uid="{00000000-0005-0000-0000-0000276C0000}"/>
    <cellStyle name="Normal 16 2 3 3 2" xfId="12203" xr:uid="{00000000-0005-0000-0000-0000286C0000}"/>
    <cellStyle name="Normal 16 2 3 3 2 2" xfId="25915" xr:uid="{00000000-0005-0000-0000-0000296C0000}"/>
    <cellStyle name="Normal 16 2 3 3 3" xfId="31504" xr:uid="{00000000-0005-0000-0000-00002A6C0000}"/>
    <cellStyle name="Normal 16 2 3 4" xfId="7189" xr:uid="{00000000-0005-0000-0000-00002B6C0000}"/>
    <cellStyle name="Normal 16 2 3 4 2" xfId="13767" xr:uid="{00000000-0005-0000-0000-00002C6C0000}"/>
    <cellStyle name="Normal 16 2 3 4 2 2" xfId="27316" xr:uid="{00000000-0005-0000-0000-00002D6C0000}"/>
    <cellStyle name="Normal 16 2 3 4 3" xfId="31505" xr:uid="{00000000-0005-0000-0000-00002E6C0000}"/>
    <cellStyle name="Normal 16 2 3 5" xfId="7190" xr:uid="{00000000-0005-0000-0000-00002F6C0000}"/>
    <cellStyle name="Normal 16 2 3 5 2" xfId="14348" xr:uid="{00000000-0005-0000-0000-0000306C0000}"/>
    <cellStyle name="Normal 16 2 3 5 2 2" xfId="27897" xr:uid="{00000000-0005-0000-0000-0000316C0000}"/>
    <cellStyle name="Normal 16 2 3 5 3" xfId="31506" xr:uid="{00000000-0005-0000-0000-0000326C0000}"/>
    <cellStyle name="Normal 16 2 3 6" xfId="7191" xr:uid="{00000000-0005-0000-0000-0000336C0000}"/>
    <cellStyle name="Normal 16 2 3 6 2" xfId="16234" xr:uid="{00000000-0005-0000-0000-0000346C0000}"/>
    <cellStyle name="Normal 16 2 3 6 2 2" xfId="29641" xr:uid="{00000000-0005-0000-0000-0000356C0000}"/>
    <cellStyle name="Normal 16 2 3 6 3" xfId="31507" xr:uid="{00000000-0005-0000-0000-0000366C0000}"/>
    <cellStyle name="Normal 16 2 3 7" xfId="10164" xr:uid="{00000000-0005-0000-0000-0000376C0000}"/>
    <cellStyle name="Normal 16 2 3 7 2" xfId="24388" xr:uid="{00000000-0005-0000-0000-0000386C0000}"/>
    <cellStyle name="Normal 16 2 3 8" xfId="31501" xr:uid="{00000000-0005-0000-0000-0000396C0000}"/>
    <cellStyle name="Normal 16 2 4" xfId="7192" xr:uid="{00000000-0005-0000-0000-00003A6C0000}"/>
    <cellStyle name="Normal 16 2 4 2" xfId="7193" xr:uid="{00000000-0005-0000-0000-00003B6C0000}"/>
    <cellStyle name="Normal 16 2 4 2 2" xfId="17162" xr:uid="{00000000-0005-0000-0000-00003C6C0000}"/>
    <cellStyle name="Normal 16 2 4 2 2 2" xfId="30521" xr:uid="{00000000-0005-0000-0000-00003D6C0000}"/>
    <cellStyle name="Normal 16 2 4 2 3" xfId="31509" xr:uid="{00000000-0005-0000-0000-00003E6C0000}"/>
    <cellStyle name="Normal 16 2 4 3" xfId="11536" xr:uid="{00000000-0005-0000-0000-00003F6C0000}"/>
    <cellStyle name="Normal 16 2 4 3 2" xfId="25368" xr:uid="{00000000-0005-0000-0000-0000406C0000}"/>
    <cellStyle name="Normal 16 2 4 4" xfId="31508" xr:uid="{00000000-0005-0000-0000-0000416C0000}"/>
    <cellStyle name="Normal 16 2 5" xfId="7194" xr:uid="{00000000-0005-0000-0000-0000426C0000}"/>
    <cellStyle name="Normal 16 2 5 2" xfId="7195" xr:uid="{00000000-0005-0000-0000-0000436C0000}"/>
    <cellStyle name="Normal 16 2 5 2 2" xfId="17251" xr:uid="{00000000-0005-0000-0000-0000446C0000}"/>
    <cellStyle name="Normal 16 2 5 2 2 2" xfId="30610" xr:uid="{00000000-0005-0000-0000-0000456C0000}"/>
    <cellStyle name="Normal 16 2 5 2 3" xfId="31511" xr:uid="{00000000-0005-0000-0000-0000466C0000}"/>
    <cellStyle name="Normal 16 2 5 3" xfId="11901" xr:uid="{00000000-0005-0000-0000-0000476C0000}"/>
    <cellStyle name="Normal 16 2 5 3 2" xfId="25616" xr:uid="{00000000-0005-0000-0000-0000486C0000}"/>
    <cellStyle name="Normal 16 2 5 4" xfId="31510" xr:uid="{00000000-0005-0000-0000-0000496C0000}"/>
    <cellStyle name="Normal 16 2 6" xfId="7196" xr:uid="{00000000-0005-0000-0000-00004A6C0000}"/>
    <cellStyle name="Normal 16 2 6 2" xfId="7197" xr:uid="{00000000-0005-0000-0000-00004B6C0000}"/>
    <cellStyle name="Normal 16 2 6 2 2" xfId="16526" xr:uid="{00000000-0005-0000-0000-00004C6C0000}"/>
    <cellStyle name="Normal 16 2 6 2 2 2" xfId="29933" xr:uid="{00000000-0005-0000-0000-00004D6C0000}"/>
    <cellStyle name="Normal 16 2 6 2 3" xfId="31513" xr:uid="{00000000-0005-0000-0000-00004E6C0000}"/>
    <cellStyle name="Normal 16 2 6 3" xfId="13478" xr:uid="{00000000-0005-0000-0000-00004F6C0000}"/>
    <cellStyle name="Normal 16 2 6 3 2" xfId="27027" xr:uid="{00000000-0005-0000-0000-0000506C0000}"/>
    <cellStyle name="Normal 16 2 6 4" xfId="31512" xr:uid="{00000000-0005-0000-0000-0000516C0000}"/>
    <cellStyle name="Normal 16 2 7" xfId="7198" xr:uid="{00000000-0005-0000-0000-0000526C0000}"/>
    <cellStyle name="Normal 16 2 7 2" xfId="14059" xr:uid="{00000000-0005-0000-0000-0000536C0000}"/>
    <cellStyle name="Normal 16 2 7 2 2" xfId="27608" xr:uid="{00000000-0005-0000-0000-0000546C0000}"/>
    <cellStyle name="Normal 16 2 7 3" xfId="31514" xr:uid="{00000000-0005-0000-0000-0000556C0000}"/>
    <cellStyle name="Normal 16 2 8" xfId="7199" xr:uid="{00000000-0005-0000-0000-0000566C0000}"/>
    <cellStyle name="Normal 16 2 8 2" xfId="15945" xr:uid="{00000000-0005-0000-0000-0000576C0000}"/>
    <cellStyle name="Normal 16 2 8 2 2" xfId="29352" xr:uid="{00000000-0005-0000-0000-0000586C0000}"/>
    <cellStyle name="Normal 16 2 8 3" xfId="31515" xr:uid="{00000000-0005-0000-0000-0000596C0000}"/>
    <cellStyle name="Normal 16 2 9" xfId="10161" xr:uid="{00000000-0005-0000-0000-00005A6C0000}"/>
    <cellStyle name="Normal 16 2 9 2" xfId="24385" xr:uid="{00000000-0005-0000-0000-00005B6C0000}"/>
    <cellStyle name="Normal 16 3" xfId="7200" xr:uid="{00000000-0005-0000-0000-00005C6C0000}"/>
    <cellStyle name="Normal 16 3 2" xfId="7201" xr:uid="{00000000-0005-0000-0000-00005D6C0000}"/>
    <cellStyle name="Normal 16 3 2 2" xfId="7202" xr:uid="{00000000-0005-0000-0000-00005E6C0000}"/>
    <cellStyle name="Normal 16 3 2 2 2" xfId="7203" xr:uid="{00000000-0005-0000-0000-00005F6C0000}"/>
    <cellStyle name="Normal 16 3 2 2 2 2" xfId="16912" xr:uid="{00000000-0005-0000-0000-0000606C0000}"/>
    <cellStyle name="Normal 16 3 2 2 2 2 2" xfId="30319" xr:uid="{00000000-0005-0000-0000-0000616C0000}"/>
    <cellStyle name="Normal 16 3 2 2 2 3" xfId="31519" xr:uid="{00000000-0005-0000-0000-0000626C0000}"/>
    <cellStyle name="Normal 16 3 2 2 3" xfId="11541" xr:uid="{00000000-0005-0000-0000-0000636C0000}"/>
    <cellStyle name="Normal 16 3 2 2 3 2" xfId="25373" xr:uid="{00000000-0005-0000-0000-0000646C0000}"/>
    <cellStyle name="Normal 16 3 2 2 4" xfId="31518" xr:uid="{00000000-0005-0000-0000-0000656C0000}"/>
    <cellStyle name="Normal 16 3 2 3" xfId="7204" xr:uid="{00000000-0005-0000-0000-0000666C0000}"/>
    <cellStyle name="Normal 16 3 2 3 2" xfId="12300" xr:uid="{00000000-0005-0000-0000-0000676C0000}"/>
    <cellStyle name="Normal 16 3 2 3 2 2" xfId="26012" xr:uid="{00000000-0005-0000-0000-0000686C0000}"/>
    <cellStyle name="Normal 16 3 2 3 3" xfId="31520" xr:uid="{00000000-0005-0000-0000-0000696C0000}"/>
    <cellStyle name="Normal 16 3 2 4" xfId="7205" xr:uid="{00000000-0005-0000-0000-00006A6C0000}"/>
    <cellStyle name="Normal 16 3 2 4 2" xfId="13864" xr:uid="{00000000-0005-0000-0000-00006B6C0000}"/>
    <cellStyle name="Normal 16 3 2 4 2 2" xfId="27413" xr:uid="{00000000-0005-0000-0000-00006C6C0000}"/>
    <cellStyle name="Normal 16 3 2 4 3" xfId="31521" xr:uid="{00000000-0005-0000-0000-00006D6C0000}"/>
    <cellStyle name="Normal 16 3 2 5" xfId="7206" xr:uid="{00000000-0005-0000-0000-00006E6C0000}"/>
    <cellStyle name="Normal 16 3 2 5 2" xfId="14445" xr:uid="{00000000-0005-0000-0000-00006F6C0000}"/>
    <cellStyle name="Normal 16 3 2 5 2 2" xfId="27994" xr:uid="{00000000-0005-0000-0000-0000706C0000}"/>
    <cellStyle name="Normal 16 3 2 5 3" xfId="31522" xr:uid="{00000000-0005-0000-0000-0000716C0000}"/>
    <cellStyle name="Normal 16 3 2 6" xfId="7207" xr:uid="{00000000-0005-0000-0000-0000726C0000}"/>
    <cellStyle name="Normal 16 3 2 6 2" xfId="16331" xr:uid="{00000000-0005-0000-0000-0000736C0000}"/>
    <cellStyle name="Normal 16 3 2 6 2 2" xfId="29738" xr:uid="{00000000-0005-0000-0000-0000746C0000}"/>
    <cellStyle name="Normal 16 3 2 6 3" xfId="31523" xr:uid="{00000000-0005-0000-0000-0000756C0000}"/>
    <cellStyle name="Normal 16 3 2 7" xfId="10166" xr:uid="{00000000-0005-0000-0000-0000766C0000}"/>
    <cellStyle name="Normal 16 3 2 7 2" xfId="24390" xr:uid="{00000000-0005-0000-0000-0000776C0000}"/>
    <cellStyle name="Normal 16 3 2 8" xfId="31517" xr:uid="{00000000-0005-0000-0000-0000786C0000}"/>
    <cellStyle name="Normal 16 3 3" xfId="7208" xr:uid="{00000000-0005-0000-0000-0000796C0000}"/>
    <cellStyle name="Normal 16 3 3 2" xfId="7209" xr:uid="{00000000-0005-0000-0000-00007A6C0000}"/>
    <cellStyle name="Normal 16 3 3 2 2" xfId="16623" xr:uid="{00000000-0005-0000-0000-00007B6C0000}"/>
    <cellStyle name="Normal 16 3 3 2 2 2" xfId="30030" xr:uid="{00000000-0005-0000-0000-00007C6C0000}"/>
    <cellStyle name="Normal 16 3 3 2 3" xfId="31525" xr:uid="{00000000-0005-0000-0000-00007D6C0000}"/>
    <cellStyle name="Normal 16 3 3 3" xfId="11540" xr:uid="{00000000-0005-0000-0000-00007E6C0000}"/>
    <cellStyle name="Normal 16 3 3 3 2" xfId="25372" xr:uid="{00000000-0005-0000-0000-00007F6C0000}"/>
    <cellStyle name="Normal 16 3 3 4" xfId="31524" xr:uid="{00000000-0005-0000-0000-0000806C0000}"/>
    <cellStyle name="Normal 16 3 4" xfId="7210" xr:uid="{00000000-0005-0000-0000-0000816C0000}"/>
    <cellStyle name="Normal 16 3 4 2" xfId="12000" xr:uid="{00000000-0005-0000-0000-0000826C0000}"/>
    <cellStyle name="Normal 16 3 4 2 2" xfId="25715" xr:uid="{00000000-0005-0000-0000-0000836C0000}"/>
    <cellStyle name="Normal 16 3 4 3" xfId="31526" xr:uid="{00000000-0005-0000-0000-0000846C0000}"/>
    <cellStyle name="Normal 16 3 5" xfId="7211" xr:uid="{00000000-0005-0000-0000-0000856C0000}"/>
    <cellStyle name="Normal 16 3 5 2" xfId="13575" xr:uid="{00000000-0005-0000-0000-0000866C0000}"/>
    <cellStyle name="Normal 16 3 5 2 2" xfId="27124" xr:uid="{00000000-0005-0000-0000-0000876C0000}"/>
    <cellStyle name="Normal 16 3 5 3" xfId="31527" xr:uid="{00000000-0005-0000-0000-0000886C0000}"/>
    <cellStyle name="Normal 16 3 6" xfId="7212" xr:uid="{00000000-0005-0000-0000-0000896C0000}"/>
    <cellStyle name="Normal 16 3 6 2" xfId="14156" xr:uid="{00000000-0005-0000-0000-00008A6C0000}"/>
    <cellStyle name="Normal 16 3 6 2 2" xfId="27705" xr:uid="{00000000-0005-0000-0000-00008B6C0000}"/>
    <cellStyle name="Normal 16 3 6 3" xfId="31528" xr:uid="{00000000-0005-0000-0000-00008C6C0000}"/>
    <cellStyle name="Normal 16 3 7" xfId="7213" xr:uid="{00000000-0005-0000-0000-00008D6C0000}"/>
    <cellStyle name="Normal 16 3 7 2" xfId="16042" xr:uid="{00000000-0005-0000-0000-00008E6C0000}"/>
    <cellStyle name="Normal 16 3 7 2 2" xfId="29449" xr:uid="{00000000-0005-0000-0000-00008F6C0000}"/>
    <cellStyle name="Normal 16 3 7 3" xfId="31529" xr:uid="{00000000-0005-0000-0000-0000906C0000}"/>
    <cellStyle name="Normal 16 3 8" xfId="10165" xr:uid="{00000000-0005-0000-0000-0000916C0000}"/>
    <cellStyle name="Normal 16 3 8 2" xfId="24389" xr:uid="{00000000-0005-0000-0000-0000926C0000}"/>
    <cellStyle name="Normal 16 3 9" xfId="31516" xr:uid="{00000000-0005-0000-0000-0000936C0000}"/>
    <cellStyle name="Normal 16 4" xfId="7214" xr:uid="{00000000-0005-0000-0000-0000946C0000}"/>
    <cellStyle name="Normal 16 4 2" xfId="7215" xr:uid="{00000000-0005-0000-0000-0000956C0000}"/>
    <cellStyle name="Normal 16 4 2 2" xfId="7216" xr:uid="{00000000-0005-0000-0000-0000966C0000}"/>
    <cellStyle name="Normal 16 4 2 2 2" xfId="16769" xr:uid="{00000000-0005-0000-0000-0000976C0000}"/>
    <cellStyle name="Normal 16 4 2 2 2 2" xfId="30176" xr:uid="{00000000-0005-0000-0000-0000986C0000}"/>
    <cellStyle name="Normal 16 4 2 2 3" xfId="31532" xr:uid="{00000000-0005-0000-0000-0000996C0000}"/>
    <cellStyle name="Normal 16 4 2 3" xfId="11542" xr:uid="{00000000-0005-0000-0000-00009A6C0000}"/>
    <cellStyle name="Normal 16 4 2 3 2" xfId="25374" xr:uid="{00000000-0005-0000-0000-00009B6C0000}"/>
    <cellStyle name="Normal 16 4 2 4" xfId="31531" xr:uid="{00000000-0005-0000-0000-00009C6C0000}"/>
    <cellStyle name="Normal 16 4 3" xfId="7217" xr:uid="{00000000-0005-0000-0000-00009D6C0000}"/>
    <cellStyle name="Normal 16 4 3 2" xfId="12157" xr:uid="{00000000-0005-0000-0000-00009E6C0000}"/>
    <cellStyle name="Normal 16 4 3 2 2" xfId="25869" xr:uid="{00000000-0005-0000-0000-00009F6C0000}"/>
    <cellStyle name="Normal 16 4 3 3" xfId="31533" xr:uid="{00000000-0005-0000-0000-0000A06C0000}"/>
    <cellStyle name="Normal 16 4 4" xfId="7218" xr:uid="{00000000-0005-0000-0000-0000A16C0000}"/>
    <cellStyle name="Normal 16 4 4 2" xfId="13721" xr:uid="{00000000-0005-0000-0000-0000A26C0000}"/>
    <cellStyle name="Normal 16 4 4 2 2" xfId="27270" xr:uid="{00000000-0005-0000-0000-0000A36C0000}"/>
    <cellStyle name="Normal 16 4 4 3" xfId="31534" xr:uid="{00000000-0005-0000-0000-0000A46C0000}"/>
    <cellStyle name="Normal 16 4 5" xfId="7219" xr:uid="{00000000-0005-0000-0000-0000A56C0000}"/>
    <cellStyle name="Normal 16 4 5 2" xfId="14302" xr:uid="{00000000-0005-0000-0000-0000A66C0000}"/>
    <cellStyle name="Normal 16 4 5 2 2" xfId="27851" xr:uid="{00000000-0005-0000-0000-0000A76C0000}"/>
    <cellStyle name="Normal 16 4 5 3" xfId="31535" xr:uid="{00000000-0005-0000-0000-0000A86C0000}"/>
    <cellStyle name="Normal 16 4 6" xfId="7220" xr:uid="{00000000-0005-0000-0000-0000A96C0000}"/>
    <cellStyle name="Normal 16 4 6 2" xfId="16188" xr:uid="{00000000-0005-0000-0000-0000AA6C0000}"/>
    <cellStyle name="Normal 16 4 6 2 2" xfId="29595" xr:uid="{00000000-0005-0000-0000-0000AB6C0000}"/>
    <cellStyle name="Normal 16 4 6 3" xfId="31536" xr:uid="{00000000-0005-0000-0000-0000AC6C0000}"/>
    <cellStyle name="Normal 16 4 7" xfId="10167" xr:uid="{00000000-0005-0000-0000-0000AD6C0000}"/>
    <cellStyle name="Normal 16 4 7 2" xfId="24391" xr:uid="{00000000-0005-0000-0000-0000AE6C0000}"/>
    <cellStyle name="Normal 16 4 8" xfId="31530" xr:uid="{00000000-0005-0000-0000-0000AF6C0000}"/>
    <cellStyle name="Normal 16 5" xfId="7221" xr:uid="{00000000-0005-0000-0000-0000B06C0000}"/>
    <cellStyle name="Normal 16 5 2" xfId="7222" xr:uid="{00000000-0005-0000-0000-0000B16C0000}"/>
    <cellStyle name="Normal 16 5 2 2" xfId="17116" xr:uid="{00000000-0005-0000-0000-0000B26C0000}"/>
    <cellStyle name="Normal 16 5 2 2 2" xfId="30475" xr:uid="{00000000-0005-0000-0000-0000B36C0000}"/>
    <cellStyle name="Normal 16 5 2 3" xfId="31538" xr:uid="{00000000-0005-0000-0000-0000B46C0000}"/>
    <cellStyle name="Normal 16 5 3" xfId="11535" xr:uid="{00000000-0005-0000-0000-0000B56C0000}"/>
    <cellStyle name="Normal 16 5 3 2" xfId="25367" xr:uid="{00000000-0005-0000-0000-0000B66C0000}"/>
    <cellStyle name="Normal 16 5 4" xfId="31537" xr:uid="{00000000-0005-0000-0000-0000B76C0000}"/>
    <cellStyle name="Normal 16 6" xfId="7223" xr:uid="{00000000-0005-0000-0000-0000B86C0000}"/>
    <cellStyle name="Normal 16 6 2" xfId="7224" xr:uid="{00000000-0005-0000-0000-0000B96C0000}"/>
    <cellStyle name="Normal 16 6 2 2" xfId="17205" xr:uid="{00000000-0005-0000-0000-0000BA6C0000}"/>
    <cellStyle name="Normal 16 6 2 2 2" xfId="30564" xr:uid="{00000000-0005-0000-0000-0000BB6C0000}"/>
    <cellStyle name="Normal 16 6 2 3" xfId="31540" xr:uid="{00000000-0005-0000-0000-0000BC6C0000}"/>
    <cellStyle name="Normal 16 6 3" xfId="11831" xr:uid="{00000000-0005-0000-0000-0000BD6C0000}"/>
    <cellStyle name="Normal 16 6 3 2" xfId="25546" xr:uid="{00000000-0005-0000-0000-0000BE6C0000}"/>
    <cellStyle name="Normal 16 6 4" xfId="31539" xr:uid="{00000000-0005-0000-0000-0000BF6C0000}"/>
    <cellStyle name="Normal 16 7" xfId="7225" xr:uid="{00000000-0005-0000-0000-0000C06C0000}"/>
    <cellStyle name="Normal 16 7 2" xfId="7226" xr:uid="{00000000-0005-0000-0000-0000C16C0000}"/>
    <cellStyle name="Normal 16 7 2 2" xfId="16480" xr:uid="{00000000-0005-0000-0000-0000C26C0000}"/>
    <cellStyle name="Normal 16 7 2 2 2" xfId="29887" xr:uid="{00000000-0005-0000-0000-0000C36C0000}"/>
    <cellStyle name="Normal 16 7 2 3" xfId="31542" xr:uid="{00000000-0005-0000-0000-0000C46C0000}"/>
    <cellStyle name="Normal 16 7 3" xfId="13432" xr:uid="{00000000-0005-0000-0000-0000C56C0000}"/>
    <cellStyle name="Normal 16 7 3 2" xfId="26981" xr:uid="{00000000-0005-0000-0000-0000C66C0000}"/>
    <cellStyle name="Normal 16 7 4" xfId="31541" xr:uid="{00000000-0005-0000-0000-0000C76C0000}"/>
    <cellStyle name="Normal 16 8" xfId="7227" xr:uid="{00000000-0005-0000-0000-0000C86C0000}"/>
    <cellStyle name="Normal 16 8 2" xfId="14013" xr:uid="{00000000-0005-0000-0000-0000C96C0000}"/>
    <cellStyle name="Normal 16 8 2 2" xfId="27562" xr:uid="{00000000-0005-0000-0000-0000CA6C0000}"/>
    <cellStyle name="Normal 16 8 3" xfId="31543" xr:uid="{00000000-0005-0000-0000-0000CB6C0000}"/>
    <cellStyle name="Normal 16 9" xfId="7228" xr:uid="{00000000-0005-0000-0000-0000CC6C0000}"/>
    <cellStyle name="Normal 16 9 2" xfId="15899" xr:uid="{00000000-0005-0000-0000-0000CD6C0000}"/>
    <cellStyle name="Normal 16 9 2 2" xfId="29306" xr:uid="{00000000-0005-0000-0000-0000CE6C0000}"/>
    <cellStyle name="Normal 16 9 3" xfId="31544" xr:uid="{00000000-0005-0000-0000-0000CF6C0000}"/>
    <cellStyle name="Normal 17" xfId="7229" xr:uid="{00000000-0005-0000-0000-0000D06C0000}"/>
    <cellStyle name="Normal 17 2" xfId="7230" xr:uid="{00000000-0005-0000-0000-0000D16C0000}"/>
    <cellStyle name="Normal 17 2 2" xfId="10169" xr:uid="{00000000-0005-0000-0000-0000D26C0000}"/>
    <cellStyle name="Normal 17 3" xfId="10168" xr:uid="{00000000-0005-0000-0000-0000D36C0000}"/>
    <cellStyle name="Normal 17 4" xfId="33102" xr:uid="{00000000-0005-0000-0000-0000D46C0000}"/>
    <cellStyle name="Normal 18" xfId="7231" xr:uid="{00000000-0005-0000-0000-0000D56C0000}"/>
    <cellStyle name="Normal 18 2" xfId="7232" xr:uid="{00000000-0005-0000-0000-0000D66C0000}"/>
    <cellStyle name="Normal 18 2 2" xfId="10171" xr:uid="{00000000-0005-0000-0000-0000D76C0000}"/>
    <cellStyle name="Normal 18 3" xfId="10170" xr:uid="{00000000-0005-0000-0000-0000D86C0000}"/>
    <cellStyle name="Normal 19" xfId="7233" xr:uid="{00000000-0005-0000-0000-0000D96C0000}"/>
    <cellStyle name="Normal 19 10" xfId="31545" xr:uid="{00000000-0005-0000-0000-0000DA6C0000}"/>
    <cellStyle name="Normal 19 2" xfId="7234" xr:uid="{00000000-0005-0000-0000-0000DB6C0000}"/>
    <cellStyle name="Normal 19 2 2" xfId="7235" xr:uid="{00000000-0005-0000-0000-0000DC6C0000}"/>
    <cellStyle name="Normal 19 2 2 2" xfId="7236" xr:uid="{00000000-0005-0000-0000-0000DD6C0000}"/>
    <cellStyle name="Normal 19 2 2 2 2" xfId="7237" xr:uid="{00000000-0005-0000-0000-0000DE6C0000}"/>
    <cellStyle name="Normal 19 2 2 2 2 2" xfId="16935" xr:uid="{00000000-0005-0000-0000-0000DF6C0000}"/>
    <cellStyle name="Normal 19 2 2 2 2 2 2" xfId="30342" xr:uid="{00000000-0005-0000-0000-0000E06C0000}"/>
    <cellStyle name="Normal 19 2 2 2 2 3" xfId="31549" xr:uid="{00000000-0005-0000-0000-0000E16C0000}"/>
    <cellStyle name="Normal 19 2 2 2 3" xfId="11545" xr:uid="{00000000-0005-0000-0000-0000E26C0000}"/>
    <cellStyle name="Normal 19 2 2 2 3 2" xfId="25377" xr:uid="{00000000-0005-0000-0000-0000E36C0000}"/>
    <cellStyle name="Normal 19 2 2 2 4" xfId="31548" xr:uid="{00000000-0005-0000-0000-0000E46C0000}"/>
    <cellStyle name="Normal 19 2 2 3" xfId="7238" xr:uid="{00000000-0005-0000-0000-0000E56C0000}"/>
    <cellStyle name="Normal 19 2 2 3 2" xfId="12323" xr:uid="{00000000-0005-0000-0000-0000E66C0000}"/>
    <cellStyle name="Normal 19 2 2 3 2 2" xfId="26035" xr:uid="{00000000-0005-0000-0000-0000E76C0000}"/>
    <cellStyle name="Normal 19 2 2 3 3" xfId="31550" xr:uid="{00000000-0005-0000-0000-0000E86C0000}"/>
    <cellStyle name="Normal 19 2 2 4" xfId="7239" xr:uid="{00000000-0005-0000-0000-0000E96C0000}"/>
    <cellStyle name="Normal 19 2 2 4 2" xfId="13887" xr:uid="{00000000-0005-0000-0000-0000EA6C0000}"/>
    <cellStyle name="Normal 19 2 2 4 2 2" xfId="27436" xr:uid="{00000000-0005-0000-0000-0000EB6C0000}"/>
    <cellStyle name="Normal 19 2 2 4 3" xfId="31551" xr:uid="{00000000-0005-0000-0000-0000EC6C0000}"/>
    <cellStyle name="Normal 19 2 2 5" xfId="7240" xr:uid="{00000000-0005-0000-0000-0000ED6C0000}"/>
    <cellStyle name="Normal 19 2 2 5 2" xfId="14468" xr:uid="{00000000-0005-0000-0000-0000EE6C0000}"/>
    <cellStyle name="Normal 19 2 2 5 2 2" xfId="28017" xr:uid="{00000000-0005-0000-0000-0000EF6C0000}"/>
    <cellStyle name="Normal 19 2 2 5 3" xfId="31552" xr:uid="{00000000-0005-0000-0000-0000F06C0000}"/>
    <cellStyle name="Normal 19 2 2 6" xfId="7241" xr:uid="{00000000-0005-0000-0000-0000F16C0000}"/>
    <cellStyle name="Normal 19 2 2 6 2" xfId="16354" xr:uid="{00000000-0005-0000-0000-0000F26C0000}"/>
    <cellStyle name="Normal 19 2 2 6 2 2" xfId="29761" xr:uid="{00000000-0005-0000-0000-0000F36C0000}"/>
    <cellStyle name="Normal 19 2 2 6 3" xfId="31553" xr:uid="{00000000-0005-0000-0000-0000F46C0000}"/>
    <cellStyle name="Normal 19 2 2 7" xfId="10174" xr:uid="{00000000-0005-0000-0000-0000F56C0000}"/>
    <cellStyle name="Normal 19 2 2 7 2" xfId="24394" xr:uid="{00000000-0005-0000-0000-0000F66C0000}"/>
    <cellStyle name="Normal 19 2 2 8" xfId="31547" xr:uid="{00000000-0005-0000-0000-0000F76C0000}"/>
    <cellStyle name="Normal 19 2 3" xfId="7242" xr:uid="{00000000-0005-0000-0000-0000F86C0000}"/>
    <cellStyle name="Normal 19 2 3 2" xfId="7243" xr:uid="{00000000-0005-0000-0000-0000F96C0000}"/>
    <cellStyle name="Normal 19 2 3 2 2" xfId="16646" xr:uid="{00000000-0005-0000-0000-0000FA6C0000}"/>
    <cellStyle name="Normal 19 2 3 2 2 2" xfId="30053" xr:uid="{00000000-0005-0000-0000-0000FB6C0000}"/>
    <cellStyle name="Normal 19 2 3 2 3" xfId="31555" xr:uid="{00000000-0005-0000-0000-0000FC6C0000}"/>
    <cellStyle name="Normal 19 2 3 3" xfId="11544" xr:uid="{00000000-0005-0000-0000-0000FD6C0000}"/>
    <cellStyle name="Normal 19 2 3 3 2" xfId="25376" xr:uid="{00000000-0005-0000-0000-0000FE6C0000}"/>
    <cellStyle name="Normal 19 2 3 4" xfId="31554" xr:uid="{00000000-0005-0000-0000-0000FF6C0000}"/>
    <cellStyle name="Normal 19 2 4" xfId="7244" xr:uid="{00000000-0005-0000-0000-0000006D0000}"/>
    <cellStyle name="Normal 19 2 4 2" xfId="12023" xr:uid="{00000000-0005-0000-0000-0000016D0000}"/>
    <cellStyle name="Normal 19 2 4 2 2" xfId="25738" xr:uid="{00000000-0005-0000-0000-0000026D0000}"/>
    <cellStyle name="Normal 19 2 4 3" xfId="31556" xr:uid="{00000000-0005-0000-0000-0000036D0000}"/>
    <cellStyle name="Normal 19 2 5" xfId="7245" xr:uid="{00000000-0005-0000-0000-0000046D0000}"/>
    <cellStyle name="Normal 19 2 5 2" xfId="13598" xr:uid="{00000000-0005-0000-0000-0000056D0000}"/>
    <cellStyle name="Normal 19 2 5 2 2" xfId="27147" xr:uid="{00000000-0005-0000-0000-0000066D0000}"/>
    <cellStyle name="Normal 19 2 5 3" xfId="31557" xr:uid="{00000000-0005-0000-0000-0000076D0000}"/>
    <cellStyle name="Normal 19 2 6" xfId="7246" xr:uid="{00000000-0005-0000-0000-0000086D0000}"/>
    <cellStyle name="Normal 19 2 6 2" xfId="14179" xr:uid="{00000000-0005-0000-0000-0000096D0000}"/>
    <cellStyle name="Normal 19 2 6 2 2" xfId="27728" xr:uid="{00000000-0005-0000-0000-00000A6D0000}"/>
    <cellStyle name="Normal 19 2 6 3" xfId="31558" xr:uid="{00000000-0005-0000-0000-00000B6D0000}"/>
    <cellStyle name="Normal 19 2 7" xfId="7247" xr:uid="{00000000-0005-0000-0000-00000C6D0000}"/>
    <cellStyle name="Normal 19 2 7 2" xfId="16065" xr:uid="{00000000-0005-0000-0000-00000D6D0000}"/>
    <cellStyle name="Normal 19 2 7 2 2" xfId="29472" xr:uid="{00000000-0005-0000-0000-00000E6D0000}"/>
    <cellStyle name="Normal 19 2 7 3" xfId="31559" xr:uid="{00000000-0005-0000-0000-00000F6D0000}"/>
    <cellStyle name="Normal 19 2 8" xfId="10173" xr:uid="{00000000-0005-0000-0000-0000106D0000}"/>
    <cellStyle name="Normal 19 2 8 2" xfId="24393" xr:uid="{00000000-0005-0000-0000-0000116D0000}"/>
    <cellStyle name="Normal 19 2 9" xfId="31546" xr:uid="{00000000-0005-0000-0000-0000126D0000}"/>
    <cellStyle name="Normal 19 3" xfId="7248" xr:uid="{00000000-0005-0000-0000-0000136D0000}"/>
    <cellStyle name="Normal 19 3 2" xfId="7249" xr:uid="{00000000-0005-0000-0000-0000146D0000}"/>
    <cellStyle name="Normal 19 3 2 2" xfId="7250" xr:uid="{00000000-0005-0000-0000-0000156D0000}"/>
    <cellStyle name="Normal 19 3 2 2 2" xfId="16792" xr:uid="{00000000-0005-0000-0000-0000166D0000}"/>
    <cellStyle name="Normal 19 3 2 2 2 2" xfId="30199" xr:uid="{00000000-0005-0000-0000-0000176D0000}"/>
    <cellStyle name="Normal 19 3 2 2 3" xfId="31562" xr:uid="{00000000-0005-0000-0000-0000186D0000}"/>
    <cellStyle name="Normal 19 3 2 3" xfId="11546" xr:uid="{00000000-0005-0000-0000-0000196D0000}"/>
    <cellStyle name="Normal 19 3 2 3 2" xfId="25378" xr:uid="{00000000-0005-0000-0000-00001A6D0000}"/>
    <cellStyle name="Normal 19 3 2 4" xfId="31561" xr:uid="{00000000-0005-0000-0000-00001B6D0000}"/>
    <cellStyle name="Normal 19 3 3" xfId="7251" xr:uid="{00000000-0005-0000-0000-00001C6D0000}"/>
    <cellStyle name="Normal 19 3 3 2" xfId="12180" xr:uid="{00000000-0005-0000-0000-00001D6D0000}"/>
    <cellStyle name="Normal 19 3 3 2 2" xfId="25892" xr:uid="{00000000-0005-0000-0000-00001E6D0000}"/>
    <cellStyle name="Normal 19 3 3 3" xfId="31563" xr:uid="{00000000-0005-0000-0000-00001F6D0000}"/>
    <cellStyle name="Normal 19 3 4" xfId="7252" xr:uid="{00000000-0005-0000-0000-0000206D0000}"/>
    <cellStyle name="Normal 19 3 4 2" xfId="13744" xr:uid="{00000000-0005-0000-0000-0000216D0000}"/>
    <cellStyle name="Normal 19 3 4 2 2" xfId="27293" xr:uid="{00000000-0005-0000-0000-0000226D0000}"/>
    <cellStyle name="Normal 19 3 4 3" xfId="31564" xr:uid="{00000000-0005-0000-0000-0000236D0000}"/>
    <cellStyle name="Normal 19 3 5" xfId="7253" xr:uid="{00000000-0005-0000-0000-0000246D0000}"/>
    <cellStyle name="Normal 19 3 5 2" xfId="14325" xr:uid="{00000000-0005-0000-0000-0000256D0000}"/>
    <cellStyle name="Normal 19 3 5 2 2" xfId="27874" xr:uid="{00000000-0005-0000-0000-0000266D0000}"/>
    <cellStyle name="Normal 19 3 5 3" xfId="31565" xr:uid="{00000000-0005-0000-0000-0000276D0000}"/>
    <cellStyle name="Normal 19 3 6" xfId="7254" xr:uid="{00000000-0005-0000-0000-0000286D0000}"/>
    <cellStyle name="Normal 19 3 6 2" xfId="16211" xr:uid="{00000000-0005-0000-0000-0000296D0000}"/>
    <cellStyle name="Normal 19 3 6 2 2" xfId="29618" xr:uid="{00000000-0005-0000-0000-00002A6D0000}"/>
    <cellStyle name="Normal 19 3 6 3" xfId="31566" xr:uid="{00000000-0005-0000-0000-00002B6D0000}"/>
    <cellStyle name="Normal 19 3 7" xfId="10175" xr:uid="{00000000-0005-0000-0000-00002C6D0000}"/>
    <cellStyle name="Normal 19 3 7 2" xfId="24395" xr:uid="{00000000-0005-0000-0000-00002D6D0000}"/>
    <cellStyle name="Normal 19 3 8" xfId="31560" xr:uid="{00000000-0005-0000-0000-00002E6D0000}"/>
    <cellStyle name="Normal 19 4" xfId="7255" xr:uid="{00000000-0005-0000-0000-00002F6D0000}"/>
    <cellStyle name="Normal 19 4 2" xfId="7256" xr:uid="{00000000-0005-0000-0000-0000306D0000}"/>
    <cellStyle name="Normal 19 4 2 2" xfId="17139" xr:uid="{00000000-0005-0000-0000-0000316D0000}"/>
    <cellStyle name="Normal 19 4 2 2 2" xfId="30498" xr:uid="{00000000-0005-0000-0000-0000326D0000}"/>
    <cellStyle name="Normal 19 4 2 3" xfId="31568" xr:uid="{00000000-0005-0000-0000-0000336D0000}"/>
    <cellStyle name="Normal 19 4 3" xfId="11543" xr:uid="{00000000-0005-0000-0000-0000346D0000}"/>
    <cellStyle name="Normal 19 4 3 2" xfId="25375" xr:uid="{00000000-0005-0000-0000-0000356D0000}"/>
    <cellStyle name="Normal 19 4 4" xfId="31567" xr:uid="{00000000-0005-0000-0000-0000366D0000}"/>
    <cellStyle name="Normal 19 5" xfId="7257" xr:uid="{00000000-0005-0000-0000-0000376D0000}"/>
    <cellStyle name="Normal 19 5 2" xfId="7258" xr:uid="{00000000-0005-0000-0000-0000386D0000}"/>
    <cellStyle name="Normal 19 5 2 2" xfId="17228" xr:uid="{00000000-0005-0000-0000-0000396D0000}"/>
    <cellStyle name="Normal 19 5 2 2 2" xfId="30587" xr:uid="{00000000-0005-0000-0000-00003A6D0000}"/>
    <cellStyle name="Normal 19 5 2 3" xfId="31570" xr:uid="{00000000-0005-0000-0000-00003B6D0000}"/>
    <cellStyle name="Normal 19 5 3" xfId="11875" xr:uid="{00000000-0005-0000-0000-00003C6D0000}"/>
    <cellStyle name="Normal 19 5 3 2" xfId="25590" xr:uid="{00000000-0005-0000-0000-00003D6D0000}"/>
    <cellStyle name="Normal 19 5 4" xfId="31569" xr:uid="{00000000-0005-0000-0000-00003E6D0000}"/>
    <cellStyle name="Normal 19 6" xfId="7259" xr:uid="{00000000-0005-0000-0000-00003F6D0000}"/>
    <cellStyle name="Normal 19 6 2" xfId="7260" xr:uid="{00000000-0005-0000-0000-0000406D0000}"/>
    <cellStyle name="Normal 19 6 2 2" xfId="16503" xr:uid="{00000000-0005-0000-0000-0000416D0000}"/>
    <cellStyle name="Normal 19 6 2 2 2" xfId="29910" xr:uid="{00000000-0005-0000-0000-0000426D0000}"/>
    <cellStyle name="Normal 19 6 2 3" xfId="31572" xr:uid="{00000000-0005-0000-0000-0000436D0000}"/>
    <cellStyle name="Normal 19 6 3" xfId="13455" xr:uid="{00000000-0005-0000-0000-0000446D0000}"/>
    <cellStyle name="Normal 19 6 3 2" xfId="27004" xr:uid="{00000000-0005-0000-0000-0000456D0000}"/>
    <cellStyle name="Normal 19 6 4" xfId="31571" xr:uid="{00000000-0005-0000-0000-0000466D0000}"/>
    <cellStyle name="Normal 19 7" xfId="7261" xr:uid="{00000000-0005-0000-0000-0000476D0000}"/>
    <cellStyle name="Normal 19 7 2" xfId="14036" xr:uid="{00000000-0005-0000-0000-0000486D0000}"/>
    <cellStyle name="Normal 19 7 2 2" xfId="27585" xr:uid="{00000000-0005-0000-0000-0000496D0000}"/>
    <cellStyle name="Normal 19 7 3" xfId="31573" xr:uid="{00000000-0005-0000-0000-00004A6D0000}"/>
    <cellStyle name="Normal 19 8" xfId="7262" xr:uid="{00000000-0005-0000-0000-00004B6D0000}"/>
    <cellStyle name="Normal 19 8 2" xfId="15922" xr:uid="{00000000-0005-0000-0000-00004C6D0000}"/>
    <cellStyle name="Normal 19 8 2 2" xfId="29329" xr:uid="{00000000-0005-0000-0000-00004D6D0000}"/>
    <cellStyle name="Normal 19 8 3" xfId="31574" xr:uid="{00000000-0005-0000-0000-00004E6D0000}"/>
    <cellStyle name="Normal 19 9" xfId="10172" xr:uid="{00000000-0005-0000-0000-00004F6D0000}"/>
    <cellStyle name="Normal 19 9 2" xfId="24392" xr:uid="{00000000-0005-0000-0000-0000506D0000}"/>
    <cellStyle name="Normal 2" xfId="8" xr:uid="{00000000-0005-0000-0000-0000516D0000}"/>
    <cellStyle name="Normal 2 2" xfId="7263" xr:uid="{00000000-0005-0000-0000-0000526D0000}"/>
    <cellStyle name="Normal 2 2 2" xfId="7264" xr:uid="{00000000-0005-0000-0000-0000536D0000}"/>
    <cellStyle name="Normal 2 2 2 10" xfId="32939" xr:uid="{00000000-0005-0000-0000-0000546D0000}"/>
    <cellStyle name="Normal 2 2 2 11" xfId="32998" xr:uid="{00000000-0005-0000-0000-0000556D0000}"/>
    <cellStyle name="Normal 2 2 2 2" xfId="7265" xr:uid="{00000000-0005-0000-0000-0000566D0000}"/>
    <cellStyle name="Normal 2 2 2 2 2" xfId="11548" xr:uid="{00000000-0005-0000-0000-0000576D0000}"/>
    <cellStyle name="Normal 2 2 2 2 2 2" xfId="25379" xr:uid="{00000000-0005-0000-0000-0000586D0000}"/>
    <cellStyle name="Normal 2 2 2 2 3" xfId="31577" xr:uid="{00000000-0005-0000-0000-0000596D0000}"/>
    <cellStyle name="Normal 2 2 2 2 4" xfId="32947" xr:uid="{00000000-0005-0000-0000-00005A6D0000}"/>
    <cellStyle name="Normal 2 2 2 2 5" xfId="33005" xr:uid="{00000000-0005-0000-0000-00005B6D0000}"/>
    <cellStyle name="Normal 2 2 2 3" xfId="7266" xr:uid="{00000000-0005-0000-0000-00005C6D0000}"/>
    <cellStyle name="Normal 2 2 2 3 2" xfId="13246" xr:uid="{00000000-0005-0000-0000-00005D6D0000}"/>
    <cellStyle name="Normal 2 2 2 3 2 2" xfId="26889" xr:uid="{00000000-0005-0000-0000-00005E6D0000}"/>
    <cellStyle name="Normal 2 2 2 3 3" xfId="31578" xr:uid="{00000000-0005-0000-0000-00005F6D0000}"/>
    <cellStyle name="Normal 2 2 2 4" xfId="7267" xr:uid="{00000000-0005-0000-0000-0000606D0000}"/>
    <cellStyle name="Normal 2 2 2 4 2" xfId="15695" xr:uid="{00000000-0005-0000-0000-0000616D0000}"/>
    <cellStyle name="Normal 2 2 2 4 2 2" xfId="29181" xr:uid="{00000000-0005-0000-0000-0000626D0000}"/>
    <cellStyle name="Normal 2 2 2 4 3" xfId="31579" xr:uid="{00000000-0005-0000-0000-0000636D0000}"/>
    <cellStyle name="Normal 2 2 2 5" xfId="7268" xr:uid="{00000000-0005-0000-0000-0000646D0000}"/>
    <cellStyle name="Normal 2 2 2 5 2" xfId="15804" xr:uid="{00000000-0005-0000-0000-0000656D0000}"/>
    <cellStyle name="Normal 2 2 2 5 2 2" xfId="29211" xr:uid="{00000000-0005-0000-0000-0000666D0000}"/>
    <cellStyle name="Normal 2 2 2 5 3" xfId="31580" xr:uid="{00000000-0005-0000-0000-0000676D0000}"/>
    <cellStyle name="Normal 2 2 2 6" xfId="7269" xr:uid="{00000000-0005-0000-0000-0000686D0000}"/>
    <cellStyle name="Normal 2 2 2 6 2" xfId="17040" xr:uid="{00000000-0005-0000-0000-0000696D0000}"/>
    <cellStyle name="Normal 2 2 2 6 3" xfId="31581" xr:uid="{00000000-0005-0000-0000-00006A6D0000}"/>
    <cellStyle name="Normal 2 2 2 7" xfId="8713" xr:uid="{00000000-0005-0000-0000-00006B6D0000}"/>
    <cellStyle name="Normal 2 2 2 7 2" xfId="17325" xr:uid="{00000000-0005-0000-0000-00006C6D0000}"/>
    <cellStyle name="Normal 2 2 2 7 2 2" xfId="30678" xr:uid="{00000000-0005-0000-0000-00006D6D0000}"/>
    <cellStyle name="Normal 2 2 2 7 3" xfId="23232" xr:uid="{00000000-0005-0000-0000-00006E6D0000}"/>
    <cellStyle name="Normal 2 2 2 8" xfId="8809" xr:uid="{00000000-0005-0000-0000-00006F6D0000}"/>
    <cellStyle name="Normal 2 2 2 8 2" xfId="23287" xr:uid="{00000000-0005-0000-0000-0000706D0000}"/>
    <cellStyle name="Normal 2 2 2 9" xfId="31576" xr:uid="{00000000-0005-0000-0000-0000716D0000}"/>
    <cellStyle name="Normal 2 2 3" xfId="7270" xr:uid="{00000000-0005-0000-0000-0000726D0000}"/>
    <cellStyle name="Normal 2 2 3 2" xfId="7271" xr:uid="{00000000-0005-0000-0000-0000736D0000}"/>
    <cellStyle name="Normal 2 2 3 2 2" xfId="11692" xr:uid="{00000000-0005-0000-0000-0000746D0000}"/>
    <cellStyle name="Normal 2 2 3 2 3" xfId="31583" xr:uid="{00000000-0005-0000-0000-0000756D0000}"/>
    <cellStyle name="Normal 2 2 3 3" xfId="10177" xr:uid="{00000000-0005-0000-0000-0000766D0000}"/>
    <cellStyle name="Normal 2 2 3 4" xfId="31582" xr:uid="{00000000-0005-0000-0000-0000776D0000}"/>
    <cellStyle name="Normal 2 2 4" xfId="7272" xr:uid="{00000000-0005-0000-0000-0000786D0000}"/>
    <cellStyle name="Normal 2 2 4 2" xfId="11547" xr:uid="{00000000-0005-0000-0000-0000796D0000}"/>
    <cellStyle name="Normal 2 2 4 3" xfId="31584" xr:uid="{00000000-0005-0000-0000-00007A6D0000}"/>
    <cellStyle name="Normal 2 2 5" xfId="8702" xr:uid="{00000000-0005-0000-0000-00007B6D0000}"/>
    <cellStyle name="Normal 2 2 6" xfId="31575" xr:uid="{00000000-0005-0000-0000-00007C6D0000}"/>
    <cellStyle name="Normal 2 3" xfId="7273" xr:uid="{00000000-0005-0000-0000-00007D6D0000}"/>
    <cellStyle name="Normal 2 3 2" xfId="7274" xr:uid="{00000000-0005-0000-0000-00007E6D0000}"/>
    <cellStyle name="Normal 2 3 2 2" xfId="10178" xr:uid="{00000000-0005-0000-0000-00007F6D0000}"/>
    <cellStyle name="Normal 2 3 3" xfId="7275" xr:uid="{00000000-0005-0000-0000-0000806D0000}"/>
    <cellStyle name="Normal 2 3 3 2" xfId="7276" xr:uid="{00000000-0005-0000-0000-0000816D0000}"/>
    <cellStyle name="Normal 2 3 3 2 2" xfId="10180" xr:uid="{00000000-0005-0000-0000-0000826D0000}"/>
    <cellStyle name="Normal 2 3 3 3" xfId="7277" xr:uid="{00000000-0005-0000-0000-0000836D0000}"/>
    <cellStyle name="Normal 2 3 3 3 2" xfId="13247" xr:uid="{00000000-0005-0000-0000-0000846D0000}"/>
    <cellStyle name="Normal 2 3 3 4" xfId="10179" xr:uid="{00000000-0005-0000-0000-0000856D0000}"/>
    <cellStyle name="Normal 2 3 4" xfId="7278" xr:uid="{00000000-0005-0000-0000-0000866D0000}"/>
    <cellStyle name="Normal 2 3 4 2" xfId="7279" xr:uid="{00000000-0005-0000-0000-0000876D0000}"/>
    <cellStyle name="Normal 2 3 4 2 2" xfId="13248" xr:uid="{00000000-0005-0000-0000-0000886D0000}"/>
    <cellStyle name="Normal 2 3 4 3" xfId="10520" xr:uid="{00000000-0005-0000-0000-0000896D0000}"/>
    <cellStyle name="Normal 2 3 5" xfId="8710" xr:uid="{00000000-0005-0000-0000-00008A6D0000}"/>
    <cellStyle name="Normal 2 3 6" xfId="33044" xr:uid="{00000000-0005-0000-0000-00008B6D0000}"/>
    <cellStyle name="Normal 2 4" xfId="7280" xr:uid="{00000000-0005-0000-0000-00008C6D0000}"/>
    <cellStyle name="Normal 2 4 2" xfId="7281" xr:uid="{00000000-0005-0000-0000-00008D6D0000}"/>
    <cellStyle name="Normal 2 4 2 2" xfId="10181" xr:uid="{00000000-0005-0000-0000-00008E6D0000}"/>
    <cellStyle name="Normal 2 4 2 3" xfId="31585" xr:uid="{00000000-0005-0000-0000-00008F6D0000}"/>
    <cellStyle name="Normal 2 4 3" xfId="8676" xr:uid="{00000000-0005-0000-0000-0000906D0000}"/>
    <cellStyle name="Normal 2 4 4" xfId="33093" xr:uid="{00000000-0005-0000-0000-0000916D0000}"/>
    <cellStyle name="Normal 2 5" xfId="7282" xr:uid="{00000000-0005-0000-0000-0000926D0000}"/>
    <cellStyle name="Normal 2 5 2" xfId="7283" xr:uid="{00000000-0005-0000-0000-0000936D0000}"/>
    <cellStyle name="Normal 2 5 2 2" xfId="10183" xr:uid="{00000000-0005-0000-0000-0000946D0000}"/>
    <cellStyle name="Normal 2 5 3" xfId="7284" xr:uid="{00000000-0005-0000-0000-0000956D0000}"/>
    <cellStyle name="Normal 2 5 3 2" xfId="13249" xr:uid="{00000000-0005-0000-0000-0000966D0000}"/>
    <cellStyle name="Normal 2 5 4" xfId="7285" xr:uid="{00000000-0005-0000-0000-0000976D0000}"/>
    <cellStyle name="Normal 2 5 4 2" xfId="17344" xr:uid="{00000000-0005-0000-0000-0000986D0000}"/>
    <cellStyle name="Normal 2 5 5" xfId="8737" xr:uid="{00000000-0005-0000-0000-0000996D0000}"/>
    <cellStyle name="Normal 2 5 6" xfId="10182" xr:uid="{00000000-0005-0000-0000-00009A6D0000}"/>
    <cellStyle name="Normal 2 6" xfId="7286" xr:uid="{00000000-0005-0000-0000-00009B6D0000}"/>
    <cellStyle name="Normal 2 6 2" xfId="7287" xr:uid="{00000000-0005-0000-0000-00009C6D0000}"/>
    <cellStyle name="Normal 2 6 2 2" xfId="17345" xr:uid="{00000000-0005-0000-0000-00009D6D0000}"/>
    <cellStyle name="Normal 2 6 2 3" xfId="31587" xr:uid="{00000000-0005-0000-0000-00009E6D0000}"/>
    <cellStyle name="Normal 2 6 3" xfId="8722" xr:uid="{00000000-0005-0000-0000-00009F6D0000}"/>
    <cellStyle name="Normal 2 6 4" xfId="10184" xr:uid="{00000000-0005-0000-0000-0000A06D0000}"/>
    <cellStyle name="Normal 2 6 5" xfId="31586" xr:uid="{00000000-0005-0000-0000-0000A16D0000}"/>
    <cellStyle name="Normal 2 7" xfId="7288" xr:uid="{00000000-0005-0000-0000-0000A26D0000}"/>
    <cellStyle name="Normal 2 7 2" xfId="7289" xr:uid="{00000000-0005-0000-0000-0000A36D0000}"/>
    <cellStyle name="Normal 2 7 2 2" xfId="13250" xr:uid="{00000000-0005-0000-0000-0000A46D0000}"/>
    <cellStyle name="Normal 2 7 3" xfId="10519" xr:uid="{00000000-0005-0000-0000-0000A56D0000}"/>
    <cellStyle name="Normal 2 8" xfId="8652" xr:uid="{00000000-0005-0000-0000-0000A66D0000}"/>
    <cellStyle name="Normal 2 8 2" xfId="10176" xr:uid="{00000000-0005-0000-0000-0000A76D0000}"/>
    <cellStyle name="Normal 2 9" xfId="17300" xr:uid="{00000000-0005-0000-0000-0000A86D0000}"/>
    <cellStyle name="Normal 20" xfId="7290" xr:uid="{00000000-0005-0000-0000-0000A96D0000}"/>
    <cellStyle name="Normal 20 2" xfId="10185" xr:uid="{00000000-0005-0000-0000-0000AA6D0000}"/>
    <cellStyle name="Normal 21" xfId="7291" xr:uid="{00000000-0005-0000-0000-0000AB6D0000}"/>
    <cellStyle name="Normal 21 2" xfId="7292" xr:uid="{00000000-0005-0000-0000-0000AC6D0000}"/>
    <cellStyle name="Normal 21 2 2" xfId="13251" xr:uid="{00000000-0005-0000-0000-0000AD6D0000}"/>
    <cellStyle name="Normal 21 2 3" xfId="31589" xr:uid="{00000000-0005-0000-0000-0000AE6D0000}"/>
    <cellStyle name="Normal 21 3" xfId="10186" xr:uid="{00000000-0005-0000-0000-0000AF6D0000}"/>
    <cellStyle name="Normal 21 4" xfId="31588" xr:uid="{00000000-0005-0000-0000-0000B06D0000}"/>
    <cellStyle name="Normal 22" xfId="7293" xr:uid="{00000000-0005-0000-0000-0000B16D0000}"/>
    <cellStyle name="Normal 22 2" xfId="7294" xr:uid="{00000000-0005-0000-0000-0000B26D0000}"/>
    <cellStyle name="Normal 22 2 2" xfId="10188" xr:uid="{00000000-0005-0000-0000-0000B36D0000}"/>
    <cellStyle name="Normal 22 2 3" xfId="31591" xr:uid="{00000000-0005-0000-0000-0000B46D0000}"/>
    <cellStyle name="Normal 22 3" xfId="7295" xr:uid="{00000000-0005-0000-0000-0000B56D0000}"/>
    <cellStyle name="Normal 22 3 2" xfId="13253" xr:uid="{00000000-0005-0000-0000-0000B66D0000}"/>
    <cellStyle name="Normal 22 3 3" xfId="31592" xr:uid="{00000000-0005-0000-0000-0000B76D0000}"/>
    <cellStyle name="Normal 22 4" xfId="7296" xr:uid="{00000000-0005-0000-0000-0000B86D0000}"/>
    <cellStyle name="Normal 22 4 2" xfId="13252" xr:uid="{00000000-0005-0000-0000-0000B96D0000}"/>
    <cellStyle name="Normal 22 4 3" xfId="31593" xr:uid="{00000000-0005-0000-0000-0000BA6D0000}"/>
    <cellStyle name="Normal 22 5" xfId="10187" xr:uid="{00000000-0005-0000-0000-0000BB6D0000}"/>
    <cellStyle name="Normal 22 6" xfId="31590" xr:uid="{00000000-0005-0000-0000-0000BC6D0000}"/>
    <cellStyle name="Normal 23" xfId="7297" xr:uid="{00000000-0005-0000-0000-0000BD6D0000}"/>
    <cellStyle name="Normal 23 2" xfId="10189" xr:uid="{00000000-0005-0000-0000-0000BE6D0000}"/>
    <cellStyle name="Normal 23 3" xfId="31594" xr:uid="{00000000-0005-0000-0000-0000BF6D0000}"/>
    <cellStyle name="Normal 24" xfId="8651" xr:uid="{00000000-0005-0000-0000-0000C06D0000}"/>
    <cellStyle name="Normal 24 2" xfId="17330" xr:uid="{00000000-0005-0000-0000-0000C16D0000}"/>
    <cellStyle name="Normal 24 3" xfId="8819" xr:uid="{00000000-0005-0000-0000-0000C26D0000}"/>
    <cellStyle name="Normal 24 4" xfId="23201" xr:uid="{00000000-0005-0000-0000-0000C36D0000}"/>
    <cellStyle name="Normal 25" xfId="17299" xr:uid="{00000000-0005-0000-0000-0000C46D0000}"/>
    <cellStyle name="Normal 25 2" xfId="30655" xr:uid="{00000000-0005-0000-0000-0000C56D0000}"/>
    <cellStyle name="Normal 26" xfId="8788" xr:uid="{00000000-0005-0000-0000-0000C66D0000}"/>
    <cellStyle name="Normal 26 2" xfId="23266" xr:uid="{00000000-0005-0000-0000-0000C76D0000}"/>
    <cellStyle name="Normal 27" xfId="32910" xr:uid="{00000000-0005-0000-0000-0000C86D0000}"/>
    <cellStyle name="Normal 28" xfId="52" xr:uid="{00000000-0005-0000-0000-0000C96D0000}"/>
    <cellStyle name="Normal 29" xfId="33032" xr:uid="{00000000-0005-0000-0000-0000CA6D0000}"/>
    <cellStyle name="Normal 3" xfId="13" xr:uid="{00000000-0005-0000-0000-0000CB6D0000}"/>
    <cellStyle name="Normal 3 10" xfId="7299" xr:uid="{00000000-0005-0000-0000-0000CC6D0000}"/>
    <cellStyle name="Normal 3 10 2" xfId="7300" xr:uid="{00000000-0005-0000-0000-0000CD6D0000}"/>
    <cellStyle name="Normal 3 10 2 2" xfId="11728" xr:uid="{00000000-0005-0000-0000-0000CE6D0000}"/>
    <cellStyle name="Normal 3 10 2 2 2" xfId="25447" xr:uid="{00000000-0005-0000-0000-0000CF6D0000}"/>
    <cellStyle name="Normal 3 10 2 3" xfId="31596" xr:uid="{00000000-0005-0000-0000-0000D06D0000}"/>
    <cellStyle name="Normal 3 10 2 4" xfId="32949" xr:uid="{00000000-0005-0000-0000-0000D16D0000}"/>
    <cellStyle name="Normal 3 10 2 5" xfId="33007" xr:uid="{00000000-0005-0000-0000-0000D26D0000}"/>
    <cellStyle name="Normal 3 10 3" xfId="7301" xr:uid="{00000000-0005-0000-0000-0000D36D0000}"/>
    <cellStyle name="Normal 3 10 3 2" xfId="10190" xr:uid="{00000000-0005-0000-0000-0000D46D0000}"/>
    <cellStyle name="Normal 3 10 3 3" xfId="31597" xr:uid="{00000000-0005-0000-0000-0000D56D0000}"/>
    <cellStyle name="Normal 3 10 4" xfId="8680" xr:uid="{00000000-0005-0000-0000-0000D66D0000}"/>
    <cellStyle name="Normal 3 10 4 2" xfId="17305" xr:uid="{00000000-0005-0000-0000-0000D76D0000}"/>
    <cellStyle name="Normal 3 10 4 2 2" xfId="30658" xr:uid="{00000000-0005-0000-0000-0000D86D0000}"/>
    <cellStyle name="Normal 3 10 4 3" xfId="23210" xr:uid="{00000000-0005-0000-0000-0000D96D0000}"/>
    <cellStyle name="Normal 3 10 5" xfId="8789" xr:uid="{00000000-0005-0000-0000-0000DA6D0000}"/>
    <cellStyle name="Normal 3 10 5 2" xfId="23267" xr:uid="{00000000-0005-0000-0000-0000DB6D0000}"/>
    <cellStyle name="Normal 3 10 6" xfId="31595" xr:uid="{00000000-0005-0000-0000-0000DC6D0000}"/>
    <cellStyle name="Normal 3 10 7" xfId="32918" xr:uid="{00000000-0005-0000-0000-0000DD6D0000}"/>
    <cellStyle name="Normal 3 10 8" xfId="32978" xr:uid="{00000000-0005-0000-0000-0000DE6D0000}"/>
    <cellStyle name="Normal 3 11" xfId="7302" xr:uid="{00000000-0005-0000-0000-0000DF6D0000}"/>
    <cellStyle name="Normal 3 11 2" xfId="7303" xr:uid="{00000000-0005-0000-0000-0000E06D0000}"/>
    <cellStyle name="Normal 3 11 2 2" xfId="13254" xr:uid="{00000000-0005-0000-0000-0000E16D0000}"/>
    <cellStyle name="Normal 3 11 2 2 2" xfId="26890" xr:uid="{00000000-0005-0000-0000-0000E26D0000}"/>
    <cellStyle name="Normal 3 11 2 3" xfId="31599" xr:uid="{00000000-0005-0000-0000-0000E36D0000}"/>
    <cellStyle name="Normal 3 11 3" xfId="7304" xr:uid="{00000000-0005-0000-0000-0000E46D0000}"/>
    <cellStyle name="Normal 3 11 3 2" xfId="15696" xr:uid="{00000000-0005-0000-0000-0000E56D0000}"/>
    <cellStyle name="Normal 3 11 3 2 2" xfId="29182" xr:uid="{00000000-0005-0000-0000-0000E66D0000}"/>
    <cellStyle name="Normal 3 11 3 3" xfId="31600" xr:uid="{00000000-0005-0000-0000-0000E76D0000}"/>
    <cellStyle name="Normal 3 11 4" xfId="7305" xr:uid="{00000000-0005-0000-0000-0000E86D0000}"/>
    <cellStyle name="Normal 3 11 4 2" xfId="17370" xr:uid="{00000000-0005-0000-0000-0000E96D0000}"/>
    <cellStyle name="Normal 3 11 4 2 2" xfId="30687" xr:uid="{00000000-0005-0000-0000-0000EA6D0000}"/>
    <cellStyle name="Normal 3 11 4 3" xfId="31601" xr:uid="{00000000-0005-0000-0000-0000EB6D0000}"/>
    <cellStyle name="Normal 3 11 5" xfId="8724" xr:uid="{00000000-0005-0000-0000-0000EC6D0000}"/>
    <cellStyle name="Normal 3 11 6" xfId="11549" xr:uid="{00000000-0005-0000-0000-0000ED6D0000}"/>
    <cellStyle name="Normal 3 11 6 2" xfId="25380" xr:uid="{00000000-0005-0000-0000-0000EE6D0000}"/>
    <cellStyle name="Normal 3 11 7" xfId="31598" xr:uid="{00000000-0005-0000-0000-0000EF6D0000}"/>
    <cellStyle name="Normal 3 12" xfId="7306" xr:uid="{00000000-0005-0000-0000-0000F06D0000}"/>
    <cellStyle name="Normal 3 12 2" xfId="7307" xr:uid="{00000000-0005-0000-0000-0000F16D0000}"/>
    <cellStyle name="Normal 3 12 2 2" xfId="17372" xr:uid="{00000000-0005-0000-0000-0000F26D0000}"/>
    <cellStyle name="Normal 3 12 2 2 2" xfId="30688" xr:uid="{00000000-0005-0000-0000-0000F36D0000}"/>
    <cellStyle name="Normal 3 12 2 3" xfId="31603" xr:uid="{00000000-0005-0000-0000-0000F46D0000}"/>
    <cellStyle name="Normal 3 12 3" xfId="8723" xr:uid="{00000000-0005-0000-0000-0000F56D0000}"/>
    <cellStyle name="Normal 3 12 4" xfId="15805" xr:uid="{00000000-0005-0000-0000-0000F66D0000}"/>
    <cellStyle name="Normal 3 12 4 2" xfId="29212" xr:uid="{00000000-0005-0000-0000-0000F76D0000}"/>
    <cellStyle name="Normal 3 12 5" xfId="31602" xr:uid="{00000000-0005-0000-0000-0000F86D0000}"/>
    <cellStyle name="Normal 3 13" xfId="8655" xr:uid="{00000000-0005-0000-0000-0000F96D0000}"/>
    <cellStyle name="Normal 3 13 2" xfId="32948" xr:uid="{00000000-0005-0000-0000-0000FA6D0000}"/>
    <cellStyle name="Normal 3 13 3" xfId="33006" xr:uid="{00000000-0005-0000-0000-0000FB6D0000}"/>
    <cellStyle name="Normal 3 14" xfId="7298" xr:uid="{00000000-0005-0000-0000-0000FC6D0000}"/>
    <cellStyle name="Normal 3 2" xfId="7308" xr:uid="{00000000-0005-0000-0000-0000FD6D0000}"/>
    <cellStyle name="Normal 3 2 10" xfId="7309" xr:uid="{00000000-0005-0000-0000-0000FE6D0000}"/>
    <cellStyle name="Normal 3 2 10 2" xfId="13255" xr:uid="{00000000-0005-0000-0000-0000FF6D0000}"/>
    <cellStyle name="Normal 3 2 10 2 2" xfId="26891" xr:uid="{00000000-0005-0000-0000-0000006E0000}"/>
    <cellStyle name="Normal 3 2 10 3" xfId="31604" xr:uid="{00000000-0005-0000-0000-0000016E0000}"/>
    <cellStyle name="Normal 3 2 11" xfId="7310" xr:uid="{00000000-0005-0000-0000-0000026E0000}"/>
    <cellStyle name="Normal 3 2 11 2" xfId="15697" xr:uid="{00000000-0005-0000-0000-0000036E0000}"/>
    <cellStyle name="Normal 3 2 11 2 2" xfId="29183" xr:uid="{00000000-0005-0000-0000-0000046E0000}"/>
    <cellStyle name="Normal 3 2 11 3" xfId="31605" xr:uid="{00000000-0005-0000-0000-0000056E0000}"/>
    <cellStyle name="Normal 3 2 12" xfId="7311" xr:uid="{00000000-0005-0000-0000-0000066E0000}"/>
    <cellStyle name="Normal 3 2 12 2" xfId="15806" xr:uid="{00000000-0005-0000-0000-0000076E0000}"/>
    <cellStyle name="Normal 3 2 12 2 2" xfId="29213" xr:uid="{00000000-0005-0000-0000-0000086E0000}"/>
    <cellStyle name="Normal 3 2 12 3" xfId="31606" xr:uid="{00000000-0005-0000-0000-0000096E0000}"/>
    <cellStyle name="Normal 3 2 13" xfId="8683" xr:uid="{00000000-0005-0000-0000-00000A6E0000}"/>
    <cellStyle name="Normal 3 2 13 2" xfId="17308" xr:uid="{00000000-0005-0000-0000-00000B6E0000}"/>
    <cellStyle name="Normal 3 2 13 2 2" xfId="30661" xr:uid="{00000000-0005-0000-0000-00000C6E0000}"/>
    <cellStyle name="Normal 3 2 13 3" xfId="23213" xr:uid="{00000000-0005-0000-0000-00000D6E0000}"/>
    <cellStyle name="Normal 3 2 14" xfId="8792" xr:uid="{00000000-0005-0000-0000-00000E6E0000}"/>
    <cellStyle name="Normal 3 2 14 2" xfId="23270" xr:uid="{00000000-0005-0000-0000-00000F6E0000}"/>
    <cellStyle name="Normal 3 2 15" xfId="32921" xr:uid="{00000000-0005-0000-0000-0000106E0000}"/>
    <cellStyle name="Normal 3 2 16" xfId="32981" xr:uid="{00000000-0005-0000-0000-0000116E0000}"/>
    <cellStyle name="Normal 3 2 17" xfId="33039" xr:uid="{00000000-0005-0000-0000-0000126E0000}"/>
    <cellStyle name="Normal 3 2 2" xfId="7312" xr:uid="{00000000-0005-0000-0000-0000136E0000}"/>
    <cellStyle name="Normal 3 2 2 10" xfId="7313" xr:uid="{00000000-0005-0000-0000-0000146E0000}"/>
    <cellStyle name="Normal 3 2 2 10 2" xfId="16423" xr:uid="{00000000-0005-0000-0000-0000156E0000}"/>
    <cellStyle name="Normal 3 2 2 10 2 2" xfId="29830" xr:uid="{00000000-0005-0000-0000-0000166E0000}"/>
    <cellStyle name="Normal 3 2 2 10 3" xfId="31608" xr:uid="{00000000-0005-0000-0000-0000176E0000}"/>
    <cellStyle name="Normal 3 2 2 11" xfId="8687" xr:uid="{00000000-0005-0000-0000-0000186E0000}"/>
    <cellStyle name="Normal 3 2 2 11 2" xfId="17312" xr:uid="{00000000-0005-0000-0000-0000196E0000}"/>
    <cellStyle name="Normal 3 2 2 11 2 2" xfId="30665" xr:uid="{00000000-0005-0000-0000-00001A6E0000}"/>
    <cellStyle name="Normal 3 2 2 11 3" xfId="23217" xr:uid="{00000000-0005-0000-0000-00001B6E0000}"/>
    <cellStyle name="Normal 3 2 2 12" xfId="8796" xr:uid="{00000000-0005-0000-0000-00001C6E0000}"/>
    <cellStyle name="Normal 3 2 2 12 2" xfId="23274" xr:uid="{00000000-0005-0000-0000-00001D6E0000}"/>
    <cellStyle name="Normal 3 2 2 13" xfId="31607" xr:uid="{00000000-0005-0000-0000-00001E6E0000}"/>
    <cellStyle name="Normal 3 2 2 14" xfId="32925" xr:uid="{00000000-0005-0000-0000-00001F6E0000}"/>
    <cellStyle name="Normal 3 2 2 15" xfId="32985" xr:uid="{00000000-0005-0000-0000-0000206E0000}"/>
    <cellStyle name="Normal 3 2 2 2" xfId="7314" xr:uid="{00000000-0005-0000-0000-0000216E0000}"/>
    <cellStyle name="Normal 3 2 2 2 2" xfId="7315" xr:uid="{00000000-0005-0000-0000-0000226E0000}"/>
    <cellStyle name="Normal 3 2 2 2 2 2" xfId="11552" xr:uid="{00000000-0005-0000-0000-0000236E0000}"/>
    <cellStyle name="Normal 3 2 2 2 2 2 2" xfId="25383" xr:uid="{00000000-0005-0000-0000-0000246E0000}"/>
    <cellStyle name="Normal 3 2 2 2 2 3" xfId="31610" xr:uid="{00000000-0005-0000-0000-0000256E0000}"/>
    <cellStyle name="Normal 3 2 2 2 3" xfId="7316" xr:uid="{00000000-0005-0000-0000-0000266E0000}"/>
    <cellStyle name="Normal 3 2 2 2 3 2" xfId="13257" xr:uid="{00000000-0005-0000-0000-0000276E0000}"/>
    <cellStyle name="Normal 3 2 2 2 3 2 2" xfId="26893" xr:uid="{00000000-0005-0000-0000-0000286E0000}"/>
    <cellStyle name="Normal 3 2 2 2 3 3" xfId="31611" xr:uid="{00000000-0005-0000-0000-0000296E0000}"/>
    <cellStyle name="Normal 3 2 2 2 4" xfId="7317" xr:uid="{00000000-0005-0000-0000-00002A6E0000}"/>
    <cellStyle name="Normal 3 2 2 2 4 2" xfId="15699" xr:uid="{00000000-0005-0000-0000-00002B6E0000}"/>
    <cellStyle name="Normal 3 2 2 2 4 2 2" xfId="29185" xr:uid="{00000000-0005-0000-0000-00002C6E0000}"/>
    <cellStyle name="Normal 3 2 2 2 4 3" xfId="31612" xr:uid="{00000000-0005-0000-0000-00002D6E0000}"/>
    <cellStyle name="Normal 3 2 2 2 5" xfId="7318" xr:uid="{00000000-0005-0000-0000-00002E6E0000}"/>
    <cellStyle name="Normal 3 2 2 2 5 2" xfId="17041" xr:uid="{00000000-0005-0000-0000-00002F6E0000}"/>
    <cellStyle name="Normal 3 2 2 2 5 2 2" xfId="30442" xr:uid="{00000000-0005-0000-0000-0000306E0000}"/>
    <cellStyle name="Normal 3 2 2 2 5 3" xfId="31613" xr:uid="{00000000-0005-0000-0000-0000316E0000}"/>
    <cellStyle name="Normal 3 2 2 2 6" xfId="10191" xr:uid="{00000000-0005-0000-0000-0000326E0000}"/>
    <cellStyle name="Normal 3 2 2 2 6 2" xfId="24396" xr:uid="{00000000-0005-0000-0000-0000336E0000}"/>
    <cellStyle name="Normal 3 2 2 2 7" xfId="31609" xr:uid="{00000000-0005-0000-0000-0000346E0000}"/>
    <cellStyle name="Normal 3 2 2 2 8" xfId="32951" xr:uid="{00000000-0005-0000-0000-0000356E0000}"/>
    <cellStyle name="Normal 3 2 2 2 9" xfId="33009" xr:uid="{00000000-0005-0000-0000-0000366E0000}"/>
    <cellStyle name="Normal 3 2 2 3" xfId="7319" xr:uid="{00000000-0005-0000-0000-0000376E0000}"/>
    <cellStyle name="Normal 3 2 2 3 2" xfId="7320" xr:uid="{00000000-0005-0000-0000-0000386E0000}"/>
    <cellStyle name="Normal 3 2 2 3 2 2" xfId="17004" xr:uid="{00000000-0005-0000-0000-0000396E0000}"/>
    <cellStyle name="Normal 3 2 2 3 2 2 2" xfId="30411" xr:uid="{00000000-0005-0000-0000-00003A6E0000}"/>
    <cellStyle name="Normal 3 2 2 3 2 3" xfId="31615" xr:uid="{00000000-0005-0000-0000-00003B6E0000}"/>
    <cellStyle name="Normal 3 2 2 3 3" xfId="11551" xr:uid="{00000000-0005-0000-0000-00003C6E0000}"/>
    <cellStyle name="Normal 3 2 2 3 3 2" xfId="25382" xr:uid="{00000000-0005-0000-0000-00003D6E0000}"/>
    <cellStyle name="Normal 3 2 2 3 4" xfId="31614" xr:uid="{00000000-0005-0000-0000-00003E6E0000}"/>
    <cellStyle name="Normal 3 2 2 4" xfId="7321" xr:uid="{00000000-0005-0000-0000-00003F6E0000}"/>
    <cellStyle name="Normal 3 2 2 4 2" xfId="12393" xr:uid="{00000000-0005-0000-0000-0000406E0000}"/>
    <cellStyle name="Normal 3 2 2 4 2 2" xfId="26105" xr:uid="{00000000-0005-0000-0000-0000416E0000}"/>
    <cellStyle name="Normal 3 2 2 4 3" xfId="31616" xr:uid="{00000000-0005-0000-0000-0000426E0000}"/>
    <cellStyle name="Normal 3 2 2 5" xfId="7322" xr:uid="{00000000-0005-0000-0000-0000436E0000}"/>
    <cellStyle name="Normal 3 2 2 5 2" xfId="13256" xr:uid="{00000000-0005-0000-0000-0000446E0000}"/>
    <cellStyle name="Normal 3 2 2 5 2 2" xfId="26892" xr:uid="{00000000-0005-0000-0000-0000456E0000}"/>
    <cellStyle name="Normal 3 2 2 5 3" xfId="31617" xr:uid="{00000000-0005-0000-0000-0000466E0000}"/>
    <cellStyle name="Normal 3 2 2 6" xfId="7323" xr:uid="{00000000-0005-0000-0000-0000476E0000}"/>
    <cellStyle name="Normal 3 2 2 6 2" xfId="13956" xr:uid="{00000000-0005-0000-0000-0000486E0000}"/>
    <cellStyle name="Normal 3 2 2 6 2 2" xfId="27505" xr:uid="{00000000-0005-0000-0000-0000496E0000}"/>
    <cellStyle name="Normal 3 2 2 6 3" xfId="31618" xr:uid="{00000000-0005-0000-0000-00004A6E0000}"/>
    <cellStyle name="Normal 3 2 2 7" xfId="7324" xr:uid="{00000000-0005-0000-0000-00004B6E0000}"/>
    <cellStyle name="Normal 3 2 2 7 2" xfId="14537" xr:uid="{00000000-0005-0000-0000-00004C6E0000}"/>
    <cellStyle name="Normal 3 2 2 7 2 2" xfId="28086" xr:uid="{00000000-0005-0000-0000-00004D6E0000}"/>
    <cellStyle name="Normal 3 2 2 7 3" xfId="31619" xr:uid="{00000000-0005-0000-0000-00004E6E0000}"/>
    <cellStyle name="Normal 3 2 2 8" xfId="7325" xr:uid="{00000000-0005-0000-0000-00004F6E0000}"/>
    <cellStyle name="Normal 3 2 2 8 2" xfId="15698" xr:uid="{00000000-0005-0000-0000-0000506E0000}"/>
    <cellStyle name="Normal 3 2 2 8 2 2" xfId="29184" xr:uid="{00000000-0005-0000-0000-0000516E0000}"/>
    <cellStyle name="Normal 3 2 2 8 3" xfId="31620" xr:uid="{00000000-0005-0000-0000-0000526E0000}"/>
    <cellStyle name="Normal 3 2 2 9" xfId="7326" xr:uid="{00000000-0005-0000-0000-0000536E0000}"/>
    <cellStyle name="Normal 3 2 2 9 2" xfId="15807" xr:uid="{00000000-0005-0000-0000-0000546E0000}"/>
    <cellStyle name="Normal 3 2 2 9 2 2" xfId="29214" xr:uid="{00000000-0005-0000-0000-0000556E0000}"/>
    <cellStyle name="Normal 3 2 2 9 3" xfId="31621" xr:uid="{00000000-0005-0000-0000-0000566E0000}"/>
    <cellStyle name="Normal 3 2 3" xfId="7327" xr:uid="{00000000-0005-0000-0000-0000576E0000}"/>
    <cellStyle name="Normal 3 2 3 10" xfId="32989" xr:uid="{00000000-0005-0000-0000-0000586E0000}"/>
    <cellStyle name="Normal 3 2 3 2" xfId="7328" xr:uid="{00000000-0005-0000-0000-0000596E0000}"/>
    <cellStyle name="Normal 3 2 3 2 2" xfId="11553" xr:uid="{00000000-0005-0000-0000-00005A6E0000}"/>
    <cellStyle name="Normal 3 2 3 2 2 2" xfId="25384" xr:uid="{00000000-0005-0000-0000-00005B6E0000}"/>
    <cellStyle name="Normal 3 2 3 2 3" xfId="31623" xr:uid="{00000000-0005-0000-0000-00005C6E0000}"/>
    <cellStyle name="Normal 3 2 3 2 4" xfId="32952" xr:uid="{00000000-0005-0000-0000-00005D6E0000}"/>
    <cellStyle name="Normal 3 2 3 2 5" xfId="33010" xr:uid="{00000000-0005-0000-0000-00005E6E0000}"/>
    <cellStyle name="Normal 3 2 3 3" xfId="7329" xr:uid="{00000000-0005-0000-0000-00005F6E0000}"/>
    <cellStyle name="Normal 3 2 3 3 2" xfId="13258" xr:uid="{00000000-0005-0000-0000-0000606E0000}"/>
    <cellStyle name="Normal 3 2 3 3 2 2" xfId="26894" xr:uid="{00000000-0005-0000-0000-0000616E0000}"/>
    <cellStyle name="Normal 3 2 3 3 3" xfId="31624" xr:uid="{00000000-0005-0000-0000-0000626E0000}"/>
    <cellStyle name="Normal 3 2 3 4" xfId="7330" xr:uid="{00000000-0005-0000-0000-0000636E0000}"/>
    <cellStyle name="Normal 3 2 3 4 2" xfId="15700" xr:uid="{00000000-0005-0000-0000-0000646E0000}"/>
    <cellStyle name="Normal 3 2 3 4 2 2" xfId="29186" xr:uid="{00000000-0005-0000-0000-0000656E0000}"/>
    <cellStyle name="Normal 3 2 3 4 3" xfId="31625" xr:uid="{00000000-0005-0000-0000-0000666E0000}"/>
    <cellStyle name="Normal 3 2 3 5" xfId="7331" xr:uid="{00000000-0005-0000-0000-0000676E0000}"/>
    <cellStyle name="Normal 3 2 3 5 2" xfId="15808" xr:uid="{00000000-0005-0000-0000-0000686E0000}"/>
    <cellStyle name="Normal 3 2 3 5 2 2" xfId="29215" xr:uid="{00000000-0005-0000-0000-0000696E0000}"/>
    <cellStyle name="Normal 3 2 3 5 3" xfId="31626" xr:uid="{00000000-0005-0000-0000-00006A6E0000}"/>
    <cellStyle name="Normal 3 2 3 6" xfId="8691" xr:uid="{00000000-0005-0000-0000-00006B6E0000}"/>
    <cellStyle name="Normal 3 2 3 6 2" xfId="17316" xr:uid="{00000000-0005-0000-0000-00006C6E0000}"/>
    <cellStyle name="Normal 3 2 3 6 2 2" xfId="30669" xr:uid="{00000000-0005-0000-0000-00006D6E0000}"/>
    <cellStyle name="Normal 3 2 3 6 3" xfId="23221" xr:uid="{00000000-0005-0000-0000-00006E6E0000}"/>
    <cellStyle name="Normal 3 2 3 7" xfId="8800" xr:uid="{00000000-0005-0000-0000-00006F6E0000}"/>
    <cellStyle name="Normal 3 2 3 7 2" xfId="23278" xr:uid="{00000000-0005-0000-0000-0000706E0000}"/>
    <cellStyle name="Normal 3 2 3 8" xfId="31622" xr:uid="{00000000-0005-0000-0000-0000716E0000}"/>
    <cellStyle name="Normal 3 2 3 9" xfId="32929" xr:uid="{00000000-0005-0000-0000-0000726E0000}"/>
    <cellStyle name="Normal 3 2 4" xfId="7332" xr:uid="{00000000-0005-0000-0000-0000736E0000}"/>
    <cellStyle name="Normal 3 2 4 10" xfId="32997" xr:uid="{00000000-0005-0000-0000-0000746E0000}"/>
    <cellStyle name="Normal 3 2 4 2" xfId="7333" xr:uid="{00000000-0005-0000-0000-0000756E0000}"/>
    <cellStyle name="Normal 3 2 4 2 2" xfId="11554" xr:uid="{00000000-0005-0000-0000-0000766E0000}"/>
    <cellStyle name="Normal 3 2 4 2 2 2" xfId="25385" xr:uid="{00000000-0005-0000-0000-0000776E0000}"/>
    <cellStyle name="Normal 3 2 4 2 3" xfId="31628" xr:uid="{00000000-0005-0000-0000-0000786E0000}"/>
    <cellStyle name="Normal 3 2 4 2 4" xfId="32953" xr:uid="{00000000-0005-0000-0000-0000796E0000}"/>
    <cellStyle name="Normal 3 2 4 2 5" xfId="33011" xr:uid="{00000000-0005-0000-0000-00007A6E0000}"/>
    <cellStyle name="Normal 3 2 4 3" xfId="7334" xr:uid="{00000000-0005-0000-0000-00007B6E0000}"/>
    <cellStyle name="Normal 3 2 4 3 2" xfId="13259" xr:uid="{00000000-0005-0000-0000-00007C6E0000}"/>
    <cellStyle name="Normal 3 2 4 3 2 2" xfId="26895" xr:uid="{00000000-0005-0000-0000-00007D6E0000}"/>
    <cellStyle name="Normal 3 2 4 3 3" xfId="31629" xr:uid="{00000000-0005-0000-0000-00007E6E0000}"/>
    <cellStyle name="Normal 3 2 4 4" xfId="7335" xr:uid="{00000000-0005-0000-0000-00007F6E0000}"/>
    <cellStyle name="Normal 3 2 4 4 2" xfId="15701" xr:uid="{00000000-0005-0000-0000-0000806E0000}"/>
    <cellStyle name="Normal 3 2 4 4 2 2" xfId="29187" xr:uid="{00000000-0005-0000-0000-0000816E0000}"/>
    <cellStyle name="Normal 3 2 4 4 3" xfId="31630" xr:uid="{00000000-0005-0000-0000-0000826E0000}"/>
    <cellStyle name="Normal 3 2 4 5" xfId="7336" xr:uid="{00000000-0005-0000-0000-0000836E0000}"/>
    <cellStyle name="Normal 3 2 4 5 2" xfId="15809" xr:uid="{00000000-0005-0000-0000-0000846E0000}"/>
    <cellStyle name="Normal 3 2 4 5 2 2" xfId="29216" xr:uid="{00000000-0005-0000-0000-0000856E0000}"/>
    <cellStyle name="Normal 3 2 4 5 3" xfId="31631" xr:uid="{00000000-0005-0000-0000-0000866E0000}"/>
    <cellStyle name="Normal 3 2 4 6" xfId="8706" xr:uid="{00000000-0005-0000-0000-0000876E0000}"/>
    <cellStyle name="Normal 3 2 4 6 2" xfId="17324" xr:uid="{00000000-0005-0000-0000-0000886E0000}"/>
    <cellStyle name="Normal 3 2 4 6 2 2" xfId="30677" xr:uid="{00000000-0005-0000-0000-0000896E0000}"/>
    <cellStyle name="Normal 3 2 4 6 3" xfId="23229" xr:uid="{00000000-0005-0000-0000-00008A6E0000}"/>
    <cellStyle name="Normal 3 2 4 7" xfId="8808" xr:uid="{00000000-0005-0000-0000-00008B6E0000}"/>
    <cellStyle name="Normal 3 2 4 7 2" xfId="23286" xr:uid="{00000000-0005-0000-0000-00008C6E0000}"/>
    <cellStyle name="Normal 3 2 4 8" xfId="31627" xr:uid="{00000000-0005-0000-0000-00008D6E0000}"/>
    <cellStyle name="Normal 3 2 4 9" xfId="32937" xr:uid="{00000000-0005-0000-0000-00008E6E0000}"/>
    <cellStyle name="Normal 3 2 5" xfId="7337" xr:uid="{00000000-0005-0000-0000-00008F6E0000}"/>
    <cellStyle name="Normal 3 2 5 10" xfId="32992" xr:uid="{00000000-0005-0000-0000-0000906E0000}"/>
    <cellStyle name="Normal 3 2 5 2" xfId="7338" xr:uid="{00000000-0005-0000-0000-0000916E0000}"/>
    <cellStyle name="Normal 3 2 5 2 2" xfId="11555" xr:uid="{00000000-0005-0000-0000-0000926E0000}"/>
    <cellStyle name="Normal 3 2 5 2 2 2" xfId="25386" xr:uid="{00000000-0005-0000-0000-0000936E0000}"/>
    <cellStyle name="Normal 3 2 5 2 3" xfId="31633" xr:uid="{00000000-0005-0000-0000-0000946E0000}"/>
    <cellStyle name="Normal 3 2 5 2 4" xfId="32954" xr:uid="{00000000-0005-0000-0000-0000956E0000}"/>
    <cellStyle name="Normal 3 2 5 2 5" xfId="33012" xr:uid="{00000000-0005-0000-0000-0000966E0000}"/>
    <cellStyle name="Normal 3 2 5 3" xfId="7339" xr:uid="{00000000-0005-0000-0000-0000976E0000}"/>
    <cellStyle name="Normal 3 2 5 3 2" xfId="13260" xr:uid="{00000000-0005-0000-0000-0000986E0000}"/>
    <cellStyle name="Normal 3 2 5 3 2 2" xfId="26896" xr:uid="{00000000-0005-0000-0000-0000996E0000}"/>
    <cellStyle name="Normal 3 2 5 3 3" xfId="31634" xr:uid="{00000000-0005-0000-0000-00009A6E0000}"/>
    <cellStyle name="Normal 3 2 5 4" xfId="7340" xr:uid="{00000000-0005-0000-0000-00009B6E0000}"/>
    <cellStyle name="Normal 3 2 5 4 2" xfId="15702" xr:uid="{00000000-0005-0000-0000-00009C6E0000}"/>
    <cellStyle name="Normal 3 2 5 4 2 2" xfId="29188" xr:uid="{00000000-0005-0000-0000-00009D6E0000}"/>
    <cellStyle name="Normal 3 2 5 4 3" xfId="31635" xr:uid="{00000000-0005-0000-0000-00009E6E0000}"/>
    <cellStyle name="Normal 3 2 5 5" xfId="7341" xr:uid="{00000000-0005-0000-0000-00009F6E0000}"/>
    <cellStyle name="Normal 3 2 5 5 2" xfId="15810" xr:uid="{00000000-0005-0000-0000-0000A06E0000}"/>
    <cellStyle name="Normal 3 2 5 5 2 2" xfId="29217" xr:uid="{00000000-0005-0000-0000-0000A16E0000}"/>
    <cellStyle name="Normal 3 2 5 5 3" xfId="31636" xr:uid="{00000000-0005-0000-0000-0000A26E0000}"/>
    <cellStyle name="Normal 3 2 5 6" xfId="8696" xr:uid="{00000000-0005-0000-0000-0000A36E0000}"/>
    <cellStyle name="Normal 3 2 5 6 2" xfId="17319" xr:uid="{00000000-0005-0000-0000-0000A46E0000}"/>
    <cellStyle name="Normal 3 2 5 6 2 2" xfId="30672" xr:uid="{00000000-0005-0000-0000-0000A56E0000}"/>
    <cellStyle name="Normal 3 2 5 6 3" xfId="23224" xr:uid="{00000000-0005-0000-0000-0000A66E0000}"/>
    <cellStyle name="Normal 3 2 5 7" xfId="8803" xr:uid="{00000000-0005-0000-0000-0000A76E0000}"/>
    <cellStyle name="Normal 3 2 5 7 2" xfId="23281" xr:uid="{00000000-0005-0000-0000-0000A86E0000}"/>
    <cellStyle name="Normal 3 2 5 8" xfId="31632" xr:uid="{00000000-0005-0000-0000-0000A96E0000}"/>
    <cellStyle name="Normal 3 2 5 9" xfId="32932" xr:uid="{00000000-0005-0000-0000-0000AA6E0000}"/>
    <cellStyle name="Normal 3 2 6" xfId="7342" xr:uid="{00000000-0005-0000-0000-0000AB6E0000}"/>
    <cellStyle name="Normal 3 2 6 2" xfId="8718" xr:uid="{00000000-0005-0000-0000-0000AC6E0000}"/>
    <cellStyle name="Normal 3 2 7" xfId="7343" xr:uid="{00000000-0005-0000-0000-0000AD6E0000}"/>
    <cellStyle name="Normal 3 2 7 2" xfId="7344" xr:uid="{00000000-0005-0000-0000-0000AE6E0000}"/>
    <cellStyle name="Normal 3 2 7 2 2" xfId="10193" xr:uid="{00000000-0005-0000-0000-0000AF6E0000}"/>
    <cellStyle name="Normal 3 2 7 3" xfId="7345" xr:uid="{00000000-0005-0000-0000-0000B06E0000}"/>
    <cellStyle name="Normal 3 2 7 3 2" xfId="7346" xr:uid="{00000000-0005-0000-0000-0000B16E0000}"/>
    <cellStyle name="Normal 3 2 7 3 2 2" xfId="13261" xr:uid="{00000000-0005-0000-0000-0000B26E0000}"/>
    <cellStyle name="Normal 3 2 7 3 3" xfId="11736" xr:uid="{00000000-0005-0000-0000-0000B36E0000}"/>
    <cellStyle name="Normal 3 2 7 3 3 2" xfId="25452" xr:uid="{00000000-0005-0000-0000-0000B46E0000}"/>
    <cellStyle name="Normal 3 2 7 4" xfId="10192" xr:uid="{00000000-0005-0000-0000-0000B56E0000}"/>
    <cellStyle name="Normal 3 2 7 5" xfId="32950" xr:uid="{00000000-0005-0000-0000-0000B66E0000}"/>
    <cellStyle name="Normal 3 2 7 6" xfId="33008" xr:uid="{00000000-0005-0000-0000-0000B76E0000}"/>
    <cellStyle name="Normal 3 2 8" xfId="7347" xr:uid="{00000000-0005-0000-0000-0000B86E0000}"/>
    <cellStyle name="Normal 3 2 8 2" xfId="7348" xr:uid="{00000000-0005-0000-0000-0000B96E0000}"/>
    <cellStyle name="Normal 3 2 8 2 2" xfId="13262" xr:uid="{00000000-0005-0000-0000-0000BA6E0000}"/>
    <cellStyle name="Normal 3 2 8 3" xfId="10522" xr:uid="{00000000-0005-0000-0000-0000BB6E0000}"/>
    <cellStyle name="Normal 3 2 9" xfId="7349" xr:uid="{00000000-0005-0000-0000-0000BC6E0000}"/>
    <cellStyle name="Normal 3 2 9 2" xfId="7350" xr:uid="{00000000-0005-0000-0000-0000BD6E0000}"/>
    <cellStyle name="Normal 3 2 9 2 2" xfId="13263" xr:uid="{00000000-0005-0000-0000-0000BE6E0000}"/>
    <cellStyle name="Normal 3 2 9 2 2 2" xfId="26897" xr:uid="{00000000-0005-0000-0000-0000BF6E0000}"/>
    <cellStyle name="Normal 3 2 9 2 3" xfId="31638" xr:uid="{00000000-0005-0000-0000-0000C06E0000}"/>
    <cellStyle name="Normal 3 2 9 3" xfId="7351" xr:uid="{00000000-0005-0000-0000-0000C16E0000}"/>
    <cellStyle name="Normal 3 2 9 3 2" xfId="15703" xr:uid="{00000000-0005-0000-0000-0000C26E0000}"/>
    <cellStyle name="Normal 3 2 9 3 2 2" xfId="29189" xr:uid="{00000000-0005-0000-0000-0000C36E0000}"/>
    <cellStyle name="Normal 3 2 9 3 3" xfId="31639" xr:uid="{00000000-0005-0000-0000-0000C46E0000}"/>
    <cellStyle name="Normal 3 2 9 4" xfId="11550" xr:uid="{00000000-0005-0000-0000-0000C56E0000}"/>
    <cellStyle name="Normal 3 2 9 4 2" xfId="25381" xr:uid="{00000000-0005-0000-0000-0000C66E0000}"/>
    <cellStyle name="Normal 3 2 9 5" xfId="31637" xr:uid="{00000000-0005-0000-0000-0000C76E0000}"/>
    <cellStyle name="Normal 3 3" xfId="7352" xr:uid="{00000000-0005-0000-0000-0000C86E0000}"/>
    <cellStyle name="Normal 3 3 10" xfId="7353" xr:uid="{00000000-0005-0000-0000-0000C96E0000}"/>
    <cellStyle name="Normal 3 3 10 2" xfId="7354" xr:uid="{00000000-0005-0000-0000-0000CA6E0000}"/>
    <cellStyle name="Normal 3 3 10 2 2" xfId="17203" xr:uid="{00000000-0005-0000-0000-0000CB6E0000}"/>
    <cellStyle name="Normal 3 3 10 2 2 2" xfId="30562" xr:uid="{00000000-0005-0000-0000-0000CC6E0000}"/>
    <cellStyle name="Normal 3 3 10 2 3" xfId="31642" xr:uid="{00000000-0005-0000-0000-0000CD6E0000}"/>
    <cellStyle name="Normal 3 3 10 3" xfId="13430" xr:uid="{00000000-0005-0000-0000-0000CE6E0000}"/>
    <cellStyle name="Normal 3 3 10 3 2" xfId="26979" xr:uid="{00000000-0005-0000-0000-0000CF6E0000}"/>
    <cellStyle name="Normal 3 3 10 4" xfId="31641" xr:uid="{00000000-0005-0000-0000-0000D06E0000}"/>
    <cellStyle name="Normal 3 3 11" xfId="7355" xr:uid="{00000000-0005-0000-0000-0000D16E0000}"/>
    <cellStyle name="Normal 3 3 11 2" xfId="7356" xr:uid="{00000000-0005-0000-0000-0000D26E0000}"/>
    <cellStyle name="Normal 3 3 11 2 2" xfId="17292" xr:uid="{00000000-0005-0000-0000-0000D36E0000}"/>
    <cellStyle name="Normal 3 3 11 2 2 2" xfId="30651" xr:uid="{00000000-0005-0000-0000-0000D46E0000}"/>
    <cellStyle name="Normal 3 3 11 2 3" xfId="31644" xr:uid="{00000000-0005-0000-0000-0000D56E0000}"/>
    <cellStyle name="Normal 3 3 11 3" xfId="14011" xr:uid="{00000000-0005-0000-0000-0000D66E0000}"/>
    <cellStyle name="Normal 3 3 11 3 2" xfId="27560" xr:uid="{00000000-0005-0000-0000-0000D76E0000}"/>
    <cellStyle name="Normal 3 3 11 4" xfId="31643" xr:uid="{00000000-0005-0000-0000-0000D86E0000}"/>
    <cellStyle name="Normal 3 3 12" xfId="7357" xr:uid="{00000000-0005-0000-0000-0000D96E0000}"/>
    <cellStyle name="Normal 3 3 12 2" xfId="7358" xr:uid="{00000000-0005-0000-0000-0000DA6E0000}"/>
    <cellStyle name="Normal 3 3 12 2 2" xfId="16478" xr:uid="{00000000-0005-0000-0000-0000DB6E0000}"/>
    <cellStyle name="Normal 3 3 12 2 2 2" xfId="29885" xr:uid="{00000000-0005-0000-0000-0000DC6E0000}"/>
    <cellStyle name="Normal 3 3 12 2 3" xfId="31646" xr:uid="{00000000-0005-0000-0000-0000DD6E0000}"/>
    <cellStyle name="Normal 3 3 12 3" xfId="15811" xr:uid="{00000000-0005-0000-0000-0000DE6E0000}"/>
    <cellStyle name="Normal 3 3 12 3 2" xfId="29218" xr:uid="{00000000-0005-0000-0000-0000DF6E0000}"/>
    <cellStyle name="Normal 3 3 12 4" xfId="31645" xr:uid="{00000000-0005-0000-0000-0000E06E0000}"/>
    <cellStyle name="Normal 3 3 13" xfId="7359" xr:uid="{00000000-0005-0000-0000-0000E16E0000}"/>
    <cellStyle name="Normal 3 3 13 2" xfId="15897" xr:uid="{00000000-0005-0000-0000-0000E26E0000}"/>
    <cellStyle name="Normal 3 3 13 2 2" xfId="29304" xr:uid="{00000000-0005-0000-0000-0000E36E0000}"/>
    <cellStyle name="Normal 3 3 13 3" xfId="31647" xr:uid="{00000000-0005-0000-0000-0000E46E0000}"/>
    <cellStyle name="Normal 3 3 14" xfId="8684" xr:uid="{00000000-0005-0000-0000-0000E56E0000}"/>
    <cellStyle name="Normal 3 3 14 2" xfId="17309" xr:uid="{00000000-0005-0000-0000-0000E66E0000}"/>
    <cellStyle name="Normal 3 3 14 2 2" xfId="30662" xr:uid="{00000000-0005-0000-0000-0000E76E0000}"/>
    <cellStyle name="Normal 3 3 14 3" xfId="23214" xr:uid="{00000000-0005-0000-0000-0000E86E0000}"/>
    <cellStyle name="Normal 3 3 15" xfId="8793" xr:uid="{00000000-0005-0000-0000-0000E96E0000}"/>
    <cellStyle name="Normal 3 3 15 2" xfId="23271" xr:uid="{00000000-0005-0000-0000-0000EA6E0000}"/>
    <cellStyle name="Normal 3 3 16" xfId="31640" xr:uid="{00000000-0005-0000-0000-0000EB6E0000}"/>
    <cellStyle name="Normal 3 3 17" xfId="32922" xr:uid="{00000000-0005-0000-0000-0000EC6E0000}"/>
    <cellStyle name="Normal 3 3 18" xfId="32982" xr:uid="{00000000-0005-0000-0000-0000ED6E0000}"/>
    <cellStyle name="Normal 3 3 2" xfId="7360" xr:uid="{00000000-0005-0000-0000-0000EE6E0000}"/>
    <cellStyle name="Normal 3 3 2 10" xfId="10194" xr:uid="{00000000-0005-0000-0000-0000EF6E0000}"/>
    <cellStyle name="Normal 3 3 2 10 2" xfId="24397" xr:uid="{00000000-0005-0000-0000-0000F06E0000}"/>
    <cellStyle name="Normal 3 3 2 11" xfId="31648" xr:uid="{00000000-0005-0000-0000-0000F16E0000}"/>
    <cellStyle name="Normal 3 3 2 12" xfId="32955" xr:uid="{00000000-0005-0000-0000-0000F26E0000}"/>
    <cellStyle name="Normal 3 3 2 13" xfId="33013" xr:uid="{00000000-0005-0000-0000-0000F36E0000}"/>
    <cellStyle name="Normal 3 3 2 2" xfId="7361" xr:uid="{00000000-0005-0000-0000-0000F46E0000}"/>
    <cellStyle name="Normal 3 3 2 2 10" xfId="31649" xr:uid="{00000000-0005-0000-0000-0000F56E0000}"/>
    <cellStyle name="Normal 3 3 2 2 2" xfId="7362" xr:uid="{00000000-0005-0000-0000-0000F66E0000}"/>
    <cellStyle name="Normal 3 3 2 2 2 2" xfId="7363" xr:uid="{00000000-0005-0000-0000-0000F76E0000}"/>
    <cellStyle name="Normal 3 3 2 2 2 2 2" xfId="7364" xr:uid="{00000000-0005-0000-0000-0000F86E0000}"/>
    <cellStyle name="Normal 3 3 2 2 2 2 2 2" xfId="7365" xr:uid="{00000000-0005-0000-0000-0000F96E0000}"/>
    <cellStyle name="Normal 3 3 2 2 2 2 2 2 2" xfId="16979" xr:uid="{00000000-0005-0000-0000-0000FA6E0000}"/>
    <cellStyle name="Normal 3 3 2 2 2 2 2 2 2 2" xfId="30386" xr:uid="{00000000-0005-0000-0000-0000FB6E0000}"/>
    <cellStyle name="Normal 3 3 2 2 2 2 2 2 3" xfId="31653" xr:uid="{00000000-0005-0000-0000-0000FC6E0000}"/>
    <cellStyle name="Normal 3 3 2 2 2 2 2 3" xfId="11560" xr:uid="{00000000-0005-0000-0000-0000FD6E0000}"/>
    <cellStyle name="Normal 3 3 2 2 2 2 2 3 2" xfId="25391" xr:uid="{00000000-0005-0000-0000-0000FE6E0000}"/>
    <cellStyle name="Normal 3 3 2 2 2 2 2 4" xfId="31652" xr:uid="{00000000-0005-0000-0000-0000FF6E0000}"/>
    <cellStyle name="Normal 3 3 2 2 2 2 3" xfId="7366" xr:uid="{00000000-0005-0000-0000-0000006F0000}"/>
    <cellStyle name="Normal 3 3 2 2 2 2 3 2" xfId="12367" xr:uid="{00000000-0005-0000-0000-0000016F0000}"/>
    <cellStyle name="Normal 3 3 2 2 2 2 3 2 2" xfId="26079" xr:uid="{00000000-0005-0000-0000-0000026F0000}"/>
    <cellStyle name="Normal 3 3 2 2 2 2 3 3" xfId="31654" xr:uid="{00000000-0005-0000-0000-0000036F0000}"/>
    <cellStyle name="Normal 3 3 2 2 2 2 4" xfId="7367" xr:uid="{00000000-0005-0000-0000-0000046F0000}"/>
    <cellStyle name="Normal 3 3 2 2 2 2 4 2" xfId="13931" xr:uid="{00000000-0005-0000-0000-0000056F0000}"/>
    <cellStyle name="Normal 3 3 2 2 2 2 4 2 2" xfId="27480" xr:uid="{00000000-0005-0000-0000-0000066F0000}"/>
    <cellStyle name="Normal 3 3 2 2 2 2 4 3" xfId="31655" xr:uid="{00000000-0005-0000-0000-0000076F0000}"/>
    <cellStyle name="Normal 3 3 2 2 2 2 5" xfId="7368" xr:uid="{00000000-0005-0000-0000-0000086F0000}"/>
    <cellStyle name="Normal 3 3 2 2 2 2 5 2" xfId="14512" xr:uid="{00000000-0005-0000-0000-0000096F0000}"/>
    <cellStyle name="Normal 3 3 2 2 2 2 5 2 2" xfId="28061" xr:uid="{00000000-0005-0000-0000-00000A6F0000}"/>
    <cellStyle name="Normal 3 3 2 2 2 2 5 3" xfId="31656" xr:uid="{00000000-0005-0000-0000-00000B6F0000}"/>
    <cellStyle name="Normal 3 3 2 2 2 2 6" xfId="7369" xr:uid="{00000000-0005-0000-0000-00000C6F0000}"/>
    <cellStyle name="Normal 3 3 2 2 2 2 6 2" xfId="16398" xr:uid="{00000000-0005-0000-0000-00000D6F0000}"/>
    <cellStyle name="Normal 3 3 2 2 2 2 6 2 2" xfId="29805" xr:uid="{00000000-0005-0000-0000-00000E6F0000}"/>
    <cellStyle name="Normal 3 3 2 2 2 2 6 3" xfId="31657" xr:uid="{00000000-0005-0000-0000-00000F6F0000}"/>
    <cellStyle name="Normal 3 3 2 2 2 2 7" xfId="10197" xr:uid="{00000000-0005-0000-0000-0000106F0000}"/>
    <cellStyle name="Normal 3 3 2 2 2 2 7 2" xfId="24400" xr:uid="{00000000-0005-0000-0000-0000116F0000}"/>
    <cellStyle name="Normal 3 3 2 2 2 2 8" xfId="31651" xr:uid="{00000000-0005-0000-0000-0000126F0000}"/>
    <cellStyle name="Normal 3 3 2 2 2 3" xfId="7370" xr:uid="{00000000-0005-0000-0000-0000136F0000}"/>
    <cellStyle name="Normal 3 3 2 2 2 3 2" xfId="7371" xr:uid="{00000000-0005-0000-0000-0000146F0000}"/>
    <cellStyle name="Normal 3 3 2 2 2 3 2 2" xfId="16690" xr:uid="{00000000-0005-0000-0000-0000156F0000}"/>
    <cellStyle name="Normal 3 3 2 2 2 3 2 2 2" xfId="30097" xr:uid="{00000000-0005-0000-0000-0000166F0000}"/>
    <cellStyle name="Normal 3 3 2 2 2 3 2 3" xfId="31659" xr:uid="{00000000-0005-0000-0000-0000176F0000}"/>
    <cellStyle name="Normal 3 3 2 2 2 3 3" xfId="11559" xr:uid="{00000000-0005-0000-0000-0000186F0000}"/>
    <cellStyle name="Normal 3 3 2 2 2 3 3 2" xfId="25390" xr:uid="{00000000-0005-0000-0000-0000196F0000}"/>
    <cellStyle name="Normal 3 3 2 2 2 3 4" xfId="31658" xr:uid="{00000000-0005-0000-0000-00001A6F0000}"/>
    <cellStyle name="Normal 3 3 2 2 2 4" xfId="7372" xr:uid="{00000000-0005-0000-0000-00001B6F0000}"/>
    <cellStyle name="Normal 3 3 2 2 2 4 2" xfId="12067" xr:uid="{00000000-0005-0000-0000-00001C6F0000}"/>
    <cellStyle name="Normal 3 3 2 2 2 4 2 2" xfId="25782" xr:uid="{00000000-0005-0000-0000-00001D6F0000}"/>
    <cellStyle name="Normal 3 3 2 2 2 4 3" xfId="31660" xr:uid="{00000000-0005-0000-0000-00001E6F0000}"/>
    <cellStyle name="Normal 3 3 2 2 2 5" xfId="7373" xr:uid="{00000000-0005-0000-0000-00001F6F0000}"/>
    <cellStyle name="Normal 3 3 2 2 2 5 2" xfId="13642" xr:uid="{00000000-0005-0000-0000-0000206F0000}"/>
    <cellStyle name="Normal 3 3 2 2 2 5 2 2" xfId="27191" xr:uid="{00000000-0005-0000-0000-0000216F0000}"/>
    <cellStyle name="Normal 3 3 2 2 2 5 3" xfId="31661" xr:uid="{00000000-0005-0000-0000-0000226F0000}"/>
    <cellStyle name="Normal 3 3 2 2 2 6" xfId="7374" xr:uid="{00000000-0005-0000-0000-0000236F0000}"/>
    <cellStyle name="Normal 3 3 2 2 2 6 2" xfId="14223" xr:uid="{00000000-0005-0000-0000-0000246F0000}"/>
    <cellStyle name="Normal 3 3 2 2 2 6 2 2" xfId="27772" xr:uid="{00000000-0005-0000-0000-0000256F0000}"/>
    <cellStyle name="Normal 3 3 2 2 2 6 3" xfId="31662" xr:uid="{00000000-0005-0000-0000-0000266F0000}"/>
    <cellStyle name="Normal 3 3 2 2 2 7" xfId="7375" xr:uid="{00000000-0005-0000-0000-0000276F0000}"/>
    <cellStyle name="Normal 3 3 2 2 2 7 2" xfId="16109" xr:uid="{00000000-0005-0000-0000-0000286F0000}"/>
    <cellStyle name="Normal 3 3 2 2 2 7 2 2" xfId="29516" xr:uid="{00000000-0005-0000-0000-0000296F0000}"/>
    <cellStyle name="Normal 3 3 2 2 2 7 3" xfId="31663" xr:uid="{00000000-0005-0000-0000-00002A6F0000}"/>
    <cellStyle name="Normal 3 3 2 2 2 8" xfId="10196" xr:uid="{00000000-0005-0000-0000-00002B6F0000}"/>
    <cellStyle name="Normal 3 3 2 2 2 8 2" xfId="24399" xr:uid="{00000000-0005-0000-0000-00002C6F0000}"/>
    <cellStyle name="Normal 3 3 2 2 2 9" xfId="31650" xr:uid="{00000000-0005-0000-0000-00002D6F0000}"/>
    <cellStyle name="Normal 3 3 2 2 3" xfId="7376" xr:uid="{00000000-0005-0000-0000-00002E6F0000}"/>
    <cellStyle name="Normal 3 3 2 2 3 2" xfId="7377" xr:uid="{00000000-0005-0000-0000-00002F6F0000}"/>
    <cellStyle name="Normal 3 3 2 2 3 2 2" xfId="7378" xr:uid="{00000000-0005-0000-0000-0000306F0000}"/>
    <cellStyle name="Normal 3 3 2 2 3 2 2 2" xfId="16836" xr:uid="{00000000-0005-0000-0000-0000316F0000}"/>
    <cellStyle name="Normal 3 3 2 2 3 2 2 2 2" xfId="30243" xr:uid="{00000000-0005-0000-0000-0000326F0000}"/>
    <cellStyle name="Normal 3 3 2 2 3 2 2 3" xfId="31666" xr:uid="{00000000-0005-0000-0000-0000336F0000}"/>
    <cellStyle name="Normal 3 3 2 2 3 2 3" xfId="11561" xr:uid="{00000000-0005-0000-0000-0000346F0000}"/>
    <cellStyle name="Normal 3 3 2 2 3 2 3 2" xfId="25392" xr:uid="{00000000-0005-0000-0000-0000356F0000}"/>
    <cellStyle name="Normal 3 3 2 2 3 2 4" xfId="31665" xr:uid="{00000000-0005-0000-0000-0000366F0000}"/>
    <cellStyle name="Normal 3 3 2 2 3 3" xfId="7379" xr:uid="{00000000-0005-0000-0000-0000376F0000}"/>
    <cellStyle name="Normal 3 3 2 2 3 3 2" xfId="12224" xr:uid="{00000000-0005-0000-0000-0000386F0000}"/>
    <cellStyle name="Normal 3 3 2 2 3 3 2 2" xfId="25936" xr:uid="{00000000-0005-0000-0000-0000396F0000}"/>
    <cellStyle name="Normal 3 3 2 2 3 3 3" xfId="31667" xr:uid="{00000000-0005-0000-0000-00003A6F0000}"/>
    <cellStyle name="Normal 3 3 2 2 3 4" xfId="7380" xr:uid="{00000000-0005-0000-0000-00003B6F0000}"/>
    <cellStyle name="Normal 3 3 2 2 3 4 2" xfId="13788" xr:uid="{00000000-0005-0000-0000-00003C6F0000}"/>
    <cellStyle name="Normal 3 3 2 2 3 4 2 2" xfId="27337" xr:uid="{00000000-0005-0000-0000-00003D6F0000}"/>
    <cellStyle name="Normal 3 3 2 2 3 4 3" xfId="31668" xr:uid="{00000000-0005-0000-0000-00003E6F0000}"/>
    <cellStyle name="Normal 3 3 2 2 3 5" xfId="7381" xr:uid="{00000000-0005-0000-0000-00003F6F0000}"/>
    <cellStyle name="Normal 3 3 2 2 3 5 2" xfId="14369" xr:uid="{00000000-0005-0000-0000-0000406F0000}"/>
    <cellStyle name="Normal 3 3 2 2 3 5 2 2" xfId="27918" xr:uid="{00000000-0005-0000-0000-0000416F0000}"/>
    <cellStyle name="Normal 3 3 2 2 3 5 3" xfId="31669" xr:uid="{00000000-0005-0000-0000-0000426F0000}"/>
    <cellStyle name="Normal 3 3 2 2 3 6" xfId="7382" xr:uid="{00000000-0005-0000-0000-0000436F0000}"/>
    <cellStyle name="Normal 3 3 2 2 3 6 2" xfId="16255" xr:uid="{00000000-0005-0000-0000-0000446F0000}"/>
    <cellStyle name="Normal 3 3 2 2 3 6 2 2" xfId="29662" xr:uid="{00000000-0005-0000-0000-0000456F0000}"/>
    <cellStyle name="Normal 3 3 2 2 3 6 3" xfId="31670" xr:uid="{00000000-0005-0000-0000-0000466F0000}"/>
    <cellStyle name="Normal 3 3 2 2 3 7" xfId="10198" xr:uid="{00000000-0005-0000-0000-0000476F0000}"/>
    <cellStyle name="Normal 3 3 2 2 3 7 2" xfId="24401" xr:uid="{00000000-0005-0000-0000-0000486F0000}"/>
    <cellStyle name="Normal 3 3 2 2 3 8" xfId="31664" xr:uid="{00000000-0005-0000-0000-0000496F0000}"/>
    <cellStyle name="Normal 3 3 2 2 4" xfId="7383" xr:uid="{00000000-0005-0000-0000-00004A6F0000}"/>
    <cellStyle name="Normal 3 3 2 2 4 2" xfId="7384" xr:uid="{00000000-0005-0000-0000-00004B6F0000}"/>
    <cellStyle name="Normal 3 3 2 2 4 2 2" xfId="17183" xr:uid="{00000000-0005-0000-0000-00004C6F0000}"/>
    <cellStyle name="Normal 3 3 2 2 4 2 2 2" xfId="30542" xr:uid="{00000000-0005-0000-0000-00004D6F0000}"/>
    <cellStyle name="Normal 3 3 2 2 4 2 3" xfId="31672" xr:uid="{00000000-0005-0000-0000-00004E6F0000}"/>
    <cellStyle name="Normal 3 3 2 2 4 3" xfId="11558" xr:uid="{00000000-0005-0000-0000-00004F6F0000}"/>
    <cellStyle name="Normal 3 3 2 2 4 3 2" xfId="25389" xr:uid="{00000000-0005-0000-0000-0000506F0000}"/>
    <cellStyle name="Normal 3 3 2 2 4 4" xfId="31671" xr:uid="{00000000-0005-0000-0000-0000516F0000}"/>
    <cellStyle name="Normal 3 3 2 2 5" xfId="7385" xr:uid="{00000000-0005-0000-0000-0000526F0000}"/>
    <cellStyle name="Normal 3 3 2 2 5 2" xfId="7386" xr:uid="{00000000-0005-0000-0000-0000536F0000}"/>
    <cellStyle name="Normal 3 3 2 2 5 2 2" xfId="17272" xr:uid="{00000000-0005-0000-0000-0000546F0000}"/>
    <cellStyle name="Normal 3 3 2 2 5 2 2 2" xfId="30631" xr:uid="{00000000-0005-0000-0000-0000556F0000}"/>
    <cellStyle name="Normal 3 3 2 2 5 2 3" xfId="31674" xr:uid="{00000000-0005-0000-0000-0000566F0000}"/>
    <cellStyle name="Normal 3 3 2 2 5 3" xfId="11922" xr:uid="{00000000-0005-0000-0000-0000576F0000}"/>
    <cellStyle name="Normal 3 3 2 2 5 3 2" xfId="25637" xr:uid="{00000000-0005-0000-0000-0000586F0000}"/>
    <cellStyle name="Normal 3 3 2 2 5 4" xfId="31673" xr:uid="{00000000-0005-0000-0000-0000596F0000}"/>
    <cellStyle name="Normal 3 3 2 2 6" xfId="7387" xr:uid="{00000000-0005-0000-0000-00005A6F0000}"/>
    <cellStyle name="Normal 3 3 2 2 6 2" xfId="7388" xr:uid="{00000000-0005-0000-0000-00005B6F0000}"/>
    <cellStyle name="Normal 3 3 2 2 6 2 2" xfId="16547" xr:uid="{00000000-0005-0000-0000-00005C6F0000}"/>
    <cellStyle name="Normal 3 3 2 2 6 2 2 2" xfId="29954" xr:uid="{00000000-0005-0000-0000-00005D6F0000}"/>
    <cellStyle name="Normal 3 3 2 2 6 2 3" xfId="31676" xr:uid="{00000000-0005-0000-0000-00005E6F0000}"/>
    <cellStyle name="Normal 3 3 2 2 6 3" xfId="13499" xr:uid="{00000000-0005-0000-0000-00005F6F0000}"/>
    <cellStyle name="Normal 3 3 2 2 6 3 2" xfId="27048" xr:uid="{00000000-0005-0000-0000-0000606F0000}"/>
    <cellStyle name="Normal 3 3 2 2 6 4" xfId="31675" xr:uid="{00000000-0005-0000-0000-0000616F0000}"/>
    <cellStyle name="Normal 3 3 2 2 7" xfId="7389" xr:uid="{00000000-0005-0000-0000-0000626F0000}"/>
    <cellStyle name="Normal 3 3 2 2 7 2" xfId="14080" xr:uid="{00000000-0005-0000-0000-0000636F0000}"/>
    <cellStyle name="Normal 3 3 2 2 7 2 2" xfId="27629" xr:uid="{00000000-0005-0000-0000-0000646F0000}"/>
    <cellStyle name="Normal 3 3 2 2 7 3" xfId="31677" xr:uid="{00000000-0005-0000-0000-0000656F0000}"/>
    <cellStyle name="Normal 3 3 2 2 8" xfId="7390" xr:uid="{00000000-0005-0000-0000-0000666F0000}"/>
    <cellStyle name="Normal 3 3 2 2 8 2" xfId="15966" xr:uid="{00000000-0005-0000-0000-0000676F0000}"/>
    <cellStyle name="Normal 3 3 2 2 8 2 2" xfId="29373" xr:uid="{00000000-0005-0000-0000-0000686F0000}"/>
    <cellStyle name="Normal 3 3 2 2 8 3" xfId="31678" xr:uid="{00000000-0005-0000-0000-0000696F0000}"/>
    <cellStyle name="Normal 3 3 2 2 9" xfId="10195" xr:uid="{00000000-0005-0000-0000-00006A6F0000}"/>
    <cellStyle name="Normal 3 3 2 2 9 2" xfId="24398" xr:uid="{00000000-0005-0000-0000-00006B6F0000}"/>
    <cellStyle name="Normal 3 3 2 3" xfId="7391" xr:uid="{00000000-0005-0000-0000-00006C6F0000}"/>
    <cellStyle name="Normal 3 3 2 3 2" xfId="7392" xr:uid="{00000000-0005-0000-0000-00006D6F0000}"/>
    <cellStyle name="Normal 3 3 2 3 2 2" xfId="7393" xr:uid="{00000000-0005-0000-0000-00006E6F0000}"/>
    <cellStyle name="Normal 3 3 2 3 2 2 2" xfId="7394" xr:uid="{00000000-0005-0000-0000-00006F6F0000}"/>
    <cellStyle name="Normal 3 3 2 3 2 2 2 2" xfId="16933" xr:uid="{00000000-0005-0000-0000-0000706F0000}"/>
    <cellStyle name="Normal 3 3 2 3 2 2 2 2 2" xfId="30340" xr:uid="{00000000-0005-0000-0000-0000716F0000}"/>
    <cellStyle name="Normal 3 3 2 3 2 2 2 3" xfId="31682" xr:uid="{00000000-0005-0000-0000-0000726F0000}"/>
    <cellStyle name="Normal 3 3 2 3 2 2 3" xfId="11563" xr:uid="{00000000-0005-0000-0000-0000736F0000}"/>
    <cellStyle name="Normal 3 3 2 3 2 2 3 2" xfId="25394" xr:uid="{00000000-0005-0000-0000-0000746F0000}"/>
    <cellStyle name="Normal 3 3 2 3 2 2 4" xfId="31681" xr:uid="{00000000-0005-0000-0000-0000756F0000}"/>
    <cellStyle name="Normal 3 3 2 3 2 3" xfId="7395" xr:uid="{00000000-0005-0000-0000-0000766F0000}"/>
    <cellStyle name="Normal 3 3 2 3 2 3 2" xfId="12321" xr:uid="{00000000-0005-0000-0000-0000776F0000}"/>
    <cellStyle name="Normal 3 3 2 3 2 3 2 2" xfId="26033" xr:uid="{00000000-0005-0000-0000-0000786F0000}"/>
    <cellStyle name="Normal 3 3 2 3 2 3 3" xfId="31683" xr:uid="{00000000-0005-0000-0000-0000796F0000}"/>
    <cellStyle name="Normal 3 3 2 3 2 4" xfId="7396" xr:uid="{00000000-0005-0000-0000-00007A6F0000}"/>
    <cellStyle name="Normal 3 3 2 3 2 4 2" xfId="13885" xr:uid="{00000000-0005-0000-0000-00007B6F0000}"/>
    <cellStyle name="Normal 3 3 2 3 2 4 2 2" xfId="27434" xr:uid="{00000000-0005-0000-0000-00007C6F0000}"/>
    <cellStyle name="Normal 3 3 2 3 2 4 3" xfId="31684" xr:uid="{00000000-0005-0000-0000-00007D6F0000}"/>
    <cellStyle name="Normal 3 3 2 3 2 5" xfId="7397" xr:uid="{00000000-0005-0000-0000-00007E6F0000}"/>
    <cellStyle name="Normal 3 3 2 3 2 5 2" xfId="14466" xr:uid="{00000000-0005-0000-0000-00007F6F0000}"/>
    <cellStyle name="Normal 3 3 2 3 2 5 2 2" xfId="28015" xr:uid="{00000000-0005-0000-0000-0000806F0000}"/>
    <cellStyle name="Normal 3 3 2 3 2 5 3" xfId="31685" xr:uid="{00000000-0005-0000-0000-0000816F0000}"/>
    <cellStyle name="Normal 3 3 2 3 2 6" xfId="7398" xr:uid="{00000000-0005-0000-0000-0000826F0000}"/>
    <cellStyle name="Normal 3 3 2 3 2 6 2" xfId="16352" xr:uid="{00000000-0005-0000-0000-0000836F0000}"/>
    <cellStyle name="Normal 3 3 2 3 2 6 2 2" xfId="29759" xr:uid="{00000000-0005-0000-0000-0000846F0000}"/>
    <cellStyle name="Normal 3 3 2 3 2 6 3" xfId="31686" xr:uid="{00000000-0005-0000-0000-0000856F0000}"/>
    <cellStyle name="Normal 3 3 2 3 2 7" xfId="10200" xr:uid="{00000000-0005-0000-0000-0000866F0000}"/>
    <cellStyle name="Normal 3 3 2 3 2 7 2" xfId="24403" xr:uid="{00000000-0005-0000-0000-0000876F0000}"/>
    <cellStyle name="Normal 3 3 2 3 2 8" xfId="31680" xr:uid="{00000000-0005-0000-0000-0000886F0000}"/>
    <cellStyle name="Normal 3 3 2 3 3" xfId="7399" xr:uid="{00000000-0005-0000-0000-0000896F0000}"/>
    <cellStyle name="Normal 3 3 2 3 3 2" xfId="7400" xr:uid="{00000000-0005-0000-0000-00008A6F0000}"/>
    <cellStyle name="Normal 3 3 2 3 3 2 2" xfId="16644" xr:uid="{00000000-0005-0000-0000-00008B6F0000}"/>
    <cellStyle name="Normal 3 3 2 3 3 2 2 2" xfId="30051" xr:uid="{00000000-0005-0000-0000-00008C6F0000}"/>
    <cellStyle name="Normal 3 3 2 3 3 2 3" xfId="31688" xr:uid="{00000000-0005-0000-0000-00008D6F0000}"/>
    <cellStyle name="Normal 3 3 2 3 3 3" xfId="11562" xr:uid="{00000000-0005-0000-0000-00008E6F0000}"/>
    <cellStyle name="Normal 3 3 2 3 3 3 2" xfId="25393" xr:uid="{00000000-0005-0000-0000-00008F6F0000}"/>
    <cellStyle name="Normal 3 3 2 3 3 4" xfId="31687" xr:uid="{00000000-0005-0000-0000-0000906F0000}"/>
    <cellStyle name="Normal 3 3 2 3 4" xfId="7401" xr:uid="{00000000-0005-0000-0000-0000916F0000}"/>
    <cellStyle name="Normal 3 3 2 3 4 2" xfId="12021" xr:uid="{00000000-0005-0000-0000-0000926F0000}"/>
    <cellStyle name="Normal 3 3 2 3 4 2 2" xfId="25736" xr:uid="{00000000-0005-0000-0000-0000936F0000}"/>
    <cellStyle name="Normal 3 3 2 3 4 3" xfId="31689" xr:uid="{00000000-0005-0000-0000-0000946F0000}"/>
    <cellStyle name="Normal 3 3 2 3 5" xfId="7402" xr:uid="{00000000-0005-0000-0000-0000956F0000}"/>
    <cellStyle name="Normal 3 3 2 3 5 2" xfId="13596" xr:uid="{00000000-0005-0000-0000-0000966F0000}"/>
    <cellStyle name="Normal 3 3 2 3 5 2 2" xfId="27145" xr:uid="{00000000-0005-0000-0000-0000976F0000}"/>
    <cellStyle name="Normal 3 3 2 3 5 3" xfId="31690" xr:uid="{00000000-0005-0000-0000-0000986F0000}"/>
    <cellStyle name="Normal 3 3 2 3 6" xfId="7403" xr:uid="{00000000-0005-0000-0000-0000996F0000}"/>
    <cellStyle name="Normal 3 3 2 3 6 2" xfId="14177" xr:uid="{00000000-0005-0000-0000-00009A6F0000}"/>
    <cellStyle name="Normal 3 3 2 3 6 2 2" xfId="27726" xr:uid="{00000000-0005-0000-0000-00009B6F0000}"/>
    <cellStyle name="Normal 3 3 2 3 6 3" xfId="31691" xr:uid="{00000000-0005-0000-0000-00009C6F0000}"/>
    <cellStyle name="Normal 3 3 2 3 7" xfId="7404" xr:uid="{00000000-0005-0000-0000-00009D6F0000}"/>
    <cellStyle name="Normal 3 3 2 3 7 2" xfId="16063" xr:uid="{00000000-0005-0000-0000-00009E6F0000}"/>
    <cellStyle name="Normal 3 3 2 3 7 2 2" xfId="29470" xr:uid="{00000000-0005-0000-0000-00009F6F0000}"/>
    <cellStyle name="Normal 3 3 2 3 7 3" xfId="31692" xr:uid="{00000000-0005-0000-0000-0000A06F0000}"/>
    <cellStyle name="Normal 3 3 2 3 8" xfId="10199" xr:uid="{00000000-0005-0000-0000-0000A16F0000}"/>
    <cellStyle name="Normal 3 3 2 3 8 2" xfId="24402" xr:uid="{00000000-0005-0000-0000-0000A26F0000}"/>
    <cellStyle name="Normal 3 3 2 3 9" xfId="31679" xr:uid="{00000000-0005-0000-0000-0000A36F0000}"/>
    <cellStyle name="Normal 3 3 2 4" xfId="7405" xr:uid="{00000000-0005-0000-0000-0000A46F0000}"/>
    <cellStyle name="Normal 3 3 2 4 2" xfId="7406" xr:uid="{00000000-0005-0000-0000-0000A56F0000}"/>
    <cellStyle name="Normal 3 3 2 4 2 2" xfId="7407" xr:uid="{00000000-0005-0000-0000-0000A66F0000}"/>
    <cellStyle name="Normal 3 3 2 4 2 2 2" xfId="16790" xr:uid="{00000000-0005-0000-0000-0000A76F0000}"/>
    <cellStyle name="Normal 3 3 2 4 2 2 2 2" xfId="30197" xr:uid="{00000000-0005-0000-0000-0000A86F0000}"/>
    <cellStyle name="Normal 3 3 2 4 2 2 3" xfId="31695" xr:uid="{00000000-0005-0000-0000-0000A96F0000}"/>
    <cellStyle name="Normal 3 3 2 4 2 3" xfId="11564" xr:uid="{00000000-0005-0000-0000-0000AA6F0000}"/>
    <cellStyle name="Normal 3 3 2 4 2 3 2" xfId="25395" xr:uid="{00000000-0005-0000-0000-0000AB6F0000}"/>
    <cellStyle name="Normal 3 3 2 4 2 4" xfId="31694" xr:uid="{00000000-0005-0000-0000-0000AC6F0000}"/>
    <cellStyle name="Normal 3 3 2 4 3" xfId="7408" xr:uid="{00000000-0005-0000-0000-0000AD6F0000}"/>
    <cellStyle name="Normal 3 3 2 4 3 2" xfId="12178" xr:uid="{00000000-0005-0000-0000-0000AE6F0000}"/>
    <cellStyle name="Normal 3 3 2 4 3 2 2" xfId="25890" xr:uid="{00000000-0005-0000-0000-0000AF6F0000}"/>
    <cellStyle name="Normal 3 3 2 4 3 3" xfId="31696" xr:uid="{00000000-0005-0000-0000-0000B06F0000}"/>
    <cellStyle name="Normal 3 3 2 4 4" xfId="7409" xr:uid="{00000000-0005-0000-0000-0000B16F0000}"/>
    <cellStyle name="Normal 3 3 2 4 4 2" xfId="13742" xr:uid="{00000000-0005-0000-0000-0000B26F0000}"/>
    <cellStyle name="Normal 3 3 2 4 4 2 2" xfId="27291" xr:uid="{00000000-0005-0000-0000-0000B36F0000}"/>
    <cellStyle name="Normal 3 3 2 4 4 3" xfId="31697" xr:uid="{00000000-0005-0000-0000-0000B46F0000}"/>
    <cellStyle name="Normal 3 3 2 4 5" xfId="7410" xr:uid="{00000000-0005-0000-0000-0000B56F0000}"/>
    <cellStyle name="Normal 3 3 2 4 5 2" xfId="14323" xr:uid="{00000000-0005-0000-0000-0000B66F0000}"/>
    <cellStyle name="Normal 3 3 2 4 5 2 2" xfId="27872" xr:uid="{00000000-0005-0000-0000-0000B76F0000}"/>
    <cellStyle name="Normal 3 3 2 4 5 3" xfId="31698" xr:uid="{00000000-0005-0000-0000-0000B86F0000}"/>
    <cellStyle name="Normal 3 3 2 4 6" xfId="7411" xr:uid="{00000000-0005-0000-0000-0000B96F0000}"/>
    <cellStyle name="Normal 3 3 2 4 6 2" xfId="16209" xr:uid="{00000000-0005-0000-0000-0000BA6F0000}"/>
    <cellStyle name="Normal 3 3 2 4 6 2 2" xfId="29616" xr:uid="{00000000-0005-0000-0000-0000BB6F0000}"/>
    <cellStyle name="Normal 3 3 2 4 6 3" xfId="31699" xr:uid="{00000000-0005-0000-0000-0000BC6F0000}"/>
    <cellStyle name="Normal 3 3 2 4 7" xfId="10201" xr:uid="{00000000-0005-0000-0000-0000BD6F0000}"/>
    <cellStyle name="Normal 3 3 2 4 7 2" xfId="24404" xr:uid="{00000000-0005-0000-0000-0000BE6F0000}"/>
    <cellStyle name="Normal 3 3 2 4 8" xfId="31693" xr:uid="{00000000-0005-0000-0000-0000BF6F0000}"/>
    <cellStyle name="Normal 3 3 2 5" xfId="7412" xr:uid="{00000000-0005-0000-0000-0000C06F0000}"/>
    <cellStyle name="Normal 3 3 2 5 2" xfId="7413" xr:uid="{00000000-0005-0000-0000-0000C16F0000}"/>
    <cellStyle name="Normal 3 3 2 5 2 2" xfId="17043" xr:uid="{00000000-0005-0000-0000-0000C26F0000}"/>
    <cellStyle name="Normal 3 3 2 5 2 2 2" xfId="30444" xr:uid="{00000000-0005-0000-0000-0000C36F0000}"/>
    <cellStyle name="Normal 3 3 2 5 2 3" xfId="31701" xr:uid="{00000000-0005-0000-0000-0000C46F0000}"/>
    <cellStyle name="Normal 3 3 2 5 3" xfId="11557" xr:uid="{00000000-0005-0000-0000-0000C56F0000}"/>
    <cellStyle name="Normal 3 3 2 5 3 2" xfId="25388" xr:uid="{00000000-0005-0000-0000-0000C66F0000}"/>
    <cellStyle name="Normal 3 3 2 5 4" xfId="31700" xr:uid="{00000000-0005-0000-0000-0000C76F0000}"/>
    <cellStyle name="Normal 3 3 2 6" xfId="7414" xr:uid="{00000000-0005-0000-0000-0000C86F0000}"/>
    <cellStyle name="Normal 3 3 2 6 2" xfId="7415" xr:uid="{00000000-0005-0000-0000-0000C96F0000}"/>
    <cellStyle name="Normal 3 3 2 6 2 2" xfId="17137" xr:uid="{00000000-0005-0000-0000-0000CA6F0000}"/>
    <cellStyle name="Normal 3 3 2 6 2 2 2" xfId="30496" xr:uid="{00000000-0005-0000-0000-0000CB6F0000}"/>
    <cellStyle name="Normal 3 3 2 6 2 3" xfId="31703" xr:uid="{00000000-0005-0000-0000-0000CC6F0000}"/>
    <cellStyle name="Normal 3 3 2 6 3" xfId="11865" xr:uid="{00000000-0005-0000-0000-0000CD6F0000}"/>
    <cellStyle name="Normal 3 3 2 6 3 2" xfId="25580" xr:uid="{00000000-0005-0000-0000-0000CE6F0000}"/>
    <cellStyle name="Normal 3 3 2 6 4" xfId="31702" xr:uid="{00000000-0005-0000-0000-0000CF6F0000}"/>
    <cellStyle name="Normal 3 3 2 7" xfId="7416" xr:uid="{00000000-0005-0000-0000-0000D06F0000}"/>
    <cellStyle name="Normal 3 3 2 7 2" xfId="7417" xr:uid="{00000000-0005-0000-0000-0000D16F0000}"/>
    <cellStyle name="Normal 3 3 2 7 2 2" xfId="17226" xr:uid="{00000000-0005-0000-0000-0000D26F0000}"/>
    <cellStyle name="Normal 3 3 2 7 2 2 2" xfId="30585" xr:uid="{00000000-0005-0000-0000-0000D36F0000}"/>
    <cellStyle name="Normal 3 3 2 7 2 3" xfId="31705" xr:uid="{00000000-0005-0000-0000-0000D46F0000}"/>
    <cellStyle name="Normal 3 3 2 7 3" xfId="13453" xr:uid="{00000000-0005-0000-0000-0000D56F0000}"/>
    <cellStyle name="Normal 3 3 2 7 3 2" xfId="27002" xr:uid="{00000000-0005-0000-0000-0000D66F0000}"/>
    <cellStyle name="Normal 3 3 2 7 4" xfId="31704" xr:uid="{00000000-0005-0000-0000-0000D76F0000}"/>
    <cellStyle name="Normal 3 3 2 8" xfId="7418" xr:uid="{00000000-0005-0000-0000-0000D86F0000}"/>
    <cellStyle name="Normal 3 3 2 8 2" xfId="7419" xr:uid="{00000000-0005-0000-0000-0000D96F0000}"/>
    <cellStyle name="Normal 3 3 2 8 2 2" xfId="16501" xr:uid="{00000000-0005-0000-0000-0000DA6F0000}"/>
    <cellStyle name="Normal 3 3 2 8 2 2 2" xfId="29908" xr:uid="{00000000-0005-0000-0000-0000DB6F0000}"/>
    <cellStyle name="Normal 3 3 2 8 2 3" xfId="31707" xr:uid="{00000000-0005-0000-0000-0000DC6F0000}"/>
    <cellStyle name="Normal 3 3 2 8 3" xfId="14034" xr:uid="{00000000-0005-0000-0000-0000DD6F0000}"/>
    <cellStyle name="Normal 3 3 2 8 3 2" xfId="27583" xr:uid="{00000000-0005-0000-0000-0000DE6F0000}"/>
    <cellStyle name="Normal 3 3 2 8 4" xfId="31706" xr:uid="{00000000-0005-0000-0000-0000DF6F0000}"/>
    <cellStyle name="Normal 3 3 2 9" xfId="7420" xr:uid="{00000000-0005-0000-0000-0000E06F0000}"/>
    <cellStyle name="Normal 3 3 2 9 2" xfId="15920" xr:uid="{00000000-0005-0000-0000-0000E16F0000}"/>
    <cellStyle name="Normal 3 3 2 9 2 2" xfId="29327" xr:uid="{00000000-0005-0000-0000-0000E26F0000}"/>
    <cellStyle name="Normal 3 3 2 9 3" xfId="31708" xr:uid="{00000000-0005-0000-0000-0000E36F0000}"/>
    <cellStyle name="Normal 3 3 3" xfId="7421" xr:uid="{00000000-0005-0000-0000-0000E46F0000}"/>
    <cellStyle name="Normal 3 3 3 10" xfId="31709" xr:uid="{00000000-0005-0000-0000-0000E56F0000}"/>
    <cellStyle name="Normal 3 3 3 2" xfId="7422" xr:uid="{00000000-0005-0000-0000-0000E66F0000}"/>
    <cellStyle name="Normal 3 3 3 2 2" xfId="7423" xr:uid="{00000000-0005-0000-0000-0000E76F0000}"/>
    <cellStyle name="Normal 3 3 3 2 2 2" xfId="7424" xr:uid="{00000000-0005-0000-0000-0000E86F0000}"/>
    <cellStyle name="Normal 3 3 3 2 2 2 2" xfId="7425" xr:uid="{00000000-0005-0000-0000-0000E96F0000}"/>
    <cellStyle name="Normal 3 3 3 2 2 2 2 2" xfId="16956" xr:uid="{00000000-0005-0000-0000-0000EA6F0000}"/>
    <cellStyle name="Normal 3 3 3 2 2 2 2 2 2" xfId="30363" xr:uid="{00000000-0005-0000-0000-0000EB6F0000}"/>
    <cellStyle name="Normal 3 3 3 2 2 2 2 3" xfId="31713" xr:uid="{00000000-0005-0000-0000-0000EC6F0000}"/>
    <cellStyle name="Normal 3 3 3 2 2 2 3" xfId="11567" xr:uid="{00000000-0005-0000-0000-0000ED6F0000}"/>
    <cellStyle name="Normal 3 3 3 2 2 2 3 2" xfId="25398" xr:uid="{00000000-0005-0000-0000-0000EE6F0000}"/>
    <cellStyle name="Normal 3 3 3 2 2 2 4" xfId="31712" xr:uid="{00000000-0005-0000-0000-0000EF6F0000}"/>
    <cellStyle name="Normal 3 3 3 2 2 3" xfId="7426" xr:uid="{00000000-0005-0000-0000-0000F06F0000}"/>
    <cellStyle name="Normal 3 3 3 2 2 3 2" xfId="12344" xr:uid="{00000000-0005-0000-0000-0000F16F0000}"/>
    <cellStyle name="Normal 3 3 3 2 2 3 2 2" xfId="26056" xr:uid="{00000000-0005-0000-0000-0000F26F0000}"/>
    <cellStyle name="Normal 3 3 3 2 2 3 3" xfId="31714" xr:uid="{00000000-0005-0000-0000-0000F36F0000}"/>
    <cellStyle name="Normal 3 3 3 2 2 4" xfId="7427" xr:uid="{00000000-0005-0000-0000-0000F46F0000}"/>
    <cellStyle name="Normal 3 3 3 2 2 4 2" xfId="13908" xr:uid="{00000000-0005-0000-0000-0000F56F0000}"/>
    <cellStyle name="Normal 3 3 3 2 2 4 2 2" xfId="27457" xr:uid="{00000000-0005-0000-0000-0000F66F0000}"/>
    <cellStyle name="Normal 3 3 3 2 2 4 3" xfId="31715" xr:uid="{00000000-0005-0000-0000-0000F76F0000}"/>
    <cellStyle name="Normal 3 3 3 2 2 5" xfId="7428" xr:uid="{00000000-0005-0000-0000-0000F86F0000}"/>
    <cellStyle name="Normal 3 3 3 2 2 5 2" xfId="14489" xr:uid="{00000000-0005-0000-0000-0000F96F0000}"/>
    <cellStyle name="Normal 3 3 3 2 2 5 2 2" xfId="28038" xr:uid="{00000000-0005-0000-0000-0000FA6F0000}"/>
    <cellStyle name="Normal 3 3 3 2 2 5 3" xfId="31716" xr:uid="{00000000-0005-0000-0000-0000FB6F0000}"/>
    <cellStyle name="Normal 3 3 3 2 2 6" xfId="7429" xr:uid="{00000000-0005-0000-0000-0000FC6F0000}"/>
    <cellStyle name="Normal 3 3 3 2 2 6 2" xfId="16375" xr:uid="{00000000-0005-0000-0000-0000FD6F0000}"/>
    <cellStyle name="Normal 3 3 3 2 2 6 2 2" xfId="29782" xr:uid="{00000000-0005-0000-0000-0000FE6F0000}"/>
    <cellStyle name="Normal 3 3 3 2 2 6 3" xfId="31717" xr:uid="{00000000-0005-0000-0000-0000FF6F0000}"/>
    <cellStyle name="Normal 3 3 3 2 2 7" xfId="10204" xr:uid="{00000000-0005-0000-0000-000000700000}"/>
    <cellStyle name="Normal 3 3 3 2 2 7 2" xfId="24407" xr:uid="{00000000-0005-0000-0000-000001700000}"/>
    <cellStyle name="Normal 3 3 3 2 2 8" xfId="31711" xr:uid="{00000000-0005-0000-0000-000002700000}"/>
    <cellStyle name="Normal 3 3 3 2 3" xfId="7430" xr:uid="{00000000-0005-0000-0000-000003700000}"/>
    <cellStyle name="Normal 3 3 3 2 3 2" xfId="7431" xr:uid="{00000000-0005-0000-0000-000004700000}"/>
    <cellStyle name="Normal 3 3 3 2 3 2 2" xfId="16667" xr:uid="{00000000-0005-0000-0000-000005700000}"/>
    <cellStyle name="Normal 3 3 3 2 3 2 2 2" xfId="30074" xr:uid="{00000000-0005-0000-0000-000006700000}"/>
    <cellStyle name="Normal 3 3 3 2 3 2 3" xfId="31719" xr:uid="{00000000-0005-0000-0000-000007700000}"/>
    <cellStyle name="Normal 3 3 3 2 3 3" xfId="11566" xr:uid="{00000000-0005-0000-0000-000008700000}"/>
    <cellStyle name="Normal 3 3 3 2 3 3 2" xfId="25397" xr:uid="{00000000-0005-0000-0000-000009700000}"/>
    <cellStyle name="Normal 3 3 3 2 3 4" xfId="31718" xr:uid="{00000000-0005-0000-0000-00000A700000}"/>
    <cellStyle name="Normal 3 3 3 2 4" xfId="7432" xr:uid="{00000000-0005-0000-0000-00000B700000}"/>
    <cellStyle name="Normal 3 3 3 2 4 2" xfId="12044" xr:uid="{00000000-0005-0000-0000-00000C700000}"/>
    <cellStyle name="Normal 3 3 3 2 4 2 2" xfId="25759" xr:uid="{00000000-0005-0000-0000-00000D700000}"/>
    <cellStyle name="Normal 3 3 3 2 4 3" xfId="31720" xr:uid="{00000000-0005-0000-0000-00000E700000}"/>
    <cellStyle name="Normal 3 3 3 2 5" xfId="7433" xr:uid="{00000000-0005-0000-0000-00000F700000}"/>
    <cellStyle name="Normal 3 3 3 2 5 2" xfId="13619" xr:uid="{00000000-0005-0000-0000-000010700000}"/>
    <cellStyle name="Normal 3 3 3 2 5 2 2" xfId="27168" xr:uid="{00000000-0005-0000-0000-000011700000}"/>
    <cellStyle name="Normal 3 3 3 2 5 3" xfId="31721" xr:uid="{00000000-0005-0000-0000-000012700000}"/>
    <cellStyle name="Normal 3 3 3 2 6" xfId="7434" xr:uid="{00000000-0005-0000-0000-000013700000}"/>
    <cellStyle name="Normal 3 3 3 2 6 2" xfId="14200" xr:uid="{00000000-0005-0000-0000-000014700000}"/>
    <cellStyle name="Normal 3 3 3 2 6 2 2" xfId="27749" xr:uid="{00000000-0005-0000-0000-000015700000}"/>
    <cellStyle name="Normal 3 3 3 2 6 3" xfId="31722" xr:uid="{00000000-0005-0000-0000-000016700000}"/>
    <cellStyle name="Normal 3 3 3 2 7" xfId="7435" xr:uid="{00000000-0005-0000-0000-000017700000}"/>
    <cellStyle name="Normal 3 3 3 2 7 2" xfId="16086" xr:uid="{00000000-0005-0000-0000-000018700000}"/>
    <cellStyle name="Normal 3 3 3 2 7 2 2" xfId="29493" xr:uid="{00000000-0005-0000-0000-000019700000}"/>
    <cellStyle name="Normal 3 3 3 2 7 3" xfId="31723" xr:uid="{00000000-0005-0000-0000-00001A700000}"/>
    <cellStyle name="Normal 3 3 3 2 8" xfId="10203" xr:uid="{00000000-0005-0000-0000-00001B700000}"/>
    <cellStyle name="Normal 3 3 3 2 8 2" xfId="24406" xr:uid="{00000000-0005-0000-0000-00001C700000}"/>
    <cellStyle name="Normal 3 3 3 2 9" xfId="31710" xr:uid="{00000000-0005-0000-0000-00001D700000}"/>
    <cellStyle name="Normal 3 3 3 3" xfId="7436" xr:uid="{00000000-0005-0000-0000-00001E700000}"/>
    <cellStyle name="Normal 3 3 3 3 2" xfId="7437" xr:uid="{00000000-0005-0000-0000-00001F700000}"/>
    <cellStyle name="Normal 3 3 3 3 2 2" xfId="7438" xr:uid="{00000000-0005-0000-0000-000020700000}"/>
    <cellStyle name="Normal 3 3 3 3 2 2 2" xfId="16813" xr:uid="{00000000-0005-0000-0000-000021700000}"/>
    <cellStyle name="Normal 3 3 3 3 2 2 2 2" xfId="30220" xr:uid="{00000000-0005-0000-0000-000022700000}"/>
    <cellStyle name="Normal 3 3 3 3 2 2 3" xfId="31726" xr:uid="{00000000-0005-0000-0000-000023700000}"/>
    <cellStyle name="Normal 3 3 3 3 2 3" xfId="11568" xr:uid="{00000000-0005-0000-0000-000024700000}"/>
    <cellStyle name="Normal 3 3 3 3 2 3 2" xfId="25399" xr:uid="{00000000-0005-0000-0000-000025700000}"/>
    <cellStyle name="Normal 3 3 3 3 2 4" xfId="31725" xr:uid="{00000000-0005-0000-0000-000026700000}"/>
    <cellStyle name="Normal 3 3 3 3 3" xfId="7439" xr:uid="{00000000-0005-0000-0000-000027700000}"/>
    <cellStyle name="Normal 3 3 3 3 3 2" xfId="12201" xr:uid="{00000000-0005-0000-0000-000028700000}"/>
    <cellStyle name="Normal 3 3 3 3 3 2 2" xfId="25913" xr:uid="{00000000-0005-0000-0000-000029700000}"/>
    <cellStyle name="Normal 3 3 3 3 3 3" xfId="31727" xr:uid="{00000000-0005-0000-0000-00002A700000}"/>
    <cellStyle name="Normal 3 3 3 3 4" xfId="7440" xr:uid="{00000000-0005-0000-0000-00002B700000}"/>
    <cellStyle name="Normal 3 3 3 3 4 2" xfId="13765" xr:uid="{00000000-0005-0000-0000-00002C700000}"/>
    <cellStyle name="Normal 3 3 3 3 4 2 2" xfId="27314" xr:uid="{00000000-0005-0000-0000-00002D700000}"/>
    <cellStyle name="Normal 3 3 3 3 4 3" xfId="31728" xr:uid="{00000000-0005-0000-0000-00002E700000}"/>
    <cellStyle name="Normal 3 3 3 3 5" xfId="7441" xr:uid="{00000000-0005-0000-0000-00002F700000}"/>
    <cellStyle name="Normal 3 3 3 3 5 2" xfId="14346" xr:uid="{00000000-0005-0000-0000-000030700000}"/>
    <cellStyle name="Normal 3 3 3 3 5 2 2" xfId="27895" xr:uid="{00000000-0005-0000-0000-000031700000}"/>
    <cellStyle name="Normal 3 3 3 3 5 3" xfId="31729" xr:uid="{00000000-0005-0000-0000-000032700000}"/>
    <cellStyle name="Normal 3 3 3 3 6" xfId="7442" xr:uid="{00000000-0005-0000-0000-000033700000}"/>
    <cellStyle name="Normal 3 3 3 3 6 2" xfId="16232" xr:uid="{00000000-0005-0000-0000-000034700000}"/>
    <cellStyle name="Normal 3 3 3 3 6 2 2" xfId="29639" xr:uid="{00000000-0005-0000-0000-000035700000}"/>
    <cellStyle name="Normal 3 3 3 3 6 3" xfId="31730" xr:uid="{00000000-0005-0000-0000-000036700000}"/>
    <cellStyle name="Normal 3 3 3 3 7" xfId="10205" xr:uid="{00000000-0005-0000-0000-000037700000}"/>
    <cellStyle name="Normal 3 3 3 3 7 2" xfId="24408" xr:uid="{00000000-0005-0000-0000-000038700000}"/>
    <cellStyle name="Normal 3 3 3 3 8" xfId="31724" xr:uid="{00000000-0005-0000-0000-000039700000}"/>
    <cellStyle name="Normal 3 3 3 4" xfId="7443" xr:uid="{00000000-0005-0000-0000-00003A700000}"/>
    <cellStyle name="Normal 3 3 3 4 2" xfId="7444" xr:uid="{00000000-0005-0000-0000-00003B700000}"/>
    <cellStyle name="Normal 3 3 3 4 2 2" xfId="17160" xr:uid="{00000000-0005-0000-0000-00003C700000}"/>
    <cellStyle name="Normal 3 3 3 4 2 2 2" xfId="30519" xr:uid="{00000000-0005-0000-0000-00003D700000}"/>
    <cellStyle name="Normal 3 3 3 4 2 3" xfId="31732" xr:uid="{00000000-0005-0000-0000-00003E700000}"/>
    <cellStyle name="Normal 3 3 3 4 3" xfId="11565" xr:uid="{00000000-0005-0000-0000-00003F700000}"/>
    <cellStyle name="Normal 3 3 3 4 3 2" xfId="25396" xr:uid="{00000000-0005-0000-0000-000040700000}"/>
    <cellStyle name="Normal 3 3 3 4 4" xfId="31731" xr:uid="{00000000-0005-0000-0000-000041700000}"/>
    <cellStyle name="Normal 3 3 3 5" xfId="7445" xr:uid="{00000000-0005-0000-0000-000042700000}"/>
    <cellStyle name="Normal 3 3 3 5 2" xfId="7446" xr:uid="{00000000-0005-0000-0000-000043700000}"/>
    <cellStyle name="Normal 3 3 3 5 2 2" xfId="17249" xr:uid="{00000000-0005-0000-0000-000044700000}"/>
    <cellStyle name="Normal 3 3 3 5 2 2 2" xfId="30608" xr:uid="{00000000-0005-0000-0000-000045700000}"/>
    <cellStyle name="Normal 3 3 3 5 2 3" xfId="31734" xr:uid="{00000000-0005-0000-0000-000046700000}"/>
    <cellStyle name="Normal 3 3 3 5 3" xfId="11899" xr:uid="{00000000-0005-0000-0000-000047700000}"/>
    <cellStyle name="Normal 3 3 3 5 3 2" xfId="25614" xr:uid="{00000000-0005-0000-0000-000048700000}"/>
    <cellStyle name="Normal 3 3 3 5 4" xfId="31733" xr:uid="{00000000-0005-0000-0000-000049700000}"/>
    <cellStyle name="Normal 3 3 3 6" xfId="7447" xr:uid="{00000000-0005-0000-0000-00004A700000}"/>
    <cellStyle name="Normal 3 3 3 6 2" xfId="7448" xr:uid="{00000000-0005-0000-0000-00004B700000}"/>
    <cellStyle name="Normal 3 3 3 6 2 2" xfId="16524" xr:uid="{00000000-0005-0000-0000-00004C700000}"/>
    <cellStyle name="Normal 3 3 3 6 2 2 2" xfId="29931" xr:uid="{00000000-0005-0000-0000-00004D700000}"/>
    <cellStyle name="Normal 3 3 3 6 2 3" xfId="31736" xr:uid="{00000000-0005-0000-0000-00004E700000}"/>
    <cellStyle name="Normal 3 3 3 6 3" xfId="13476" xr:uid="{00000000-0005-0000-0000-00004F700000}"/>
    <cellStyle name="Normal 3 3 3 6 3 2" xfId="27025" xr:uid="{00000000-0005-0000-0000-000050700000}"/>
    <cellStyle name="Normal 3 3 3 6 4" xfId="31735" xr:uid="{00000000-0005-0000-0000-000051700000}"/>
    <cellStyle name="Normal 3 3 3 7" xfId="7449" xr:uid="{00000000-0005-0000-0000-000052700000}"/>
    <cellStyle name="Normal 3 3 3 7 2" xfId="14057" xr:uid="{00000000-0005-0000-0000-000053700000}"/>
    <cellStyle name="Normal 3 3 3 7 2 2" xfId="27606" xr:uid="{00000000-0005-0000-0000-000054700000}"/>
    <cellStyle name="Normal 3 3 3 7 3" xfId="31737" xr:uid="{00000000-0005-0000-0000-000055700000}"/>
    <cellStyle name="Normal 3 3 3 8" xfId="7450" xr:uid="{00000000-0005-0000-0000-000056700000}"/>
    <cellStyle name="Normal 3 3 3 8 2" xfId="15943" xr:uid="{00000000-0005-0000-0000-000057700000}"/>
    <cellStyle name="Normal 3 3 3 8 2 2" xfId="29350" xr:uid="{00000000-0005-0000-0000-000058700000}"/>
    <cellStyle name="Normal 3 3 3 8 3" xfId="31738" xr:uid="{00000000-0005-0000-0000-000059700000}"/>
    <cellStyle name="Normal 3 3 3 9" xfId="10202" xr:uid="{00000000-0005-0000-0000-00005A700000}"/>
    <cellStyle name="Normal 3 3 3 9 2" xfId="24405" xr:uid="{00000000-0005-0000-0000-00005B700000}"/>
    <cellStyle name="Normal 3 3 4" xfId="7451" xr:uid="{00000000-0005-0000-0000-00005C700000}"/>
    <cellStyle name="Normal 3 3 4 10" xfId="31739" xr:uid="{00000000-0005-0000-0000-00005D700000}"/>
    <cellStyle name="Normal 3 3 4 2" xfId="7452" xr:uid="{00000000-0005-0000-0000-00005E700000}"/>
    <cellStyle name="Normal 3 3 4 2 2" xfId="7453" xr:uid="{00000000-0005-0000-0000-00005F700000}"/>
    <cellStyle name="Normal 3 3 4 2 2 2" xfId="7454" xr:uid="{00000000-0005-0000-0000-000060700000}"/>
    <cellStyle name="Normal 3 3 4 2 2 2 2" xfId="7455" xr:uid="{00000000-0005-0000-0000-000061700000}"/>
    <cellStyle name="Normal 3 3 4 2 2 2 2 2" xfId="16999" xr:uid="{00000000-0005-0000-0000-000062700000}"/>
    <cellStyle name="Normal 3 3 4 2 2 2 2 2 2" xfId="30406" xr:uid="{00000000-0005-0000-0000-000063700000}"/>
    <cellStyle name="Normal 3 3 4 2 2 2 2 3" xfId="31743" xr:uid="{00000000-0005-0000-0000-000064700000}"/>
    <cellStyle name="Normal 3 3 4 2 2 2 3" xfId="11571" xr:uid="{00000000-0005-0000-0000-000065700000}"/>
    <cellStyle name="Normal 3 3 4 2 2 2 3 2" xfId="25402" xr:uid="{00000000-0005-0000-0000-000066700000}"/>
    <cellStyle name="Normal 3 3 4 2 2 2 4" xfId="31742" xr:uid="{00000000-0005-0000-0000-000067700000}"/>
    <cellStyle name="Normal 3 3 4 2 2 3" xfId="7456" xr:uid="{00000000-0005-0000-0000-000068700000}"/>
    <cellStyle name="Normal 3 3 4 2 2 3 2" xfId="12387" xr:uid="{00000000-0005-0000-0000-000069700000}"/>
    <cellStyle name="Normal 3 3 4 2 2 3 2 2" xfId="26099" xr:uid="{00000000-0005-0000-0000-00006A700000}"/>
    <cellStyle name="Normal 3 3 4 2 2 3 3" xfId="31744" xr:uid="{00000000-0005-0000-0000-00006B700000}"/>
    <cellStyle name="Normal 3 3 4 2 2 4" xfId="7457" xr:uid="{00000000-0005-0000-0000-00006C700000}"/>
    <cellStyle name="Normal 3 3 4 2 2 4 2" xfId="13951" xr:uid="{00000000-0005-0000-0000-00006D700000}"/>
    <cellStyle name="Normal 3 3 4 2 2 4 2 2" xfId="27500" xr:uid="{00000000-0005-0000-0000-00006E700000}"/>
    <cellStyle name="Normal 3 3 4 2 2 4 3" xfId="31745" xr:uid="{00000000-0005-0000-0000-00006F700000}"/>
    <cellStyle name="Normal 3 3 4 2 2 5" xfId="7458" xr:uid="{00000000-0005-0000-0000-000070700000}"/>
    <cellStyle name="Normal 3 3 4 2 2 5 2" xfId="14532" xr:uid="{00000000-0005-0000-0000-000071700000}"/>
    <cellStyle name="Normal 3 3 4 2 2 5 2 2" xfId="28081" xr:uid="{00000000-0005-0000-0000-000072700000}"/>
    <cellStyle name="Normal 3 3 4 2 2 5 3" xfId="31746" xr:uid="{00000000-0005-0000-0000-000073700000}"/>
    <cellStyle name="Normal 3 3 4 2 2 6" xfId="7459" xr:uid="{00000000-0005-0000-0000-000074700000}"/>
    <cellStyle name="Normal 3 3 4 2 2 6 2" xfId="16418" xr:uid="{00000000-0005-0000-0000-000075700000}"/>
    <cellStyle name="Normal 3 3 4 2 2 6 2 2" xfId="29825" xr:uid="{00000000-0005-0000-0000-000076700000}"/>
    <cellStyle name="Normal 3 3 4 2 2 6 3" xfId="31747" xr:uid="{00000000-0005-0000-0000-000077700000}"/>
    <cellStyle name="Normal 3 3 4 2 2 7" xfId="10208" xr:uid="{00000000-0005-0000-0000-000078700000}"/>
    <cellStyle name="Normal 3 3 4 2 2 7 2" xfId="24411" xr:uid="{00000000-0005-0000-0000-000079700000}"/>
    <cellStyle name="Normal 3 3 4 2 2 8" xfId="31741" xr:uid="{00000000-0005-0000-0000-00007A700000}"/>
    <cellStyle name="Normal 3 3 4 2 3" xfId="7460" xr:uid="{00000000-0005-0000-0000-00007B700000}"/>
    <cellStyle name="Normal 3 3 4 2 3 2" xfId="7461" xr:uid="{00000000-0005-0000-0000-00007C700000}"/>
    <cellStyle name="Normal 3 3 4 2 3 2 2" xfId="16710" xr:uid="{00000000-0005-0000-0000-00007D700000}"/>
    <cellStyle name="Normal 3 3 4 2 3 2 2 2" xfId="30117" xr:uid="{00000000-0005-0000-0000-00007E700000}"/>
    <cellStyle name="Normal 3 3 4 2 3 2 3" xfId="31749" xr:uid="{00000000-0005-0000-0000-00007F700000}"/>
    <cellStyle name="Normal 3 3 4 2 3 3" xfId="11570" xr:uid="{00000000-0005-0000-0000-000080700000}"/>
    <cellStyle name="Normal 3 3 4 2 3 3 2" xfId="25401" xr:uid="{00000000-0005-0000-0000-000081700000}"/>
    <cellStyle name="Normal 3 3 4 2 3 4" xfId="31748" xr:uid="{00000000-0005-0000-0000-000082700000}"/>
    <cellStyle name="Normal 3 3 4 2 4" xfId="7462" xr:uid="{00000000-0005-0000-0000-000083700000}"/>
    <cellStyle name="Normal 3 3 4 2 4 2" xfId="12087" xr:uid="{00000000-0005-0000-0000-000084700000}"/>
    <cellStyle name="Normal 3 3 4 2 4 2 2" xfId="25802" xr:uid="{00000000-0005-0000-0000-000085700000}"/>
    <cellStyle name="Normal 3 3 4 2 4 3" xfId="31750" xr:uid="{00000000-0005-0000-0000-000086700000}"/>
    <cellStyle name="Normal 3 3 4 2 5" xfId="7463" xr:uid="{00000000-0005-0000-0000-000087700000}"/>
    <cellStyle name="Normal 3 3 4 2 5 2" xfId="13662" xr:uid="{00000000-0005-0000-0000-000088700000}"/>
    <cellStyle name="Normal 3 3 4 2 5 2 2" xfId="27211" xr:uid="{00000000-0005-0000-0000-000089700000}"/>
    <cellStyle name="Normal 3 3 4 2 5 3" xfId="31751" xr:uid="{00000000-0005-0000-0000-00008A700000}"/>
    <cellStyle name="Normal 3 3 4 2 6" xfId="7464" xr:uid="{00000000-0005-0000-0000-00008B700000}"/>
    <cellStyle name="Normal 3 3 4 2 6 2" xfId="14243" xr:uid="{00000000-0005-0000-0000-00008C700000}"/>
    <cellStyle name="Normal 3 3 4 2 6 2 2" xfId="27792" xr:uid="{00000000-0005-0000-0000-00008D700000}"/>
    <cellStyle name="Normal 3 3 4 2 6 3" xfId="31752" xr:uid="{00000000-0005-0000-0000-00008E700000}"/>
    <cellStyle name="Normal 3 3 4 2 7" xfId="7465" xr:uid="{00000000-0005-0000-0000-00008F700000}"/>
    <cellStyle name="Normal 3 3 4 2 7 2" xfId="16129" xr:uid="{00000000-0005-0000-0000-000090700000}"/>
    <cellStyle name="Normal 3 3 4 2 7 2 2" xfId="29536" xr:uid="{00000000-0005-0000-0000-000091700000}"/>
    <cellStyle name="Normal 3 3 4 2 7 3" xfId="31753" xr:uid="{00000000-0005-0000-0000-000092700000}"/>
    <cellStyle name="Normal 3 3 4 2 8" xfId="10207" xr:uid="{00000000-0005-0000-0000-000093700000}"/>
    <cellStyle name="Normal 3 3 4 2 8 2" xfId="24410" xr:uid="{00000000-0005-0000-0000-000094700000}"/>
    <cellStyle name="Normal 3 3 4 2 9" xfId="31740" xr:uid="{00000000-0005-0000-0000-000095700000}"/>
    <cellStyle name="Normal 3 3 4 3" xfId="7466" xr:uid="{00000000-0005-0000-0000-000096700000}"/>
    <cellStyle name="Normal 3 3 4 3 2" xfId="7467" xr:uid="{00000000-0005-0000-0000-000097700000}"/>
    <cellStyle name="Normal 3 3 4 3 2 2" xfId="7468" xr:uid="{00000000-0005-0000-0000-000098700000}"/>
    <cellStyle name="Normal 3 3 4 3 2 2 2" xfId="16856" xr:uid="{00000000-0005-0000-0000-000099700000}"/>
    <cellStyle name="Normal 3 3 4 3 2 2 2 2" xfId="30263" xr:uid="{00000000-0005-0000-0000-00009A700000}"/>
    <cellStyle name="Normal 3 3 4 3 2 2 3" xfId="31756" xr:uid="{00000000-0005-0000-0000-00009B700000}"/>
    <cellStyle name="Normal 3 3 4 3 2 3" xfId="11572" xr:uid="{00000000-0005-0000-0000-00009C700000}"/>
    <cellStyle name="Normal 3 3 4 3 2 3 2" xfId="25403" xr:uid="{00000000-0005-0000-0000-00009D700000}"/>
    <cellStyle name="Normal 3 3 4 3 2 4" xfId="31755" xr:uid="{00000000-0005-0000-0000-00009E700000}"/>
    <cellStyle name="Normal 3 3 4 3 3" xfId="7469" xr:uid="{00000000-0005-0000-0000-00009F700000}"/>
    <cellStyle name="Normal 3 3 4 3 3 2" xfId="12244" xr:uid="{00000000-0005-0000-0000-0000A0700000}"/>
    <cellStyle name="Normal 3 3 4 3 3 2 2" xfId="25956" xr:uid="{00000000-0005-0000-0000-0000A1700000}"/>
    <cellStyle name="Normal 3 3 4 3 3 3" xfId="31757" xr:uid="{00000000-0005-0000-0000-0000A2700000}"/>
    <cellStyle name="Normal 3 3 4 3 4" xfId="7470" xr:uid="{00000000-0005-0000-0000-0000A3700000}"/>
    <cellStyle name="Normal 3 3 4 3 4 2" xfId="13808" xr:uid="{00000000-0005-0000-0000-0000A4700000}"/>
    <cellStyle name="Normal 3 3 4 3 4 2 2" xfId="27357" xr:uid="{00000000-0005-0000-0000-0000A5700000}"/>
    <cellStyle name="Normal 3 3 4 3 4 3" xfId="31758" xr:uid="{00000000-0005-0000-0000-0000A6700000}"/>
    <cellStyle name="Normal 3 3 4 3 5" xfId="7471" xr:uid="{00000000-0005-0000-0000-0000A7700000}"/>
    <cellStyle name="Normal 3 3 4 3 5 2" xfId="14389" xr:uid="{00000000-0005-0000-0000-0000A8700000}"/>
    <cellStyle name="Normal 3 3 4 3 5 2 2" xfId="27938" xr:uid="{00000000-0005-0000-0000-0000A9700000}"/>
    <cellStyle name="Normal 3 3 4 3 5 3" xfId="31759" xr:uid="{00000000-0005-0000-0000-0000AA700000}"/>
    <cellStyle name="Normal 3 3 4 3 6" xfId="7472" xr:uid="{00000000-0005-0000-0000-0000AB700000}"/>
    <cellStyle name="Normal 3 3 4 3 6 2" xfId="16275" xr:uid="{00000000-0005-0000-0000-0000AC700000}"/>
    <cellStyle name="Normal 3 3 4 3 6 2 2" xfId="29682" xr:uid="{00000000-0005-0000-0000-0000AD700000}"/>
    <cellStyle name="Normal 3 3 4 3 6 3" xfId="31760" xr:uid="{00000000-0005-0000-0000-0000AE700000}"/>
    <cellStyle name="Normal 3 3 4 3 7" xfId="10209" xr:uid="{00000000-0005-0000-0000-0000AF700000}"/>
    <cellStyle name="Normal 3 3 4 3 7 2" xfId="24412" xr:uid="{00000000-0005-0000-0000-0000B0700000}"/>
    <cellStyle name="Normal 3 3 4 3 8" xfId="31754" xr:uid="{00000000-0005-0000-0000-0000B1700000}"/>
    <cellStyle name="Normal 3 3 4 4" xfId="7473" xr:uid="{00000000-0005-0000-0000-0000B2700000}"/>
    <cellStyle name="Normal 3 3 4 4 2" xfId="7474" xr:uid="{00000000-0005-0000-0000-0000B3700000}"/>
    <cellStyle name="Normal 3 3 4 4 2 2" xfId="16567" xr:uid="{00000000-0005-0000-0000-0000B4700000}"/>
    <cellStyle name="Normal 3 3 4 4 2 2 2" xfId="29974" xr:uid="{00000000-0005-0000-0000-0000B5700000}"/>
    <cellStyle name="Normal 3 3 4 4 2 3" xfId="31762" xr:uid="{00000000-0005-0000-0000-0000B6700000}"/>
    <cellStyle name="Normal 3 3 4 4 3" xfId="11569" xr:uid="{00000000-0005-0000-0000-0000B7700000}"/>
    <cellStyle name="Normal 3 3 4 4 3 2" xfId="25400" xr:uid="{00000000-0005-0000-0000-0000B8700000}"/>
    <cellStyle name="Normal 3 3 4 4 4" xfId="31761" xr:uid="{00000000-0005-0000-0000-0000B9700000}"/>
    <cellStyle name="Normal 3 3 4 5" xfId="7475" xr:uid="{00000000-0005-0000-0000-0000BA700000}"/>
    <cellStyle name="Normal 3 3 4 5 2" xfId="11942" xr:uid="{00000000-0005-0000-0000-0000BB700000}"/>
    <cellStyle name="Normal 3 3 4 5 2 2" xfId="25657" xr:uid="{00000000-0005-0000-0000-0000BC700000}"/>
    <cellStyle name="Normal 3 3 4 5 3" xfId="31763" xr:uid="{00000000-0005-0000-0000-0000BD700000}"/>
    <cellStyle name="Normal 3 3 4 6" xfId="7476" xr:uid="{00000000-0005-0000-0000-0000BE700000}"/>
    <cellStyle name="Normal 3 3 4 6 2" xfId="13519" xr:uid="{00000000-0005-0000-0000-0000BF700000}"/>
    <cellStyle name="Normal 3 3 4 6 2 2" xfId="27068" xr:uid="{00000000-0005-0000-0000-0000C0700000}"/>
    <cellStyle name="Normal 3 3 4 6 3" xfId="31764" xr:uid="{00000000-0005-0000-0000-0000C1700000}"/>
    <cellStyle name="Normal 3 3 4 7" xfId="7477" xr:uid="{00000000-0005-0000-0000-0000C2700000}"/>
    <cellStyle name="Normal 3 3 4 7 2" xfId="14100" xr:uid="{00000000-0005-0000-0000-0000C3700000}"/>
    <cellStyle name="Normal 3 3 4 7 2 2" xfId="27649" xr:uid="{00000000-0005-0000-0000-0000C4700000}"/>
    <cellStyle name="Normal 3 3 4 7 3" xfId="31765" xr:uid="{00000000-0005-0000-0000-0000C5700000}"/>
    <cellStyle name="Normal 3 3 4 8" xfId="7478" xr:uid="{00000000-0005-0000-0000-0000C6700000}"/>
    <cellStyle name="Normal 3 3 4 8 2" xfId="15986" xr:uid="{00000000-0005-0000-0000-0000C7700000}"/>
    <cellStyle name="Normal 3 3 4 8 2 2" xfId="29393" xr:uid="{00000000-0005-0000-0000-0000C8700000}"/>
    <cellStyle name="Normal 3 3 4 8 3" xfId="31766" xr:uid="{00000000-0005-0000-0000-0000C9700000}"/>
    <cellStyle name="Normal 3 3 4 9" xfId="10206" xr:uid="{00000000-0005-0000-0000-0000CA700000}"/>
    <cellStyle name="Normal 3 3 4 9 2" xfId="24409" xr:uid="{00000000-0005-0000-0000-0000CB700000}"/>
    <cellStyle name="Normal 3 3 5" xfId="7479" xr:uid="{00000000-0005-0000-0000-0000CC700000}"/>
    <cellStyle name="Normal 3 3 5 2" xfId="7480" xr:uid="{00000000-0005-0000-0000-0000CD700000}"/>
    <cellStyle name="Normal 3 3 5 2 2" xfId="7481" xr:uid="{00000000-0005-0000-0000-0000CE700000}"/>
    <cellStyle name="Normal 3 3 5 2 2 2" xfId="7482" xr:uid="{00000000-0005-0000-0000-0000CF700000}"/>
    <cellStyle name="Normal 3 3 5 2 2 2 2" xfId="16910" xr:uid="{00000000-0005-0000-0000-0000D0700000}"/>
    <cellStyle name="Normal 3 3 5 2 2 2 2 2" xfId="30317" xr:uid="{00000000-0005-0000-0000-0000D1700000}"/>
    <cellStyle name="Normal 3 3 5 2 2 2 3" xfId="31770" xr:uid="{00000000-0005-0000-0000-0000D2700000}"/>
    <cellStyle name="Normal 3 3 5 2 2 3" xfId="11574" xr:uid="{00000000-0005-0000-0000-0000D3700000}"/>
    <cellStyle name="Normal 3 3 5 2 2 3 2" xfId="25405" xr:uid="{00000000-0005-0000-0000-0000D4700000}"/>
    <cellStyle name="Normal 3 3 5 2 2 4" xfId="31769" xr:uid="{00000000-0005-0000-0000-0000D5700000}"/>
    <cellStyle name="Normal 3 3 5 2 3" xfId="7483" xr:uid="{00000000-0005-0000-0000-0000D6700000}"/>
    <cellStyle name="Normal 3 3 5 2 3 2" xfId="12298" xr:uid="{00000000-0005-0000-0000-0000D7700000}"/>
    <cellStyle name="Normal 3 3 5 2 3 2 2" xfId="26010" xr:uid="{00000000-0005-0000-0000-0000D8700000}"/>
    <cellStyle name="Normal 3 3 5 2 3 3" xfId="31771" xr:uid="{00000000-0005-0000-0000-0000D9700000}"/>
    <cellStyle name="Normal 3 3 5 2 4" xfId="7484" xr:uid="{00000000-0005-0000-0000-0000DA700000}"/>
    <cellStyle name="Normal 3 3 5 2 4 2" xfId="13862" xr:uid="{00000000-0005-0000-0000-0000DB700000}"/>
    <cellStyle name="Normal 3 3 5 2 4 2 2" xfId="27411" xr:uid="{00000000-0005-0000-0000-0000DC700000}"/>
    <cellStyle name="Normal 3 3 5 2 4 3" xfId="31772" xr:uid="{00000000-0005-0000-0000-0000DD700000}"/>
    <cellStyle name="Normal 3 3 5 2 5" xfId="7485" xr:uid="{00000000-0005-0000-0000-0000DE700000}"/>
    <cellStyle name="Normal 3 3 5 2 5 2" xfId="14443" xr:uid="{00000000-0005-0000-0000-0000DF700000}"/>
    <cellStyle name="Normal 3 3 5 2 5 2 2" xfId="27992" xr:uid="{00000000-0005-0000-0000-0000E0700000}"/>
    <cellStyle name="Normal 3 3 5 2 5 3" xfId="31773" xr:uid="{00000000-0005-0000-0000-0000E1700000}"/>
    <cellStyle name="Normal 3 3 5 2 6" xfId="7486" xr:uid="{00000000-0005-0000-0000-0000E2700000}"/>
    <cellStyle name="Normal 3 3 5 2 6 2" xfId="16329" xr:uid="{00000000-0005-0000-0000-0000E3700000}"/>
    <cellStyle name="Normal 3 3 5 2 6 2 2" xfId="29736" xr:uid="{00000000-0005-0000-0000-0000E4700000}"/>
    <cellStyle name="Normal 3 3 5 2 6 3" xfId="31774" xr:uid="{00000000-0005-0000-0000-0000E5700000}"/>
    <cellStyle name="Normal 3 3 5 2 7" xfId="10211" xr:uid="{00000000-0005-0000-0000-0000E6700000}"/>
    <cellStyle name="Normal 3 3 5 2 7 2" xfId="24414" xr:uid="{00000000-0005-0000-0000-0000E7700000}"/>
    <cellStyle name="Normal 3 3 5 2 8" xfId="31768" xr:uid="{00000000-0005-0000-0000-0000E8700000}"/>
    <cellStyle name="Normal 3 3 5 3" xfId="7487" xr:uid="{00000000-0005-0000-0000-0000E9700000}"/>
    <cellStyle name="Normal 3 3 5 3 2" xfId="7488" xr:uid="{00000000-0005-0000-0000-0000EA700000}"/>
    <cellStyle name="Normal 3 3 5 3 2 2" xfId="16621" xr:uid="{00000000-0005-0000-0000-0000EB700000}"/>
    <cellStyle name="Normal 3 3 5 3 2 2 2" xfId="30028" xr:uid="{00000000-0005-0000-0000-0000EC700000}"/>
    <cellStyle name="Normal 3 3 5 3 2 3" xfId="31776" xr:uid="{00000000-0005-0000-0000-0000ED700000}"/>
    <cellStyle name="Normal 3 3 5 3 3" xfId="11573" xr:uid="{00000000-0005-0000-0000-0000EE700000}"/>
    <cellStyle name="Normal 3 3 5 3 3 2" xfId="25404" xr:uid="{00000000-0005-0000-0000-0000EF700000}"/>
    <cellStyle name="Normal 3 3 5 3 4" xfId="31775" xr:uid="{00000000-0005-0000-0000-0000F0700000}"/>
    <cellStyle name="Normal 3 3 5 4" xfId="7489" xr:uid="{00000000-0005-0000-0000-0000F1700000}"/>
    <cellStyle name="Normal 3 3 5 4 2" xfId="11998" xr:uid="{00000000-0005-0000-0000-0000F2700000}"/>
    <cellStyle name="Normal 3 3 5 4 2 2" xfId="25713" xr:uid="{00000000-0005-0000-0000-0000F3700000}"/>
    <cellStyle name="Normal 3 3 5 4 3" xfId="31777" xr:uid="{00000000-0005-0000-0000-0000F4700000}"/>
    <cellStyle name="Normal 3 3 5 5" xfId="7490" xr:uid="{00000000-0005-0000-0000-0000F5700000}"/>
    <cellStyle name="Normal 3 3 5 5 2" xfId="13573" xr:uid="{00000000-0005-0000-0000-0000F6700000}"/>
    <cellStyle name="Normal 3 3 5 5 2 2" xfId="27122" xr:uid="{00000000-0005-0000-0000-0000F7700000}"/>
    <cellStyle name="Normal 3 3 5 5 3" xfId="31778" xr:uid="{00000000-0005-0000-0000-0000F8700000}"/>
    <cellStyle name="Normal 3 3 5 6" xfId="7491" xr:uid="{00000000-0005-0000-0000-0000F9700000}"/>
    <cellStyle name="Normal 3 3 5 6 2" xfId="14154" xr:uid="{00000000-0005-0000-0000-0000FA700000}"/>
    <cellStyle name="Normal 3 3 5 6 2 2" xfId="27703" xr:uid="{00000000-0005-0000-0000-0000FB700000}"/>
    <cellStyle name="Normal 3 3 5 6 3" xfId="31779" xr:uid="{00000000-0005-0000-0000-0000FC700000}"/>
    <cellStyle name="Normal 3 3 5 7" xfId="7492" xr:uid="{00000000-0005-0000-0000-0000FD700000}"/>
    <cellStyle name="Normal 3 3 5 7 2" xfId="16040" xr:uid="{00000000-0005-0000-0000-0000FE700000}"/>
    <cellStyle name="Normal 3 3 5 7 2 2" xfId="29447" xr:uid="{00000000-0005-0000-0000-0000FF700000}"/>
    <cellStyle name="Normal 3 3 5 7 3" xfId="31780" xr:uid="{00000000-0005-0000-0000-000000710000}"/>
    <cellStyle name="Normal 3 3 5 8" xfId="10210" xr:uid="{00000000-0005-0000-0000-000001710000}"/>
    <cellStyle name="Normal 3 3 5 8 2" xfId="24413" xr:uid="{00000000-0005-0000-0000-000002710000}"/>
    <cellStyle name="Normal 3 3 5 9" xfId="31767" xr:uid="{00000000-0005-0000-0000-000003710000}"/>
    <cellStyle name="Normal 3 3 6" xfId="7493" xr:uid="{00000000-0005-0000-0000-000004710000}"/>
    <cellStyle name="Normal 3 3 6 2" xfId="7494" xr:uid="{00000000-0005-0000-0000-000005710000}"/>
    <cellStyle name="Normal 3 3 6 2 2" xfId="7495" xr:uid="{00000000-0005-0000-0000-000006710000}"/>
    <cellStyle name="Normal 3 3 6 2 2 2" xfId="16733" xr:uid="{00000000-0005-0000-0000-000007710000}"/>
    <cellStyle name="Normal 3 3 6 2 2 2 2" xfId="30140" xr:uid="{00000000-0005-0000-0000-000008710000}"/>
    <cellStyle name="Normal 3 3 6 2 2 3" xfId="31783" xr:uid="{00000000-0005-0000-0000-000009710000}"/>
    <cellStyle name="Normal 3 3 6 2 3" xfId="11575" xr:uid="{00000000-0005-0000-0000-00000A710000}"/>
    <cellStyle name="Normal 3 3 6 2 3 2" xfId="25406" xr:uid="{00000000-0005-0000-0000-00000B710000}"/>
    <cellStyle name="Normal 3 3 6 2 4" xfId="31782" xr:uid="{00000000-0005-0000-0000-00000C710000}"/>
    <cellStyle name="Normal 3 3 6 3" xfId="7496" xr:uid="{00000000-0005-0000-0000-00000D710000}"/>
    <cellStyle name="Normal 3 3 6 3 2" xfId="12121" xr:uid="{00000000-0005-0000-0000-00000E710000}"/>
    <cellStyle name="Normal 3 3 6 3 2 2" xfId="25833" xr:uid="{00000000-0005-0000-0000-00000F710000}"/>
    <cellStyle name="Normal 3 3 6 3 3" xfId="31784" xr:uid="{00000000-0005-0000-0000-000010710000}"/>
    <cellStyle name="Normal 3 3 6 4" xfId="7497" xr:uid="{00000000-0005-0000-0000-000011710000}"/>
    <cellStyle name="Normal 3 3 6 4 2" xfId="13685" xr:uid="{00000000-0005-0000-0000-000012710000}"/>
    <cellStyle name="Normal 3 3 6 4 2 2" xfId="27234" xr:uid="{00000000-0005-0000-0000-000013710000}"/>
    <cellStyle name="Normal 3 3 6 4 3" xfId="31785" xr:uid="{00000000-0005-0000-0000-000014710000}"/>
    <cellStyle name="Normal 3 3 6 5" xfId="7498" xr:uid="{00000000-0005-0000-0000-000015710000}"/>
    <cellStyle name="Normal 3 3 6 5 2" xfId="14266" xr:uid="{00000000-0005-0000-0000-000016710000}"/>
    <cellStyle name="Normal 3 3 6 5 2 2" xfId="27815" xr:uid="{00000000-0005-0000-0000-000017710000}"/>
    <cellStyle name="Normal 3 3 6 5 3" xfId="31786" xr:uid="{00000000-0005-0000-0000-000018710000}"/>
    <cellStyle name="Normal 3 3 6 6" xfId="7499" xr:uid="{00000000-0005-0000-0000-000019710000}"/>
    <cellStyle name="Normal 3 3 6 6 2" xfId="16152" xr:uid="{00000000-0005-0000-0000-00001A710000}"/>
    <cellStyle name="Normal 3 3 6 6 2 2" xfId="29559" xr:uid="{00000000-0005-0000-0000-00001B710000}"/>
    <cellStyle name="Normal 3 3 6 6 3" xfId="31787" xr:uid="{00000000-0005-0000-0000-00001C710000}"/>
    <cellStyle name="Normal 3 3 6 7" xfId="10212" xr:uid="{00000000-0005-0000-0000-00001D710000}"/>
    <cellStyle name="Normal 3 3 6 7 2" xfId="24415" xr:uid="{00000000-0005-0000-0000-00001E710000}"/>
    <cellStyle name="Normal 3 3 6 8" xfId="31781" xr:uid="{00000000-0005-0000-0000-00001F710000}"/>
    <cellStyle name="Normal 3 3 7" xfId="7500" xr:uid="{00000000-0005-0000-0000-000020710000}"/>
    <cellStyle name="Normal 3 3 7 2" xfId="7501" xr:uid="{00000000-0005-0000-0000-000021710000}"/>
    <cellStyle name="Normal 3 3 7 2 2" xfId="7502" xr:uid="{00000000-0005-0000-0000-000022710000}"/>
    <cellStyle name="Normal 3 3 7 2 2 2" xfId="17006" xr:uid="{00000000-0005-0000-0000-000023710000}"/>
    <cellStyle name="Normal 3 3 7 2 2 2 2" xfId="30413" xr:uid="{00000000-0005-0000-0000-000024710000}"/>
    <cellStyle name="Normal 3 3 7 2 2 3" xfId="31790" xr:uid="{00000000-0005-0000-0000-000025710000}"/>
    <cellStyle name="Normal 3 3 7 2 3" xfId="11576" xr:uid="{00000000-0005-0000-0000-000026710000}"/>
    <cellStyle name="Normal 3 3 7 2 3 2" xfId="25407" xr:uid="{00000000-0005-0000-0000-000027710000}"/>
    <cellStyle name="Normal 3 3 7 2 4" xfId="31789" xr:uid="{00000000-0005-0000-0000-000028710000}"/>
    <cellStyle name="Normal 3 3 7 3" xfId="7503" xr:uid="{00000000-0005-0000-0000-000029710000}"/>
    <cellStyle name="Normal 3 3 7 3 2" xfId="12395" xr:uid="{00000000-0005-0000-0000-00002A710000}"/>
    <cellStyle name="Normal 3 3 7 3 2 2" xfId="26107" xr:uid="{00000000-0005-0000-0000-00002B710000}"/>
    <cellStyle name="Normal 3 3 7 3 3" xfId="31791" xr:uid="{00000000-0005-0000-0000-00002C710000}"/>
    <cellStyle name="Normal 3 3 7 4" xfId="7504" xr:uid="{00000000-0005-0000-0000-00002D710000}"/>
    <cellStyle name="Normal 3 3 7 4 2" xfId="13958" xr:uid="{00000000-0005-0000-0000-00002E710000}"/>
    <cellStyle name="Normal 3 3 7 4 2 2" xfId="27507" xr:uid="{00000000-0005-0000-0000-00002F710000}"/>
    <cellStyle name="Normal 3 3 7 4 3" xfId="31792" xr:uid="{00000000-0005-0000-0000-000030710000}"/>
    <cellStyle name="Normal 3 3 7 5" xfId="7505" xr:uid="{00000000-0005-0000-0000-000031710000}"/>
    <cellStyle name="Normal 3 3 7 5 2" xfId="14539" xr:uid="{00000000-0005-0000-0000-000032710000}"/>
    <cellStyle name="Normal 3 3 7 5 2 2" xfId="28088" xr:uid="{00000000-0005-0000-0000-000033710000}"/>
    <cellStyle name="Normal 3 3 7 5 3" xfId="31793" xr:uid="{00000000-0005-0000-0000-000034710000}"/>
    <cellStyle name="Normal 3 3 7 6" xfId="7506" xr:uid="{00000000-0005-0000-0000-000035710000}"/>
    <cellStyle name="Normal 3 3 7 6 2" xfId="16425" xr:uid="{00000000-0005-0000-0000-000036710000}"/>
    <cellStyle name="Normal 3 3 7 6 2 2" xfId="29832" xr:uid="{00000000-0005-0000-0000-000037710000}"/>
    <cellStyle name="Normal 3 3 7 6 3" xfId="31794" xr:uid="{00000000-0005-0000-0000-000038710000}"/>
    <cellStyle name="Normal 3 3 7 7" xfId="10213" xr:uid="{00000000-0005-0000-0000-000039710000}"/>
    <cellStyle name="Normal 3 3 7 7 2" xfId="24416" xr:uid="{00000000-0005-0000-0000-00003A710000}"/>
    <cellStyle name="Normal 3 3 7 8" xfId="31788" xr:uid="{00000000-0005-0000-0000-00003B710000}"/>
    <cellStyle name="Normal 3 3 8" xfId="7507" xr:uid="{00000000-0005-0000-0000-00003C710000}"/>
    <cellStyle name="Normal 3 3 8 2" xfId="7508" xr:uid="{00000000-0005-0000-0000-00003D710000}"/>
    <cellStyle name="Normal 3 3 8 2 2" xfId="17042" xr:uid="{00000000-0005-0000-0000-00003E710000}"/>
    <cellStyle name="Normal 3 3 8 2 2 2" xfId="30443" xr:uid="{00000000-0005-0000-0000-00003F710000}"/>
    <cellStyle name="Normal 3 3 8 2 3" xfId="31796" xr:uid="{00000000-0005-0000-0000-000040710000}"/>
    <cellStyle name="Normal 3 3 8 3" xfId="11556" xr:uid="{00000000-0005-0000-0000-000041710000}"/>
    <cellStyle name="Normal 3 3 8 3 2" xfId="25387" xr:uid="{00000000-0005-0000-0000-000042710000}"/>
    <cellStyle name="Normal 3 3 8 4" xfId="31795" xr:uid="{00000000-0005-0000-0000-000043710000}"/>
    <cellStyle name="Normal 3 3 9" xfId="7509" xr:uid="{00000000-0005-0000-0000-000044710000}"/>
    <cellStyle name="Normal 3 3 9 2" xfId="7510" xr:uid="{00000000-0005-0000-0000-000045710000}"/>
    <cellStyle name="Normal 3 3 9 2 2" xfId="17114" xr:uid="{00000000-0005-0000-0000-000046710000}"/>
    <cellStyle name="Normal 3 3 9 2 2 2" xfId="30473" xr:uid="{00000000-0005-0000-0000-000047710000}"/>
    <cellStyle name="Normal 3 3 9 2 3" xfId="31798" xr:uid="{00000000-0005-0000-0000-000048710000}"/>
    <cellStyle name="Normal 3 3 9 3" xfId="11829" xr:uid="{00000000-0005-0000-0000-000049710000}"/>
    <cellStyle name="Normal 3 3 9 3 2" xfId="25544" xr:uid="{00000000-0005-0000-0000-00004A710000}"/>
    <cellStyle name="Normal 3 3 9 4" xfId="31797" xr:uid="{00000000-0005-0000-0000-00004B710000}"/>
    <cellStyle name="Normal 3 4" xfId="7511" xr:uid="{00000000-0005-0000-0000-00004C710000}"/>
    <cellStyle name="Normal 3 4 10" xfId="31799" xr:uid="{00000000-0005-0000-0000-00004D710000}"/>
    <cellStyle name="Normal 3 4 11" xfId="32926" xr:uid="{00000000-0005-0000-0000-00004E710000}"/>
    <cellStyle name="Normal 3 4 12" xfId="32986" xr:uid="{00000000-0005-0000-0000-00004F710000}"/>
    <cellStyle name="Normal 3 4 2" xfId="7512" xr:uid="{00000000-0005-0000-0000-000050710000}"/>
    <cellStyle name="Normal 3 4 2 10" xfId="33014" xr:uid="{00000000-0005-0000-0000-000051710000}"/>
    <cellStyle name="Normal 3 4 2 2" xfId="7513" xr:uid="{00000000-0005-0000-0000-000052710000}"/>
    <cellStyle name="Normal 3 4 2 2 2" xfId="7514" xr:uid="{00000000-0005-0000-0000-000053710000}"/>
    <cellStyle name="Normal 3 4 2 2 2 2" xfId="17001" xr:uid="{00000000-0005-0000-0000-000054710000}"/>
    <cellStyle name="Normal 3 4 2 2 2 2 2" xfId="30408" xr:uid="{00000000-0005-0000-0000-000055710000}"/>
    <cellStyle name="Normal 3 4 2 2 2 3" xfId="31802" xr:uid="{00000000-0005-0000-0000-000056710000}"/>
    <cellStyle name="Normal 3 4 2 2 3" xfId="11578" xr:uid="{00000000-0005-0000-0000-000057710000}"/>
    <cellStyle name="Normal 3 4 2 2 3 2" xfId="25409" xr:uid="{00000000-0005-0000-0000-000058710000}"/>
    <cellStyle name="Normal 3 4 2 2 4" xfId="31801" xr:uid="{00000000-0005-0000-0000-000059710000}"/>
    <cellStyle name="Normal 3 4 2 3" xfId="7515" xr:uid="{00000000-0005-0000-0000-00005A710000}"/>
    <cellStyle name="Normal 3 4 2 3 2" xfId="12389" xr:uid="{00000000-0005-0000-0000-00005B710000}"/>
    <cellStyle name="Normal 3 4 2 3 2 2" xfId="26101" xr:uid="{00000000-0005-0000-0000-00005C710000}"/>
    <cellStyle name="Normal 3 4 2 3 3" xfId="31803" xr:uid="{00000000-0005-0000-0000-00005D710000}"/>
    <cellStyle name="Normal 3 4 2 4" xfId="7516" xr:uid="{00000000-0005-0000-0000-00005E710000}"/>
    <cellStyle name="Normal 3 4 2 4 2" xfId="13953" xr:uid="{00000000-0005-0000-0000-00005F710000}"/>
    <cellStyle name="Normal 3 4 2 4 2 2" xfId="27502" xr:uid="{00000000-0005-0000-0000-000060710000}"/>
    <cellStyle name="Normal 3 4 2 4 3" xfId="31804" xr:uid="{00000000-0005-0000-0000-000061710000}"/>
    <cellStyle name="Normal 3 4 2 5" xfId="7517" xr:uid="{00000000-0005-0000-0000-000062710000}"/>
    <cellStyle name="Normal 3 4 2 5 2" xfId="14534" xr:uid="{00000000-0005-0000-0000-000063710000}"/>
    <cellStyle name="Normal 3 4 2 5 2 2" xfId="28083" xr:uid="{00000000-0005-0000-0000-000064710000}"/>
    <cellStyle name="Normal 3 4 2 5 3" xfId="31805" xr:uid="{00000000-0005-0000-0000-000065710000}"/>
    <cellStyle name="Normal 3 4 2 6" xfId="7518" xr:uid="{00000000-0005-0000-0000-000066710000}"/>
    <cellStyle name="Normal 3 4 2 6 2" xfId="16420" xr:uid="{00000000-0005-0000-0000-000067710000}"/>
    <cellStyle name="Normal 3 4 2 6 2 2" xfId="29827" xr:uid="{00000000-0005-0000-0000-000068710000}"/>
    <cellStyle name="Normal 3 4 2 6 3" xfId="31806" xr:uid="{00000000-0005-0000-0000-000069710000}"/>
    <cellStyle name="Normal 3 4 2 7" xfId="10214" xr:uid="{00000000-0005-0000-0000-00006A710000}"/>
    <cellStyle name="Normal 3 4 2 7 2" xfId="24417" xr:uid="{00000000-0005-0000-0000-00006B710000}"/>
    <cellStyle name="Normal 3 4 2 8" xfId="31800" xr:uid="{00000000-0005-0000-0000-00006C710000}"/>
    <cellStyle name="Normal 3 4 2 9" xfId="32956" xr:uid="{00000000-0005-0000-0000-00006D710000}"/>
    <cellStyle name="Normal 3 4 3" xfId="7519" xr:uid="{00000000-0005-0000-0000-00006E710000}"/>
    <cellStyle name="Normal 3 4 3 2" xfId="7520" xr:uid="{00000000-0005-0000-0000-00006F710000}"/>
    <cellStyle name="Normal 3 4 3 2 2" xfId="17044" xr:uid="{00000000-0005-0000-0000-000070710000}"/>
    <cellStyle name="Normal 3 4 3 2 2 2" xfId="30445" xr:uid="{00000000-0005-0000-0000-000071710000}"/>
    <cellStyle name="Normal 3 4 3 2 3" xfId="31808" xr:uid="{00000000-0005-0000-0000-000072710000}"/>
    <cellStyle name="Normal 3 4 3 3" xfId="10215" xr:uid="{00000000-0005-0000-0000-000073710000}"/>
    <cellStyle name="Normal 3 4 3 4" xfId="31807" xr:uid="{00000000-0005-0000-0000-000074710000}"/>
    <cellStyle name="Normal 3 4 4" xfId="7521" xr:uid="{00000000-0005-0000-0000-000075710000}"/>
    <cellStyle name="Normal 3 4 4 2" xfId="11577" xr:uid="{00000000-0005-0000-0000-000076710000}"/>
    <cellStyle name="Normal 3 4 4 2 2" xfId="25408" xr:uid="{00000000-0005-0000-0000-000077710000}"/>
    <cellStyle name="Normal 3 4 4 3" xfId="31809" xr:uid="{00000000-0005-0000-0000-000078710000}"/>
    <cellStyle name="Normal 3 4 5" xfId="7522" xr:uid="{00000000-0005-0000-0000-000079710000}"/>
    <cellStyle name="Normal 3 4 5 2" xfId="13264" xr:uid="{00000000-0005-0000-0000-00007A710000}"/>
    <cellStyle name="Normal 3 4 5 2 2" xfId="26898" xr:uid="{00000000-0005-0000-0000-00007B710000}"/>
    <cellStyle name="Normal 3 4 5 3" xfId="31810" xr:uid="{00000000-0005-0000-0000-00007C710000}"/>
    <cellStyle name="Normal 3 4 6" xfId="7523" xr:uid="{00000000-0005-0000-0000-00007D710000}"/>
    <cellStyle name="Normal 3 4 6 2" xfId="15704" xr:uid="{00000000-0005-0000-0000-00007E710000}"/>
    <cellStyle name="Normal 3 4 6 2 2" xfId="29190" xr:uid="{00000000-0005-0000-0000-00007F710000}"/>
    <cellStyle name="Normal 3 4 6 3" xfId="31811" xr:uid="{00000000-0005-0000-0000-000080710000}"/>
    <cellStyle name="Normal 3 4 7" xfId="7524" xr:uid="{00000000-0005-0000-0000-000081710000}"/>
    <cellStyle name="Normal 3 4 7 2" xfId="15812" xr:uid="{00000000-0005-0000-0000-000082710000}"/>
    <cellStyle name="Normal 3 4 7 2 2" xfId="29219" xr:uid="{00000000-0005-0000-0000-000083710000}"/>
    <cellStyle name="Normal 3 4 7 3" xfId="31812" xr:uid="{00000000-0005-0000-0000-000084710000}"/>
    <cellStyle name="Normal 3 4 8" xfId="8688" xr:uid="{00000000-0005-0000-0000-000085710000}"/>
    <cellStyle name="Normal 3 4 8 2" xfId="17313" xr:uid="{00000000-0005-0000-0000-000086710000}"/>
    <cellStyle name="Normal 3 4 8 2 2" xfId="30666" xr:uid="{00000000-0005-0000-0000-000087710000}"/>
    <cellStyle name="Normal 3 4 8 3" xfId="23218" xr:uid="{00000000-0005-0000-0000-000088710000}"/>
    <cellStyle name="Normal 3 4 9" xfId="8797" xr:uid="{00000000-0005-0000-0000-000089710000}"/>
    <cellStyle name="Normal 3 4 9 2" xfId="23275" xr:uid="{00000000-0005-0000-0000-00008A710000}"/>
    <cellStyle name="Normal 3 5" xfId="7525" xr:uid="{00000000-0005-0000-0000-00008B710000}"/>
    <cellStyle name="Normal 3 5 10" xfId="32994" xr:uid="{00000000-0005-0000-0000-00008C710000}"/>
    <cellStyle name="Normal 3 5 2" xfId="7526" xr:uid="{00000000-0005-0000-0000-00008D710000}"/>
    <cellStyle name="Normal 3 5 2 2" xfId="11579" xr:uid="{00000000-0005-0000-0000-00008E710000}"/>
    <cellStyle name="Normal 3 5 2 2 2" xfId="25410" xr:uid="{00000000-0005-0000-0000-00008F710000}"/>
    <cellStyle name="Normal 3 5 2 3" xfId="31814" xr:uid="{00000000-0005-0000-0000-000090710000}"/>
    <cellStyle name="Normal 3 5 2 4" xfId="32957" xr:uid="{00000000-0005-0000-0000-000091710000}"/>
    <cellStyle name="Normal 3 5 2 5" xfId="33015" xr:uid="{00000000-0005-0000-0000-000092710000}"/>
    <cellStyle name="Normal 3 5 3" xfId="7527" xr:uid="{00000000-0005-0000-0000-000093710000}"/>
    <cellStyle name="Normal 3 5 3 2" xfId="13265" xr:uid="{00000000-0005-0000-0000-000094710000}"/>
    <cellStyle name="Normal 3 5 3 2 2" xfId="26899" xr:uid="{00000000-0005-0000-0000-000095710000}"/>
    <cellStyle name="Normal 3 5 3 3" xfId="31815" xr:uid="{00000000-0005-0000-0000-000096710000}"/>
    <cellStyle name="Normal 3 5 4" xfId="7528" xr:uid="{00000000-0005-0000-0000-000097710000}"/>
    <cellStyle name="Normal 3 5 4 2" xfId="15705" xr:uid="{00000000-0005-0000-0000-000098710000}"/>
    <cellStyle name="Normal 3 5 4 2 2" xfId="29191" xr:uid="{00000000-0005-0000-0000-000099710000}"/>
    <cellStyle name="Normal 3 5 4 3" xfId="31816" xr:uid="{00000000-0005-0000-0000-00009A710000}"/>
    <cellStyle name="Normal 3 5 5" xfId="7529" xr:uid="{00000000-0005-0000-0000-00009B710000}"/>
    <cellStyle name="Normal 3 5 5 2" xfId="15813" xr:uid="{00000000-0005-0000-0000-00009C710000}"/>
    <cellStyle name="Normal 3 5 5 2 2" xfId="29220" xr:uid="{00000000-0005-0000-0000-00009D710000}"/>
    <cellStyle name="Normal 3 5 5 3" xfId="31817" xr:uid="{00000000-0005-0000-0000-00009E710000}"/>
    <cellStyle name="Normal 3 5 6" xfId="8703" xr:uid="{00000000-0005-0000-0000-00009F710000}"/>
    <cellStyle name="Normal 3 5 6 2" xfId="17321" xr:uid="{00000000-0005-0000-0000-0000A0710000}"/>
    <cellStyle name="Normal 3 5 6 2 2" xfId="30674" xr:uid="{00000000-0005-0000-0000-0000A1710000}"/>
    <cellStyle name="Normal 3 5 6 3" xfId="23226" xr:uid="{00000000-0005-0000-0000-0000A2710000}"/>
    <cellStyle name="Normal 3 5 7" xfId="8805" xr:uid="{00000000-0005-0000-0000-0000A3710000}"/>
    <cellStyle name="Normal 3 5 7 2" xfId="23283" xr:uid="{00000000-0005-0000-0000-0000A4710000}"/>
    <cellStyle name="Normal 3 5 8" xfId="31813" xr:uid="{00000000-0005-0000-0000-0000A5710000}"/>
    <cellStyle name="Normal 3 5 9" xfId="32934" xr:uid="{00000000-0005-0000-0000-0000A6710000}"/>
    <cellStyle name="Normal 3 6" xfId="7530" xr:uid="{00000000-0005-0000-0000-0000A7710000}"/>
    <cellStyle name="Normal 3 6 10" xfId="32993" xr:uid="{00000000-0005-0000-0000-0000A8710000}"/>
    <cellStyle name="Normal 3 6 2" xfId="7531" xr:uid="{00000000-0005-0000-0000-0000A9710000}"/>
    <cellStyle name="Normal 3 6 2 2" xfId="11580" xr:uid="{00000000-0005-0000-0000-0000AA710000}"/>
    <cellStyle name="Normal 3 6 2 2 2" xfId="25411" xr:uid="{00000000-0005-0000-0000-0000AB710000}"/>
    <cellStyle name="Normal 3 6 2 3" xfId="31819" xr:uid="{00000000-0005-0000-0000-0000AC710000}"/>
    <cellStyle name="Normal 3 6 2 4" xfId="32958" xr:uid="{00000000-0005-0000-0000-0000AD710000}"/>
    <cellStyle name="Normal 3 6 2 5" xfId="33016" xr:uid="{00000000-0005-0000-0000-0000AE710000}"/>
    <cellStyle name="Normal 3 6 3" xfId="7532" xr:uid="{00000000-0005-0000-0000-0000AF710000}"/>
    <cellStyle name="Normal 3 6 3 2" xfId="13266" xr:uid="{00000000-0005-0000-0000-0000B0710000}"/>
    <cellStyle name="Normal 3 6 3 2 2" xfId="26900" xr:uid="{00000000-0005-0000-0000-0000B1710000}"/>
    <cellStyle name="Normal 3 6 3 3" xfId="31820" xr:uid="{00000000-0005-0000-0000-0000B2710000}"/>
    <cellStyle name="Normal 3 6 4" xfId="7533" xr:uid="{00000000-0005-0000-0000-0000B3710000}"/>
    <cellStyle name="Normal 3 6 4 2" xfId="15706" xr:uid="{00000000-0005-0000-0000-0000B4710000}"/>
    <cellStyle name="Normal 3 6 4 2 2" xfId="29192" xr:uid="{00000000-0005-0000-0000-0000B5710000}"/>
    <cellStyle name="Normal 3 6 4 3" xfId="31821" xr:uid="{00000000-0005-0000-0000-0000B6710000}"/>
    <cellStyle name="Normal 3 6 5" xfId="7534" xr:uid="{00000000-0005-0000-0000-0000B7710000}"/>
    <cellStyle name="Normal 3 6 5 2" xfId="15814" xr:uid="{00000000-0005-0000-0000-0000B8710000}"/>
    <cellStyle name="Normal 3 6 5 2 2" xfId="29221" xr:uid="{00000000-0005-0000-0000-0000B9710000}"/>
    <cellStyle name="Normal 3 6 5 3" xfId="31822" xr:uid="{00000000-0005-0000-0000-0000BA710000}"/>
    <cellStyle name="Normal 3 6 6" xfId="8701" xr:uid="{00000000-0005-0000-0000-0000BB710000}"/>
    <cellStyle name="Normal 3 6 6 2" xfId="17320" xr:uid="{00000000-0005-0000-0000-0000BC710000}"/>
    <cellStyle name="Normal 3 6 6 2 2" xfId="30673" xr:uid="{00000000-0005-0000-0000-0000BD710000}"/>
    <cellStyle name="Normal 3 6 6 3" xfId="23225" xr:uid="{00000000-0005-0000-0000-0000BE710000}"/>
    <cellStyle name="Normal 3 6 7" xfId="8804" xr:uid="{00000000-0005-0000-0000-0000BF710000}"/>
    <cellStyle name="Normal 3 6 7 2" xfId="23282" xr:uid="{00000000-0005-0000-0000-0000C0710000}"/>
    <cellStyle name="Normal 3 6 8" xfId="31818" xr:uid="{00000000-0005-0000-0000-0000C1710000}"/>
    <cellStyle name="Normal 3 6 9" xfId="32933" xr:uid="{00000000-0005-0000-0000-0000C2710000}"/>
    <cellStyle name="Normal 3 7" xfId="7535" xr:uid="{00000000-0005-0000-0000-0000C3710000}"/>
    <cellStyle name="Normal 3 7 10" xfId="32999" xr:uid="{00000000-0005-0000-0000-0000C4710000}"/>
    <cellStyle name="Normal 3 7 2" xfId="7536" xr:uid="{00000000-0005-0000-0000-0000C5710000}"/>
    <cellStyle name="Normal 3 7 2 2" xfId="11581" xr:uid="{00000000-0005-0000-0000-0000C6710000}"/>
    <cellStyle name="Normal 3 7 2 2 2" xfId="25412" xr:uid="{00000000-0005-0000-0000-0000C7710000}"/>
    <cellStyle name="Normal 3 7 2 3" xfId="31824" xr:uid="{00000000-0005-0000-0000-0000C8710000}"/>
    <cellStyle name="Normal 3 7 2 4" xfId="32959" xr:uid="{00000000-0005-0000-0000-0000C9710000}"/>
    <cellStyle name="Normal 3 7 2 5" xfId="33017" xr:uid="{00000000-0005-0000-0000-0000CA710000}"/>
    <cellStyle name="Normal 3 7 3" xfId="7537" xr:uid="{00000000-0005-0000-0000-0000CB710000}"/>
    <cellStyle name="Normal 3 7 3 2" xfId="13267" xr:uid="{00000000-0005-0000-0000-0000CC710000}"/>
    <cellStyle name="Normal 3 7 3 2 2" xfId="26901" xr:uid="{00000000-0005-0000-0000-0000CD710000}"/>
    <cellStyle name="Normal 3 7 3 3" xfId="31825" xr:uid="{00000000-0005-0000-0000-0000CE710000}"/>
    <cellStyle name="Normal 3 7 4" xfId="7538" xr:uid="{00000000-0005-0000-0000-0000CF710000}"/>
    <cellStyle name="Normal 3 7 4 2" xfId="15707" xr:uid="{00000000-0005-0000-0000-0000D0710000}"/>
    <cellStyle name="Normal 3 7 4 2 2" xfId="29193" xr:uid="{00000000-0005-0000-0000-0000D1710000}"/>
    <cellStyle name="Normal 3 7 4 3" xfId="31826" xr:uid="{00000000-0005-0000-0000-0000D2710000}"/>
    <cellStyle name="Normal 3 7 5" xfId="7539" xr:uid="{00000000-0005-0000-0000-0000D3710000}"/>
    <cellStyle name="Normal 3 7 5 2" xfId="15815" xr:uid="{00000000-0005-0000-0000-0000D4710000}"/>
    <cellStyle name="Normal 3 7 5 2 2" xfId="29222" xr:uid="{00000000-0005-0000-0000-0000D5710000}"/>
    <cellStyle name="Normal 3 7 5 3" xfId="31827" xr:uid="{00000000-0005-0000-0000-0000D6710000}"/>
    <cellStyle name="Normal 3 7 6" xfId="8714" xr:uid="{00000000-0005-0000-0000-0000D7710000}"/>
    <cellStyle name="Normal 3 7 6 2" xfId="17326" xr:uid="{00000000-0005-0000-0000-0000D8710000}"/>
    <cellStyle name="Normal 3 7 6 2 2" xfId="30679" xr:uid="{00000000-0005-0000-0000-0000D9710000}"/>
    <cellStyle name="Normal 3 7 6 3" xfId="23233" xr:uid="{00000000-0005-0000-0000-0000DA710000}"/>
    <cellStyle name="Normal 3 7 7" xfId="8810" xr:uid="{00000000-0005-0000-0000-0000DB710000}"/>
    <cellStyle name="Normal 3 7 7 2" xfId="23288" xr:uid="{00000000-0005-0000-0000-0000DC710000}"/>
    <cellStyle name="Normal 3 7 8" xfId="31823" xr:uid="{00000000-0005-0000-0000-0000DD710000}"/>
    <cellStyle name="Normal 3 7 9" xfId="32940" xr:uid="{00000000-0005-0000-0000-0000DE710000}"/>
    <cellStyle name="Normal 3 8" xfId="7540" xr:uid="{00000000-0005-0000-0000-0000DF710000}"/>
    <cellStyle name="Normal 3 8 10" xfId="33000" xr:uid="{00000000-0005-0000-0000-0000E0710000}"/>
    <cellStyle name="Normal 3 8 2" xfId="7541" xr:uid="{00000000-0005-0000-0000-0000E1710000}"/>
    <cellStyle name="Normal 3 8 2 2" xfId="11582" xr:uid="{00000000-0005-0000-0000-0000E2710000}"/>
    <cellStyle name="Normal 3 8 2 2 2" xfId="25413" xr:uid="{00000000-0005-0000-0000-0000E3710000}"/>
    <cellStyle name="Normal 3 8 2 3" xfId="31829" xr:uid="{00000000-0005-0000-0000-0000E4710000}"/>
    <cellStyle name="Normal 3 8 2 4" xfId="32960" xr:uid="{00000000-0005-0000-0000-0000E5710000}"/>
    <cellStyle name="Normal 3 8 2 5" xfId="33018" xr:uid="{00000000-0005-0000-0000-0000E6710000}"/>
    <cellStyle name="Normal 3 8 3" xfId="7542" xr:uid="{00000000-0005-0000-0000-0000E7710000}"/>
    <cellStyle name="Normal 3 8 3 2" xfId="13268" xr:uid="{00000000-0005-0000-0000-0000E8710000}"/>
    <cellStyle name="Normal 3 8 3 2 2" xfId="26902" xr:uid="{00000000-0005-0000-0000-0000E9710000}"/>
    <cellStyle name="Normal 3 8 3 3" xfId="31830" xr:uid="{00000000-0005-0000-0000-0000EA710000}"/>
    <cellStyle name="Normal 3 8 4" xfId="7543" xr:uid="{00000000-0005-0000-0000-0000EB710000}"/>
    <cellStyle name="Normal 3 8 4 2" xfId="15708" xr:uid="{00000000-0005-0000-0000-0000EC710000}"/>
    <cellStyle name="Normal 3 8 4 2 2" xfId="29194" xr:uid="{00000000-0005-0000-0000-0000ED710000}"/>
    <cellStyle name="Normal 3 8 4 3" xfId="31831" xr:uid="{00000000-0005-0000-0000-0000EE710000}"/>
    <cellStyle name="Normal 3 8 5" xfId="7544" xr:uid="{00000000-0005-0000-0000-0000EF710000}"/>
    <cellStyle name="Normal 3 8 5 2" xfId="15816" xr:uid="{00000000-0005-0000-0000-0000F0710000}"/>
    <cellStyle name="Normal 3 8 5 2 2" xfId="29223" xr:uid="{00000000-0005-0000-0000-0000F1710000}"/>
    <cellStyle name="Normal 3 8 5 3" xfId="31832" xr:uid="{00000000-0005-0000-0000-0000F2710000}"/>
    <cellStyle name="Normal 3 8 6" xfId="8716" xr:uid="{00000000-0005-0000-0000-0000F3710000}"/>
    <cellStyle name="Normal 3 8 6 2" xfId="17327" xr:uid="{00000000-0005-0000-0000-0000F4710000}"/>
    <cellStyle name="Normal 3 8 6 2 2" xfId="30680" xr:uid="{00000000-0005-0000-0000-0000F5710000}"/>
    <cellStyle name="Normal 3 8 6 3" xfId="23234" xr:uid="{00000000-0005-0000-0000-0000F6710000}"/>
    <cellStyle name="Normal 3 8 7" xfId="8811" xr:uid="{00000000-0005-0000-0000-0000F7710000}"/>
    <cellStyle name="Normal 3 8 7 2" xfId="23289" xr:uid="{00000000-0005-0000-0000-0000F8710000}"/>
    <cellStyle name="Normal 3 8 8" xfId="31828" xr:uid="{00000000-0005-0000-0000-0000F9710000}"/>
    <cellStyle name="Normal 3 8 9" xfId="32941" xr:uid="{00000000-0005-0000-0000-0000FA710000}"/>
    <cellStyle name="Normal 3 9" xfId="7545" xr:uid="{00000000-0005-0000-0000-0000FB710000}"/>
    <cellStyle name="Normal 3 9 10" xfId="33001" xr:uid="{00000000-0005-0000-0000-0000FC710000}"/>
    <cellStyle name="Normal 3 9 2" xfId="7546" xr:uid="{00000000-0005-0000-0000-0000FD710000}"/>
    <cellStyle name="Normal 3 9 2 2" xfId="11583" xr:uid="{00000000-0005-0000-0000-0000FE710000}"/>
    <cellStyle name="Normal 3 9 2 2 2" xfId="25414" xr:uid="{00000000-0005-0000-0000-0000FF710000}"/>
    <cellStyle name="Normal 3 9 2 3" xfId="31834" xr:uid="{00000000-0005-0000-0000-000000720000}"/>
    <cellStyle name="Normal 3 9 2 4" xfId="32961" xr:uid="{00000000-0005-0000-0000-000001720000}"/>
    <cellStyle name="Normal 3 9 2 5" xfId="33019" xr:uid="{00000000-0005-0000-0000-000002720000}"/>
    <cellStyle name="Normal 3 9 3" xfId="7547" xr:uid="{00000000-0005-0000-0000-000003720000}"/>
    <cellStyle name="Normal 3 9 3 2" xfId="13269" xr:uid="{00000000-0005-0000-0000-000004720000}"/>
    <cellStyle name="Normal 3 9 3 2 2" xfId="26903" xr:uid="{00000000-0005-0000-0000-000005720000}"/>
    <cellStyle name="Normal 3 9 3 3" xfId="31835" xr:uid="{00000000-0005-0000-0000-000006720000}"/>
    <cellStyle name="Normal 3 9 4" xfId="7548" xr:uid="{00000000-0005-0000-0000-000007720000}"/>
    <cellStyle name="Normal 3 9 4 2" xfId="15709" xr:uid="{00000000-0005-0000-0000-000008720000}"/>
    <cellStyle name="Normal 3 9 4 2 2" xfId="29195" xr:uid="{00000000-0005-0000-0000-000009720000}"/>
    <cellStyle name="Normal 3 9 4 3" xfId="31836" xr:uid="{00000000-0005-0000-0000-00000A720000}"/>
    <cellStyle name="Normal 3 9 5" xfId="7549" xr:uid="{00000000-0005-0000-0000-00000B720000}"/>
    <cellStyle name="Normal 3 9 5 2" xfId="15817" xr:uid="{00000000-0005-0000-0000-00000C720000}"/>
    <cellStyle name="Normal 3 9 5 2 2" xfId="29224" xr:uid="{00000000-0005-0000-0000-00000D720000}"/>
    <cellStyle name="Normal 3 9 5 3" xfId="31837" xr:uid="{00000000-0005-0000-0000-00000E720000}"/>
    <cellStyle name="Normal 3 9 6" xfId="8717" xr:uid="{00000000-0005-0000-0000-00000F720000}"/>
    <cellStyle name="Normal 3 9 6 2" xfId="17328" xr:uid="{00000000-0005-0000-0000-000010720000}"/>
    <cellStyle name="Normal 3 9 6 2 2" xfId="30681" xr:uid="{00000000-0005-0000-0000-000011720000}"/>
    <cellStyle name="Normal 3 9 6 3" xfId="23235" xr:uid="{00000000-0005-0000-0000-000012720000}"/>
    <cellStyle name="Normal 3 9 7" xfId="8812" xr:uid="{00000000-0005-0000-0000-000013720000}"/>
    <cellStyle name="Normal 3 9 7 2" xfId="23290" xr:uid="{00000000-0005-0000-0000-000014720000}"/>
    <cellStyle name="Normal 3 9 8" xfId="31833" xr:uid="{00000000-0005-0000-0000-000015720000}"/>
    <cellStyle name="Normal 3 9 9" xfId="32942" xr:uid="{00000000-0005-0000-0000-000016720000}"/>
    <cellStyle name="Normal 30" xfId="33111" xr:uid="{5AFE32A3-FC69-44A0-B2A5-9D4161E9FDBC}"/>
    <cellStyle name="Normal 34" xfId="7550" xr:uid="{00000000-0005-0000-0000-000017720000}"/>
    <cellStyle name="Normal 34 2" xfId="17045" xr:uid="{00000000-0005-0000-0000-000018720000}"/>
    <cellStyle name="Normal 34 3" xfId="31838" xr:uid="{00000000-0005-0000-0000-000019720000}"/>
    <cellStyle name="Normal 4" xfId="7551" xr:uid="{00000000-0005-0000-0000-00001A720000}"/>
    <cellStyle name="Normal 4 10" xfId="8790" xr:uid="{00000000-0005-0000-0000-00001B720000}"/>
    <cellStyle name="Normal 4 10 2" xfId="23268" xr:uid="{00000000-0005-0000-0000-00001C720000}"/>
    <cellStyle name="Normal 4 11" xfId="32912" xr:uid="{00000000-0005-0000-0000-00001D720000}"/>
    <cellStyle name="Normal 4 12" xfId="32975" xr:uid="{00000000-0005-0000-0000-00001E720000}"/>
    <cellStyle name="Normal 4 2" xfId="7552" xr:uid="{00000000-0005-0000-0000-00001F720000}"/>
    <cellStyle name="Normal 4 2 10" xfId="8794" xr:uid="{00000000-0005-0000-0000-000020720000}"/>
    <cellStyle name="Normal 4 2 10 2" xfId="23272" xr:uid="{00000000-0005-0000-0000-000021720000}"/>
    <cellStyle name="Normal 4 2 11" xfId="32923" xr:uid="{00000000-0005-0000-0000-000022720000}"/>
    <cellStyle name="Normal 4 2 12" xfId="32983" xr:uid="{00000000-0005-0000-0000-000023720000}"/>
    <cellStyle name="Normal 4 2 13" xfId="33040" xr:uid="{00000000-0005-0000-0000-000024720000}"/>
    <cellStyle name="Normal 4 2 2" xfId="7553" xr:uid="{00000000-0005-0000-0000-000025720000}"/>
    <cellStyle name="Normal 4 2 2 2" xfId="7554" xr:uid="{00000000-0005-0000-0000-000026720000}"/>
    <cellStyle name="Normal 4 2 2 2 2" xfId="11730" xr:uid="{00000000-0005-0000-0000-000027720000}"/>
    <cellStyle name="Normal 4 2 2 2 2 2" xfId="25449" xr:uid="{00000000-0005-0000-0000-000028720000}"/>
    <cellStyle name="Normal 4 2 2 2 3" xfId="31839" xr:uid="{00000000-0005-0000-0000-000029720000}"/>
    <cellStyle name="Normal 4 2 2 3" xfId="7555" xr:uid="{00000000-0005-0000-0000-00002A720000}"/>
    <cellStyle name="Normal 4 2 2 3 2" xfId="17046" xr:uid="{00000000-0005-0000-0000-00002B720000}"/>
    <cellStyle name="Normal 4 2 2 3 2 2" xfId="30446" xr:uid="{00000000-0005-0000-0000-00002C720000}"/>
    <cellStyle name="Normal 4 2 2 3 3" xfId="31840" xr:uid="{00000000-0005-0000-0000-00002D720000}"/>
    <cellStyle name="Normal 4 2 2 4" xfId="10216" xr:uid="{00000000-0005-0000-0000-00002E720000}"/>
    <cellStyle name="Normal 4 2 2 5" xfId="32963" xr:uid="{00000000-0005-0000-0000-00002F720000}"/>
    <cellStyle name="Normal 4 2 2 6" xfId="33021" xr:uid="{00000000-0005-0000-0000-000030720000}"/>
    <cellStyle name="Normal 4 2 3" xfId="7556" xr:uid="{00000000-0005-0000-0000-000031720000}"/>
    <cellStyle name="Normal 4 2 3 2" xfId="7557" xr:uid="{00000000-0005-0000-0000-000032720000}"/>
    <cellStyle name="Normal 4 2 3 2 2" xfId="10218" xr:uid="{00000000-0005-0000-0000-000033720000}"/>
    <cellStyle name="Normal 4 2 3 3" xfId="7558" xr:uid="{00000000-0005-0000-0000-000034720000}"/>
    <cellStyle name="Normal 4 2 3 3 2" xfId="13271" xr:uid="{00000000-0005-0000-0000-000035720000}"/>
    <cellStyle name="Normal 4 2 3 4" xfId="10217" xr:uid="{00000000-0005-0000-0000-000036720000}"/>
    <cellStyle name="Normal 4 2 4" xfId="7559" xr:uid="{00000000-0005-0000-0000-000037720000}"/>
    <cellStyle name="Normal 4 2 4 2" xfId="7560" xr:uid="{00000000-0005-0000-0000-000038720000}"/>
    <cellStyle name="Normal 4 2 4 2 2" xfId="13272" xr:uid="{00000000-0005-0000-0000-000039720000}"/>
    <cellStyle name="Normal 4 2 4 3" xfId="10523" xr:uid="{00000000-0005-0000-0000-00003A720000}"/>
    <cellStyle name="Normal 4 2 5" xfId="7561" xr:uid="{00000000-0005-0000-0000-00003B720000}"/>
    <cellStyle name="Normal 4 2 5 2" xfId="7562" xr:uid="{00000000-0005-0000-0000-00003C720000}"/>
    <cellStyle name="Normal 4 2 5 2 2" xfId="13273" xr:uid="{00000000-0005-0000-0000-00003D720000}"/>
    <cellStyle name="Normal 4 2 5 2 2 2" xfId="26905" xr:uid="{00000000-0005-0000-0000-00003E720000}"/>
    <cellStyle name="Normal 4 2 5 2 3" xfId="31842" xr:uid="{00000000-0005-0000-0000-00003F720000}"/>
    <cellStyle name="Normal 4 2 5 3" xfId="7563" xr:uid="{00000000-0005-0000-0000-000040720000}"/>
    <cellStyle name="Normal 4 2 5 3 2" xfId="15711" xr:uid="{00000000-0005-0000-0000-000041720000}"/>
    <cellStyle name="Normal 4 2 5 3 2 2" xfId="29197" xr:uid="{00000000-0005-0000-0000-000042720000}"/>
    <cellStyle name="Normal 4 2 5 3 3" xfId="31843" xr:uid="{00000000-0005-0000-0000-000043720000}"/>
    <cellStyle name="Normal 4 2 5 4" xfId="11585" xr:uid="{00000000-0005-0000-0000-000044720000}"/>
    <cellStyle name="Normal 4 2 5 4 2" xfId="25416" xr:uid="{00000000-0005-0000-0000-000045720000}"/>
    <cellStyle name="Normal 4 2 5 5" xfId="31841" xr:uid="{00000000-0005-0000-0000-000046720000}"/>
    <cellStyle name="Normal 4 2 6" xfId="7564" xr:uid="{00000000-0005-0000-0000-000047720000}"/>
    <cellStyle name="Normal 4 2 6 2" xfId="13270" xr:uid="{00000000-0005-0000-0000-000048720000}"/>
    <cellStyle name="Normal 4 2 6 2 2" xfId="26904" xr:uid="{00000000-0005-0000-0000-000049720000}"/>
    <cellStyle name="Normal 4 2 6 3" xfId="31844" xr:uid="{00000000-0005-0000-0000-00004A720000}"/>
    <cellStyle name="Normal 4 2 7" xfId="7565" xr:uid="{00000000-0005-0000-0000-00004B720000}"/>
    <cellStyle name="Normal 4 2 7 2" xfId="15710" xr:uid="{00000000-0005-0000-0000-00004C720000}"/>
    <cellStyle name="Normal 4 2 7 2 2" xfId="29196" xr:uid="{00000000-0005-0000-0000-00004D720000}"/>
    <cellStyle name="Normal 4 2 7 3" xfId="31845" xr:uid="{00000000-0005-0000-0000-00004E720000}"/>
    <cellStyle name="Normal 4 2 8" xfId="7566" xr:uid="{00000000-0005-0000-0000-00004F720000}"/>
    <cellStyle name="Normal 4 2 8 2" xfId="15819" xr:uid="{00000000-0005-0000-0000-000050720000}"/>
    <cellStyle name="Normal 4 2 8 2 2" xfId="29226" xr:uid="{00000000-0005-0000-0000-000051720000}"/>
    <cellStyle name="Normal 4 2 8 3" xfId="31846" xr:uid="{00000000-0005-0000-0000-000052720000}"/>
    <cellStyle name="Normal 4 2 9" xfId="8685" xr:uid="{00000000-0005-0000-0000-000053720000}"/>
    <cellStyle name="Normal 4 2 9 2" xfId="17310" xr:uid="{00000000-0005-0000-0000-000054720000}"/>
    <cellStyle name="Normal 4 2 9 2 2" xfId="30663" xr:uid="{00000000-0005-0000-0000-000055720000}"/>
    <cellStyle name="Normal 4 2 9 3" xfId="23215" xr:uid="{00000000-0005-0000-0000-000056720000}"/>
    <cellStyle name="Normal 4 3" xfId="7567" xr:uid="{00000000-0005-0000-0000-000057720000}"/>
    <cellStyle name="Normal 4 3 10" xfId="8798" xr:uid="{00000000-0005-0000-0000-000058720000}"/>
    <cellStyle name="Normal 4 3 10 2" xfId="23276" xr:uid="{00000000-0005-0000-0000-000059720000}"/>
    <cellStyle name="Normal 4 3 11" xfId="32927" xr:uid="{00000000-0005-0000-0000-00005A720000}"/>
    <cellStyle name="Normal 4 3 12" xfId="32987" xr:uid="{00000000-0005-0000-0000-00005B720000}"/>
    <cellStyle name="Normal 4 3 2" xfId="7568" xr:uid="{00000000-0005-0000-0000-00005C720000}"/>
    <cellStyle name="Normal 4 3 2 2" xfId="7569" xr:uid="{00000000-0005-0000-0000-00005D720000}"/>
    <cellStyle name="Normal 4 3 2 2 2" xfId="11731" xr:uid="{00000000-0005-0000-0000-00005E720000}"/>
    <cellStyle name="Normal 4 3 2 2 2 2" xfId="25450" xr:uid="{00000000-0005-0000-0000-00005F720000}"/>
    <cellStyle name="Normal 4 3 2 2 3" xfId="31847" xr:uid="{00000000-0005-0000-0000-000060720000}"/>
    <cellStyle name="Normal 4 3 2 3" xfId="7570" xr:uid="{00000000-0005-0000-0000-000061720000}"/>
    <cellStyle name="Normal 4 3 2 3 2" xfId="17047" xr:uid="{00000000-0005-0000-0000-000062720000}"/>
    <cellStyle name="Normal 4 3 2 3 2 2" xfId="30447" xr:uid="{00000000-0005-0000-0000-000063720000}"/>
    <cellStyle name="Normal 4 3 2 3 3" xfId="31848" xr:uid="{00000000-0005-0000-0000-000064720000}"/>
    <cellStyle name="Normal 4 3 2 4" xfId="10219" xr:uid="{00000000-0005-0000-0000-000065720000}"/>
    <cellStyle name="Normal 4 3 2 5" xfId="32964" xr:uid="{00000000-0005-0000-0000-000066720000}"/>
    <cellStyle name="Normal 4 3 2 6" xfId="33022" xr:uid="{00000000-0005-0000-0000-000067720000}"/>
    <cellStyle name="Normal 4 3 3" xfId="7571" xr:uid="{00000000-0005-0000-0000-000068720000}"/>
    <cellStyle name="Normal 4 3 3 2" xfId="7572" xr:uid="{00000000-0005-0000-0000-000069720000}"/>
    <cellStyle name="Normal 4 3 3 2 2" xfId="10221" xr:uid="{00000000-0005-0000-0000-00006A720000}"/>
    <cellStyle name="Normal 4 3 3 3" xfId="7573" xr:uid="{00000000-0005-0000-0000-00006B720000}"/>
    <cellStyle name="Normal 4 3 3 3 2" xfId="13275" xr:uid="{00000000-0005-0000-0000-00006C720000}"/>
    <cellStyle name="Normal 4 3 3 4" xfId="10220" xr:uid="{00000000-0005-0000-0000-00006D720000}"/>
    <cellStyle name="Normal 4 3 4" xfId="7574" xr:uid="{00000000-0005-0000-0000-00006E720000}"/>
    <cellStyle name="Normal 4 3 4 2" xfId="7575" xr:uid="{00000000-0005-0000-0000-00006F720000}"/>
    <cellStyle name="Normal 4 3 4 2 2" xfId="13276" xr:uid="{00000000-0005-0000-0000-000070720000}"/>
    <cellStyle name="Normal 4 3 4 3" xfId="10524" xr:uid="{00000000-0005-0000-0000-000071720000}"/>
    <cellStyle name="Normal 4 3 5" xfId="7576" xr:uid="{00000000-0005-0000-0000-000072720000}"/>
    <cellStyle name="Normal 4 3 5 2" xfId="7577" xr:uid="{00000000-0005-0000-0000-000073720000}"/>
    <cellStyle name="Normal 4 3 5 2 2" xfId="13277" xr:uid="{00000000-0005-0000-0000-000074720000}"/>
    <cellStyle name="Normal 4 3 5 2 2 2" xfId="26907" xr:uid="{00000000-0005-0000-0000-000075720000}"/>
    <cellStyle name="Normal 4 3 5 2 3" xfId="31850" xr:uid="{00000000-0005-0000-0000-000076720000}"/>
    <cellStyle name="Normal 4 3 5 3" xfId="7578" xr:uid="{00000000-0005-0000-0000-000077720000}"/>
    <cellStyle name="Normal 4 3 5 3 2" xfId="15713" xr:uid="{00000000-0005-0000-0000-000078720000}"/>
    <cellStyle name="Normal 4 3 5 3 2 2" xfId="29199" xr:uid="{00000000-0005-0000-0000-000079720000}"/>
    <cellStyle name="Normal 4 3 5 3 3" xfId="31851" xr:uid="{00000000-0005-0000-0000-00007A720000}"/>
    <cellStyle name="Normal 4 3 5 4" xfId="11586" xr:uid="{00000000-0005-0000-0000-00007B720000}"/>
    <cellStyle name="Normal 4 3 5 4 2" xfId="25417" xr:uid="{00000000-0005-0000-0000-00007C720000}"/>
    <cellStyle name="Normal 4 3 5 5" xfId="31849" xr:uid="{00000000-0005-0000-0000-00007D720000}"/>
    <cellStyle name="Normal 4 3 6" xfId="7579" xr:uid="{00000000-0005-0000-0000-00007E720000}"/>
    <cellStyle name="Normal 4 3 6 2" xfId="13274" xr:uid="{00000000-0005-0000-0000-00007F720000}"/>
    <cellStyle name="Normal 4 3 6 2 2" xfId="26906" xr:uid="{00000000-0005-0000-0000-000080720000}"/>
    <cellStyle name="Normal 4 3 6 3" xfId="31852" xr:uid="{00000000-0005-0000-0000-000081720000}"/>
    <cellStyle name="Normal 4 3 7" xfId="7580" xr:uid="{00000000-0005-0000-0000-000082720000}"/>
    <cellStyle name="Normal 4 3 7 2" xfId="15712" xr:uid="{00000000-0005-0000-0000-000083720000}"/>
    <cellStyle name="Normal 4 3 7 2 2" xfId="29198" xr:uid="{00000000-0005-0000-0000-000084720000}"/>
    <cellStyle name="Normal 4 3 7 3" xfId="31853" xr:uid="{00000000-0005-0000-0000-000085720000}"/>
    <cellStyle name="Normal 4 3 8" xfId="7581" xr:uid="{00000000-0005-0000-0000-000086720000}"/>
    <cellStyle name="Normal 4 3 8 2" xfId="15820" xr:uid="{00000000-0005-0000-0000-000087720000}"/>
    <cellStyle name="Normal 4 3 8 2 2" xfId="29227" xr:uid="{00000000-0005-0000-0000-000088720000}"/>
    <cellStyle name="Normal 4 3 8 3" xfId="31854" xr:uid="{00000000-0005-0000-0000-000089720000}"/>
    <cellStyle name="Normal 4 3 9" xfId="8689" xr:uid="{00000000-0005-0000-0000-00008A720000}"/>
    <cellStyle name="Normal 4 3 9 2" xfId="17314" xr:uid="{00000000-0005-0000-0000-00008B720000}"/>
    <cellStyle name="Normal 4 3 9 2 2" xfId="30667" xr:uid="{00000000-0005-0000-0000-00008C720000}"/>
    <cellStyle name="Normal 4 3 9 3" xfId="23219" xr:uid="{00000000-0005-0000-0000-00008D720000}"/>
    <cellStyle name="Normal 4 4" xfId="7582" xr:uid="{00000000-0005-0000-0000-00008E720000}"/>
    <cellStyle name="Normal 4 4 10" xfId="32935" xr:uid="{00000000-0005-0000-0000-00008F720000}"/>
    <cellStyle name="Normal 4 4 11" xfId="32995" xr:uid="{00000000-0005-0000-0000-000090720000}"/>
    <cellStyle name="Normal 4 4 2" xfId="7583" xr:uid="{00000000-0005-0000-0000-000091720000}"/>
    <cellStyle name="Normal 4 4 2 2" xfId="7584" xr:uid="{00000000-0005-0000-0000-000092720000}"/>
    <cellStyle name="Normal 4 4 2 2 2" xfId="17048" xr:uid="{00000000-0005-0000-0000-000093720000}"/>
    <cellStyle name="Normal 4 4 2 2 2 2" xfId="30448" xr:uid="{00000000-0005-0000-0000-000094720000}"/>
    <cellStyle name="Normal 4 4 2 2 3" xfId="31857" xr:uid="{00000000-0005-0000-0000-000095720000}"/>
    <cellStyle name="Normal 4 4 2 3" xfId="10222" xr:uid="{00000000-0005-0000-0000-000096720000}"/>
    <cellStyle name="Normal 4 4 2 4" xfId="31856" xr:uid="{00000000-0005-0000-0000-000097720000}"/>
    <cellStyle name="Normal 4 4 2 5" xfId="32965" xr:uid="{00000000-0005-0000-0000-000098720000}"/>
    <cellStyle name="Normal 4 4 2 6" xfId="33023" xr:uid="{00000000-0005-0000-0000-000099720000}"/>
    <cellStyle name="Normal 4 4 3" xfId="7585" xr:uid="{00000000-0005-0000-0000-00009A720000}"/>
    <cellStyle name="Normal 4 4 3 2" xfId="11587" xr:uid="{00000000-0005-0000-0000-00009B720000}"/>
    <cellStyle name="Normal 4 4 3 2 2" xfId="25418" xr:uid="{00000000-0005-0000-0000-00009C720000}"/>
    <cellStyle name="Normal 4 4 3 3" xfId="31858" xr:uid="{00000000-0005-0000-0000-00009D720000}"/>
    <cellStyle name="Normal 4 4 4" xfId="7586" xr:uid="{00000000-0005-0000-0000-00009E720000}"/>
    <cellStyle name="Normal 4 4 4 2" xfId="13278" xr:uid="{00000000-0005-0000-0000-00009F720000}"/>
    <cellStyle name="Normal 4 4 4 2 2" xfId="26908" xr:uid="{00000000-0005-0000-0000-0000A0720000}"/>
    <cellStyle name="Normal 4 4 4 3" xfId="31859" xr:uid="{00000000-0005-0000-0000-0000A1720000}"/>
    <cellStyle name="Normal 4 4 5" xfId="7587" xr:uid="{00000000-0005-0000-0000-0000A2720000}"/>
    <cellStyle name="Normal 4 4 5 2" xfId="15714" xr:uid="{00000000-0005-0000-0000-0000A3720000}"/>
    <cellStyle name="Normal 4 4 5 2 2" xfId="29200" xr:uid="{00000000-0005-0000-0000-0000A4720000}"/>
    <cellStyle name="Normal 4 4 5 3" xfId="31860" xr:uid="{00000000-0005-0000-0000-0000A5720000}"/>
    <cellStyle name="Normal 4 4 6" xfId="7588" xr:uid="{00000000-0005-0000-0000-0000A6720000}"/>
    <cellStyle name="Normal 4 4 6 2" xfId="15821" xr:uid="{00000000-0005-0000-0000-0000A7720000}"/>
    <cellStyle name="Normal 4 4 6 2 2" xfId="29228" xr:uid="{00000000-0005-0000-0000-0000A8720000}"/>
    <cellStyle name="Normal 4 4 6 3" xfId="31861" xr:uid="{00000000-0005-0000-0000-0000A9720000}"/>
    <cellStyle name="Normal 4 4 7" xfId="8704" xr:uid="{00000000-0005-0000-0000-0000AA720000}"/>
    <cellStyle name="Normal 4 4 7 2" xfId="17322" xr:uid="{00000000-0005-0000-0000-0000AB720000}"/>
    <cellStyle name="Normal 4 4 7 2 2" xfId="30675" xr:uid="{00000000-0005-0000-0000-0000AC720000}"/>
    <cellStyle name="Normal 4 4 7 3" xfId="23227" xr:uid="{00000000-0005-0000-0000-0000AD720000}"/>
    <cellStyle name="Normal 4 4 8" xfId="8806" xr:uid="{00000000-0005-0000-0000-0000AE720000}"/>
    <cellStyle name="Normal 4 4 8 2" xfId="23284" xr:uid="{00000000-0005-0000-0000-0000AF720000}"/>
    <cellStyle name="Normal 4 4 9" xfId="31855" xr:uid="{00000000-0005-0000-0000-0000B0720000}"/>
    <cellStyle name="Normal 4 5" xfId="7589" xr:uid="{00000000-0005-0000-0000-0000B1720000}"/>
    <cellStyle name="Normal 4 5 10" xfId="7590" xr:uid="{00000000-0005-0000-0000-0000B2720000}"/>
    <cellStyle name="Normal 4 5 10 2" xfId="16421" xr:uid="{00000000-0005-0000-0000-0000B3720000}"/>
    <cellStyle name="Normal 4 5 10 2 2" xfId="29828" xr:uid="{00000000-0005-0000-0000-0000B4720000}"/>
    <cellStyle name="Normal 4 5 10 3" xfId="31863" xr:uid="{00000000-0005-0000-0000-0000B5720000}"/>
    <cellStyle name="Normal 4 5 11" xfId="8692" xr:uid="{00000000-0005-0000-0000-0000B6720000}"/>
    <cellStyle name="Normal 4 5 11 2" xfId="17317" xr:uid="{00000000-0005-0000-0000-0000B7720000}"/>
    <cellStyle name="Normal 4 5 11 2 2" xfId="30670" xr:uid="{00000000-0005-0000-0000-0000B8720000}"/>
    <cellStyle name="Normal 4 5 11 3" xfId="23222" xr:uid="{00000000-0005-0000-0000-0000B9720000}"/>
    <cellStyle name="Normal 4 5 12" xfId="8801" xr:uid="{00000000-0005-0000-0000-0000BA720000}"/>
    <cellStyle name="Normal 4 5 12 2" xfId="23279" xr:uid="{00000000-0005-0000-0000-0000BB720000}"/>
    <cellStyle name="Normal 4 5 13" xfId="31862" xr:uid="{00000000-0005-0000-0000-0000BC720000}"/>
    <cellStyle name="Normal 4 5 14" xfId="32930" xr:uid="{00000000-0005-0000-0000-0000BD720000}"/>
    <cellStyle name="Normal 4 5 15" xfId="32990" xr:uid="{00000000-0005-0000-0000-0000BE720000}"/>
    <cellStyle name="Normal 4 5 2" xfId="7591" xr:uid="{00000000-0005-0000-0000-0000BF720000}"/>
    <cellStyle name="Normal 4 5 2 2" xfId="7592" xr:uid="{00000000-0005-0000-0000-0000C0720000}"/>
    <cellStyle name="Normal 4 5 2 2 2" xfId="11589" xr:uid="{00000000-0005-0000-0000-0000C1720000}"/>
    <cellStyle name="Normal 4 5 2 2 2 2" xfId="25420" xr:uid="{00000000-0005-0000-0000-0000C2720000}"/>
    <cellStyle name="Normal 4 5 2 2 3" xfId="31865" xr:uid="{00000000-0005-0000-0000-0000C3720000}"/>
    <cellStyle name="Normal 4 5 2 3" xfId="7593" xr:uid="{00000000-0005-0000-0000-0000C4720000}"/>
    <cellStyle name="Normal 4 5 2 3 2" xfId="13280" xr:uid="{00000000-0005-0000-0000-0000C5720000}"/>
    <cellStyle name="Normal 4 5 2 3 2 2" xfId="26910" xr:uid="{00000000-0005-0000-0000-0000C6720000}"/>
    <cellStyle name="Normal 4 5 2 3 3" xfId="31866" xr:uid="{00000000-0005-0000-0000-0000C7720000}"/>
    <cellStyle name="Normal 4 5 2 4" xfId="7594" xr:uid="{00000000-0005-0000-0000-0000C8720000}"/>
    <cellStyle name="Normal 4 5 2 4 2" xfId="15716" xr:uid="{00000000-0005-0000-0000-0000C9720000}"/>
    <cellStyle name="Normal 4 5 2 4 2 2" xfId="29202" xr:uid="{00000000-0005-0000-0000-0000CA720000}"/>
    <cellStyle name="Normal 4 5 2 4 3" xfId="31867" xr:uid="{00000000-0005-0000-0000-0000CB720000}"/>
    <cellStyle name="Normal 4 5 2 5" xfId="7595" xr:uid="{00000000-0005-0000-0000-0000CC720000}"/>
    <cellStyle name="Normal 4 5 2 5 2" xfId="17002" xr:uid="{00000000-0005-0000-0000-0000CD720000}"/>
    <cellStyle name="Normal 4 5 2 5 2 2" xfId="30409" xr:uid="{00000000-0005-0000-0000-0000CE720000}"/>
    <cellStyle name="Normal 4 5 2 5 3" xfId="31868" xr:uid="{00000000-0005-0000-0000-0000CF720000}"/>
    <cellStyle name="Normal 4 5 2 6" xfId="10223" xr:uid="{00000000-0005-0000-0000-0000D0720000}"/>
    <cellStyle name="Normal 4 5 2 6 2" xfId="24418" xr:uid="{00000000-0005-0000-0000-0000D1720000}"/>
    <cellStyle name="Normal 4 5 2 7" xfId="31864" xr:uid="{00000000-0005-0000-0000-0000D2720000}"/>
    <cellStyle name="Normal 4 5 2 8" xfId="32966" xr:uid="{00000000-0005-0000-0000-0000D3720000}"/>
    <cellStyle name="Normal 4 5 2 9" xfId="33024" xr:uid="{00000000-0005-0000-0000-0000D4720000}"/>
    <cellStyle name="Normal 4 5 3" xfId="7596" xr:uid="{00000000-0005-0000-0000-0000D5720000}"/>
    <cellStyle name="Normal 4 5 3 2" xfId="11588" xr:uid="{00000000-0005-0000-0000-0000D6720000}"/>
    <cellStyle name="Normal 4 5 3 2 2" xfId="25419" xr:uid="{00000000-0005-0000-0000-0000D7720000}"/>
    <cellStyle name="Normal 4 5 3 3" xfId="31869" xr:uid="{00000000-0005-0000-0000-0000D8720000}"/>
    <cellStyle name="Normal 4 5 4" xfId="7597" xr:uid="{00000000-0005-0000-0000-0000D9720000}"/>
    <cellStyle name="Normal 4 5 4 2" xfId="12390" xr:uid="{00000000-0005-0000-0000-0000DA720000}"/>
    <cellStyle name="Normal 4 5 4 2 2" xfId="26102" xr:uid="{00000000-0005-0000-0000-0000DB720000}"/>
    <cellStyle name="Normal 4 5 4 3" xfId="31870" xr:uid="{00000000-0005-0000-0000-0000DC720000}"/>
    <cellStyle name="Normal 4 5 5" xfId="7598" xr:uid="{00000000-0005-0000-0000-0000DD720000}"/>
    <cellStyle name="Normal 4 5 5 2" xfId="13279" xr:uid="{00000000-0005-0000-0000-0000DE720000}"/>
    <cellStyle name="Normal 4 5 5 2 2" xfId="26909" xr:uid="{00000000-0005-0000-0000-0000DF720000}"/>
    <cellStyle name="Normal 4 5 5 3" xfId="31871" xr:uid="{00000000-0005-0000-0000-0000E0720000}"/>
    <cellStyle name="Normal 4 5 6" xfId="7599" xr:uid="{00000000-0005-0000-0000-0000E1720000}"/>
    <cellStyle name="Normal 4 5 6 2" xfId="13954" xr:uid="{00000000-0005-0000-0000-0000E2720000}"/>
    <cellStyle name="Normal 4 5 6 2 2" xfId="27503" xr:uid="{00000000-0005-0000-0000-0000E3720000}"/>
    <cellStyle name="Normal 4 5 6 3" xfId="31872" xr:uid="{00000000-0005-0000-0000-0000E4720000}"/>
    <cellStyle name="Normal 4 5 7" xfId="7600" xr:uid="{00000000-0005-0000-0000-0000E5720000}"/>
    <cellStyle name="Normal 4 5 7 2" xfId="14535" xr:uid="{00000000-0005-0000-0000-0000E6720000}"/>
    <cellStyle name="Normal 4 5 7 2 2" xfId="28084" xr:uid="{00000000-0005-0000-0000-0000E7720000}"/>
    <cellStyle name="Normal 4 5 7 3" xfId="31873" xr:uid="{00000000-0005-0000-0000-0000E8720000}"/>
    <cellStyle name="Normal 4 5 8" xfId="7601" xr:uid="{00000000-0005-0000-0000-0000E9720000}"/>
    <cellStyle name="Normal 4 5 8 2" xfId="15715" xr:uid="{00000000-0005-0000-0000-0000EA720000}"/>
    <cellStyle name="Normal 4 5 8 2 2" xfId="29201" xr:uid="{00000000-0005-0000-0000-0000EB720000}"/>
    <cellStyle name="Normal 4 5 8 3" xfId="31874" xr:uid="{00000000-0005-0000-0000-0000EC720000}"/>
    <cellStyle name="Normal 4 5 9" xfId="7602" xr:uid="{00000000-0005-0000-0000-0000ED720000}"/>
    <cellStyle name="Normal 4 5 9 2" xfId="15822" xr:uid="{00000000-0005-0000-0000-0000EE720000}"/>
    <cellStyle name="Normal 4 5 9 2 2" xfId="29229" xr:uid="{00000000-0005-0000-0000-0000EF720000}"/>
    <cellStyle name="Normal 4 5 9 3" xfId="31875" xr:uid="{00000000-0005-0000-0000-0000F0720000}"/>
    <cellStyle name="Normal 4 6" xfId="7603" xr:uid="{00000000-0005-0000-0000-0000F1720000}"/>
    <cellStyle name="Normal 4 6 2" xfId="7604" xr:uid="{00000000-0005-0000-0000-0000F2720000}"/>
    <cellStyle name="Normal 4 6 2 2" xfId="10225" xr:uid="{00000000-0005-0000-0000-0000F3720000}"/>
    <cellStyle name="Normal 4 6 2 3" xfId="32967" xr:uid="{00000000-0005-0000-0000-0000F4720000}"/>
    <cellStyle name="Normal 4 6 3" xfId="7605" xr:uid="{00000000-0005-0000-0000-0000F5720000}"/>
    <cellStyle name="Normal 4 6 3 2" xfId="11729" xr:uid="{00000000-0005-0000-0000-0000F6720000}"/>
    <cellStyle name="Normal 4 6 3 2 2" xfId="25448" xr:uid="{00000000-0005-0000-0000-0000F7720000}"/>
    <cellStyle name="Normal 4 6 3 3" xfId="31876" xr:uid="{00000000-0005-0000-0000-0000F8720000}"/>
    <cellStyle name="Normal 4 6 4" xfId="7606" xr:uid="{00000000-0005-0000-0000-0000F9720000}"/>
    <cellStyle name="Normal 4 6 4 2" xfId="17346" xr:uid="{00000000-0005-0000-0000-0000FA720000}"/>
    <cellStyle name="Normal 4 6 4 3" xfId="31877" xr:uid="{00000000-0005-0000-0000-0000FB720000}"/>
    <cellStyle name="Normal 4 6 5" xfId="8742" xr:uid="{00000000-0005-0000-0000-0000FC720000}"/>
    <cellStyle name="Normal 4 6 6" xfId="10224" xr:uid="{00000000-0005-0000-0000-0000FD720000}"/>
    <cellStyle name="Normal 4 6 7" xfId="32919" xr:uid="{00000000-0005-0000-0000-0000FE720000}"/>
    <cellStyle name="Normal 4 6 8" xfId="32979" xr:uid="{00000000-0005-0000-0000-0000FF720000}"/>
    <cellStyle name="Normal 4 7" xfId="7607" xr:uid="{00000000-0005-0000-0000-000000730000}"/>
    <cellStyle name="Normal 4 7 2" xfId="7608" xr:uid="{00000000-0005-0000-0000-000001730000}"/>
    <cellStyle name="Normal 4 7 2 2" xfId="13281" xr:uid="{00000000-0005-0000-0000-000002730000}"/>
    <cellStyle name="Normal 4 7 2 2 2" xfId="26911" xr:uid="{00000000-0005-0000-0000-000003730000}"/>
    <cellStyle name="Normal 4 7 2 3" xfId="31879" xr:uid="{00000000-0005-0000-0000-000004730000}"/>
    <cellStyle name="Normal 4 7 3" xfId="7609" xr:uid="{00000000-0005-0000-0000-000005730000}"/>
    <cellStyle name="Normal 4 7 3 2" xfId="15717" xr:uid="{00000000-0005-0000-0000-000006730000}"/>
    <cellStyle name="Normal 4 7 3 2 2" xfId="29203" xr:uid="{00000000-0005-0000-0000-000007730000}"/>
    <cellStyle name="Normal 4 7 3 3" xfId="31880" xr:uid="{00000000-0005-0000-0000-000008730000}"/>
    <cellStyle name="Normal 4 7 4" xfId="11584" xr:uid="{00000000-0005-0000-0000-000009730000}"/>
    <cellStyle name="Normal 4 7 4 2" xfId="25415" xr:uid="{00000000-0005-0000-0000-00000A730000}"/>
    <cellStyle name="Normal 4 7 5" xfId="31878" xr:uid="{00000000-0005-0000-0000-00000B730000}"/>
    <cellStyle name="Normal 4 7 6" xfId="32944" xr:uid="{00000000-0005-0000-0000-00000C730000}"/>
    <cellStyle name="Normal 4 7 7" xfId="33002" xr:uid="{00000000-0005-0000-0000-00000D730000}"/>
    <cellStyle name="Normal 4 8" xfId="7610" xr:uid="{00000000-0005-0000-0000-00000E730000}"/>
    <cellStyle name="Normal 4 8 2" xfId="15818" xr:uid="{00000000-0005-0000-0000-00000F730000}"/>
    <cellStyle name="Normal 4 8 2 2" xfId="29225" xr:uid="{00000000-0005-0000-0000-000010730000}"/>
    <cellStyle name="Normal 4 8 3" xfId="31881" xr:uid="{00000000-0005-0000-0000-000011730000}"/>
    <cellStyle name="Normal 4 8 4" xfId="32962" xr:uid="{00000000-0005-0000-0000-000012730000}"/>
    <cellStyle name="Normal 4 8 5" xfId="33020" xr:uid="{00000000-0005-0000-0000-000013730000}"/>
    <cellStyle name="Normal 4 9" xfId="8681" xr:uid="{00000000-0005-0000-0000-000014730000}"/>
    <cellStyle name="Normal 4 9 2" xfId="17306" xr:uid="{00000000-0005-0000-0000-000015730000}"/>
    <cellStyle name="Normal 4 9 2 2" xfId="30659" xr:uid="{00000000-0005-0000-0000-000016730000}"/>
    <cellStyle name="Normal 4 9 3" xfId="23211" xr:uid="{00000000-0005-0000-0000-000017730000}"/>
    <cellStyle name="Normal 5" xfId="7611" xr:uid="{00000000-0005-0000-0000-000018730000}"/>
    <cellStyle name="Normal 5 10" xfId="7612" xr:uid="{00000000-0005-0000-0000-000019730000}"/>
    <cellStyle name="Normal 5 10 2" xfId="15823" xr:uid="{00000000-0005-0000-0000-00001A730000}"/>
    <cellStyle name="Normal 5 10 2 2" xfId="29230" xr:uid="{00000000-0005-0000-0000-00001B730000}"/>
    <cellStyle name="Normal 5 10 3" xfId="31882" xr:uid="{00000000-0005-0000-0000-00001C730000}"/>
    <cellStyle name="Normal 5 11" xfId="8682" xr:uid="{00000000-0005-0000-0000-00001D730000}"/>
    <cellStyle name="Normal 5 11 2" xfId="17307" xr:uid="{00000000-0005-0000-0000-00001E730000}"/>
    <cellStyle name="Normal 5 11 2 2" xfId="30660" xr:uid="{00000000-0005-0000-0000-00001F730000}"/>
    <cellStyle name="Normal 5 11 3" xfId="23212" xr:uid="{00000000-0005-0000-0000-000020730000}"/>
    <cellStyle name="Normal 5 12" xfId="8791" xr:uid="{00000000-0005-0000-0000-000021730000}"/>
    <cellStyle name="Normal 5 12 2" xfId="23269" xr:uid="{00000000-0005-0000-0000-000022730000}"/>
    <cellStyle name="Normal 5 2" xfId="7613" xr:uid="{00000000-0005-0000-0000-000023730000}"/>
    <cellStyle name="Normal 5 2 10" xfId="32984" xr:uid="{00000000-0005-0000-0000-000024730000}"/>
    <cellStyle name="Normal 5 2 11" xfId="33041" xr:uid="{00000000-0005-0000-0000-000025730000}"/>
    <cellStyle name="Normal 5 2 2" xfId="7614" xr:uid="{00000000-0005-0000-0000-000026730000}"/>
    <cellStyle name="Normal 5 2 2 2" xfId="11591" xr:uid="{00000000-0005-0000-0000-000027730000}"/>
    <cellStyle name="Normal 5 2 2 2 2" xfId="25422" xr:uid="{00000000-0005-0000-0000-000028730000}"/>
    <cellStyle name="Normal 5 2 2 3" xfId="31883" xr:uid="{00000000-0005-0000-0000-000029730000}"/>
    <cellStyle name="Normal 5 2 2 4" xfId="32969" xr:uid="{00000000-0005-0000-0000-00002A730000}"/>
    <cellStyle name="Normal 5 2 2 5" xfId="33026" xr:uid="{00000000-0005-0000-0000-00002B730000}"/>
    <cellStyle name="Normal 5 2 3" xfId="7615" xr:uid="{00000000-0005-0000-0000-00002C730000}"/>
    <cellStyle name="Normal 5 2 3 2" xfId="13283" xr:uid="{00000000-0005-0000-0000-00002D730000}"/>
    <cellStyle name="Normal 5 2 3 2 2" xfId="26913" xr:uid="{00000000-0005-0000-0000-00002E730000}"/>
    <cellStyle name="Normal 5 2 3 3" xfId="31884" xr:uid="{00000000-0005-0000-0000-00002F730000}"/>
    <cellStyle name="Normal 5 2 4" xfId="7616" xr:uid="{00000000-0005-0000-0000-000030730000}"/>
    <cellStyle name="Normal 5 2 4 2" xfId="15719" xr:uid="{00000000-0005-0000-0000-000031730000}"/>
    <cellStyle name="Normal 5 2 4 2 2" xfId="29205" xr:uid="{00000000-0005-0000-0000-000032730000}"/>
    <cellStyle name="Normal 5 2 4 3" xfId="31885" xr:uid="{00000000-0005-0000-0000-000033730000}"/>
    <cellStyle name="Normal 5 2 5" xfId="7617" xr:uid="{00000000-0005-0000-0000-000034730000}"/>
    <cellStyle name="Normal 5 2 5 2" xfId="15824" xr:uid="{00000000-0005-0000-0000-000035730000}"/>
    <cellStyle name="Normal 5 2 5 2 2" xfId="29231" xr:uid="{00000000-0005-0000-0000-000036730000}"/>
    <cellStyle name="Normal 5 2 5 3" xfId="31886" xr:uid="{00000000-0005-0000-0000-000037730000}"/>
    <cellStyle name="Normal 5 2 6" xfId="7618" xr:uid="{00000000-0005-0000-0000-000038730000}"/>
    <cellStyle name="Normal 5 2 6 2" xfId="17049" xr:uid="{00000000-0005-0000-0000-000039730000}"/>
    <cellStyle name="Normal 5 2 7" xfId="8686" xr:uid="{00000000-0005-0000-0000-00003A730000}"/>
    <cellStyle name="Normal 5 2 7 2" xfId="17311" xr:uid="{00000000-0005-0000-0000-00003B730000}"/>
    <cellStyle name="Normal 5 2 7 2 2" xfId="30664" xr:uid="{00000000-0005-0000-0000-00003C730000}"/>
    <cellStyle name="Normal 5 2 7 3" xfId="23216" xr:uid="{00000000-0005-0000-0000-00003D730000}"/>
    <cellStyle name="Normal 5 2 8" xfId="8795" xr:uid="{00000000-0005-0000-0000-00003E730000}"/>
    <cellStyle name="Normal 5 2 8 2" xfId="23273" xr:uid="{00000000-0005-0000-0000-00003F730000}"/>
    <cellStyle name="Normal 5 2 9" xfId="32924" xr:uid="{00000000-0005-0000-0000-000040730000}"/>
    <cellStyle name="Normal 5 3" xfId="7619" xr:uid="{00000000-0005-0000-0000-000041730000}"/>
    <cellStyle name="Normal 5 3 10" xfId="32988" xr:uid="{00000000-0005-0000-0000-000042730000}"/>
    <cellStyle name="Normal 5 3 2" xfId="7620" xr:uid="{00000000-0005-0000-0000-000043730000}"/>
    <cellStyle name="Normal 5 3 2 2" xfId="11592" xr:uid="{00000000-0005-0000-0000-000044730000}"/>
    <cellStyle name="Normal 5 3 2 2 2" xfId="25423" xr:uid="{00000000-0005-0000-0000-000045730000}"/>
    <cellStyle name="Normal 5 3 2 3" xfId="31888" xr:uid="{00000000-0005-0000-0000-000046730000}"/>
    <cellStyle name="Normal 5 3 2 4" xfId="32970" xr:uid="{00000000-0005-0000-0000-000047730000}"/>
    <cellStyle name="Normal 5 3 2 5" xfId="33027" xr:uid="{00000000-0005-0000-0000-000048730000}"/>
    <cellStyle name="Normal 5 3 3" xfId="7621" xr:uid="{00000000-0005-0000-0000-000049730000}"/>
    <cellStyle name="Normal 5 3 3 2" xfId="13284" xr:uid="{00000000-0005-0000-0000-00004A730000}"/>
    <cellStyle name="Normal 5 3 3 2 2" xfId="26914" xr:uid="{00000000-0005-0000-0000-00004B730000}"/>
    <cellStyle name="Normal 5 3 3 3" xfId="31889" xr:uid="{00000000-0005-0000-0000-00004C730000}"/>
    <cellStyle name="Normal 5 3 4" xfId="7622" xr:uid="{00000000-0005-0000-0000-00004D730000}"/>
    <cellStyle name="Normal 5 3 4 2" xfId="15720" xr:uid="{00000000-0005-0000-0000-00004E730000}"/>
    <cellStyle name="Normal 5 3 4 2 2" xfId="29206" xr:uid="{00000000-0005-0000-0000-00004F730000}"/>
    <cellStyle name="Normal 5 3 4 3" xfId="31890" xr:uid="{00000000-0005-0000-0000-000050730000}"/>
    <cellStyle name="Normal 5 3 5" xfId="7623" xr:uid="{00000000-0005-0000-0000-000051730000}"/>
    <cellStyle name="Normal 5 3 5 2" xfId="15825" xr:uid="{00000000-0005-0000-0000-000052730000}"/>
    <cellStyle name="Normal 5 3 5 2 2" xfId="29232" xr:uid="{00000000-0005-0000-0000-000053730000}"/>
    <cellStyle name="Normal 5 3 5 3" xfId="31891" xr:uid="{00000000-0005-0000-0000-000054730000}"/>
    <cellStyle name="Normal 5 3 6" xfId="8690" xr:uid="{00000000-0005-0000-0000-000055730000}"/>
    <cellStyle name="Normal 5 3 6 2" xfId="17315" xr:uid="{00000000-0005-0000-0000-000056730000}"/>
    <cellStyle name="Normal 5 3 6 2 2" xfId="30668" xr:uid="{00000000-0005-0000-0000-000057730000}"/>
    <cellStyle name="Normal 5 3 6 3" xfId="23220" xr:uid="{00000000-0005-0000-0000-000058730000}"/>
    <cellStyle name="Normal 5 3 7" xfId="8799" xr:uid="{00000000-0005-0000-0000-000059730000}"/>
    <cellStyle name="Normal 5 3 7 2" xfId="23277" xr:uid="{00000000-0005-0000-0000-00005A730000}"/>
    <cellStyle name="Normal 5 3 8" xfId="31887" xr:uid="{00000000-0005-0000-0000-00005B730000}"/>
    <cellStyle name="Normal 5 3 9" xfId="32928" xr:uid="{00000000-0005-0000-0000-00005C730000}"/>
    <cellStyle name="Normal 5 4" xfId="7624" xr:uid="{00000000-0005-0000-0000-00005D730000}"/>
    <cellStyle name="Normal 5 4 10" xfId="32996" xr:uid="{00000000-0005-0000-0000-00005E730000}"/>
    <cellStyle name="Normal 5 4 2" xfId="7625" xr:uid="{00000000-0005-0000-0000-00005F730000}"/>
    <cellStyle name="Normal 5 4 2 2" xfId="11593" xr:uid="{00000000-0005-0000-0000-000060730000}"/>
    <cellStyle name="Normal 5 4 2 2 2" xfId="25424" xr:uid="{00000000-0005-0000-0000-000061730000}"/>
    <cellStyle name="Normal 5 4 2 3" xfId="31893" xr:uid="{00000000-0005-0000-0000-000062730000}"/>
    <cellStyle name="Normal 5 4 2 4" xfId="32971" xr:uid="{00000000-0005-0000-0000-000063730000}"/>
    <cellStyle name="Normal 5 4 2 5" xfId="33028" xr:uid="{00000000-0005-0000-0000-000064730000}"/>
    <cellStyle name="Normal 5 4 3" xfId="7626" xr:uid="{00000000-0005-0000-0000-000065730000}"/>
    <cellStyle name="Normal 5 4 3 2" xfId="13285" xr:uid="{00000000-0005-0000-0000-000066730000}"/>
    <cellStyle name="Normal 5 4 3 2 2" xfId="26915" xr:uid="{00000000-0005-0000-0000-000067730000}"/>
    <cellStyle name="Normal 5 4 3 3" xfId="31894" xr:uid="{00000000-0005-0000-0000-000068730000}"/>
    <cellStyle name="Normal 5 4 4" xfId="7627" xr:uid="{00000000-0005-0000-0000-000069730000}"/>
    <cellStyle name="Normal 5 4 4 2" xfId="15721" xr:uid="{00000000-0005-0000-0000-00006A730000}"/>
    <cellStyle name="Normal 5 4 4 2 2" xfId="29207" xr:uid="{00000000-0005-0000-0000-00006B730000}"/>
    <cellStyle name="Normal 5 4 4 3" xfId="31895" xr:uid="{00000000-0005-0000-0000-00006C730000}"/>
    <cellStyle name="Normal 5 4 5" xfId="7628" xr:uid="{00000000-0005-0000-0000-00006D730000}"/>
    <cellStyle name="Normal 5 4 5 2" xfId="15826" xr:uid="{00000000-0005-0000-0000-00006E730000}"/>
    <cellStyle name="Normal 5 4 5 2 2" xfId="29233" xr:uid="{00000000-0005-0000-0000-00006F730000}"/>
    <cellStyle name="Normal 5 4 5 3" xfId="31896" xr:uid="{00000000-0005-0000-0000-000070730000}"/>
    <cellStyle name="Normal 5 4 6" xfId="8705" xr:uid="{00000000-0005-0000-0000-000071730000}"/>
    <cellStyle name="Normal 5 4 6 2" xfId="17323" xr:uid="{00000000-0005-0000-0000-000072730000}"/>
    <cellStyle name="Normal 5 4 6 2 2" xfId="30676" xr:uid="{00000000-0005-0000-0000-000073730000}"/>
    <cellStyle name="Normal 5 4 6 3" xfId="23228" xr:uid="{00000000-0005-0000-0000-000074730000}"/>
    <cellStyle name="Normal 5 4 7" xfId="8807" xr:uid="{00000000-0005-0000-0000-000075730000}"/>
    <cellStyle name="Normal 5 4 7 2" xfId="23285" xr:uid="{00000000-0005-0000-0000-000076730000}"/>
    <cellStyle name="Normal 5 4 8" xfId="31892" xr:uid="{00000000-0005-0000-0000-000077730000}"/>
    <cellStyle name="Normal 5 4 9" xfId="32936" xr:uid="{00000000-0005-0000-0000-000078730000}"/>
    <cellStyle name="Normal 5 5" xfId="7629" xr:uid="{00000000-0005-0000-0000-000079730000}"/>
    <cellStyle name="Normal 5 5 10" xfId="32991" xr:uid="{00000000-0005-0000-0000-00007A730000}"/>
    <cellStyle name="Normal 5 5 2" xfId="7630" xr:uid="{00000000-0005-0000-0000-00007B730000}"/>
    <cellStyle name="Normal 5 5 2 2" xfId="11594" xr:uid="{00000000-0005-0000-0000-00007C730000}"/>
    <cellStyle name="Normal 5 5 2 2 2" xfId="25425" xr:uid="{00000000-0005-0000-0000-00007D730000}"/>
    <cellStyle name="Normal 5 5 2 3" xfId="31898" xr:uid="{00000000-0005-0000-0000-00007E730000}"/>
    <cellStyle name="Normal 5 5 2 4" xfId="32972" xr:uid="{00000000-0005-0000-0000-00007F730000}"/>
    <cellStyle name="Normal 5 5 2 5" xfId="33029" xr:uid="{00000000-0005-0000-0000-000080730000}"/>
    <cellStyle name="Normal 5 5 3" xfId="7631" xr:uid="{00000000-0005-0000-0000-000081730000}"/>
    <cellStyle name="Normal 5 5 3 2" xfId="13286" xr:uid="{00000000-0005-0000-0000-000082730000}"/>
    <cellStyle name="Normal 5 5 3 2 2" xfId="26916" xr:uid="{00000000-0005-0000-0000-000083730000}"/>
    <cellStyle name="Normal 5 5 3 3" xfId="31899" xr:uid="{00000000-0005-0000-0000-000084730000}"/>
    <cellStyle name="Normal 5 5 4" xfId="7632" xr:uid="{00000000-0005-0000-0000-000085730000}"/>
    <cellStyle name="Normal 5 5 4 2" xfId="15722" xr:uid="{00000000-0005-0000-0000-000086730000}"/>
    <cellStyle name="Normal 5 5 4 2 2" xfId="29208" xr:uid="{00000000-0005-0000-0000-000087730000}"/>
    <cellStyle name="Normal 5 5 4 3" xfId="31900" xr:uid="{00000000-0005-0000-0000-000088730000}"/>
    <cellStyle name="Normal 5 5 5" xfId="7633" xr:uid="{00000000-0005-0000-0000-000089730000}"/>
    <cellStyle name="Normal 5 5 5 2" xfId="15827" xr:uid="{00000000-0005-0000-0000-00008A730000}"/>
    <cellStyle name="Normal 5 5 5 2 2" xfId="29234" xr:uid="{00000000-0005-0000-0000-00008B730000}"/>
    <cellStyle name="Normal 5 5 5 3" xfId="31901" xr:uid="{00000000-0005-0000-0000-00008C730000}"/>
    <cellStyle name="Normal 5 5 6" xfId="8695" xr:uid="{00000000-0005-0000-0000-00008D730000}"/>
    <cellStyle name="Normal 5 5 6 2" xfId="17318" xr:uid="{00000000-0005-0000-0000-00008E730000}"/>
    <cellStyle name="Normal 5 5 6 2 2" xfId="30671" xr:uid="{00000000-0005-0000-0000-00008F730000}"/>
    <cellStyle name="Normal 5 5 6 3" xfId="23223" xr:uid="{00000000-0005-0000-0000-000090730000}"/>
    <cellStyle name="Normal 5 5 7" xfId="8802" xr:uid="{00000000-0005-0000-0000-000091730000}"/>
    <cellStyle name="Normal 5 5 7 2" xfId="23280" xr:uid="{00000000-0005-0000-0000-000092730000}"/>
    <cellStyle name="Normal 5 5 8" xfId="31897" xr:uid="{00000000-0005-0000-0000-000093730000}"/>
    <cellStyle name="Normal 5 5 9" xfId="32931" xr:uid="{00000000-0005-0000-0000-000094730000}"/>
    <cellStyle name="Normal 5 6" xfId="7634" xr:uid="{00000000-0005-0000-0000-000095730000}"/>
    <cellStyle name="Normal 5 6 2" xfId="7635" xr:uid="{00000000-0005-0000-0000-000096730000}"/>
    <cellStyle name="Normal 5 6 2 2" xfId="11691" xr:uid="{00000000-0005-0000-0000-000097730000}"/>
    <cellStyle name="Normal 5 6 2 2 2" xfId="25428" xr:uid="{00000000-0005-0000-0000-000098730000}"/>
    <cellStyle name="Normal 5 6 2 3" xfId="31903" xr:uid="{00000000-0005-0000-0000-000099730000}"/>
    <cellStyle name="Normal 5 6 2 4" xfId="32973" xr:uid="{00000000-0005-0000-0000-00009A730000}"/>
    <cellStyle name="Normal 5 6 3" xfId="7636" xr:uid="{00000000-0005-0000-0000-00009B730000}"/>
    <cellStyle name="Normal 5 6 3 2" xfId="17347" xr:uid="{00000000-0005-0000-0000-00009C730000}"/>
    <cellStyle name="Normal 5 6 3 3" xfId="31904" xr:uid="{00000000-0005-0000-0000-00009D730000}"/>
    <cellStyle name="Normal 5 6 4" xfId="8743" xr:uid="{00000000-0005-0000-0000-00009E730000}"/>
    <cellStyle name="Normal 5 6 5" xfId="10226" xr:uid="{00000000-0005-0000-0000-00009F730000}"/>
    <cellStyle name="Normal 5 6 6" xfId="31902" xr:uid="{00000000-0005-0000-0000-0000A0730000}"/>
    <cellStyle name="Normal 5 6 7" xfId="32920" xr:uid="{00000000-0005-0000-0000-0000A1730000}"/>
    <cellStyle name="Normal 5 6 8" xfId="32980" xr:uid="{00000000-0005-0000-0000-0000A2730000}"/>
    <cellStyle name="Normal 5 7" xfId="7637" xr:uid="{00000000-0005-0000-0000-0000A3730000}"/>
    <cellStyle name="Normal 5 7 2" xfId="7638" xr:uid="{00000000-0005-0000-0000-0000A4730000}"/>
    <cellStyle name="Normal 5 7 2 2" xfId="13287" xr:uid="{00000000-0005-0000-0000-0000A5730000}"/>
    <cellStyle name="Normal 5 7 2 2 2" xfId="26917" xr:uid="{00000000-0005-0000-0000-0000A6730000}"/>
    <cellStyle name="Normal 5 7 2 3" xfId="31906" xr:uid="{00000000-0005-0000-0000-0000A7730000}"/>
    <cellStyle name="Normal 5 7 3" xfId="7639" xr:uid="{00000000-0005-0000-0000-0000A8730000}"/>
    <cellStyle name="Normal 5 7 3 2" xfId="15723" xr:uid="{00000000-0005-0000-0000-0000A9730000}"/>
    <cellStyle name="Normal 5 7 3 2 2" xfId="29209" xr:uid="{00000000-0005-0000-0000-0000AA730000}"/>
    <cellStyle name="Normal 5 7 3 3" xfId="31907" xr:uid="{00000000-0005-0000-0000-0000AB730000}"/>
    <cellStyle name="Normal 5 7 4" xfId="11590" xr:uid="{00000000-0005-0000-0000-0000AC730000}"/>
    <cellStyle name="Normal 5 7 4 2" xfId="25421" xr:uid="{00000000-0005-0000-0000-0000AD730000}"/>
    <cellStyle name="Normal 5 7 5" xfId="31905" xr:uid="{00000000-0005-0000-0000-0000AE730000}"/>
    <cellStyle name="Normal 5 7 6" xfId="32968" xr:uid="{00000000-0005-0000-0000-0000AF730000}"/>
    <cellStyle name="Normal 5 7 7" xfId="33025" xr:uid="{00000000-0005-0000-0000-0000B0730000}"/>
    <cellStyle name="Normal 5 8" xfId="7640" xr:uid="{00000000-0005-0000-0000-0000B1730000}"/>
    <cellStyle name="Normal 5 8 2" xfId="13282" xr:uid="{00000000-0005-0000-0000-0000B2730000}"/>
    <cellStyle name="Normal 5 8 2 2" xfId="26912" xr:uid="{00000000-0005-0000-0000-0000B3730000}"/>
    <cellStyle name="Normal 5 8 3" xfId="31908" xr:uid="{00000000-0005-0000-0000-0000B4730000}"/>
    <cellStyle name="Normal 5 9" xfId="7641" xr:uid="{00000000-0005-0000-0000-0000B5730000}"/>
    <cellStyle name="Normal 5 9 2" xfId="15718" xr:uid="{00000000-0005-0000-0000-0000B6730000}"/>
    <cellStyle name="Normal 5 9 2 2" xfId="29204" xr:uid="{00000000-0005-0000-0000-0000B7730000}"/>
    <cellStyle name="Normal 5 9 3" xfId="31909" xr:uid="{00000000-0005-0000-0000-0000B8730000}"/>
    <cellStyle name="Normal 55" xfId="7642" xr:uid="{00000000-0005-0000-0000-0000B9730000}"/>
    <cellStyle name="Normal 55 2" xfId="7643" xr:uid="{00000000-0005-0000-0000-0000BA730000}"/>
    <cellStyle name="Normal 55 2 2" xfId="7644" xr:uid="{00000000-0005-0000-0000-0000BB730000}"/>
    <cellStyle name="Normal 55 2 2 2" xfId="17050" xr:uid="{00000000-0005-0000-0000-0000BC730000}"/>
    <cellStyle name="Normal 55 2 2 2 2" xfId="30449" xr:uid="{00000000-0005-0000-0000-0000BD730000}"/>
    <cellStyle name="Normal 55 2 2 3" xfId="31912" xr:uid="{00000000-0005-0000-0000-0000BE730000}"/>
    <cellStyle name="Normal 55 2 3" xfId="11595" xr:uid="{00000000-0005-0000-0000-0000BF730000}"/>
    <cellStyle name="Normal 55 2 3 2" xfId="25426" xr:uid="{00000000-0005-0000-0000-0000C0730000}"/>
    <cellStyle name="Normal 55 2 4" xfId="31911" xr:uid="{00000000-0005-0000-0000-0000C1730000}"/>
    <cellStyle name="Normal 55 3" xfId="7645" xr:uid="{00000000-0005-0000-0000-0000C2730000}"/>
    <cellStyle name="Normal 55 3 2" xfId="7646" xr:uid="{00000000-0005-0000-0000-0000C3730000}"/>
    <cellStyle name="Normal 55 3 2 2" xfId="17005" xr:uid="{00000000-0005-0000-0000-0000C4730000}"/>
    <cellStyle name="Normal 55 3 2 2 2" xfId="30412" xr:uid="{00000000-0005-0000-0000-0000C5730000}"/>
    <cellStyle name="Normal 55 3 2 3" xfId="31914" xr:uid="{00000000-0005-0000-0000-0000C6730000}"/>
    <cellStyle name="Normal 55 3 3" xfId="12394" xr:uid="{00000000-0005-0000-0000-0000C7730000}"/>
    <cellStyle name="Normal 55 3 3 2" xfId="26106" xr:uid="{00000000-0005-0000-0000-0000C8730000}"/>
    <cellStyle name="Normal 55 3 4" xfId="31913" xr:uid="{00000000-0005-0000-0000-0000C9730000}"/>
    <cellStyle name="Normal 55 4" xfId="7647" xr:uid="{00000000-0005-0000-0000-0000CA730000}"/>
    <cellStyle name="Normal 55 4 2" xfId="13957" xr:uid="{00000000-0005-0000-0000-0000CB730000}"/>
    <cellStyle name="Normal 55 4 2 2" xfId="27506" xr:uid="{00000000-0005-0000-0000-0000CC730000}"/>
    <cellStyle name="Normal 55 4 3" xfId="31915" xr:uid="{00000000-0005-0000-0000-0000CD730000}"/>
    <cellStyle name="Normal 55 5" xfId="7648" xr:uid="{00000000-0005-0000-0000-0000CE730000}"/>
    <cellStyle name="Normal 55 5 2" xfId="14538" xr:uid="{00000000-0005-0000-0000-0000CF730000}"/>
    <cellStyle name="Normal 55 5 2 2" xfId="28087" xr:uid="{00000000-0005-0000-0000-0000D0730000}"/>
    <cellStyle name="Normal 55 5 3" xfId="31916" xr:uid="{00000000-0005-0000-0000-0000D1730000}"/>
    <cellStyle name="Normal 55 6" xfId="7649" xr:uid="{00000000-0005-0000-0000-0000D2730000}"/>
    <cellStyle name="Normal 55 6 2" xfId="16424" xr:uid="{00000000-0005-0000-0000-0000D3730000}"/>
    <cellStyle name="Normal 55 6 2 2" xfId="29831" xr:uid="{00000000-0005-0000-0000-0000D4730000}"/>
    <cellStyle name="Normal 55 6 3" xfId="31917" xr:uid="{00000000-0005-0000-0000-0000D5730000}"/>
    <cellStyle name="Normal 55 7" xfId="10227" xr:uid="{00000000-0005-0000-0000-0000D6730000}"/>
    <cellStyle name="Normal 55 7 2" xfId="24419" xr:uid="{00000000-0005-0000-0000-0000D7730000}"/>
    <cellStyle name="Normal 55 8" xfId="31910" xr:uid="{00000000-0005-0000-0000-0000D8730000}"/>
    <cellStyle name="Normal 6" xfId="7650" xr:uid="{00000000-0005-0000-0000-0000D9730000}"/>
    <cellStyle name="Normal 6 2" xfId="7651" xr:uid="{00000000-0005-0000-0000-0000DA730000}"/>
    <cellStyle name="Normal 6 2 2" xfId="7652" xr:uid="{00000000-0005-0000-0000-0000DB730000}"/>
    <cellStyle name="Normal 6 2 2 2" xfId="10229" xr:uid="{00000000-0005-0000-0000-0000DC730000}"/>
    <cellStyle name="Normal 6 2 2 3" xfId="31918" xr:uid="{00000000-0005-0000-0000-0000DD730000}"/>
    <cellStyle name="Normal 6 2 2 4" xfId="33094" xr:uid="{00000000-0005-0000-0000-0000DE730000}"/>
    <cellStyle name="Normal 6 2 3" xfId="7653" xr:uid="{00000000-0005-0000-0000-0000DF730000}"/>
    <cellStyle name="Normal 6 2 3 2" xfId="17348" xr:uid="{00000000-0005-0000-0000-0000E0730000}"/>
    <cellStyle name="Normal 6 2 3 3" xfId="31919" xr:uid="{00000000-0005-0000-0000-0000E1730000}"/>
    <cellStyle name="Normal 6 2 4" xfId="8744" xr:uid="{00000000-0005-0000-0000-0000E2730000}"/>
    <cellStyle name="Normal 6 2 5" xfId="10228" xr:uid="{00000000-0005-0000-0000-0000E3730000}"/>
    <cellStyle name="Normal 6 2 6" xfId="33042" xr:uid="{00000000-0005-0000-0000-0000E4730000}"/>
    <cellStyle name="Normal 6 3" xfId="7654" xr:uid="{00000000-0005-0000-0000-0000E5730000}"/>
    <cellStyle name="Normal 6 3 2" xfId="7655" xr:uid="{00000000-0005-0000-0000-0000E6730000}"/>
    <cellStyle name="Normal 6 3 2 2" xfId="17371" xr:uid="{00000000-0005-0000-0000-0000E7730000}"/>
    <cellStyle name="Normal 6 3 2 3" xfId="31920" xr:uid="{00000000-0005-0000-0000-0000E8730000}"/>
    <cellStyle name="Normal 6 3 3" xfId="8745" xr:uid="{00000000-0005-0000-0000-0000E9730000}"/>
    <cellStyle name="Normal 6 3 4" xfId="11596" xr:uid="{00000000-0005-0000-0000-0000EA730000}"/>
    <cellStyle name="Normal 6 3 5" xfId="33087" xr:uid="{00000000-0005-0000-0000-0000EB730000}"/>
    <cellStyle name="Normal 6 4" xfId="8707" xr:uid="{00000000-0005-0000-0000-0000EC730000}"/>
    <cellStyle name="Normal 7" xfId="7656" xr:uid="{00000000-0005-0000-0000-0000ED730000}"/>
    <cellStyle name="Normal 7 2" xfId="7657" xr:uid="{00000000-0005-0000-0000-0000EE730000}"/>
    <cellStyle name="Normal 7 2 2" xfId="7658" xr:uid="{00000000-0005-0000-0000-0000EF730000}"/>
    <cellStyle name="Normal 7 2 2 2" xfId="11732" xr:uid="{00000000-0005-0000-0000-0000F0730000}"/>
    <cellStyle name="Normal 7 2 2 3" xfId="31923" xr:uid="{00000000-0005-0000-0000-0000F1730000}"/>
    <cellStyle name="Normal 7 2 3" xfId="7659" xr:uid="{00000000-0005-0000-0000-0000F2730000}"/>
    <cellStyle name="Normal 7 2 3 2" xfId="17349" xr:uid="{00000000-0005-0000-0000-0000F3730000}"/>
    <cellStyle name="Normal 7 2 3 3" xfId="31924" xr:uid="{00000000-0005-0000-0000-0000F4730000}"/>
    <cellStyle name="Normal 7 2 4" xfId="8746" xr:uid="{00000000-0005-0000-0000-0000F5730000}"/>
    <cellStyle name="Normal 7 2 5" xfId="10230" xr:uid="{00000000-0005-0000-0000-0000F6730000}"/>
    <cellStyle name="Normal 7 2 6" xfId="31922" xr:uid="{00000000-0005-0000-0000-0000F7730000}"/>
    <cellStyle name="Normal 7 3" xfId="7660" xr:uid="{00000000-0005-0000-0000-0000F8730000}"/>
    <cellStyle name="Normal 7 3 2" xfId="11597" xr:uid="{00000000-0005-0000-0000-0000F9730000}"/>
    <cellStyle name="Normal 7 3 3" xfId="31925" xr:uid="{00000000-0005-0000-0000-0000FA730000}"/>
    <cellStyle name="Normal 7 4" xfId="8698" xr:uid="{00000000-0005-0000-0000-0000FB730000}"/>
    <cellStyle name="Normal 7 5" xfId="31921" xr:uid="{00000000-0005-0000-0000-0000FC730000}"/>
    <cellStyle name="Normal 8" xfId="7661" xr:uid="{00000000-0005-0000-0000-0000FD730000}"/>
    <cellStyle name="Normal 8 2" xfId="7662" xr:uid="{00000000-0005-0000-0000-0000FE730000}"/>
    <cellStyle name="Normal 8 2 2" xfId="7663" xr:uid="{00000000-0005-0000-0000-0000FF730000}"/>
    <cellStyle name="Normal 8 2 2 2" xfId="17350" xr:uid="{00000000-0005-0000-0000-000000740000}"/>
    <cellStyle name="Normal 8 2 3" xfId="8747" xr:uid="{00000000-0005-0000-0000-000001740000}"/>
    <cellStyle name="Normal 8 2 4" xfId="10231" xr:uid="{00000000-0005-0000-0000-000002740000}"/>
    <cellStyle name="Normal 8 3" xfId="7664" xr:uid="{00000000-0005-0000-0000-000003740000}"/>
    <cellStyle name="Normal 8 3 2" xfId="7665" xr:uid="{00000000-0005-0000-0000-000004740000}"/>
    <cellStyle name="Normal 8 3 2 2" xfId="11737" xr:uid="{00000000-0005-0000-0000-000005740000}"/>
    <cellStyle name="Normal 8 3 2 3" xfId="31927" xr:uid="{00000000-0005-0000-0000-000006740000}"/>
    <cellStyle name="Normal 8 3 3" xfId="10232" xr:uid="{00000000-0005-0000-0000-000007740000}"/>
    <cellStyle name="Normal 8 3 4" xfId="31926" xr:uid="{00000000-0005-0000-0000-000008740000}"/>
    <cellStyle name="Normal 8 4" xfId="7666" xr:uid="{00000000-0005-0000-0000-000009740000}"/>
    <cellStyle name="Normal 8 4 2" xfId="11598" xr:uid="{00000000-0005-0000-0000-00000A740000}"/>
    <cellStyle name="Normal 8 4 3" xfId="31928" xr:uid="{00000000-0005-0000-0000-00000B740000}"/>
    <cellStyle name="Normal 8 5" xfId="8708" xr:uid="{00000000-0005-0000-0000-00000C740000}"/>
    <cellStyle name="Normal 9" xfId="7667" xr:uid="{00000000-0005-0000-0000-00000D740000}"/>
    <cellStyle name="Normal 9 2" xfId="7668" xr:uid="{00000000-0005-0000-0000-00000E740000}"/>
    <cellStyle name="Normal 9 2 2" xfId="7669" xr:uid="{00000000-0005-0000-0000-00000F740000}"/>
    <cellStyle name="Normal 9 2 2 2" xfId="7670" xr:uid="{00000000-0005-0000-0000-000010740000}"/>
    <cellStyle name="Normal 9 2 2 2 2" xfId="17051" xr:uid="{00000000-0005-0000-0000-000011740000}"/>
    <cellStyle name="Normal 9 2 2 2 2 2" xfId="30450" xr:uid="{00000000-0005-0000-0000-000012740000}"/>
    <cellStyle name="Normal 9 2 2 2 3" xfId="31931" xr:uid="{00000000-0005-0000-0000-000013740000}"/>
    <cellStyle name="Normal 9 2 2 3" xfId="11599" xr:uid="{00000000-0005-0000-0000-000014740000}"/>
    <cellStyle name="Normal 9 2 2 3 2" xfId="25427" xr:uid="{00000000-0005-0000-0000-000015740000}"/>
    <cellStyle name="Normal 9 2 2 4" xfId="31930" xr:uid="{00000000-0005-0000-0000-000016740000}"/>
    <cellStyle name="Normal 9 2 3" xfId="7671" xr:uid="{00000000-0005-0000-0000-000017740000}"/>
    <cellStyle name="Normal 9 2 3 2" xfId="7672" xr:uid="{00000000-0005-0000-0000-000018740000}"/>
    <cellStyle name="Normal 9 2 3 2 2" xfId="17003" xr:uid="{00000000-0005-0000-0000-000019740000}"/>
    <cellStyle name="Normal 9 2 3 2 2 2" xfId="30410" xr:uid="{00000000-0005-0000-0000-00001A740000}"/>
    <cellStyle name="Normal 9 2 3 2 3" xfId="31933" xr:uid="{00000000-0005-0000-0000-00001B740000}"/>
    <cellStyle name="Normal 9 2 3 3" xfId="12392" xr:uid="{00000000-0005-0000-0000-00001C740000}"/>
    <cellStyle name="Normal 9 2 3 3 2" xfId="26104" xr:uid="{00000000-0005-0000-0000-00001D740000}"/>
    <cellStyle name="Normal 9 2 3 4" xfId="31932" xr:uid="{00000000-0005-0000-0000-00001E740000}"/>
    <cellStyle name="Normal 9 2 4" xfId="7673" xr:uid="{00000000-0005-0000-0000-00001F740000}"/>
    <cellStyle name="Normal 9 2 4 2" xfId="13955" xr:uid="{00000000-0005-0000-0000-000020740000}"/>
    <cellStyle name="Normal 9 2 4 2 2" xfId="27504" xr:uid="{00000000-0005-0000-0000-000021740000}"/>
    <cellStyle name="Normal 9 2 4 3" xfId="31934" xr:uid="{00000000-0005-0000-0000-000022740000}"/>
    <cellStyle name="Normal 9 2 5" xfId="7674" xr:uid="{00000000-0005-0000-0000-000023740000}"/>
    <cellStyle name="Normal 9 2 5 2" xfId="14536" xr:uid="{00000000-0005-0000-0000-000024740000}"/>
    <cellStyle name="Normal 9 2 5 2 2" xfId="28085" xr:uid="{00000000-0005-0000-0000-000025740000}"/>
    <cellStyle name="Normal 9 2 5 3" xfId="31935" xr:uid="{00000000-0005-0000-0000-000026740000}"/>
    <cellStyle name="Normal 9 2 6" xfId="7675" xr:uid="{00000000-0005-0000-0000-000027740000}"/>
    <cellStyle name="Normal 9 2 6 2" xfId="16422" xr:uid="{00000000-0005-0000-0000-000028740000}"/>
    <cellStyle name="Normal 9 2 6 2 2" xfId="29829" xr:uid="{00000000-0005-0000-0000-000029740000}"/>
    <cellStyle name="Normal 9 2 6 3" xfId="31936" xr:uid="{00000000-0005-0000-0000-00002A740000}"/>
    <cellStyle name="Normal 9 2 7" xfId="10234" xr:uid="{00000000-0005-0000-0000-00002B740000}"/>
    <cellStyle name="Normal 9 2 7 2" xfId="24420" xr:uid="{00000000-0005-0000-0000-00002C740000}"/>
    <cellStyle name="Normal 9 2 8" xfId="31929" xr:uid="{00000000-0005-0000-0000-00002D740000}"/>
    <cellStyle name="Normal 9 3" xfId="7676" xr:uid="{00000000-0005-0000-0000-00002E740000}"/>
    <cellStyle name="Normal 9 3 2" xfId="10233" xr:uid="{00000000-0005-0000-0000-00002F740000}"/>
    <cellStyle name="Normal 9 3 3" xfId="31937" xr:uid="{00000000-0005-0000-0000-000030740000}"/>
    <cellStyle name="Normal 9 4" xfId="8666" xr:uid="{00000000-0005-0000-0000-000031740000}"/>
    <cellStyle name="Note" xfId="33035" builtinId="10" customBuiltin="1"/>
    <cellStyle name="Note 2" xfId="7677" xr:uid="{00000000-0005-0000-0000-000033740000}"/>
    <cellStyle name="Note 2 10" xfId="7678" xr:uid="{00000000-0005-0000-0000-000034740000}"/>
    <cellStyle name="Note 2 10 2" xfId="7679" xr:uid="{00000000-0005-0000-0000-000035740000}"/>
    <cellStyle name="Note 2 10 2 2" xfId="13289" xr:uid="{00000000-0005-0000-0000-000036740000}"/>
    <cellStyle name="Note 2 10 2 3" xfId="31940" xr:uid="{00000000-0005-0000-0000-000037740000}"/>
    <cellStyle name="Note 2 10 3" xfId="7680" xr:uid="{00000000-0005-0000-0000-000038740000}"/>
    <cellStyle name="Note 2 10 3 2" xfId="13288" xr:uid="{00000000-0005-0000-0000-000039740000}"/>
    <cellStyle name="Note 2 10 3 2 2" xfId="26918" xr:uid="{00000000-0005-0000-0000-00003A740000}"/>
    <cellStyle name="Note 2 10 3 3" xfId="31941" xr:uid="{00000000-0005-0000-0000-00003B740000}"/>
    <cellStyle name="Note 2 10 4" xfId="7681" xr:uid="{00000000-0005-0000-0000-00003C740000}"/>
    <cellStyle name="Note 2 10 4 2" xfId="17111" xr:uid="{00000000-0005-0000-0000-00003D740000}"/>
    <cellStyle name="Note 2 10 4 2 2" xfId="30470" xr:uid="{00000000-0005-0000-0000-00003E740000}"/>
    <cellStyle name="Note 2 10 4 3" xfId="31942" xr:uid="{00000000-0005-0000-0000-00003F740000}"/>
    <cellStyle name="Note 2 10 5" xfId="10236" xr:uid="{00000000-0005-0000-0000-000040740000}"/>
    <cellStyle name="Note 2 10 6" xfId="31939" xr:uid="{00000000-0005-0000-0000-000041740000}"/>
    <cellStyle name="Note 2 11" xfId="7682" xr:uid="{00000000-0005-0000-0000-000042740000}"/>
    <cellStyle name="Note 2 11 2" xfId="7683" xr:uid="{00000000-0005-0000-0000-000043740000}"/>
    <cellStyle name="Note 2 11 2 2" xfId="17200" xr:uid="{00000000-0005-0000-0000-000044740000}"/>
    <cellStyle name="Note 2 11 2 2 2" xfId="30559" xr:uid="{00000000-0005-0000-0000-000045740000}"/>
    <cellStyle name="Note 2 11 2 3" xfId="31944" xr:uid="{00000000-0005-0000-0000-000046740000}"/>
    <cellStyle name="Note 2 11 3" xfId="10237" xr:uid="{00000000-0005-0000-0000-000047740000}"/>
    <cellStyle name="Note 2 11 4" xfId="31943" xr:uid="{00000000-0005-0000-0000-000048740000}"/>
    <cellStyle name="Note 2 12" xfId="7684" xr:uid="{00000000-0005-0000-0000-000049740000}"/>
    <cellStyle name="Note 2 12 2" xfId="7685" xr:uid="{00000000-0005-0000-0000-00004A740000}"/>
    <cellStyle name="Note 2 12 2 2" xfId="7686" xr:uid="{00000000-0005-0000-0000-00004B740000}"/>
    <cellStyle name="Note 2 12 2 2 2" xfId="11602" xr:uid="{00000000-0005-0000-0000-00004C740000}"/>
    <cellStyle name="Note 2 12 2 2 3" xfId="31947" xr:uid="{00000000-0005-0000-0000-00004D740000}"/>
    <cellStyle name="Note 2 12 2 3" xfId="10239" xr:uid="{00000000-0005-0000-0000-00004E740000}"/>
    <cellStyle name="Note 2 12 2 4" xfId="31946" xr:uid="{00000000-0005-0000-0000-00004F740000}"/>
    <cellStyle name="Note 2 12 3" xfId="7687" xr:uid="{00000000-0005-0000-0000-000050740000}"/>
    <cellStyle name="Note 2 12 3 2" xfId="11601" xr:uid="{00000000-0005-0000-0000-000051740000}"/>
    <cellStyle name="Note 2 12 3 3" xfId="31948" xr:uid="{00000000-0005-0000-0000-000052740000}"/>
    <cellStyle name="Note 2 12 4" xfId="7688" xr:uid="{00000000-0005-0000-0000-000053740000}"/>
    <cellStyle name="Note 2 12 4 2" xfId="17289" xr:uid="{00000000-0005-0000-0000-000054740000}"/>
    <cellStyle name="Note 2 12 4 2 2" xfId="30648" xr:uid="{00000000-0005-0000-0000-000055740000}"/>
    <cellStyle name="Note 2 12 4 3" xfId="31949" xr:uid="{00000000-0005-0000-0000-000056740000}"/>
    <cellStyle name="Note 2 12 5" xfId="10238" xr:uid="{00000000-0005-0000-0000-000057740000}"/>
    <cellStyle name="Note 2 12 6" xfId="31945" xr:uid="{00000000-0005-0000-0000-000058740000}"/>
    <cellStyle name="Note 2 13" xfId="7689" xr:uid="{00000000-0005-0000-0000-000059740000}"/>
    <cellStyle name="Note 2 13 2" xfId="7690" xr:uid="{00000000-0005-0000-0000-00005A740000}"/>
    <cellStyle name="Note 2 13 2 2" xfId="16441" xr:uid="{00000000-0005-0000-0000-00005B740000}"/>
    <cellStyle name="Note 2 13 2 2 2" xfId="29848" xr:uid="{00000000-0005-0000-0000-00005C740000}"/>
    <cellStyle name="Note 2 13 2 3" xfId="31951" xr:uid="{00000000-0005-0000-0000-00005D740000}"/>
    <cellStyle name="Note 2 13 3" xfId="10240" xr:uid="{00000000-0005-0000-0000-00005E740000}"/>
    <cellStyle name="Note 2 13 4" xfId="31950" xr:uid="{00000000-0005-0000-0000-00005F740000}"/>
    <cellStyle name="Note 2 14" xfId="7691" xr:uid="{00000000-0005-0000-0000-000060740000}"/>
    <cellStyle name="Note 2 14 2" xfId="7692" xr:uid="{00000000-0005-0000-0000-000061740000}"/>
    <cellStyle name="Note 2 14 2 2" xfId="11603" xr:uid="{00000000-0005-0000-0000-000062740000}"/>
    <cellStyle name="Note 2 14 2 3" xfId="31953" xr:uid="{00000000-0005-0000-0000-000063740000}"/>
    <cellStyle name="Note 2 14 3" xfId="10241" xr:uid="{00000000-0005-0000-0000-000064740000}"/>
    <cellStyle name="Note 2 14 4" xfId="31952" xr:uid="{00000000-0005-0000-0000-000065740000}"/>
    <cellStyle name="Note 2 15" xfId="7693" xr:uid="{00000000-0005-0000-0000-000066740000}"/>
    <cellStyle name="Note 2 15 2" xfId="7694" xr:uid="{00000000-0005-0000-0000-000067740000}"/>
    <cellStyle name="Note 2 15 2 2" xfId="11604" xr:uid="{00000000-0005-0000-0000-000068740000}"/>
    <cellStyle name="Note 2 15 2 3" xfId="31955" xr:uid="{00000000-0005-0000-0000-000069740000}"/>
    <cellStyle name="Note 2 15 3" xfId="10242" xr:uid="{00000000-0005-0000-0000-00006A740000}"/>
    <cellStyle name="Note 2 15 4" xfId="31954" xr:uid="{00000000-0005-0000-0000-00006B740000}"/>
    <cellStyle name="Note 2 16" xfId="7695" xr:uid="{00000000-0005-0000-0000-00006C740000}"/>
    <cellStyle name="Note 2 16 2" xfId="7696" xr:uid="{00000000-0005-0000-0000-00006D740000}"/>
    <cellStyle name="Note 2 16 2 2" xfId="11605" xr:uid="{00000000-0005-0000-0000-00006E740000}"/>
    <cellStyle name="Note 2 16 2 3" xfId="31957" xr:uid="{00000000-0005-0000-0000-00006F740000}"/>
    <cellStyle name="Note 2 16 3" xfId="10243" xr:uid="{00000000-0005-0000-0000-000070740000}"/>
    <cellStyle name="Note 2 16 4" xfId="31956" xr:uid="{00000000-0005-0000-0000-000071740000}"/>
    <cellStyle name="Note 2 17" xfId="7697" xr:uid="{00000000-0005-0000-0000-000072740000}"/>
    <cellStyle name="Note 2 17 2" xfId="7698" xr:uid="{00000000-0005-0000-0000-000073740000}"/>
    <cellStyle name="Note 2 17 2 2" xfId="11606" xr:uid="{00000000-0005-0000-0000-000074740000}"/>
    <cellStyle name="Note 2 17 2 3" xfId="31959" xr:uid="{00000000-0005-0000-0000-000075740000}"/>
    <cellStyle name="Note 2 17 3" xfId="10244" xr:uid="{00000000-0005-0000-0000-000076740000}"/>
    <cellStyle name="Note 2 17 4" xfId="31958" xr:uid="{00000000-0005-0000-0000-000077740000}"/>
    <cellStyle name="Note 2 18" xfId="7699" xr:uid="{00000000-0005-0000-0000-000078740000}"/>
    <cellStyle name="Note 2 18 2" xfId="7700" xr:uid="{00000000-0005-0000-0000-000079740000}"/>
    <cellStyle name="Note 2 18 2 2" xfId="11607" xr:uid="{00000000-0005-0000-0000-00007A740000}"/>
    <cellStyle name="Note 2 18 2 3" xfId="31961" xr:uid="{00000000-0005-0000-0000-00007B740000}"/>
    <cellStyle name="Note 2 18 3" xfId="10245" xr:uid="{00000000-0005-0000-0000-00007C740000}"/>
    <cellStyle name="Note 2 18 4" xfId="31960" xr:uid="{00000000-0005-0000-0000-00007D740000}"/>
    <cellStyle name="Note 2 19" xfId="7701" xr:uid="{00000000-0005-0000-0000-00007E740000}"/>
    <cellStyle name="Note 2 19 2" xfId="7702" xr:uid="{00000000-0005-0000-0000-00007F740000}"/>
    <cellStyle name="Note 2 19 2 2" xfId="11608" xr:uid="{00000000-0005-0000-0000-000080740000}"/>
    <cellStyle name="Note 2 19 2 3" xfId="31963" xr:uid="{00000000-0005-0000-0000-000081740000}"/>
    <cellStyle name="Note 2 19 3" xfId="10246" xr:uid="{00000000-0005-0000-0000-000082740000}"/>
    <cellStyle name="Note 2 19 4" xfId="31962" xr:uid="{00000000-0005-0000-0000-000083740000}"/>
    <cellStyle name="Note 2 2" xfId="7703" xr:uid="{00000000-0005-0000-0000-000084740000}"/>
    <cellStyle name="Note 2 2 10" xfId="7704" xr:uid="{00000000-0005-0000-0000-000085740000}"/>
    <cellStyle name="Note 2 2 10 2" xfId="11609" xr:uid="{00000000-0005-0000-0000-000086740000}"/>
    <cellStyle name="Note 2 2 10 3" xfId="31965" xr:uid="{00000000-0005-0000-0000-000087740000}"/>
    <cellStyle name="Note 2 2 11" xfId="7705" xr:uid="{00000000-0005-0000-0000-000088740000}"/>
    <cellStyle name="Note 2 2 11 2" xfId="7706" xr:uid="{00000000-0005-0000-0000-000089740000}"/>
    <cellStyle name="Note 2 2 11 2 2" xfId="15724" xr:uid="{00000000-0005-0000-0000-00008A740000}"/>
    <cellStyle name="Note 2 2 11 2 3" xfId="31967" xr:uid="{00000000-0005-0000-0000-00008B740000}"/>
    <cellStyle name="Note 2 2 11 3" xfId="11861" xr:uid="{00000000-0005-0000-0000-00008C740000}"/>
    <cellStyle name="Note 2 2 11 3 2" xfId="25576" xr:uid="{00000000-0005-0000-0000-00008D740000}"/>
    <cellStyle name="Note 2 2 11 4" xfId="31966" xr:uid="{00000000-0005-0000-0000-00008E740000}"/>
    <cellStyle name="Note 2 2 12" xfId="7707" xr:uid="{00000000-0005-0000-0000-00008F740000}"/>
    <cellStyle name="Note 2 2 12 2" xfId="13450" xr:uid="{00000000-0005-0000-0000-000090740000}"/>
    <cellStyle name="Note 2 2 12 2 2" xfId="26999" xr:uid="{00000000-0005-0000-0000-000091740000}"/>
    <cellStyle name="Note 2 2 12 3" xfId="31968" xr:uid="{00000000-0005-0000-0000-000092740000}"/>
    <cellStyle name="Note 2 2 13" xfId="7708" xr:uid="{00000000-0005-0000-0000-000093740000}"/>
    <cellStyle name="Note 2 2 13 2" xfId="14031" xr:uid="{00000000-0005-0000-0000-000094740000}"/>
    <cellStyle name="Note 2 2 13 2 2" xfId="27580" xr:uid="{00000000-0005-0000-0000-000095740000}"/>
    <cellStyle name="Note 2 2 13 3" xfId="31969" xr:uid="{00000000-0005-0000-0000-000096740000}"/>
    <cellStyle name="Note 2 2 14" xfId="7709" xr:uid="{00000000-0005-0000-0000-000097740000}"/>
    <cellStyle name="Note 2 2 14 2" xfId="15917" xr:uid="{00000000-0005-0000-0000-000098740000}"/>
    <cellStyle name="Note 2 2 14 2 2" xfId="29324" xr:uid="{00000000-0005-0000-0000-000099740000}"/>
    <cellStyle name="Note 2 2 14 3" xfId="31970" xr:uid="{00000000-0005-0000-0000-00009A740000}"/>
    <cellStyle name="Note 2 2 15" xfId="10247" xr:uid="{00000000-0005-0000-0000-00009B740000}"/>
    <cellStyle name="Note 2 2 16" xfId="31964" xr:uid="{00000000-0005-0000-0000-00009C740000}"/>
    <cellStyle name="Note 2 2 2" xfId="7710" xr:uid="{00000000-0005-0000-0000-00009D740000}"/>
    <cellStyle name="Note 2 2 2 10" xfId="31971" xr:uid="{00000000-0005-0000-0000-00009E740000}"/>
    <cellStyle name="Note 2 2 2 2" xfId="7711" xr:uid="{00000000-0005-0000-0000-00009F740000}"/>
    <cellStyle name="Note 2 2 2 2 2" xfId="7712" xr:uid="{00000000-0005-0000-0000-0000A0740000}"/>
    <cellStyle name="Note 2 2 2 2 2 2" xfId="7713" xr:uid="{00000000-0005-0000-0000-0000A1740000}"/>
    <cellStyle name="Note 2 2 2 2 2 2 2" xfId="7714" xr:uid="{00000000-0005-0000-0000-0000A2740000}"/>
    <cellStyle name="Note 2 2 2 2 2 2 2 2" xfId="11610" xr:uid="{00000000-0005-0000-0000-0000A3740000}"/>
    <cellStyle name="Note 2 2 2 2 2 2 2 3" xfId="31975" xr:uid="{00000000-0005-0000-0000-0000A4740000}"/>
    <cellStyle name="Note 2 2 2 2 2 2 3" xfId="7715" xr:uid="{00000000-0005-0000-0000-0000A5740000}"/>
    <cellStyle name="Note 2 2 2 2 2 2 3 2" xfId="16976" xr:uid="{00000000-0005-0000-0000-0000A6740000}"/>
    <cellStyle name="Note 2 2 2 2 2 2 3 2 2" xfId="30383" xr:uid="{00000000-0005-0000-0000-0000A7740000}"/>
    <cellStyle name="Note 2 2 2 2 2 2 3 3" xfId="31976" xr:uid="{00000000-0005-0000-0000-0000A8740000}"/>
    <cellStyle name="Note 2 2 2 2 2 2 4" xfId="10251" xr:uid="{00000000-0005-0000-0000-0000A9740000}"/>
    <cellStyle name="Note 2 2 2 2 2 2 5" xfId="31974" xr:uid="{00000000-0005-0000-0000-0000AA740000}"/>
    <cellStyle name="Note 2 2 2 2 2 3" xfId="7716" xr:uid="{00000000-0005-0000-0000-0000AB740000}"/>
    <cellStyle name="Note 2 2 2 2 2 3 2" xfId="7717" xr:uid="{00000000-0005-0000-0000-0000AC740000}"/>
    <cellStyle name="Note 2 2 2 2 2 3 2 2" xfId="13290" xr:uid="{00000000-0005-0000-0000-0000AD740000}"/>
    <cellStyle name="Note 2 2 2 2 2 3 2 3" xfId="31978" xr:uid="{00000000-0005-0000-0000-0000AE740000}"/>
    <cellStyle name="Note 2 2 2 2 2 3 3" xfId="12364" xr:uid="{00000000-0005-0000-0000-0000AF740000}"/>
    <cellStyle name="Note 2 2 2 2 2 3 3 2" xfId="26076" xr:uid="{00000000-0005-0000-0000-0000B0740000}"/>
    <cellStyle name="Note 2 2 2 2 2 3 4" xfId="31977" xr:uid="{00000000-0005-0000-0000-0000B1740000}"/>
    <cellStyle name="Note 2 2 2 2 2 4" xfId="7718" xr:uid="{00000000-0005-0000-0000-0000B2740000}"/>
    <cellStyle name="Note 2 2 2 2 2 4 2" xfId="7719" xr:uid="{00000000-0005-0000-0000-0000B3740000}"/>
    <cellStyle name="Note 2 2 2 2 2 4 2 2" xfId="15725" xr:uid="{00000000-0005-0000-0000-0000B4740000}"/>
    <cellStyle name="Note 2 2 2 2 2 4 2 3" xfId="31980" xr:uid="{00000000-0005-0000-0000-0000B5740000}"/>
    <cellStyle name="Note 2 2 2 2 2 4 3" xfId="13928" xr:uid="{00000000-0005-0000-0000-0000B6740000}"/>
    <cellStyle name="Note 2 2 2 2 2 4 3 2" xfId="27477" xr:uid="{00000000-0005-0000-0000-0000B7740000}"/>
    <cellStyle name="Note 2 2 2 2 2 4 4" xfId="31979" xr:uid="{00000000-0005-0000-0000-0000B8740000}"/>
    <cellStyle name="Note 2 2 2 2 2 5" xfId="7720" xr:uid="{00000000-0005-0000-0000-0000B9740000}"/>
    <cellStyle name="Note 2 2 2 2 2 5 2" xfId="14509" xr:uid="{00000000-0005-0000-0000-0000BA740000}"/>
    <cellStyle name="Note 2 2 2 2 2 5 2 2" xfId="28058" xr:uid="{00000000-0005-0000-0000-0000BB740000}"/>
    <cellStyle name="Note 2 2 2 2 2 5 3" xfId="31981" xr:uid="{00000000-0005-0000-0000-0000BC740000}"/>
    <cellStyle name="Note 2 2 2 2 2 6" xfId="7721" xr:uid="{00000000-0005-0000-0000-0000BD740000}"/>
    <cellStyle name="Note 2 2 2 2 2 6 2" xfId="16395" xr:uid="{00000000-0005-0000-0000-0000BE740000}"/>
    <cellStyle name="Note 2 2 2 2 2 6 2 2" xfId="29802" xr:uid="{00000000-0005-0000-0000-0000BF740000}"/>
    <cellStyle name="Note 2 2 2 2 2 6 3" xfId="31982" xr:uid="{00000000-0005-0000-0000-0000C0740000}"/>
    <cellStyle name="Note 2 2 2 2 2 7" xfId="10250" xr:uid="{00000000-0005-0000-0000-0000C1740000}"/>
    <cellStyle name="Note 2 2 2 2 2 8" xfId="31973" xr:uid="{00000000-0005-0000-0000-0000C2740000}"/>
    <cellStyle name="Note 2 2 2 2 3" xfId="7722" xr:uid="{00000000-0005-0000-0000-0000C3740000}"/>
    <cellStyle name="Note 2 2 2 2 3 2" xfId="7723" xr:uid="{00000000-0005-0000-0000-0000C4740000}"/>
    <cellStyle name="Note 2 2 2 2 3 2 2" xfId="11611" xr:uid="{00000000-0005-0000-0000-0000C5740000}"/>
    <cellStyle name="Note 2 2 2 2 3 2 3" xfId="31984" xr:uid="{00000000-0005-0000-0000-0000C6740000}"/>
    <cellStyle name="Note 2 2 2 2 3 3" xfId="7724" xr:uid="{00000000-0005-0000-0000-0000C7740000}"/>
    <cellStyle name="Note 2 2 2 2 3 3 2" xfId="16687" xr:uid="{00000000-0005-0000-0000-0000C8740000}"/>
    <cellStyle name="Note 2 2 2 2 3 3 2 2" xfId="30094" xr:uid="{00000000-0005-0000-0000-0000C9740000}"/>
    <cellStyle name="Note 2 2 2 2 3 3 3" xfId="31985" xr:uid="{00000000-0005-0000-0000-0000CA740000}"/>
    <cellStyle name="Note 2 2 2 2 3 4" xfId="10252" xr:uid="{00000000-0005-0000-0000-0000CB740000}"/>
    <cellStyle name="Note 2 2 2 2 3 5" xfId="31983" xr:uid="{00000000-0005-0000-0000-0000CC740000}"/>
    <cellStyle name="Note 2 2 2 2 4" xfId="7725" xr:uid="{00000000-0005-0000-0000-0000CD740000}"/>
    <cellStyle name="Note 2 2 2 2 4 2" xfId="7726" xr:uid="{00000000-0005-0000-0000-0000CE740000}"/>
    <cellStyle name="Note 2 2 2 2 4 2 2" xfId="13291" xr:uid="{00000000-0005-0000-0000-0000CF740000}"/>
    <cellStyle name="Note 2 2 2 2 4 2 3" xfId="31987" xr:uid="{00000000-0005-0000-0000-0000D0740000}"/>
    <cellStyle name="Note 2 2 2 2 4 3" xfId="12064" xr:uid="{00000000-0005-0000-0000-0000D1740000}"/>
    <cellStyle name="Note 2 2 2 2 4 3 2" xfId="25779" xr:uid="{00000000-0005-0000-0000-0000D2740000}"/>
    <cellStyle name="Note 2 2 2 2 4 4" xfId="31986" xr:uid="{00000000-0005-0000-0000-0000D3740000}"/>
    <cellStyle name="Note 2 2 2 2 5" xfId="7727" xr:uid="{00000000-0005-0000-0000-0000D4740000}"/>
    <cellStyle name="Note 2 2 2 2 5 2" xfId="7728" xr:uid="{00000000-0005-0000-0000-0000D5740000}"/>
    <cellStyle name="Note 2 2 2 2 5 2 2" xfId="15726" xr:uid="{00000000-0005-0000-0000-0000D6740000}"/>
    <cellStyle name="Note 2 2 2 2 5 2 3" xfId="31989" xr:uid="{00000000-0005-0000-0000-0000D7740000}"/>
    <cellStyle name="Note 2 2 2 2 5 3" xfId="13639" xr:uid="{00000000-0005-0000-0000-0000D8740000}"/>
    <cellStyle name="Note 2 2 2 2 5 3 2" xfId="27188" xr:uid="{00000000-0005-0000-0000-0000D9740000}"/>
    <cellStyle name="Note 2 2 2 2 5 4" xfId="31988" xr:uid="{00000000-0005-0000-0000-0000DA740000}"/>
    <cellStyle name="Note 2 2 2 2 6" xfId="7729" xr:uid="{00000000-0005-0000-0000-0000DB740000}"/>
    <cellStyle name="Note 2 2 2 2 6 2" xfId="14220" xr:uid="{00000000-0005-0000-0000-0000DC740000}"/>
    <cellStyle name="Note 2 2 2 2 6 2 2" xfId="27769" xr:uid="{00000000-0005-0000-0000-0000DD740000}"/>
    <cellStyle name="Note 2 2 2 2 6 3" xfId="31990" xr:uid="{00000000-0005-0000-0000-0000DE740000}"/>
    <cellStyle name="Note 2 2 2 2 7" xfId="7730" xr:uid="{00000000-0005-0000-0000-0000DF740000}"/>
    <cellStyle name="Note 2 2 2 2 7 2" xfId="16106" xr:uid="{00000000-0005-0000-0000-0000E0740000}"/>
    <cellStyle name="Note 2 2 2 2 7 2 2" xfId="29513" xr:uid="{00000000-0005-0000-0000-0000E1740000}"/>
    <cellStyle name="Note 2 2 2 2 7 3" xfId="31991" xr:uid="{00000000-0005-0000-0000-0000E2740000}"/>
    <cellStyle name="Note 2 2 2 2 8" xfId="10249" xr:uid="{00000000-0005-0000-0000-0000E3740000}"/>
    <cellStyle name="Note 2 2 2 2 9" xfId="31972" xr:uid="{00000000-0005-0000-0000-0000E4740000}"/>
    <cellStyle name="Note 2 2 2 3" xfId="7731" xr:uid="{00000000-0005-0000-0000-0000E5740000}"/>
    <cellStyle name="Note 2 2 2 3 2" xfId="7732" xr:uid="{00000000-0005-0000-0000-0000E6740000}"/>
    <cellStyle name="Note 2 2 2 3 2 2" xfId="7733" xr:uid="{00000000-0005-0000-0000-0000E7740000}"/>
    <cellStyle name="Note 2 2 2 3 2 2 2" xfId="11612" xr:uid="{00000000-0005-0000-0000-0000E8740000}"/>
    <cellStyle name="Note 2 2 2 3 2 2 3" xfId="31994" xr:uid="{00000000-0005-0000-0000-0000E9740000}"/>
    <cellStyle name="Note 2 2 2 3 2 3" xfId="7734" xr:uid="{00000000-0005-0000-0000-0000EA740000}"/>
    <cellStyle name="Note 2 2 2 3 2 3 2" xfId="16833" xr:uid="{00000000-0005-0000-0000-0000EB740000}"/>
    <cellStyle name="Note 2 2 2 3 2 3 2 2" xfId="30240" xr:uid="{00000000-0005-0000-0000-0000EC740000}"/>
    <cellStyle name="Note 2 2 2 3 2 3 3" xfId="31995" xr:uid="{00000000-0005-0000-0000-0000ED740000}"/>
    <cellStyle name="Note 2 2 2 3 2 4" xfId="10254" xr:uid="{00000000-0005-0000-0000-0000EE740000}"/>
    <cellStyle name="Note 2 2 2 3 2 5" xfId="31993" xr:uid="{00000000-0005-0000-0000-0000EF740000}"/>
    <cellStyle name="Note 2 2 2 3 3" xfId="7735" xr:uid="{00000000-0005-0000-0000-0000F0740000}"/>
    <cellStyle name="Note 2 2 2 3 3 2" xfId="7736" xr:uid="{00000000-0005-0000-0000-0000F1740000}"/>
    <cellStyle name="Note 2 2 2 3 3 2 2" xfId="13292" xr:uid="{00000000-0005-0000-0000-0000F2740000}"/>
    <cellStyle name="Note 2 2 2 3 3 2 3" xfId="31997" xr:uid="{00000000-0005-0000-0000-0000F3740000}"/>
    <cellStyle name="Note 2 2 2 3 3 3" xfId="12221" xr:uid="{00000000-0005-0000-0000-0000F4740000}"/>
    <cellStyle name="Note 2 2 2 3 3 3 2" xfId="25933" xr:uid="{00000000-0005-0000-0000-0000F5740000}"/>
    <cellStyle name="Note 2 2 2 3 3 4" xfId="31996" xr:uid="{00000000-0005-0000-0000-0000F6740000}"/>
    <cellStyle name="Note 2 2 2 3 4" xfId="7737" xr:uid="{00000000-0005-0000-0000-0000F7740000}"/>
    <cellStyle name="Note 2 2 2 3 4 2" xfId="7738" xr:uid="{00000000-0005-0000-0000-0000F8740000}"/>
    <cellStyle name="Note 2 2 2 3 4 2 2" xfId="15727" xr:uid="{00000000-0005-0000-0000-0000F9740000}"/>
    <cellStyle name="Note 2 2 2 3 4 2 3" xfId="31999" xr:uid="{00000000-0005-0000-0000-0000FA740000}"/>
    <cellStyle name="Note 2 2 2 3 4 3" xfId="13785" xr:uid="{00000000-0005-0000-0000-0000FB740000}"/>
    <cellStyle name="Note 2 2 2 3 4 3 2" xfId="27334" xr:uid="{00000000-0005-0000-0000-0000FC740000}"/>
    <cellStyle name="Note 2 2 2 3 4 4" xfId="31998" xr:uid="{00000000-0005-0000-0000-0000FD740000}"/>
    <cellStyle name="Note 2 2 2 3 5" xfId="7739" xr:uid="{00000000-0005-0000-0000-0000FE740000}"/>
    <cellStyle name="Note 2 2 2 3 5 2" xfId="14366" xr:uid="{00000000-0005-0000-0000-0000FF740000}"/>
    <cellStyle name="Note 2 2 2 3 5 2 2" xfId="27915" xr:uid="{00000000-0005-0000-0000-000000750000}"/>
    <cellStyle name="Note 2 2 2 3 5 3" xfId="32000" xr:uid="{00000000-0005-0000-0000-000001750000}"/>
    <cellStyle name="Note 2 2 2 3 6" xfId="7740" xr:uid="{00000000-0005-0000-0000-000002750000}"/>
    <cellStyle name="Note 2 2 2 3 6 2" xfId="16252" xr:uid="{00000000-0005-0000-0000-000003750000}"/>
    <cellStyle name="Note 2 2 2 3 6 2 2" xfId="29659" xr:uid="{00000000-0005-0000-0000-000004750000}"/>
    <cellStyle name="Note 2 2 2 3 6 3" xfId="32001" xr:uid="{00000000-0005-0000-0000-000005750000}"/>
    <cellStyle name="Note 2 2 2 3 7" xfId="10253" xr:uid="{00000000-0005-0000-0000-000006750000}"/>
    <cellStyle name="Note 2 2 2 3 8" xfId="31992" xr:uid="{00000000-0005-0000-0000-000007750000}"/>
    <cellStyle name="Note 2 2 2 4" xfId="7741" xr:uid="{00000000-0005-0000-0000-000008750000}"/>
    <cellStyle name="Note 2 2 2 4 2" xfId="7742" xr:uid="{00000000-0005-0000-0000-000009750000}"/>
    <cellStyle name="Note 2 2 2 4 2 2" xfId="11613" xr:uid="{00000000-0005-0000-0000-00000A750000}"/>
    <cellStyle name="Note 2 2 2 4 2 3" xfId="32003" xr:uid="{00000000-0005-0000-0000-00000B750000}"/>
    <cellStyle name="Note 2 2 2 4 3" xfId="7743" xr:uid="{00000000-0005-0000-0000-00000C750000}"/>
    <cellStyle name="Note 2 2 2 4 3 2" xfId="17180" xr:uid="{00000000-0005-0000-0000-00000D750000}"/>
    <cellStyle name="Note 2 2 2 4 3 2 2" xfId="30539" xr:uid="{00000000-0005-0000-0000-00000E750000}"/>
    <cellStyle name="Note 2 2 2 4 3 3" xfId="32004" xr:uid="{00000000-0005-0000-0000-00000F750000}"/>
    <cellStyle name="Note 2 2 2 4 4" xfId="10255" xr:uid="{00000000-0005-0000-0000-000010750000}"/>
    <cellStyle name="Note 2 2 2 4 5" xfId="32002" xr:uid="{00000000-0005-0000-0000-000011750000}"/>
    <cellStyle name="Note 2 2 2 5" xfId="7744" xr:uid="{00000000-0005-0000-0000-000012750000}"/>
    <cellStyle name="Note 2 2 2 5 2" xfId="7745" xr:uid="{00000000-0005-0000-0000-000013750000}"/>
    <cellStyle name="Note 2 2 2 5 2 2" xfId="13293" xr:uid="{00000000-0005-0000-0000-000014750000}"/>
    <cellStyle name="Note 2 2 2 5 2 3" xfId="32006" xr:uid="{00000000-0005-0000-0000-000015750000}"/>
    <cellStyle name="Note 2 2 2 5 3" xfId="7746" xr:uid="{00000000-0005-0000-0000-000016750000}"/>
    <cellStyle name="Note 2 2 2 5 3 2" xfId="17269" xr:uid="{00000000-0005-0000-0000-000017750000}"/>
    <cellStyle name="Note 2 2 2 5 3 2 2" xfId="30628" xr:uid="{00000000-0005-0000-0000-000018750000}"/>
    <cellStyle name="Note 2 2 2 5 3 3" xfId="32007" xr:uid="{00000000-0005-0000-0000-000019750000}"/>
    <cellStyle name="Note 2 2 2 5 4" xfId="11919" xr:uid="{00000000-0005-0000-0000-00001A750000}"/>
    <cellStyle name="Note 2 2 2 5 4 2" xfId="25634" xr:uid="{00000000-0005-0000-0000-00001B750000}"/>
    <cellStyle name="Note 2 2 2 5 5" xfId="32005" xr:uid="{00000000-0005-0000-0000-00001C750000}"/>
    <cellStyle name="Note 2 2 2 6" xfId="7747" xr:uid="{00000000-0005-0000-0000-00001D750000}"/>
    <cellStyle name="Note 2 2 2 6 2" xfId="7748" xr:uid="{00000000-0005-0000-0000-00001E750000}"/>
    <cellStyle name="Note 2 2 2 6 2 2" xfId="15728" xr:uid="{00000000-0005-0000-0000-00001F750000}"/>
    <cellStyle name="Note 2 2 2 6 2 3" xfId="32009" xr:uid="{00000000-0005-0000-0000-000020750000}"/>
    <cellStyle name="Note 2 2 2 6 3" xfId="7749" xr:uid="{00000000-0005-0000-0000-000021750000}"/>
    <cellStyle name="Note 2 2 2 6 3 2" xfId="16544" xr:uid="{00000000-0005-0000-0000-000022750000}"/>
    <cellStyle name="Note 2 2 2 6 3 2 2" xfId="29951" xr:uid="{00000000-0005-0000-0000-000023750000}"/>
    <cellStyle name="Note 2 2 2 6 3 3" xfId="32010" xr:uid="{00000000-0005-0000-0000-000024750000}"/>
    <cellStyle name="Note 2 2 2 6 4" xfId="13496" xr:uid="{00000000-0005-0000-0000-000025750000}"/>
    <cellStyle name="Note 2 2 2 6 4 2" xfId="27045" xr:uid="{00000000-0005-0000-0000-000026750000}"/>
    <cellStyle name="Note 2 2 2 6 5" xfId="32008" xr:uid="{00000000-0005-0000-0000-000027750000}"/>
    <cellStyle name="Note 2 2 2 7" xfId="7750" xr:uid="{00000000-0005-0000-0000-000028750000}"/>
    <cellStyle name="Note 2 2 2 7 2" xfId="14077" xr:uid="{00000000-0005-0000-0000-000029750000}"/>
    <cellStyle name="Note 2 2 2 7 2 2" xfId="27626" xr:uid="{00000000-0005-0000-0000-00002A750000}"/>
    <cellStyle name="Note 2 2 2 7 3" xfId="32011" xr:uid="{00000000-0005-0000-0000-00002B750000}"/>
    <cellStyle name="Note 2 2 2 8" xfId="7751" xr:uid="{00000000-0005-0000-0000-00002C750000}"/>
    <cellStyle name="Note 2 2 2 8 2" xfId="15963" xr:uid="{00000000-0005-0000-0000-00002D750000}"/>
    <cellStyle name="Note 2 2 2 8 2 2" xfId="29370" xr:uid="{00000000-0005-0000-0000-00002E750000}"/>
    <cellStyle name="Note 2 2 2 8 3" xfId="32012" xr:uid="{00000000-0005-0000-0000-00002F750000}"/>
    <cellStyle name="Note 2 2 2 9" xfId="10248" xr:uid="{00000000-0005-0000-0000-000030750000}"/>
    <cellStyle name="Note 2 2 3" xfId="7752" xr:uid="{00000000-0005-0000-0000-000031750000}"/>
    <cellStyle name="Note 2 2 3 2" xfId="7753" xr:uid="{00000000-0005-0000-0000-000032750000}"/>
    <cellStyle name="Note 2 2 3 2 2" xfId="7754" xr:uid="{00000000-0005-0000-0000-000033750000}"/>
    <cellStyle name="Note 2 2 3 2 2 2" xfId="7755" xr:uid="{00000000-0005-0000-0000-000034750000}"/>
    <cellStyle name="Note 2 2 3 2 2 2 2" xfId="11614" xr:uid="{00000000-0005-0000-0000-000035750000}"/>
    <cellStyle name="Note 2 2 3 2 2 2 3" xfId="32016" xr:uid="{00000000-0005-0000-0000-000036750000}"/>
    <cellStyle name="Note 2 2 3 2 2 3" xfId="7756" xr:uid="{00000000-0005-0000-0000-000037750000}"/>
    <cellStyle name="Note 2 2 3 2 2 3 2" xfId="16930" xr:uid="{00000000-0005-0000-0000-000038750000}"/>
    <cellStyle name="Note 2 2 3 2 2 3 2 2" xfId="30337" xr:uid="{00000000-0005-0000-0000-000039750000}"/>
    <cellStyle name="Note 2 2 3 2 2 3 3" xfId="32017" xr:uid="{00000000-0005-0000-0000-00003A750000}"/>
    <cellStyle name="Note 2 2 3 2 2 4" xfId="10258" xr:uid="{00000000-0005-0000-0000-00003B750000}"/>
    <cellStyle name="Note 2 2 3 2 2 5" xfId="32015" xr:uid="{00000000-0005-0000-0000-00003C750000}"/>
    <cellStyle name="Note 2 2 3 2 3" xfId="7757" xr:uid="{00000000-0005-0000-0000-00003D750000}"/>
    <cellStyle name="Note 2 2 3 2 3 2" xfId="7758" xr:uid="{00000000-0005-0000-0000-00003E750000}"/>
    <cellStyle name="Note 2 2 3 2 3 2 2" xfId="13294" xr:uid="{00000000-0005-0000-0000-00003F750000}"/>
    <cellStyle name="Note 2 2 3 2 3 2 3" xfId="32019" xr:uid="{00000000-0005-0000-0000-000040750000}"/>
    <cellStyle name="Note 2 2 3 2 3 3" xfId="12318" xr:uid="{00000000-0005-0000-0000-000041750000}"/>
    <cellStyle name="Note 2 2 3 2 3 3 2" xfId="26030" xr:uid="{00000000-0005-0000-0000-000042750000}"/>
    <cellStyle name="Note 2 2 3 2 3 4" xfId="32018" xr:uid="{00000000-0005-0000-0000-000043750000}"/>
    <cellStyle name="Note 2 2 3 2 4" xfId="7759" xr:uid="{00000000-0005-0000-0000-000044750000}"/>
    <cellStyle name="Note 2 2 3 2 4 2" xfId="7760" xr:uid="{00000000-0005-0000-0000-000045750000}"/>
    <cellStyle name="Note 2 2 3 2 4 2 2" xfId="15729" xr:uid="{00000000-0005-0000-0000-000046750000}"/>
    <cellStyle name="Note 2 2 3 2 4 2 3" xfId="32021" xr:uid="{00000000-0005-0000-0000-000047750000}"/>
    <cellStyle name="Note 2 2 3 2 4 3" xfId="13882" xr:uid="{00000000-0005-0000-0000-000048750000}"/>
    <cellStyle name="Note 2 2 3 2 4 3 2" xfId="27431" xr:uid="{00000000-0005-0000-0000-000049750000}"/>
    <cellStyle name="Note 2 2 3 2 4 4" xfId="32020" xr:uid="{00000000-0005-0000-0000-00004A750000}"/>
    <cellStyle name="Note 2 2 3 2 5" xfId="7761" xr:uid="{00000000-0005-0000-0000-00004B750000}"/>
    <cellStyle name="Note 2 2 3 2 5 2" xfId="14463" xr:uid="{00000000-0005-0000-0000-00004C750000}"/>
    <cellStyle name="Note 2 2 3 2 5 2 2" xfId="28012" xr:uid="{00000000-0005-0000-0000-00004D750000}"/>
    <cellStyle name="Note 2 2 3 2 5 3" xfId="32022" xr:uid="{00000000-0005-0000-0000-00004E750000}"/>
    <cellStyle name="Note 2 2 3 2 6" xfId="7762" xr:uid="{00000000-0005-0000-0000-00004F750000}"/>
    <cellStyle name="Note 2 2 3 2 6 2" xfId="16349" xr:uid="{00000000-0005-0000-0000-000050750000}"/>
    <cellStyle name="Note 2 2 3 2 6 2 2" xfId="29756" xr:uid="{00000000-0005-0000-0000-000051750000}"/>
    <cellStyle name="Note 2 2 3 2 6 3" xfId="32023" xr:uid="{00000000-0005-0000-0000-000052750000}"/>
    <cellStyle name="Note 2 2 3 2 7" xfId="10257" xr:uid="{00000000-0005-0000-0000-000053750000}"/>
    <cellStyle name="Note 2 2 3 2 8" xfId="32014" xr:uid="{00000000-0005-0000-0000-000054750000}"/>
    <cellStyle name="Note 2 2 3 3" xfId="7763" xr:uid="{00000000-0005-0000-0000-000055750000}"/>
    <cellStyle name="Note 2 2 3 3 2" xfId="7764" xr:uid="{00000000-0005-0000-0000-000056750000}"/>
    <cellStyle name="Note 2 2 3 3 2 2" xfId="11615" xr:uid="{00000000-0005-0000-0000-000057750000}"/>
    <cellStyle name="Note 2 2 3 3 2 3" xfId="32025" xr:uid="{00000000-0005-0000-0000-000058750000}"/>
    <cellStyle name="Note 2 2 3 3 3" xfId="7765" xr:uid="{00000000-0005-0000-0000-000059750000}"/>
    <cellStyle name="Note 2 2 3 3 3 2" xfId="16641" xr:uid="{00000000-0005-0000-0000-00005A750000}"/>
    <cellStyle name="Note 2 2 3 3 3 2 2" xfId="30048" xr:uid="{00000000-0005-0000-0000-00005B750000}"/>
    <cellStyle name="Note 2 2 3 3 3 3" xfId="32026" xr:uid="{00000000-0005-0000-0000-00005C750000}"/>
    <cellStyle name="Note 2 2 3 3 4" xfId="10259" xr:uid="{00000000-0005-0000-0000-00005D750000}"/>
    <cellStyle name="Note 2 2 3 3 5" xfId="32024" xr:uid="{00000000-0005-0000-0000-00005E750000}"/>
    <cellStyle name="Note 2 2 3 4" xfId="7766" xr:uid="{00000000-0005-0000-0000-00005F750000}"/>
    <cellStyle name="Note 2 2 3 4 2" xfId="7767" xr:uid="{00000000-0005-0000-0000-000060750000}"/>
    <cellStyle name="Note 2 2 3 4 2 2" xfId="13295" xr:uid="{00000000-0005-0000-0000-000061750000}"/>
    <cellStyle name="Note 2 2 3 4 2 3" xfId="32028" xr:uid="{00000000-0005-0000-0000-000062750000}"/>
    <cellStyle name="Note 2 2 3 4 3" xfId="12018" xr:uid="{00000000-0005-0000-0000-000063750000}"/>
    <cellStyle name="Note 2 2 3 4 3 2" xfId="25733" xr:uid="{00000000-0005-0000-0000-000064750000}"/>
    <cellStyle name="Note 2 2 3 4 4" xfId="32027" xr:uid="{00000000-0005-0000-0000-000065750000}"/>
    <cellStyle name="Note 2 2 3 5" xfId="7768" xr:uid="{00000000-0005-0000-0000-000066750000}"/>
    <cellStyle name="Note 2 2 3 5 2" xfId="7769" xr:uid="{00000000-0005-0000-0000-000067750000}"/>
    <cellStyle name="Note 2 2 3 5 2 2" xfId="15730" xr:uid="{00000000-0005-0000-0000-000068750000}"/>
    <cellStyle name="Note 2 2 3 5 2 3" xfId="32030" xr:uid="{00000000-0005-0000-0000-000069750000}"/>
    <cellStyle name="Note 2 2 3 5 3" xfId="13593" xr:uid="{00000000-0005-0000-0000-00006A750000}"/>
    <cellStyle name="Note 2 2 3 5 3 2" xfId="27142" xr:uid="{00000000-0005-0000-0000-00006B750000}"/>
    <cellStyle name="Note 2 2 3 5 4" xfId="32029" xr:uid="{00000000-0005-0000-0000-00006C750000}"/>
    <cellStyle name="Note 2 2 3 6" xfId="7770" xr:uid="{00000000-0005-0000-0000-00006D750000}"/>
    <cellStyle name="Note 2 2 3 6 2" xfId="14174" xr:uid="{00000000-0005-0000-0000-00006E750000}"/>
    <cellStyle name="Note 2 2 3 6 2 2" xfId="27723" xr:uid="{00000000-0005-0000-0000-00006F750000}"/>
    <cellStyle name="Note 2 2 3 6 3" xfId="32031" xr:uid="{00000000-0005-0000-0000-000070750000}"/>
    <cellStyle name="Note 2 2 3 7" xfId="7771" xr:uid="{00000000-0005-0000-0000-000071750000}"/>
    <cellStyle name="Note 2 2 3 7 2" xfId="16060" xr:uid="{00000000-0005-0000-0000-000072750000}"/>
    <cellStyle name="Note 2 2 3 7 2 2" xfId="29467" xr:uid="{00000000-0005-0000-0000-000073750000}"/>
    <cellStyle name="Note 2 2 3 7 3" xfId="32032" xr:uid="{00000000-0005-0000-0000-000074750000}"/>
    <cellStyle name="Note 2 2 3 8" xfId="10256" xr:uid="{00000000-0005-0000-0000-000075750000}"/>
    <cellStyle name="Note 2 2 3 9" xfId="32013" xr:uid="{00000000-0005-0000-0000-000076750000}"/>
    <cellStyle name="Note 2 2 4" xfId="7772" xr:uid="{00000000-0005-0000-0000-000077750000}"/>
    <cellStyle name="Note 2 2 4 2" xfId="7773" xr:uid="{00000000-0005-0000-0000-000078750000}"/>
    <cellStyle name="Note 2 2 4 2 2" xfId="7774" xr:uid="{00000000-0005-0000-0000-000079750000}"/>
    <cellStyle name="Note 2 2 4 2 2 2" xfId="11616" xr:uid="{00000000-0005-0000-0000-00007A750000}"/>
    <cellStyle name="Note 2 2 4 2 2 3" xfId="32035" xr:uid="{00000000-0005-0000-0000-00007B750000}"/>
    <cellStyle name="Note 2 2 4 2 3" xfId="7775" xr:uid="{00000000-0005-0000-0000-00007C750000}"/>
    <cellStyle name="Note 2 2 4 2 3 2" xfId="16787" xr:uid="{00000000-0005-0000-0000-00007D750000}"/>
    <cellStyle name="Note 2 2 4 2 3 2 2" xfId="30194" xr:uid="{00000000-0005-0000-0000-00007E750000}"/>
    <cellStyle name="Note 2 2 4 2 3 3" xfId="32036" xr:uid="{00000000-0005-0000-0000-00007F750000}"/>
    <cellStyle name="Note 2 2 4 2 4" xfId="10261" xr:uid="{00000000-0005-0000-0000-000080750000}"/>
    <cellStyle name="Note 2 2 4 2 5" xfId="32034" xr:uid="{00000000-0005-0000-0000-000081750000}"/>
    <cellStyle name="Note 2 2 4 3" xfId="7776" xr:uid="{00000000-0005-0000-0000-000082750000}"/>
    <cellStyle name="Note 2 2 4 3 2" xfId="7777" xr:uid="{00000000-0005-0000-0000-000083750000}"/>
    <cellStyle name="Note 2 2 4 3 2 2" xfId="13296" xr:uid="{00000000-0005-0000-0000-000084750000}"/>
    <cellStyle name="Note 2 2 4 3 2 3" xfId="32038" xr:uid="{00000000-0005-0000-0000-000085750000}"/>
    <cellStyle name="Note 2 2 4 3 3" xfId="12175" xr:uid="{00000000-0005-0000-0000-000086750000}"/>
    <cellStyle name="Note 2 2 4 3 3 2" xfId="25887" xr:uid="{00000000-0005-0000-0000-000087750000}"/>
    <cellStyle name="Note 2 2 4 3 4" xfId="32037" xr:uid="{00000000-0005-0000-0000-000088750000}"/>
    <cellStyle name="Note 2 2 4 4" xfId="7778" xr:uid="{00000000-0005-0000-0000-000089750000}"/>
    <cellStyle name="Note 2 2 4 4 2" xfId="7779" xr:uid="{00000000-0005-0000-0000-00008A750000}"/>
    <cellStyle name="Note 2 2 4 4 2 2" xfId="15731" xr:uid="{00000000-0005-0000-0000-00008B750000}"/>
    <cellStyle name="Note 2 2 4 4 2 3" xfId="32040" xr:uid="{00000000-0005-0000-0000-00008C750000}"/>
    <cellStyle name="Note 2 2 4 4 3" xfId="13739" xr:uid="{00000000-0005-0000-0000-00008D750000}"/>
    <cellStyle name="Note 2 2 4 4 3 2" xfId="27288" xr:uid="{00000000-0005-0000-0000-00008E750000}"/>
    <cellStyle name="Note 2 2 4 4 4" xfId="32039" xr:uid="{00000000-0005-0000-0000-00008F750000}"/>
    <cellStyle name="Note 2 2 4 5" xfId="7780" xr:uid="{00000000-0005-0000-0000-000090750000}"/>
    <cellStyle name="Note 2 2 4 5 2" xfId="14320" xr:uid="{00000000-0005-0000-0000-000091750000}"/>
    <cellStyle name="Note 2 2 4 5 2 2" xfId="27869" xr:uid="{00000000-0005-0000-0000-000092750000}"/>
    <cellStyle name="Note 2 2 4 5 3" xfId="32041" xr:uid="{00000000-0005-0000-0000-000093750000}"/>
    <cellStyle name="Note 2 2 4 6" xfId="7781" xr:uid="{00000000-0005-0000-0000-000094750000}"/>
    <cellStyle name="Note 2 2 4 6 2" xfId="16206" xr:uid="{00000000-0005-0000-0000-000095750000}"/>
    <cellStyle name="Note 2 2 4 6 2 2" xfId="29613" xr:uid="{00000000-0005-0000-0000-000096750000}"/>
    <cellStyle name="Note 2 2 4 6 3" xfId="32042" xr:uid="{00000000-0005-0000-0000-000097750000}"/>
    <cellStyle name="Note 2 2 4 7" xfId="10260" xr:uid="{00000000-0005-0000-0000-000098750000}"/>
    <cellStyle name="Note 2 2 4 8" xfId="32033" xr:uid="{00000000-0005-0000-0000-000099750000}"/>
    <cellStyle name="Note 2 2 5" xfId="7782" xr:uid="{00000000-0005-0000-0000-00009A750000}"/>
    <cellStyle name="Note 2 2 5 2" xfId="7783" xr:uid="{00000000-0005-0000-0000-00009B750000}"/>
    <cellStyle name="Note 2 2 5 2 2" xfId="7784" xr:uid="{00000000-0005-0000-0000-00009C750000}"/>
    <cellStyle name="Note 2 2 5 2 2 2" xfId="11618" xr:uid="{00000000-0005-0000-0000-00009D750000}"/>
    <cellStyle name="Note 2 2 5 2 2 3" xfId="32045" xr:uid="{00000000-0005-0000-0000-00009E750000}"/>
    <cellStyle name="Note 2 2 5 2 3" xfId="10263" xr:uid="{00000000-0005-0000-0000-00009F750000}"/>
    <cellStyle name="Note 2 2 5 2 4" xfId="32044" xr:uid="{00000000-0005-0000-0000-0000A0750000}"/>
    <cellStyle name="Note 2 2 5 3" xfId="7785" xr:uid="{00000000-0005-0000-0000-0000A1750000}"/>
    <cellStyle name="Note 2 2 5 3 2" xfId="11617" xr:uid="{00000000-0005-0000-0000-0000A2750000}"/>
    <cellStyle name="Note 2 2 5 3 3" xfId="32046" xr:uid="{00000000-0005-0000-0000-0000A3750000}"/>
    <cellStyle name="Note 2 2 5 4" xfId="7786" xr:uid="{00000000-0005-0000-0000-0000A4750000}"/>
    <cellStyle name="Note 2 2 5 4 2" xfId="17053" xr:uid="{00000000-0005-0000-0000-0000A5750000}"/>
    <cellStyle name="Note 2 2 5 4 2 2" xfId="30452" xr:uid="{00000000-0005-0000-0000-0000A6750000}"/>
    <cellStyle name="Note 2 2 5 4 3" xfId="32047" xr:uid="{00000000-0005-0000-0000-0000A7750000}"/>
    <cellStyle name="Note 2 2 5 5" xfId="10262" xr:uid="{00000000-0005-0000-0000-0000A8750000}"/>
    <cellStyle name="Note 2 2 5 6" xfId="32043" xr:uid="{00000000-0005-0000-0000-0000A9750000}"/>
    <cellStyle name="Note 2 2 6" xfId="7787" xr:uid="{00000000-0005-0000-0000-0000AA750000}"/>
    <cellStyle name="Note 2 2 6 2" xfId="7788" xr:uid="{00000000-0005-0000-0000-0000AB750000}"/>
    <cellStyle name="Note 2 2 6 2 2" xfId="17134" xr:uid="{00000000-0005-0000-0000-0000AC750000}"/>
    <cellStyle name="Note 2 2 6 2 2 2" xfId="30493" xr:uid="{00000000-0005-0000-0000-0000AD750000}"/>
    <cellStyle name="Note 2 2 6 2 3" xfId="32049" xr:uid="{00000000-0005-0000-0000-0000AE750000}"/>
    <cellStyle name="Note 2 2 6 3" xfId="10264" xr:uid="{00000000-0005-0000-0000-0000AF750000}"/>
    <cellStyle name="Note 2 2 6 4" xfId="32048" xr:uid="{00000000-0005-0000-0000-0000B0750000}"/>
    <cellStyle name="Note 2 2 7" xfId="7789" xr:uid="{00000000-0005-0000-0000-0000B1750000}"/>
    <cellStyle name="Note 2 2 7 2" xfId="7790" xr:uid="{00000000-0005-0000-0000-0000B2750000}"/>
    <cellStyle name="Note 2 2 7 2 2" xfId="11619" xr:uid="{00000000-0005-0000-0000-0000B3750000}"/>
    <cellStyle name="Note 2 2 7 2 3" xfId="32051" xr:uid="{00000000-0005-0000-0000-0000B4750000}"/>
    <cellStyle name="Note 2 2 7 3" xfId="7791" xr:uid="{00000000-0005-0000-0000-0000B5750000}"/>
    <cellStyle name="Note 2 2 7 3 2" xfId="17223" xr:uid="{00000000-0005-0000-0000-0000B6750000}"/>
    <cellStyle name="Note 2 2 7 3 2 2" xfId="30582" xr:uid="{00000000-0005-0000-0000-0000B7750000}"/>
    <cellStyle name="Note 2 2 7 3 3" xfId="32052" xr:uid="{00000000-0005-0000-0000-0000B8750000}"/>
    <cellStyle name="Note 2 2 7 4" xfId="10265" xr:uid="{00000000-0005-0000-0000-0000B9750000}"/>
    <cellStyle name="Note 2 2 7 5" xfId="32050" xr:uid="{00000000-0005-0000-0000-0000BA750000}"/>
    <cellStyle name="Note 2 2 8" xfId="7792" xr:uid="{00000000-0005-0000-0000-0000BB750000}"/>
    <cellStyle name="Note 2 2 8 2" xfId="7793" xr:uid="{00000000-0005-0000-0000-0000BC750000}"/>
    <cellStyle name="Note 2 2 8 2 2" xfId="11620" xr:uid="{00000000-0005-0000-0000-0000BD750000}"/>
    <cellStyle name="Note 2 2 8 2 3" xfId="32054" xr:uid="{00000000-0005-0000-0000-0000BE750000}"/>
    <cellStyle name="Note 2 2 8 3" xfId="7794" xr:uid="{00000000-0005-0000-0000-0000BF750000}"/>
    <cellStyle name="Note 2 2 8 3 2" xfId="16498" xr:uid="{00000000-0005-0000-0000-0000C0750000}"/>
    <cellStyle name="Note 2 2 8 3 2 2" xfId="29905" xr:uid="{00000000-0005-0000-0000-0000C1750000}"/>
    <cellStyle name="Note 2 2 8 3 3" xfId="32055" xr:uid="{00000000-0005-0000-0000-0000C2750000}"/>
    <cellStyle name="Note 2 2 8 4" xfId="10266" xr:uid="{00000000-0005-0000-0000-0000C3750000}"/>
    <cellStyle name="Note 2 2 8 5" xfId="32053" xr:uid="{00000000-0005-0000-0000-0000C4750000}"/>
    <cellStyle name="Note 2 2 9" xfId="7795" xr:uid="{00000000-0005-0000-0000-0000C5750000}"/>
    <cellStyle name="Note 2 2 9 2" xfId="7796" xr:uid="{00000000-0005-0000-0000-0000C6750000}"/>
    <cellStyle name="Note 2 2 9 2 2" xfId="13297" xr:uid="{00000000-0005-0000-0000-0000C7750000}"/>
    <cellStyle name="Note 2 2 9 2 2 2" xfId="26919" xr:uid="{00000000-0005-0000-0000-0000C8750000}"/>
    <cellStyle name="Note 2 2 9 2 3" xfId="32057" xr:uid="{00000000-0005-0000-0000-0000C9750000}"/>
    <cellStyle name="Note 2 2 9 3" xfId="7797" xr:uid="{00000000-0005-0000-0000-0000CA750000}"/>
    <cellStyle name="Note 2 2 9 3 2" xfId="15732" xr:uid="{00000000-0005-0000-0000-0000CB750000}"/>
    <cellStyle name="Note 2 2 9 3 3" xfId="32058" xr:uid="{00000000-0005-0000-0000-0000CC750000}"/>
    <cellStyle name="Note 2 2 9 4" xfId="10543" xr:uid="{00000000-0005-0000-0000-0000CD750000}"/>
    <cellStyle name="Note 2 2 9 4 2" xfId="24485" xr:uid="{00000000-0005-0000-0000-0000CE750000}"/>
    <cellStyle name="Note 2 2 9 5" xfId="32056" xr:uid="{00000000-0005-0000-0000-0000CF750000}"/>
    <cellStyle name="Note 2 20" xfId="7798" xr:uid="{00000000-0005-0000-0000-0000D0750000}"/>
    <cellStyle name="Note 2 20 2" xfId="7799" xr:uid="{00000000-0005-0000-0000-0000D1750000}"/>
    <cellStyle name="Note 2 20 2 2" xfId="11725" xr:uid="{00000000-0005-0000-0000-0000D2750000}"/>
    <cellStyle name="Note 2 20 2 2 2" xfId="25445" xr:uid="{00000000-0005-0000-0000-0000D3750000}"/>
    <cellStyle name="Note 2 20 2 3" xfId="32060" xr:uid="{00000000-0005-0000-0000-0000D4750000}"/>
    <cellStyle name="Note 2 20 3" xfId="7800" xr:uid="{00000000-0005-0000-0000-0000D5750000}"/>
    <cellStyle name="Note 2 20 3 2" xfId="13298" xr:uid="{00000000-0005-0000-0000-0000D6750000}"/>
    <cellStyle name="Note 2 20 3 2 2" xfId="26920" xr:uid="{00000000-0005-0000-0000-0000D7750000}"/>
    <cellStyle name="Note 2 20 3 3" xfId="32061" xr:uid="{00000000-0005-0000-0000-0000D8750000}"/>
    <cellStyle name="Note 2 20 4" xfId="7801" xr:uid="{00000000-0005-0000-0000-0000D9750000}"/>
    <cellStyle name="Note 2 20 4 2" xfId="15733" xr:uid="{00000000-0005-0000-0000-0000DA750000}"/>
    <cellStyle name="Note 2 20 4 3" xfId="32062" xr:uid="{00000000-0005-0000-0000-0000DB750000}"/>
    <cellStyle name="Note 2 20 5" xfId="10498" xr:uid="{00000000-0005-0000-0000-0000DC750000}"/>
    <cellStyle name="Note 2 20 5 2" xfId="24449" xr:uid="{00000000-0005-0000-0000-0000DD750000}"/>
    <cellStyle name="Note 2 20 6" xfId="32059" xr:uid="{00000000-0005-0000-0000-0000DE750000}"/>
    <cellStyle name="Note 2 21" xfId="7802" xr:uid="{00000000-0005-0000-0000-0000DF750000}"/>
    <cellStyle name="Note 2 21 2" xfId="7803" xr:uid="{00000000-0005-0000-0000-0000E0750000}"/>
    <cellStyle name="Note 2 21 2 2" xfId="13299" xr:uid="{00000000-0005-0000-0000-0000E1750000}"/>
    <cellStyle name="Note 2 21 2 2 2" xfId="26921" xr:uid="{00000000-0005-0000-0000-0000E2750000}"/>
    <cellStyle name="Note 2 21 2 3" xfId="32064" xr:uid="{00000000-0005-0000-0000-0000E3750000}"/>
    <cellStyle name="Note 2 21 3" xfId="7804" xr:uid="{00000000-0005-0000-0000-0000E4750000}"/>
    <cellStyle name="Note 2 21 3 2" xfId="15734" xr:uid="{00000000-0005-0000-0000-0000E5750000}"/>
    <cellStyle name="Note 2 21 3 3" xfId="32065" xr:uid="{00000000-0005-0000-0000-0000E6750000}"/>
    <cellStyle name="Note 2 21 4" xfId="10526" xr:uid="{00000000-0005-0000-0000-0000E7750000}"/>
    <cellStyle name="Note 2 21 4 2" xfId="24468" xr:uid="{00000000-0005-0000-0000-0000E8750000}"/>
    <cellStyle name="Note 2 21 5" xfId="32063" xr:uid="{00000000-0005-0000-0000-0000E9750000}"/>
    <cellStyle name="Note 2 22" xfId="7805" xr:uid="{00000000-0005-0000-0000-0000EA750000}"/>
    <cellStyle name="Note 2 22 2" xfId="11600" xr:uid="{00000000-0005-0000-0000-0000EB750000}"/>
    <cellStyle name="Note 2 22 3" xfId="32066" xr:uid="{00000000-0005-0000-0000-0000EC750000}"/>
    <cellStyle name="Note 2 23" xfId="7806" xr:uid="{00000000-0005-0000-0000-0000ED750000}"/>
    <cellStyle name="Note 2 23 2" xfId="11789" xr:uid="{00000000-0005-0000-0000-0000EE750000}"/>
    <cellStyle name="Note 2 23 2 2" xfId="25504" xr:uid="{00000000-0005-0000-0000-0000EF750000}"/>
    <cellStyle name="Note 2 23 3" xfId="32067" xr:uid="{00000000-0005-0000-0000-0000F0750000}"/>
    <cellStyle name="Note 2 24" xfId="7807" xr:uid="{00000000-0005-0000-0000-0000F1750000}"/>
    <cellStyle name="Note 2 24 2" xfId="13393" xr:uid="{00000000-0005-0000-0000-0000F2750000}"/>
    <cellStyle name="Note 2 24 2 2" xfId="26942" xr:uid="{00000000-0005-0000-0000-0000F3750000}"/>
    <cellStyle name="Note 2 24 3" xfId="32068" xr:uid="{00000000-0005-0000-0000-0000F4750000}"/>
    <cellStyle name="Note 2 25" xfId="7808" xr:uid="{00000000-0005-0000-0000-0000F5750000}"/>
    <cellStyle name="Note 2 25 2" xfId="13974" xr:uid="{00000000-0005-0000-0000-0000F6750000}"/>
    <cellStyle name="Note 2 25 2 2" xfId="27523" xr:uid="{00000000-0005-0000-0000-0000F7750000}"/>
    <cellStyle name="Note 2 25 3" xfId="32069" xr:uid="{00000000-0005-0000-0000-0000F8750000}"/>
    <cellStyle name="Note 2 26" xfId="7809" xr:uid="{00000000-0005-0000-0000-0000F9750000}"/>
    <cellStyle name="Note 2 26 2" xfId="15843" xr:uid="{00000000-0005-0000-0000-0000FA750000}"/>
    <cellStyle name="Note 2 26 2 2" xfId="29250" xr:uid="{00000000-0005-0000-0000-0000FB750000}"/>
    <cellStyle name="Note 2 26 3" xfId="32070" xr:uid="{00000000-0005-0000-0000-0000FC750000}"/>
    <cellStyle name="Note 2 27" xfId="7810" xr:uid="{00000000-0005-0000-0000-0000FD750000}"/>
    <cellStyle name="Note 2 27 2" xfId="15860" xr:uid="{00000000-0005-0000-0000-0000FE750000}"/>
    <cellStyle name="Note 2 27 2 2" xfId="29267" xr:uid="{00000000-0005-0000-0000-0000FF750000}"/>
    <cellStyle name="Note 2 27 3" xfId="32071" xr:uid="{00000000-0005-0000-0000-000000760000}"/>
    <cellStyle name="Note 2 28" xfId="10235" xr:uid="{00000000-0005-0000-0000-000001760000}"/>
    <cellStyle name="Note 2 29" xfId="31938" xr:uid="{00000000-0005-0000-0000-000002760000}"/>
    <cellStyle name="Note 2 3" xfId="7811" xr:uid="{00000000-0005-0000-0000-000003760000}"/>
    <cellStyle name="Note 2 3 10" xfId="10267" xr:uid="{00000000-0005-0000-0000-000004760000}"/>
    <cellStyle name="Note 2 3 11" xfId="32072" xr:uid="{00000000-0005-0000-0000-000005760000}"/>
    <cellStyle name="Note 2 3 2" xfId="7812" xr:uid="{00000000-0005-0000-0000-000006760000}"/>
    <cellStyle name="Note 2 3 2 2" xfId="7813" xr:uid="{00000000-0005-0000-0000-000007760000}"/>
    <cellStyle name="Note 2 3 2 2 2" xfId="7814" xr:uid="{00000000-0005-0000-0000-000008760000}"/>
    <cellStyle name="Note 2 3 2 2 2 2" xfId="7815" xr:uid="{00000000-0005-0000-0000-000009760000}"/>
    <cellStyle name="Note 2 3 2 2 2 2 2" xfId="11621" xr:uid="{00000000-0005-0000-0000-00000A760000}"/>
    <cellStyle name="Note 2 3 2 2 2 2 3" xfId="32076" xr:uid="{00000000-0005-0000-0000-00000B760000}"/>
    <cellStyle name="Note 2 3 2 2 2 3" xfId="7816" xr:uid="{00000000-0005-0000-0000-00000C760000}"/>
    <cellStyle name="Note 2 3 2 2 2 3 2" xfId="16953" xr:uid="{00000000-0005-0000-0000-00000D760000}"/>
    <cellStyle name="Note 2 3 2 2 2 3 2 2" xfId="30360" xr:uid="{00000000-0005-0000-0000-00000E760000}"/>
    <cellStyle name="Note 2 3 2 2 2 3 3" xfId="32077" xr:uid="{00000000-0005-0000-0000-00000F760000}"/>
    <cellStyle name="Note 2 3 2 2 2 4" xfId="10270" xr:uid="{00000000-0005-0000-0000-000010760000}"/>
    <cellStyle name="Note 2 3 2 2 2 5" xfId="32075" xr:uid="{00000000-0005-0000-0000-000011760000}"/>
    <cellStyle name="Note 2 3 2 2 3" xfId="7817" xr:uid="{00000000-0005-0000-0000-000012760000}"/>
    <cellStyle name="Note 2 3 2 2 3 2" xfId="7818" xr:uid="{00000000-0005-0000-0000-000013760000}"/>
    <cellStyle name="Note 2 3 2 2 3 2 2" xfId="13300" xr:uid="{00000000-0005-0000-0000-000014760000}"/>
    <cellStyle name="Note 2 3 2 2 3 2 3" xfId="32079" xr:uid="{00000000-0005-0000-0000-000015760000}"/>
    <cellStyle name="Note 2 3 2 2 3 3" xfId="12341" xr:uid="{00000000-0005-0000-0000-000016760000}"/>
    <cellStyle name="Note 2 3 2 2 3 3 2" xfId="26053" xr:uid="{00000000-0005-0000-0000-000017760000}"/>
    <cellStyle name="Note 2 3 2 2 3 4" xfId="32078" xr:uid="{00000000-0005-0000-0000-000018760000}"/>
    <cellStyle name="Note 2 3 2 2 4" xfId="7819" xr:uid="{00000000-0005-0000-0000-000019760000}"/>
    <cellStyle name="Note 2 3 2 2 4 2" xfId="7820" xr:uid="{00000000-0005-0000-0000-00001A760000}"/>
    <cellStyle name="Note 2 3 2 2 4 2 2" xfId="15735" xr:uid="{00000000-0005-0000-0000-00001B760000}"/>
    <cellStyle name="Note 2 3 2 2 4 2 3" xfId="32081" xr:uid="{00000000-0005-0000-0000-00001C760000}"/>
    <cellStyle name="Note 2 3 2 2 4 3" xfId="13905" xr:uid="{00000000-0005-0000-0000-00001D760000}"/>
    <cellStyle name="Note 2 3 2 2 4 3 2" xfId="27454" xr:uid="{00000000-0005-0000-0000-00001E760000}"/>
    <cellStyle name="Note 2 3 2 2 4 4" xfId="32080" xr:uid="{00000000-0005-0000-0000-00001F760000}"/>
    <cellStyle name="Note 2 3 2 2 5" xfId="7821" xr:uid="{00000000-0005-0000-0000-000020760000}"/>
    <cellStyle name="Note 2 3 2 2 5 2" xfId="14486" xr:uid="{00000000-0005-0000-0000-000021760000}"/>
    <cellStyle name="Note 2 3 2 2 5 2 2" xfId="28035" xr:uid="{00000000-0005-0000-0000-000022760000}"/>
    <cellStyle name="Note 2 3 2 2 5 3" xfId="32082" xr:uid="{00000000-0005-0000-0000-000023760000}"/>
    <cellStyle name="Note 2 3 2 2 6" xfId="7822" xr:uid="{00000000-0005-0000-0000-000024760000}"/>
    <cellStyle name="Note 2 3 2 2 6 2" xfId="16372" xr:uid="{00000000-0005-0000-0000-000025760000}"/>
    <cellStyle name="Note 2 3 2 2 6 2 2" xfId="29779" xr:uid="{00000000-0005-0000-0000-000026760000}"/>
    <cellStyle name="Note 2 3 2 2 6 3" xfId="32083" xr:uid="{00000000-0005-0000-0000-000027760000}"/>
    <cellStyle name="Note 2 3 2 2 7" xfId="10269" xr:uid="{00000000-0005-0000-0000-000028760000}"/>
    <cellStyle name="Note 2 3 2 2 8" xfId="32074" xr:uid="{00000000-0005-0000-0000-000029760000}"/>
    <cellStyle name="Note 2 3 2 3" xfId="7823" xr:uid="{00000000-0005-0000-0000-00002A760000}"/>
    <cellStyle name="Note 2 3 2 3 2" xfId="7824" xr:uid="{00000000-0005-0000-0000-00002B760000}"/>
    <cellStyle name="Note 2 3 2 3 2 2" xfId="11622" xr:uid="{00000000-0005-0000-0000-00002C760000}"/>
    <cellStyle name="Note 2 3 2 3 2 3" xfId="32085" xr:uid="{00000000-0005-0000-0000-00002D760000}"/>
    <cellStyle name="Note 2 3 2 3 3" xfId="7825" xr:uid="{00000000-0005-0000-0000-00002E760000}"/>
    <cellStyle name="Note 2 3 2 3 3 2" xfId="16664" xr:uid="{00000000-0005-0000-0000-00002F760000}"/>
    <cellStyle name="Note 2 3 2 3 3 2 2" xfId="30071" xr:uid="{00000000-0005-0000-0000-000030760000}"/>
    <cellStyle name="Note 2 3 2 3 3 3" xfId="32086" xr:uid="{00000000-0005-0000-0000-000031760000}"/>
    <cellStyle name="Note 2 3 2 3 4" xfId="10271" xr:uid="{00000000-0005-0000-0000-000032760000}"/>
    <cellStyle name="Note 2 3 2 3 5" xfId="32084" xr:uid="{00000000-0005-0000-0000-000033760000}"/>
    <cellStyle name="Note 2 3 2 4" xfId="7826" xr:uid="{00000000-0005-0000-0000-000034760000}"/>
    <cellStyle name="Note 2 3 2 4 2" xfId="7827" xr:uid="{00000000-0005-0000-0000-000035760000}"/>
    <cellStyle name="Note 2 3 2 4 2 2" xfId="13301" xr:uid="{00000000-0005-0000-0000-000036760000}"/>
    <cellStyle name="Note 2 3 2 4 2 3" xfId="32088" xr:uid="{00000000-0005-0000-0000-000037760000}"/>
    <cellStyle name="Note 2 3 2 4 3" xfId="12041" xr:uid="{00000000-0005-0000-0000-000038760000}"/>
    <cellStyle name="Note 2 3 2 4 3 2" xfId="25756" xr:uid="{00000000-0005-0000-0000-000039760000}"/>
    <cellStyle name="Note 2 3 2 4 4" xfId="32087" xr:uid="{00000000-0005-0000-0000-00003A760000}"/>
    <cellStyle name="Note 2 3 2 5" xfId="7828" xr:uid="{00000000-0005-0000-0000-00003B760000}"/>
    <cellStyle name="Note 2 3 2 5 2" xfId="7829" xr:uid="{00000000-0005-0000-0000-00003C760000}"/>
    <cellStyle name="Note 2 3 2 5 2 2" xfId="15736" xr:uid="{00000000-0005-0000-0000-00003D760000}"/>
    <cellStyle name="Note 2 3 2 5 2 3" xfId="32090" xr:uid="{00000000-0005-0000-0000-00003E760000}"/>
    <cellStyle name="Note 2 3 2 5 3" xfId="13616" xr:uid="{00000000-0005-0000-0000-00003F760000}"/>
    <cellStyle name="Note 2 3 2 5 3 2" xfId="27165" xr:uid="{00000000-0005-0000-0000-000040760000}"/>
    <cellStyle name="Note 2 3 2 5 4" xfId="32089" xr:uid="{00000000-0005-0000-0000-000041760000}"/>
    <cellStyle name="Note 2 3 2 6" xfId="7830" xr:uid="{00000000-0005-0000-0000-000042760000}"/>
    <cellStyle name="Note 2 3 2 6 2" xfId="14197" xr:uid="{00000000-0005-0000-0000-000043760000}"/>
    <cellStyle name="Note 2 3 2 6 2 2" xfId="27746" xr:uid="{00000000-0005-0000-0000-000044760000}"/>
    <cellStyle name="Note 2 3 2 6 3" xfId="32091" xr:uid="{00000000-0005-0000-0000-000045760000}"/>
    <cellStyle name="Note 2 3 2 7" xfId="7831" xr:uid="{00000000-0005-0000-0000-000046760000}"/>
    <cellStyle name="Note 2 3 2 7 2" xfId="16083" xr:uid="{00000000-0005-0000-0000-000047760000}"/>
    <cellStyle name="Note 2 3 2 7 2 2" xfId="29490" xr:uid="{00000000-0005-0000-0000-000048760000}"/>
    <cellStyle name="Note 2 3 2 7 3" xfId="32092" xr:uid="{00000000-0005-0000-0000-000049760000}"/>
    <cellStyle name="Note 2 3 2 8" xfId="10268" xr:uid="{00000000-0005-0000-0000-00004A760000}"/>
    <cellStyle name="Note 2 3 2 9" xfId="32073" xr:uid="{00000000-0005-0000-0000-00004B760000}"/>
    <cellStyle name="Note 2 3 3" xfId="7832" xr:uid="{00000000-0005-0000-0000-00004C760000}"/>
    <cellStyle name="Note 2 3 3 2" xfId="7833" xr:uid="{00000000-0005-0000-0000-00004D760000}"/>
    <cellStyle name="Note 2 3 3 2 2" xfId="7834" xr:uid="{00000000-0005-0000-0000-00004E760000}"/>
    <cellStyle name="Note 2 3 3 2 2 2" xfId="11623" xr:uid="{00000000-0005-0000-0000-00004F760000}"/>
    <cellStyle name="Note 2 3 3 2 2 3" xfId="32095" xr:uid="{00000000-0005-0000-0000-000050760000}"/>
    <cellStyle name="Note 2 3 3 2 3" xfId="7835" xr:uid="{00000000-0005-0000-0000-000051760000}"/>
    <cellStyle name="Note 2 3 3 2 3 2" xfId="16810" xr:uid="{00000000-0005-0000-0000-000052760000}"/>
    <cellStyle name="Note 2 3 3 2 3 2 2" xfId="30217" xr:uid="{00000000-0005-0000-0000-000053760000}"/>
    <cellStyle name="Note 2 3 3 2 3 3" xfId="32096" xr:uid="{00000000-0005-0000-0000-000054760000}"/>
    <cellStyle name="Note 2 3 3 2 4" xfId="10273" xr:uid="{00000000-0005-0000-0000-000055760000}"/>
    <cellStyle name="Note 2 3 3 2 5" xfId="32094" xr:uid="{00000000-0005-0000-0000-000056760000}"/>
    <cellStyle name="Note 2 3 3 3" xfId="7836" xr:uid="{00000000-0005-0000-0000-000057760000}"/>
    <cellStyle name="Note 2 3 3 3 2" xfId="7837" xr:uid="{00000000-0005-0000-0000-000058760000}"/>
    <cellStyle name="Note 2 3 3 3 2 2" xfId="13302" xr:uid="{00000000-0005-0000-0000-000059760000}"/>
    <cellStyle name="Note 2 3 3 3 2 3" xfId="32098" xr:uid="{00000000-0005-0000-0000-00005A760000}"/>
    <cellStyle name="Note 2 3 3 3 3" xfId="12198" xr:uid="{00000000-0005-0000-0000-00005B760000}"/>
    <cellStyle name="Note 2 3 3 3 3 2" xfId="25910" xr:uid="{00000000-0005-0000-0000-00005C760000}"/>
    <cellStyle name="Note 2 3 3 3 4" xfId="32097" xr:uid="{00000000-0005-0000-0000-00005D760000}"/>
    <cellStyle name="Note 2 3 3 4" xfId="7838" xr:uid="{00000000-0005-0000-0000-00005E760000}"/>
    <cellStyle name="Note 2 3 3 4 2" xfId="7839" xr:uid="{00000000-0005-0000-0000-00005F760000}"/>
    <cellStyle name="Note 2 3 3 4 2 2" xfId="15737" xr:uid="{00000000-0005-0000-0000-000060760000}"/>
    <cellStyle name="Note 2 3 3 4 2 3" xfId="32100" xr:uid="{00000000-0005-0000-0000-000061760000}"/>
    <cellStyle name="Note 2 3 3 4 3" xfId="13762" xr:uid="{00000000-0005-0000-0000-000062760000}"/>
    <cellStyle name="Note 2 3 3 4 3 2" xfId="27311" xr:uid="{00000000-0005-0000-0000-000063760000}"/>
    <cellStyle name="Note 2 3 3 4 4" xfId="32099" xr:uid="{00000000-0005-0000-0000-000064760000}"/>
    <cellStyle name="Note 2 3 3 5" xfId="7840" xr:uid="{00000000-0005-0000-0000-000065760000}"/>
    <cellStyle name="Note 2 3 3 5 2" xfId="14343" xr:uid="{00000000-0005-0000-0000-000066760000}"/>
    <cellStyle name="Note 2 3 3 5 2 2" xfId="27892" xr:uid="{00000000-0005-0000-0000-000067760000}"/>
    <cellStyle name="Note 2 3 3 5 3" xfId="32101" xr:uid="{00000000-0005-0000-0000-000068760000}"/>
    <cellStyle name="Note 2 3 3 6" xfId="7841" xr:uid="{00000000-0005-0000-0000-000069760000}"/>
    <cellStyle name="Note 2 3 3 6 2" xfId="16229" xr:uid="{00000000-0005-0000-0000-00006A760000}"/>
    <cellStyle name="Note 2 3 3 6 2 2" xfId="29636" xr:uid="{00000000-0005-0000-0000-00006B760000}"/>
    <cellStyle name="Note 2 3 3 6 3" xfId="32102" xr:uid="{00000000-0005-0000-0000-00006C760000}"/>
    <cellStyle name="Note 2 3 3 7" xfId="10272" xr:uid="{00000000-0005-0000-0000-00006D760000}"/>
    <cellStyle name="Note 2 3 3 8" xfId="32093" xr:uid="{00000000-0005-0000-0000-00006E760000}"/>
    <cellStyle name="Note 2 3 4" xfId="7842" xr:uid="{00000000-0005-0000-0000-00006F760000}"/>
    <cellStyle name="Note 2 3 4 2" xfId="7843" xr:uid="{00000000-0005-0000-0000-000070760000}"/>
    <cellStyle name="Note 2 3 4 2 2" xfId="17157" xr:uid="{00000000-0005-0000-0000-000071760000}"/>
    <cellStyle name="Note 2 3 4 2 2 2" xfId="30516" xr:uid="{00000000-0005-0000-0000-000072760000}"/>
    <cellStyle name="Note 2 3 4 2 3" xfId="32104" xr:uid="{00000000-0005-0000-0000-000073760000}"/>
    <cellStyle name="Note 2 3 4 3" xfId="10274" xr:uid="{00000000-0005-0000-0000-000074760000}"/>
    <cellStyle name="Note 2 3 4 4" xfId="32103" xr:uid="{00000000-0005-0000-0000-000075760000}"/>
    <cellStyle name="Note 2 3 5" xfId="7844" xr:uid="{00000000-0005-0000-0000-000076760000}"/>
    <cellStyle name="Note 2 3 5 2" xfId="7845" xr:uid="{00000000-0005-0000-0000-000077760000}"/>
    <cellStyle name="Note 2 3 5 2 2" xfId="11624" xr:uid="{00000000-0005-0000-0000-000078760000}"/>
    <cellStyle name="Note 2 3 5 2 3" xfId="32106" xr:uid="{00000000-0005-0000-0000-000079760000}"/>
    <cellStyle name="Note 2 3 5 3" xfId="7846" xr:uid="{00000000-0005-0000-0000-00007A760000}"/>
    <cellStyle name="Note 2 3 5 3 2" xfId="17246" xr:uid="{00000000-0005-0000-0000-00007B760000}"/>
    <cellStyle name="Note 2 3 5 3 2 2" xfId="30605" xr:uid="{00000000-0005-0000-0000-00007C760000}"/>
    <cellStyle name="Note 2 3 5 3 3" xfId="32107" xr:uid="{00000000-0005-0000-0000-00007D760000}"/>
    <cellStyle name="Note 2 3 5 4" xfId="10275" xr:uid="{00000000-0005-0000-0000-00007E760000}"/>
    <cellStyle name="Note 2 3 5 5" xfId="32105" xr:uid="{00000000-0005-0000-0000-00007F760000}"/>
    <cellStyle name="Note 2 3 6" xfId="7847" xr:uid="{00000000-0005-0000-0000-000080760000}"/>
    <cellStyle name="Note 2 3 6 2" xfId="7848" xr:uid="{00000000-0005-0000-0000-000081760000}"/>
    <cellStyle name="Note 2 3 6 2 2" xfId="13303" xr:uid="{00000000-0005-0000-0000-000082760000}"/>
    <cellStyle name="Note 2 3 6 2 3" xfId="32109" xr:uid="{00000000-0005-0000-0000-000083760000}"/>
    <cellStyle name="Note 2 3 6 3" xfId="7849" xr:uid="{00000000-0005-0000-0000-000084760000}"/>
    <cellStyle name="Note 2 3 6 3 2" xfId="16521" xr:uid="{00000000-0005-0000-0000-000085760000}"/>
    <cellStyle name="Note 2 3 6 3 2 2" xfId="29928" xr:uid="{00000000-0005-0000-0000-000086760000}"/>
    <cellStyle name="Note 2 3 6 3 3" xfId="32110" xr:uid="{00000000-0005-0000-0000-000087760000}"/>
    <cellStyle name="Note 2 3 6 4" xfId="11896" xr:uid="{00000000-0005-0000-0000-000088760000}"/>
    <cellStyle name="Note 2 3 6 4 2" xfId="25611" xr:uid="{00000000-0005-0000-0000-000089760000}"/>
    <cellStyle name="Note 2 3 6 5" xfId="32108" xr:uid="{00000000-0005-0000-0000-00008A760000}"/>
    <cellStyle name="Note 2 3 7" xfId="7850" xr:uid="{00000000-0005-0000-0000-00008B760000}"/>
    <cellStyle name="Note 2 3 7 2" xfId="7851" xr:uid="{00000000-0005-0000-0000-00008C760000}"/>
    <cellStyle name="Note 2 3 7 2 2" xfId="15738" xr:uid="{00000000-0005-0000-0000-00008D760000}"/>
    <cellStyle name="Note 2 3 7 2 3" xfId="32112" xr:uid="{00000000-0005-0000-0000-00008E760000}"/>
    <cellStyle name="Note 2 3 7 3" xfId="13473" xr:uid="{00000000-0005-0000-0000-00008F760000}"/>
    <cellStyle name="Note 2 3 7 3 2" xfId="27022" xr:uid="{00000000-0005-0000-0000-000090760000}"/>
    <cellStyle name="Note 2 3 7 4" xfId="32111" xr:uid="{00000000-0005-0000-0000-000091760000}"/>
    <cellStyle name="Note 2 3 8" xfId="7852" xr:uid="{00000000-0005-0000-0000-000092760000}"/>
    <cellStyle name="Note 2 3 8 2" xfId="14054" xr:uid="{00000000-0005-0000-0000-000093760000}"/>
    <cellStyle name="Note 2 3 8 2 2" xfId="27603" xr:uid="{00000000-0005-0000-0000-000094760000}"/>
    <cellStyle name="Note 2 3 8 3" xfId="32113" xr:uid="{00000000-0005-0000-0000-000095760000}"/>
    <cellStyle name="Note 2 3 9" xfId="7853" xr:uid="{00000000-0005-0000-0000-000096760000}"/>
    <cellStyle name="Note 2 3 9 2" xfId="15940" xr:uid="{00000000-0005-0000-0000-000097760000}"/>
    <cellStyle name="Note 2 3 9 2 2" xfId="29347" xr:uid="{00000000-0005-0000-0000-000098760000}"/>
    <cellStyle name="Note 2 3 9 3" xfId="32114" xr:uid="{00000000-0005-0000-0000-000099760000}"/>
    <cellStyle name="Note 2 30" xfId="33058" xr:uid="{00000000-0005-0000-0000-00009A760000}"/>
    <cellStyle name="Note 2 4" xfId="7854" xr:uid="{00000000-0005-0000-0000-00009B760000}"/>
    <cellStyle name="Note 2 4 10" xfId="32115" xr:uid="{00000000-0005-0000-0000-00009C760000}"/>
    <cellStyle name="Note 2 4 2" xfId="7855" xr:uid="{00000000-0005-0000-0000-00009D760000}"/>
    <cellStyle name="Note 2 4 2 2" xfId="7856" xr:uid="{00000000-0005-0000-0000-00009E760000}"/>
    <cellStyle name="Note 2 4 2 2 2" xfId="7857" xr:uid="{00000000-0005-0000-0000-00009F760000}"/>
    <cellStyle name="Note 2 4 2 2 2 2" xfId="7858" xr:uid="{00000000-0005-0000-0000-0000A0760000}"/>
    <cellStyle name="Note 2 4 2 2 2 2 2" xfId="11625" xr:uid="{00000000-0005-0000-0000-0000A1760000}"/>
    <cellStyle name="Note 2 4 2 2 2 2 3" xfId="32119" xr:uid="{00000000-0005-0000-0000-0000A2760000}"/>
    <cellStyle name="Note 2 4 2 2 2 3" xfId="7859" xr:uid="{00000000-0005-0000-0000-0000A3760000}"/>
    <cellStyle name="Note 2 4 2 2 2 3 2" xfId="16907" xr:uid="{00000000-0005-0000-0000-0000A4760000}"/>
    <cellStyle name="Note 2 4 2 2 2 3 2 2" xfId="30314" xr:uid="{00000000-0005-0000-0000-0000A5760000}"/>
    <cellStyle name="Note 2 4 2 2 2 3 3" xfId="32120" xr:uid="{00000000-0005-0000-0000-0000A6760000}"/>
    <cellStyle name="Note 2 4 2 2 2 4" xfId="10279" xr:uid="{00000000-0005-0000-0000-0000A7760000}"/>
    <cellStyle name="Note 2 4 2 2 2 5" xfId="32118" xr:uid="{00000000-0005-0000-0000-0000A8760000}"/>
    <cellStyle name="Note 2 4 2 2 3" xfId="7860" xr:uid="{00000000-0005-0000-0000-0000A9760000}"/>
    <cellStyle name="Note 2 4 2 2 3 2" xfId="7861" xr:uid="{00000000-0005-0000-0000-0000AA760000}"/>
    <cellStyle name="Note 2 4 2 2 3 2 2" xfId="13304" xr:uid="{00000000-0005-0000-0000-0000AB760000}"/>
    <cellStyle name="Note 2 4 2 2 3 2 3" xfId="32122" xr:uid="{00000000-0005-0000-0000-0000AC760000}"/>
    <cellStyle name="Note 2 4 2 2 3 3" xfId="12295" xr:uid="{00000000-0005-0000-0000-0000AD760000}"/>
    <cellStyle name="Note 2 4 2 2 3 3 2" xfId="26007" xr:uid="{00000000-0005-0000-0000-0000AE760000}"/>
    <cellStyle name="Note 2 4 2 2 3 4" xfId="32121" xr:uid="{00000000-0005-0000-0000-0000AF760000}"/>
    <cellStyle name="Note 2 4 2 2 4" xfId="7862" xr:uid="{00000000-0005-0000-0000-0000B0760000}"/>
    <cellStyle name="Note 2 4 2 2 4 2" xfId="7863" xr:uid="{00000000-0005-0000-0000-0000B1760000}"/>
    <cellStyle name="Note 2 4 2 2 4 2 2" xfId="15739" xr:uid="{00000000-0005-0000-0000-0000B2760000}"/>
    <cellStyle name="Note 2 4 2 2 4 2 3" xfId="32124" xr:uid="{00000000-0005-0000-0000-0000B3760000}"/>
    <cellStyle name="Note 2 4 2 2 4 3" xfId="13859" xr:uid="{00000000-0005-0000-0000-0000B4760000}"/>
    <cellStyle name="Note 2 4 2 2 4 3 2" xfId="27408" xr:uid="{00000000-0005-0000-0000-0000B5760000}"/>
    <cellStyle name="Note 2 4 2 2 4 4" xfId="32123" xr:uid="{00000000-0005-0000-0000-0000B6760000}"/>
    <cellStyle name="Note 2 4 2 2 5" xfId="7864" xr:uid="{00000000-0005-0000-0000-0000B7760000}"/>
    <cellStyle name="Note 2 4 2 2 5 2" xfId="14440" xr:uid="{00000000-0005-0000-0000-0000B8760000}"/>
    <cellStyle name="Note 2 4 2 2 5 2 2" xfId="27989" xr:uid="{00000000-0005-0000-0000-0000B9760000}"/>
    <cellStyle name="Note 2 4 2 2 5 3" xfId="32125" xr:uid="{00000000-0005-0000-0000-0000BA760000}"/>
    <cellStyle name="Note 2 4 2 2 6" xfId="7865" xr:uid="{00000000-0005-0000-0000-0000BB760000}"/>
    <cellStyle name="Note 2 4 2 2 6 2" xfId="16326" xr:uid="{00000000-0005-0000-0000-0000BC760000}"/>
    <cellStyle name="Note 2 4 2 2 6 2 2" xfId="29733" xr:uid="{00000000-0005-0000-0000-0000BD760000}"/>
    <cellStyle name="Note 2 4 2 2 6 3" xfId="32126" xr:uid="{00000000-0005-0000-0000-0000BE760000}"/>
    <cellStyle name="Note 2 4 2 2 7" xfId="10278" xr:uid="{00000000-0005-0000-0000-0000BF760000}"/>
    <cellStyle name="Note 2 4 2 2 8" xfId="32117" xr:uid="{00000000-0005-0000-0000-0000C0760000}"/>
    <cellStyle name="Note 2 4 2 3" xfId="7866" xr:uid="{00000000-0005-0000-0000-0000C1760000}"/>
    <cellStyle name="Note 2 4 2 3 2" xfId="7867" xr:uid="{00000000-0005-0000-0000-0000C2760000}"/>
    <cellStyle name="Note 2 4 2 3 2 2" xfId="11626" xr:uid="{00000000-0005-0000-0000-0000C3760000}"/>
    <cellStyle name="Note 2 4 2 3 2 3" xfId="32128" xr:uid="{00000000-0005-0000-0000-0000C4760000}"/>
    <cellStyle name="Note 2 4 2 3 3" xfId="7868" xr:uid="{00000000-0005-0000-0000-0000C5760000}"/>
    <cellStyle name="Note 2 4 2 3 3 2" xfId="16618" xr:uid="{00000000-0005-0000-0000-0000C6760000}"/>
    <cellStyle name="Note 2 4 2 3 3 2 2" xfId="30025" xr:uid="{00000000-0005-0000-0000-0000C7760000}"/>
    <cellStyle name="Note 2 4 2 3 3 3" xfId="32129" xr:uid="{00000000-0005-0000-0000-0000C8760000}"/>
    <cellStyle name="Note 2 4 2 3 4" xfId="10280" xr:uid="{00000000-0005-0000-0000-0000C9760000}"/>
    <cellStyle name="Note 2 4 2 3 5" xfId="32127" xr:uid="{00000000-0005-0000-0000-0000CA760000}"/>
    <cellStyle name="Note 2 4 2 4" xfId="7869" xr:uid="{00000000-0005-0000-0000-0000CB760000}"/>
    <cellStyle name="Note 2 4 2 4 2" xfId="7870" xr:uid="{00000000-0005-0000-0000-0000CC760000}"/>
    <cellStyle name="Note 2 4 2 4 2 2" xfId="13305" xr:uid="{00000000-0005-0000-0000-0000CD760000}"/>
    <cellStyle name="Note 2 4 2 4 2 3" xfId="32131" xr:uid="{00000000-0005-0000-0000-0000CE760000}"/>
    <cellStyle name="Note 2 4 2 4 3" xfId="11995" xr:uid="{00000000-0005-0000-0000-0000CF760000}"/>
    <cellStyle name="Note 2 4 2 4 3 2" xfId="25710" xr:uid="{00000000-0005-0000-0000-0000D0760000}"/>
    <cellStyle name="Note 2 4 2 4 4" xfId="32130" xr:uid="{00000000-0005-0000-0000-0000D1760000}"/>
    <cellStyle name="Note 2 4 2 5" xfId="7871" xr:uid="{00000000-0005-0000-0000-0000D2760000}"/>
    <cellStyle name="Note 2 4 2 5 2" xfId="7872" xr:uid="{00000000-0005-0000-0000-0000D3760000}"/>
    <cellStyle name="Note 2 4 2 5 2 2" xfId="15740" xr:uid="{00000000-0005-0000-0000-0000D4760000}"/>
    <cellStyle name="Note 2 4 2 5 2 3" xfId="32133" xr:uid="{00000000-0005-0000-0000-0000D5760000}"/>
    <cellStyle name="Note 2 4 2 5 3" xfId="13570" xr:uid="{00000000-0005-0000-0000-0000D6760000}"/>
    <cellStyle name="Note 2 4 2 5 3 2" xfId="27119" xr:uid="{00000000-0005-0000-0000-0000D7760000}"/>
    <cellStyle name="Note 2 4 2 5 4" xfId="32132" xr:uid="{00000000-0005-0000-0000-0000D8760000}"/>
    <cellStyle name="Note 2 4 2 6" xfId="7873" xr:uid="{00000000-0005-0000-0000-0000D9760000}"/>
    <cellStyle name="Note 2 4 2 6 2" xfId="14151" xr:uid="{00000000-0005-0000-0000-0000DA760000}"/>
    <cellStyle name="Note 2 4 2 6 2 2" xfId="27700" xr:uid="{00000000-0005-0000-0000-0000DB760000}"/>
    <cellStyle name="Note 2 4 2 6 3" xfId="32134" xr:uid="{00000000-0005-0000-0000-0000DC760000}"/>
    <cellStyle name="Note 2 4 2 7" xfId="7874" xr:uid="{00000000-0005-0000-0000-0000DD760000}"/>
    <cellStyle name="Note 2 4 2 7 2" xfId="16037" xr:uid="{00000000-0005-0000-0000-0000DE760000}"/>
    <cellStyle name="Note 2 4 2 7 2 2" xfId="29444" xr:uid="{00000000-0005-0000-0000-0000DF760000}"/>
    <cellStyle name="Note 2 4 2 7 3" xfId="32135" xr:uid="{00000000-0005-0000-0000-0000E0760000}"/>
    <cellStyle name="Note 2 4 2 8" xfId="10277" xr:uid="{00000000-0005-0000-0000-0000E1760000}"/>
    <cellStyle name="Note 2 4 2 9" xfId="32116" xr:uid="{00000000-0005-0000-0000-0000E2760000}"/>
    <cellStyle name="Note 2 4 3" xfId="7875" xr:uid="{00000000-0005-0000-0000-0000E3760000}"/>
    <cellStyle name="Note 2 4 3 2" xfId="7876" xr:uid="{00000000-0005-0000-0000-0000E4760000}"/>
    <cellStyle name="Note 2 4 3 2 2" xfId="7877" xr:uid="{00000000-0005-0000-0000-0000E5760000}"/>
    <cellStyle name="Note 2 4 3 2 2 2" xfId="11627" xr:uid="{00000000-0005-0000-0000-0000E6760000}"/>
    <cellStyle name="Note 2 4 3 2 2 3" xfId="32138" xr:uid="{00000000-0005-0000-0000-0000E7760000}"/>
    <cellStyle name="Note 2 4 3 2 3" xfId="7878" xr:uid="{00000000-0005-0000-0000-0000E8760000}"/>
    <cellStyle name="Note 2 4 3 2 3 2" xfId="16767" xr:uid="{00000000-0005-0000-0000-0000E9760000}"/>
    <cellStyle name="Note 2 4 3 2 3 2 2" xfId="30174" xr:uid="{00000000-0005-0000-0000-0000EA760000}"/>
    <cellStyle name="Note 2 4 3 2 3 3" xfId="32139" xr:uid="{00000000-0005-0000-0000-0000EB760000}"/>
    <cellStyle name="Note 2 4 3 2 4" xfId="10282" xr:uid="{00000000-0005-0000-0000-0000EC760000}"/>
    <cellStyle name="Note 2 4 3 2 5" xfId="32137" xr:uid="{00000000-0005-0000-0000-0000ED760000}"/>
    <cellStyle name="Note 2 4 3 3" xfId="7879" xr:uid="{00000000-0005-0000-0000-0000EE760000}"/>
    <cellStyle name="Note 2 4 3 3 2" xfId="7880" xr:uid="{00000000-0005-0000-0000-0000EF760000}"/>
    <cellStyle name="Note 2 4 3 3 2 2" xfId="13306" xr:uid="{00000000-0005-0000-0000-0000F0760000}"/>
    <cellStyle name="Note 2 4 3 3 2 3" xfId="32141" xr:uid="{00000000-0005-0000-0000-0000F1760000}"/>
    <cellStyle name="Note 2 4 3 3 3" xfId="12155" xr:uid="{00000000-0005-0000-0000-0000F2760000}"/>
    <cellStyle name="Note 2 4 3 3 3 2" xfId="25867" xr:uid="{00000000-0005-0000-0000-0000F3760000}"/>
    <cellStyle name="Note 2 4 3 3 4" xfId="32140" xr:uid="{00000000-0005-0000-0000-0000F4760000}"/>
    <cellStyle name="Note 2 4 3 4" xfId="7881" xr:uid="{00000000-0005-0000-0000-0000F5760000}"/>
    <cellStyle name="Note 2 4 3 4 2" xfId="7882" xr:uid="{00000000-0005-0000-0000-0000F6760000}"/>
    <cellStyle name="Note 2 4 3 4 2 2" xfId="15741" xr:uid="{00000000-0005-0000-0000-0000F7760000}"/>
    <cellStyle name="Note 2 4 3 4 2 3" xfId="32143" xr:uid="{00000000-0005-0000-0000-0000F8760000}"/>
    <cellStyle name="Note 2 4 3 4 3" xfId="13719" xr:uid="{00000000-0005-0000-0000-0000F9760000}"/>
    <cellStyle name="Note 2 4 3 4 3 2" xfId="27268" xr:uid="{00000000-0005-0000-0000-0000FA760000}"/>
    <cellStyle name="Note 2 4 3 4 4" xfId="32142" xr:uid="{00000000-0005-0000-0000-0000FB760000}"/>
    <cellStyle name="Note 2 4 3 5" xfId="7883" xr:uid="{00000000-0005-0000-0000-0000FC760000}"/>
    <cellStyle name="Note 2 4 3 5 2" xfId="14300" xr:uid="{00000000-0005-0000-0000-0000FD760000}"/>
    <cellStyle name="Note 2 4 3 5 2 2" xfId="27849" xr:uid="{00000000-0005-0000-0000-0000FE760000}"/>
    <cellStyle name="Note 2 4 3 5 3" xfId="32144" xr:uid="{00000000-0005-0000-0000-0000FF760000}"/>
    <cellStyle name="Note 2 4 3 6" xfId="7884" xr:uid="{00000000-0005-0000-0000-000000770000}"/>
    <cellStyle name="Note 2 4 3 6 2" xfId="16186" xr:uid="{00000000-0005-0000-0000-000001770000}"/>
    <cellStyle name="Note 2 4 3 6 2 2" xfId="29593" xr:uid="{00000000-0005-0000-0000-000002770000}"/>
    <cellStyle name="Note 2 4 3 6 3" xfId="32145" xr:uid="{00000000-0005-0000-0000-000003770000}"/>
    <cellStyle name="Note 2 4 3 7" xfId="10281" xr:uid="{00000000-0005-0000-0000-000004770000}"/>
    <cellStyle name="Note 2 4 3 8" xfId="32136" xr:uid="{00000000-0005-0000-0000-000005770000}"/>
    <cellStyle name="Note 2 4 4" xfId="7885" xr:uid="{00000000-0005-0000-0000-000006770000}"/>
    <cellStyle name="Note 2 4 4 2" xfId="7886" xr:uid="{00000000-0005-0000-0000-000007770000}"/>
    <cellStyle name="Note 2 4 4 2 2" xfId="11628" xr:uid="{00000000-0005-0000-0000-000008770000}"/>
    <cellStyle name="Note 2 4 4 2 3" xfId="32147" xr:uid="{00000000-0005-0000-0000-000009770000}"/>
    <cellStyle name="Note 2 4 4 3" xfId="7887" xr:uid="{00000000-0005-0000-0000-00000A770000}"/>
    <cellStyle name="Note 2 4 4 3 2" xfId="16475" xr:uid="{00000000-0005-0000-0000-00000B770000}"/>
    <cellStyle name="Note 2 4 4 3 2 2" xfId="29882" xr:uid="{00000000-0005-0000-0000-00000C770000}"/>
    <cellStyle name="Note 2 4 4 3 3" xfId="32148" xr:uid="{00000000-0005-0000-0000-00000D770000}"/>
    <cellStyle name="Note 2 4 4 4" xfId="10283" xr:uid="{00000000-0005-0000-0000-00000E770000}"/>
    <cellStyle name="Note 2 4 4 5" xfId="32146" xr:uid="{00000000-0005-0000-0000-00000F770000}"/>
    <cellStyle name="Note 2 4 5" xfId="7888" xr:uid="{00000000-0005-0000-0000-000010770000}"/>
    <cellStyle name="Note 2 4 5 2" xfId="7889" xr:uid="{00000000-0005-0000-0000-000011770000}"/>
    <cellStyle name="Note 2 4 5 2 2" xfId="13307" xr:uid="{00000000-0005-0000-0000-000012770000}"/>
    <cellStyle name="Note 2 4 5 2 3" xfId="32150" xr:uid="{00000000-0005-0000-0000-000013770000}"/>
    <cellStyle name="Note 2 4 5 3" xfId="11826" xr:uid="{00000000-0005-0000-0000-000014770000}"/>
    <cellStyle name="Note 2 4 5 3 2" xfId="25541" xr:uid="{00000000-0005-0000-0000-000015770000}"/>
    <cellStyle name="Note 2 4 5 4" xfId="32149" xr:uid="{00000000-0005-0000-0000-000016770000}"/>
    <cellStyle name="Note 2 4 6" xfId="7890" xr:uid="{00000000-0005-0000-0000-000017770000}"/>
    <cellStyle name="Note 2 4 6 2" xfId="7891" xr:uid="{00000000-0005-0000-0000-000018770000}"/>
    <cellStyle name="Note 2 4 6 2 2" xfId="15742" xr:uid="{00000000-0005-0000-0000-000019770000}"/>
    <cellStyle name="Note 2 4 6 2 3" xfId="32152" xr:uid="{00000000-0005-0000-0000-00001A770000}"/>
    <cellStyle name="Note 2 4 6 3" xfId="13427" xr:uid="{00000000-0005-0000-0000-00001B770000}"/>
    <cellStyle name="Note 2 4 6 3 2" xfId="26976" xr:uid="{00000000-0005-0000-0000-00001C770000}"/>
    <cellStyle name="Note 2 4 6 4" xfId="32151" xr:uid="{00000000-0005-0000-0000-00001D770000}"/>
    <cellStyle name="Note 2 4 7" xfId="7892" xr:uid="{00000000-0005-0000-0000-00001E770000}"/>
    <cellStyle name="Note 2 4 7 2" xfId="14008" xr:uid="{00000000-0005-0000-0000-00001F770000}"/>
    <cellStyle name="Note 2 4 7 2 2" xfId="27557" xr:uid="{00000000-0005-0000-0000-000020770000}"/>
    <cellStyle name="Note 2 4 7 3" xfId="32153" xr:uid="{00000000-0005-0000-0000-000021770000}"/>
    <cellStyle name="Note 2 4 8" xfId="7893" xr:uid="{00000000-0005-0000-0000-000022770000}"/>
    <cellStyle name="Note 2 4 8 2" xfId="15894" xr:uid="{00000000-0005-0000-0000-000023770000}"/>
    <cellStyle name="Note 2 4 8 2 2" xfId="29301" xr:uid="{00000000-0005-0000-0000-000024770000}"/>
    <cellStyle name="Note 2 4 8 3" xfId="32154" xr:uid="{00000000-0005-0000-0000-000025770000}"/>
    <cellStyle name="Note 2 4 9" xfId="10276" xr:uid="{00000000-0005-0000-0000-000026770000}"/>
    <cellStyle name="Note 2 5" xfId="7894" xr:uid="{00000000-0005-0000-0000-000027770000}"/>
    <cellStyle name="Note 2 5 10" xfId="32155" xr:uid="{00000000-0005-0000-0000-000028770000}"/>
    <cellStyle name="Note 2 5 2" xfId="7895" xr:uid="{00000000-0005-0000-0000-000029770000}"/>
    <cellStyle name="Note 2 5 2 2" xfId="7896" xr:uid="{00000000-0005-0000-0000-00002A770000}"/>
    <cellStyle name="Note 2 5 2 2 2" xfId="7897" xr:uid="{00000000-0005-0000-0000-00002B770000}"/>
    <cellStyle name="Note 2 5 2 2 2 2" xfId="7898" xr:uid="{00000000-0005-0000-0000-00002C770000}"/>
    <cellStyle name="Note 2 5 2 2 2 2 2" xfId="11629" xr:uid="{00000000-0005-0000-0000-00002D770000}"/>
    <cellStyle name="Note 2 5 2 2 2 2 3" xfId="32159" xr:uid="{00000000-0005-0000-0000-00002E770000}"/>
    <cellStyle name="Note 2 5 2 2 2 3" xfId="7899" xr:uid="{00000000-0005-0000-0000-00002F770000}"/>
    <cellStyle name="Note 2 5 2 2 2 3 2" xfId="16890" xr:uid="{00000000-0005-0000-0000-000030770000}"/>
    <cellStyle name="Note 2 5 2 2 2 3 2 2" xfId="30297" xr:uid="{00000000-0005-0000-0000-000031770000}"/>
    <cellStyle name="Note 2 5 2 2 2 3 3" xfId="32160" xr:uid="{00000000-0005-0000-0000-000032770000}"/>
    <cellStyle name="Note 2 5 2 2 2 4" xfId="10287" xr:uid="{00000000-0005-0000-0000-000033770000}"/>
    <cellStyle name="Note 2 5 2 2 2 5" xfId="32158" xr:uid="{00000000-0005-0000-0000-000034770000}"/>
    <cellStyle name="Note 2 5 2 2 3" xfId="7900" xr:uid="{00000000-0005-0000-0000-000035770000}"/>
    <cellStyle name="Note 2 5 2 2 3 2" xfId="7901" xr:uid="{00000000-0005-0000-0000-000036770000}"/>
    <cellStyle name="Note 2 5 2 2 3 2 2" xfId="13308" xr:uid="{00000000-0005-0000-0000-000037770000}"/>
    <cellStyle name="Note 2 5 2 2 3 2 3" xfId="32162" xr:uid="{00000000-0005-0000-0000-000038770000}"/>
    <cellStyle name="Note 2 5 2 2 3 3" xfId="12278" xr:uid="{00000000-0005-0000-0000-000039770000}"/>
    <cellStyle name="Note 2 5 2 2 3 3 2" xfId="25990" xr:uid="{00000000-0005-0000-0000-00003A770000}"/>
    <cellStyle name="Note 2 5 2 2 3 4" xfId="32161" xr:uid="{00000000-0005-0000-0000-00003B770000}"/>
    <cellStyle name="Note 2 5 2 2 4" xfId="7902" xr:uid="{00000000-0005-0000-0000-00003C770000}"/>
    <cellStyle name="Note 2 5 2 2 4 2" xfId="7903" xr:uid="{00000000-0005-0000-0000-00003D770000}"/>
    <cellStyle name="Note 2 5 2 2 4 2 2" xfId="15743" xr:uid="{00000000-0005-0000-0000-00003E770000}"/>
    <cellStyle name="Note 2 5 2 2 4 2 3" xfId="32164" xr:uid="{00000000-0005-0000-0000-00003F770000}"/>
    <cellStyle name="Note 2 5 2 2 4 3" xfId="13842" xr:uid="{00000000-0005-0000-0000-000040770000}"/>
    <cellStyle name="Note 2 5 2 2 4 3 2" xfId="27391" xr:uid="{00000000-0005-0000-0000-000041770000}"/>
    <cellStyle name="Note 2 5 2 2 4 4" xfId="32163" xr:uid="{00000000-0005-0000-0000-000042770000}"/>
    <cellStyle name="Note 2 5 2 2 5" xfId="7904" xr:uid="{00000000-0005-0000-0000-000043770000}"/>
    <cellStyle name="Note 2 5 2 2 5 2" xfId="14423" xr:uid="{00000000-0005-0000-0000-000044770000}"/>
    <cellStyle name="Note 2 5 2 2 5 2 2" xfId="27972" xr:uid="{00000000-0005-0000-0000-000045770000}"/>
    <cellStyle name="Note 2 5 2 2 5 3" xfId="32165" xr:uid="{00000000-0005-0000-0000-000046770000}"/>
    <cellStyle name="Note 2 5 2 2 6" xfId="7905" xr:uid="{00000000-0005-0000-0000-000047770000}"/>
    <cellStyle name="Note 2 5 2 2 6 2" xfId="16309" xr:uid="{00000000-0005-0000-0000-000048770000}"/>
    <cellStyle name="Note 2 5 2 2 6 2 2" xfId="29716" xr:uid="{00000000-0005-0000-0000-000049770000}"/>
    <cellStyle name="Note 2 5 2 2 6 3" xfId="32166" xr:uid="{00000000-0005-0000-0000-00004A770000}"/>
    <cellStyle name="Note 2 5 2 2 7" xfId="10286" xr:uid="{00000000-0005-0000-0000-00004B770000}"/>
    <cellStyle name="Note 2 5 2 2 8" xfId="32157" xr:uid="{00000000-0005-0000-0000-00004C770000}"/>
    <cellStyle name="Note 2 5 2 3" xfId="7906" xr:uid="{00000000-0005-0000-0000-00004D770000}"/>
    <cellStyle name="Note 2 5 2 3 2" xfId="7907" xr:uid="{00000000-0005-0000-0000-00004E770000}"/>
    <cellStyle name="Note 2 5 2 3 2 2" xfId="11630" xr:uid="{00000000-0005-0000-0000-00004F770000}"/>
    <cellStyle name="Note 2 5 2 3 2 3" xfId="32168" xr:uid="{00000000-0005-0000-0000-000050770000}"/>
    <cellStyle name="Note 2 5 2 3 3" xfId="7908" xr:uid="{00000000-0005-0000-0000-000051770000}"/>
    <cellStyle name="Note 2 5 2 3 3 2" xfId="16601" xr:uid="{00000000-0005-0000-0000-000052770000}"/>
    <cellStyle name="Note 2 5 2 3 3 2 2" xfId="30008" xr:uid="{00000000-0005-0000-0000-000053770000}"/>
    <cellStyle name="Note 2 5 2 3 3 3" xfId="32169" xr:uid="{00000000-0005-0000-0000-000054770000}"/>
    <cellStyle name="Note 2 5 2 3 4" xfId="10288" xr:uid="{00000000-0005-0000-0000-000055770000}"/>
    <cellStyle name="Note 2 5 2 3 5" xfId="32167" xr:uid="{00000000-0005-0000-0000-000056770000}"/>
    <cellStyle name="Note 2 5 2 4" xfId="7909" xr:uid="{00000000-0005-0000-0000-000057770000}"/>
    <cellStyle name="Note 2 5 2 4 2" xfId="7910" xr:uid="{00000000-0005-0000-0000-000058770000}"/>
    <cellStyle name="Note 2 5 2 4 2 2" xfId="13309" xr:uid="{00000000-0005-0000-0000-000059770000}"/>
    <cellStyle name="Note 2 5 2 4 2 3" xfId="32171" xr:uid="{00000000-0005-0000-0000-00005A770000}"/>
    <cellStyle name="Note 2 5 2 4 3" xfId="11978" xr:uid="{00000000-0005-0000-0000-00005B770000}"/>
    <cellStyle name="Note 2 5 2 4 3 2" xfId="25693" xr:uid="{00000000-0005-0000-0000-00005C770000}"/>
    <cellStyle name="Note 2 5 2 4 4" xfId="32170" xr:uid="{00000000-0005-0000-0000-00005D770000}"/>
    <cellStyle name="Note 2 5 2 5" xfId="7911" xr:uid="{00000000-0005-0000-0000-00005E770000}"/>
    <cellStyle name="Note 2 5 2 5 2" xfId="7912" xr:uid="{00000000-0005-0000-0000-00005F770000}"/>
    <cellStyle name="Note 2 5 2 5 2 2" xfId="15744" xr:uid="{00000000-0005-0000-0000-000060770000}"/>
    <cellStyle name="Note 2 5 2 5 2 3" xfId="32173" xr:uid="{00000000-0005-0000-0000-000061770000}"/>
    <cellStyle name="Note 2 5 2 5 3" xfId="13553" xr:uid="{00000000-0005-0000-0000-000062770000}"/>
    <cellStyle name="Note 2 5 2 5 3 2" xfId="27102" xr:uid="{00000000-0005-0000-0000-000063770000}"/>
    <cellStyle name="Note 2 5 2 5 4" xfId="32172" xr:uid="{00000000-0005-0000-0000-000064770000}"/>
    <cellStyle name="Note 2 5 2 6" xfId="7913" xr:uid="{00000000-0005-0000-0000-000065770000}"/>
    <cellStyle name="Note 2 5 2 6 2" xfId="14134" xr:uid="{00000000-0005-0000-0000-000066770000}"/>
    <cellStyle name="Note 2 5 2 6 2 2" xfId="27683" xr:uid="{00000000-0005-0000-0000-000067770000}"/>
    <cellStyle name="Note 2 5 2 6 3" xfId="32174" xr:uid="{00000000-0005-0000-0000-000068770000}"/>
    <cellStyle name="Note 2 5 2 7" xfId="7914" xr:uid="{00000000-0005-0000-0000-000069770000}"/>
    <cellStyle name="Note 2 5 2 7 2" xfId="16020" xr:uid="{00000000-0005-0000-0000-00006A770000}"/>
    <cellStyle name="Note 2 5 2 7 2 2" xfId="29427" xr:uid="{00000000-0005-0000-0000-00006B770000}"/>
    <cellStyle name="Note 2 5 2 7 3" xfId="32175" xr:uid="{00000000-0005-0000-0000-00006C770000}"/>
    <cellStyle name="Note 2 5 2 8" xfId="10285" xr:uid="{00000000-0005-0000-0000-00006D770000}"/>
    <cellStyle name="Note 2 5 2 9" xfId="32156" xr:uid="{00000000-0005-0000-0000-00006E770000}"/>
    <cellStyle name="Note 2 5 3" xfId="7915" xr:uid="{00000000-0005-0000-0000-00006F770000}"/>
    <cellStyle name="Note 2 5 3 2" xfId="7916" xr:uid="{00000000-0005-0000-0000-000070770000}"/>
    <cellStyle name="Note 2 5 3 2 2" xfId="7917" xr:uid="{00000000-0005-0000-0000-000071770000}"/>
    <cellStyle name="Note 2 5 3 2 2 2" xfId="11631" xr:uid="{00000000-0005-0000-0000-000072770000}"/>
    <cellStyle name="Note 2 5 3 2 2 3" xfId="32178" xr:uid="{00000000-0005-0000-0000-000073770000}"/>
    <cellStyle name="Note 2 5 3 2 3" xfId="7918" xr:uid="{00000000-0005-0000-0000-000074770000}"/>
    <cellStyle name="Note 2 5 3 2 3 2" xfId="16750" xr:uid="{00000000-0005-0000-0000-000075770000}"/>
    <cellStyle name="Note 2 5 3 2 3 2 2" xfId="30157" xr:uid="{00000000-0005-0000-0000-000076770000}"/>
    <cellStyle name="Note 2 5 3 2 3 3" xfId="32179" xr:uid="{00000000-0005-0000-0000-000077770000}"/>
    <cellStyle name="Note 2 5 3 2 4" xfId="10290" xr:uid="{00000000-0005-0000-0000-000078770000}"/>
    <cellStyle name="Note 2 5 3 2 5" xfId="32177" xr:uid="{00000000-0005-0000-0000-000079770000}"/>
    <cellStyle name="Note 2 5 3 3" xfId="7919" xr:uid="{00000000-0005-0000-0000-00007A770000}"/>
    <cellStyle name="Note 2 5 3 3 2" xfId="7920" xr:uid="{00000000-0005-0000-0000-00007B770000}"/>
    <cellStyle name="Note 2 5 3 3 2 2" xfId="13310" xr:uid="{00000000-0005-0000-0000-00007C770000}"/>
    <cellStyle name="Note 2 5 3 3 2 3" xfId="32181" xr:uid="{00000000-0005-0000-0000-00007D770000}"/>
    <cellStyle name="Note 2 5 3 3 3" xfId="12138" xr:uid="{00000000-0005-0000-0000-00007E770000}"/>
    <cellStyle name="Note 2 5 3 3 3 2" xfId="25850" xr:uid="{00000000-0005-0000-0000-00007F770000}"/>
    <cellStyle name="Note 2 5 3 3 4" xfId="32180" xr:uid="{00000000-0005-0000-0000-000080770000}"/>
    <cellStyle name="Note 2 5 3 4" xfId="7921" xr:uid="{00000000-0005-0000-0000-000081770000}"/>
    <cellStyle name="Note 2 5 3 4 2" xfId="7922" xr:uid="{00000000-0005-0000-0000-000082770000}"/>
    <cellStyle name="Note 2 5 3 4 2 2" xfId="15745" xr:uid="{00000000-0005-0000-0000-000083770000}"/>
    <cellStyle name="Note 2 5 3 4 2 3" xfId="32183" xr:uid="{00000000-0005-0000-0000-000084770000}"/>
    <cellStyle name="Note 2 5 3 4 3" xfId="13702" xr:uid="{00000000-0005-0000-0000-000085770000}"/>
    <cellStyle name="Note 2 5 3 4 3 2" xfId="27251" xr:uid="{00000000-0005-0000-0000-000086770000}"/>
    <cellStyle name="Note 2 5 3 4 4" xfId="32182" xr:uid="{00000000-0005-0000-0000-000087770000}"/>
    <cellStyle name="Note 2 5 3 5" xfId="7923" xr:uid="{00000000-0005-0000-0000-000088770000}"/>
    <cellStyle name="Note 2 5 3 5 2" xfId="14283" xr:uid="{00000000-0005-0000-0000-000089770000}"/>
    <cellStyle name="Note 2 5 3 5 2 2" xfId="27832" xr:uid="{00000000-0005-0000-0000-00008A770000}"/>
    <cellStyle name="Note 2 5 3 5 3" xfId="32184" xr:uid="{00000000-0005-0000-0000-00008B770000}"/>
    <cellStyle name="Note 2 5 3 6" xfId="7924" xr:uid="{00000000-0005-0000-0000-00008C770000}"/>
    <cellStyle name="Note 2 5 3 6 2" xfId="16169" xr:uid="{00000000-0005-0000-0000-00008D770000}"/>
    <cellStyle name="Note 2 5 3 6 2 2" xfId="29576" xr:uid="{00000000-0005-0000-0000-00008E770000}"/>
    <cellStyle name="Note 2 5 3 6 3" xfId="32185" xr:uid="{00000000-0005-0000-0000-00008F770000}"/>
    <cellStyle name="Note 2 5 3 7" xfId="10289" xr:uid="{00000000-0005-0000-0000-000090770000}"/>
    <cellStyle name="Note 2 5 3 8" xfId="32176" xr:uid="{00000000-0005-0000-0000-000091770000}"/>
    <cellStyle name="Note 2 5 4" xfId="7925" xr:uid="{00000000-0005-0000-0000-000092770000}"/>
    <cellStyle name="Note 2 5 4 2" xfId="7926" xr:uid="{00000000-0005-0000-0000-000093770000}"/>
    <cellStyle name="Note 2 5 4 2 2" xfId="11632" xr:uid="{00000000-0005-0000-0000-000094770000}"/>
    <cellStyle name="Note 2 5 4 2 3" xfId="32187" xr:uid="{00000000-0005-0000-0000-000095770000}"/>
    <cellStyle name="Note 2 5 4 3" xfId="7927" xr:uid="{00000000-0005-0000-0000-000096770000}"/>
    <cellStyle name="Note 2 5 4 3 2" xfId="16458" xr:uid="{00000000-0005-0000-0000-000097770000}"/>
    <cellStyle name="Note 2 5 4 3 2 2" xfId="29865" xr:uid="{00000000-0005-0000-0000-000098770000}"/>
    <cellStyle name="Note 2 5 4 3 3" xfId="32188" xr:uid="{00000000-0005-0000-0000-000099770000}"/>
    <cellStyle name="Note 2 5 4 4" xfId="10291" xr:uid="{00000000-0005-0000-0000-00009A770000}"/>
    <cellStyle name="Note 2 5 4 5" xfId="32186" xr:uid="{00000000-0005-0000-0000-00009B770000}"/>
    <cellStyle name="Note 2 5 5" xfId="7928" xr:uid="{00000000-0005-0000-0000-00009C770000}"/>
    <cellStyle name="Note 2 5 5 2" xfId="7929" xr:uid="{00000000-0005-0000-0000-00009D770000}"/>
    <cellStyle name="Note 2 5 5 2 2" xfId="13311" xr:uid="{00000000-0005-0000-0000-00009E770000}"/>
    <cellStyle name="Note 2 5 5 2 3" xfId="32190" xr:uid="{00000000-0005-0000-0000-00009F770000}"/>
    <cellStyle name="Note 2 5 5 3" xfId="11809" xr:uid="{00000000-0005-0000-0000-0000A0770000}"/>
    <cellStyle name="Note 2 5 5 3 2" xfId="25524" xr:uid="{00000000-0005-0000-0000-0000A1770000}"/>
    <cellStyle name="Note 2 5 5 4" xfId="32189" xr:uid="{00000000-0005-0000-0000-0000A2770000}"/>
    <cellStyle name="Note 2 5 6" xfId="7930" xr:uid="{00000000-0005-0000-0000-0000A3770000}"/>
    <cellStyle name="Note 2 5 6 2" xfId="7931" xr:uid="{00000000-0005-0000-0000-0000A4770000}"/>
    <cellStyle name="Note 2 5 6 2 2" xfId="15746" xr:uid="{00000000-0005-0000-0000-0000A5770000}"/>
    <cellStyle name="Note 2 5 6 2 3" xfId="32192" xr:uid="{00000000-0005-0000-0000-0000A6770000}"/>
    <cellStyle name="Note 2 5 6 3" xfId="13410" xr:uid="{00000000-0005-0000-0000-0000A7770000}"/>
    <cellStyle name="Note 2 5 6 3 2" xfId="26959" xr:uid="{00000000-0005-0000-0000-0000A8770000}"/>
    <cellStyle name="Note 2 5 6 4" xfId="32191" xr:uid="{00000000-0005-0000-0000-0000A9770000}"/>
    <cellStyle name="Note 2 5 7" xfId="7932" xr:uid="{00000000-0005-0000-0000-0000AA770000}"/>
    <cellStyle name="Note 2 5 7 2" xfId="13991" xr:uid="{00000000-0005-0000-0000-0000AB770000}"/>
    <cellStyle name="Note 2 5 7 2 2" xfId="27540" xr:uid="{00000000-0005-0000-0000-0000AC770000}"/>
    <cellStyle name="Note 2 5 7 3" xfId="32193" xr:uid="{00000000-0005-0000-0000-0000AD770000}"/>
    <cellStyle name="Note 2 5 8" xfId="7933" xr:uid="{00000000-0005-0000-0000-0000AE770000}"/>
    <cellStyle name="Note 2 5 8 2" xfId="15877" xr:uid="{00000000-0005-0000-0000-0000AF770000}"/>
    <cellStyle name="Note 2 5 8 2 2" xfId="29284" xr:uid="{00000000-0005-0000-0000-0000B0770000}"/>
    <cellStyle name="Note 2 5 8 3" xfId="32194" xr:uid="{00000000-0005-0000-0000-0000B1770000}"/>
    <cellStyle name="Note 2 5 9" xfId="10284" xr:uid="{00000000-0005-0000-0000-0000B2770000}"/>
    <cellStyle name="Note 2 6" xfId="7934" xr:uid="{00000000-0005-0000-0000-0000B3770000}"/>
    <cellStyle name="Note 2 6 10" xfId="32195" xr:uid="{00000000-0005-0000-0000-0000B4770000}"/>
    <cellStyle name="Note 2 6 2" xfId="7935" xr:uid="{00000000-0005-0000-0000-0000B5770000}"/>
    <cellStyle name="Note 2 6 2 2" xfId="7936" xr:uid="{00000000-0005-0000-0000-0000B6770000}"/>
    <cellStyle name="Note 2 6 2 2 2" xfId="7937" xr:uid="{00000000-0005-0000-0000-0000B7770000}"/>
    <cellStyle name="Note 2 6 2 2 2 2" xfId="7938" xr:uid="{00000000-0005-0000-0000-0000B8770000}"/>
    <cellStyle name="Note 2 6 2 2 2 2 2" xfId="11633" xr:uid="{00000000-0005-0000-0000-0000B9770000}"/>
    <cellStyle name="Note 2 6 2 2 2 2 3" xfId="32199" xr:uid="{00000000-0005-0000-0000-0000BA770000}"/>
    <cellStyle name="Note 2 6 2 2 2 3" xfId="7939" xr:uid="{00000000-0005-0000-0000-0000BB770000}"/>
    <cellStyle name="Note 2 6 2 2 2 3 2" xfId="16996" xr:uid="{00000000-0005-0000-0000-0000BC770000}"/>
    <cellStyle name="Note 2 6 2 2 2 3 2 2" xfId="30403" xr:uid="{00000000-0005-0000-0000-0000BD770000}"/>
    <cellStyle name="Note 2 6 2 2 2 3 3" xfId="32200" xr:uid="{00000000-0005-0000-0000-0000BE770000}"/>
    <cellStyle name="Note 2 6 2 2 2 4" xfId="10295" xr:uid="{00000000-0005-0000-0000-0000BF770000}"/>
    <cellStyle name="Note 2 6 2 2 2 5" xfId="32198" xr:uid="{00000000-0005-0000-0000-0000C0770000}"/>
    <cellStyle name="Note 2 6 2 2 3" xfId="7940" xr:uid="{00000000-0005-0000-0000-0000C1770000}"/>
    <cellStyle name="Note 2 6 2 2 3 2" xfId="7941" xr:uid="{00000000-0005-0000-0000-0000C2770000}"/>
    <cellStyle name="Note 2 6 2 2 3 2 2" xfId="13312" xr:uid="{00000000-0005-0000-0000-0000C3770000}"/>
    <cellStyle name="Note 2 6 2 2 3 2 3" xfId="32202" xr:uid="{00000000-0005-0000-0000-0000C4770000}"/>
    <cellStyle name="Note 2 6 2 2 3 3" xfId="12384" xr:uid="{00000000-0005-0000-0000-0000C5770000}"/>
    <cellStyle name="Note 2 6 2 2 3 3 2" xfId="26096" xr:uid="{00000000-0005-0000-0000-0000C6770000}"/>
    <cellStyle name="Note 2 6 2 2 3 4" xfId="32201" xr:uid="{00000000-0005-0000-0000-0000C7770000}"/>
    <cellStyle name="Note 2 6 2 2 4" xfId="7942" xr:uid="{00000000-0005-0000-0000-0000C8770000}"/>
    <cellStyle name="Note 2 6 2 2 4 2" xfId="7943" xr:uid="{00000000-0005-0000-0000-0000C9770000}"/>
    <cellStyle name="Note 2 6 2 2 4 2 2" xfId="15747" xr:uid="{00000000-0005-0000-0000-0000CA770000}"/>
    <cellStyle name="Note 2 6 2 2 4 2 3" xfId="32204" xr:uid="{00000000-0005-0000-0000-0000CB770000}"/>
    <cellStyle name="Note 2 6 2 2 4 3" xfId="13948" xr:uid="{00000000-0005-0000-0000-0000CC770000}"/>
    <cellStyle name="Note 2 6 2 2 4 3 2" xfId="27497" xr:uid="{00000000-0005-0000-0000-0000CD770000}"/>
    <cellStyle name="Note 2 6 2 2 4 4" xfId="32203" xr:uid="{00000000-0005-0000-0000-0000CE770000}"/>
    <cellStyle name="Note 2 6 2 2 5" xfId="7944" xr:uid="{00000000-0005-0000-0000-0000CF770000}"/>
    <cellStyle name="Note 2 6 2 2 5 2" xfId="14529" xr:uid="{00000000-0005-0000-0000-0000D0770000}"/>
    <cellStyle name="Note 2 6 2 2 5 2 2" xfId="28078" xr:uid="{00000000-0005-0000-0000-0000D1770000}"/>
    <cellStyle name="Note 2 6 2 2 5 3" xfId="32205" xr:uid="{00000000-0005-0000-0000-0000D2770000}"/>
    <cellStyle name="Note 2 6 2 2 6" xfId="7945" xr:uid="{00000000-0005-0000-0000-0000D3770000}"/>
    <cellStyle name="Note 2 6 2 2 6 2" xfId="16415" xr:uid="{00000000-0005-0000-0000-0000D4770000}"/>
    <cellStyle name="Note 2 6 2 2 6 2 2" xfId="29822" xr:uid="{00000000-0005-0000-0000-0000D5770000}"/>
    <cellStyle name="Note 2 6 2 2 6 3" xfId="32206" xr:uid="{00000000-0005-0000-0000-0000D6770000}"/>
    <cellStyle name="Note 2 6 2 2 7" xfId="10294" xr:uid="{00000000-0005-0000-0000-0000D7770000}"/>
    <cellStyle name="Note 2 6 2 2 8" xfId="32197" xr:uid="{00000000-0005-0000-0000-0000D8770000}"/>
    <cellStyle name="Note 2 6 2 3" xfId="7946" xr:uid="{00000000-0005-0000-0000-0000D9770000}"/>
    <cellStyle name="Note 2 6 2 3 2" xfId="7947" xr:uid="{00000000-0005-0000-0000-0000DA770000}"/>
    <cellStyle name="Note 2 6 2 3 2 2" xfId="11634" xr:uid="{00000000-0005-0000-0000-0000DB770000}"/>
    <cellStyle name="Note 2 6 2 3 2 3" xfId="32208" xr:uid="{00000000-0005-0000-0000-0000DC770000}"/>
    <cellStyle name="Note 2 6 2 3 3" xfId="7948" xr:uid="{00000000-0005-0000-0000-0000DD770000}"/>
    <cellStyle name="Note 2 6 2 3 3 2" xfId="16707" xr:uid="{00000000-0005-0000-0000-0000DE770000}"/>
    <cellStyle name="Note 2 6 2 3 3 2 2" xfId="30114" xr:uid="{00000000-0005-0000-0000-0000DF770000}"/>
    <cellStyle name="Note 2 6 2 3 3 3" xfId="32209" xr:uid="{00000000-0005-0000-0000-0000E0770000}"/>
    <cellStyle name="Note 2 6 2 3 4" xfId="10296" xr:uid="{00000000-0005-0000-0000-0000E1770000}"/>
    <cellStyle name="Note 2 6 2 3 5" xfId="32207" xr:uid="{00000000-0005-0000-0000-0000E2770000}"/>
    <cellStyle name="Note 2 6 2 4" xfId="7949" xr:uid="{00000000-0005-0000-0000-0000E3770000}"/>
    <cellStyle name="Note 2 6 2 4 2" xfId="7950" xr:uid="{00000000-0005-0000-0000-0000E4770000}"/>
    <cellStyle name="Note 2 6 2 4 2 2" xfId="13313" xr:uid="{00000000-0005-0000-0000-0000E5770000}"/>
    <cellStyle name="Note 2 6 2 4 2 3" xfId="32211" xr:uid="{00000000-0005-0000-0000-0000E6770000}"/>
    <cellStyle name="Note 2 6 2 4 3" xfId="12084" xr:uid="{00000000-0005-0000-0000-0000E7770000}"/>
    <cellStyle name="Note 2 6 2 4 3 2" xfId="25799" xr:uid="{00000000-0005-0000-0000-0000E8770000}"/>
    <cellStyle name="Note 2 6 2 4 4" xfId="32210" xr:uid="{00000000-0005-0000-0000-0000E9770000}"/>
    <cellStyle name="Note 2 6 2 5" xfId="7951" xr:uid="{00000000-0005-0000-0000-0000EA770000}"/>
    <cellStyle name="Note 2 6 2 5 2" xfId="7952" xr:uid="{00000000-0005-0000-0000-0000EB770000}"/>
    <cellStyle name="Note 2 6 2 5 2 2" xfId="15748" xr:uid="{00000000-0005-0000-0000-0000EC770000}"/>
    <cellStyle name="Note 2 6 2 5 2 3" xfId="32213" xr:uid="{00000000-0005-0000-0000-0000ED770000}"/>
    <cellStyle name="Note 2 6 2 5 3" xfId="13659" xr:uid="{00000000-0005-0000-0000-0000EE770000}"/>
    <cellStyle name="Note 2 6 2 5 3 2" xfId="27208" xr:uid="{00000000-0005-0000-0000-0000EF770000}"/>
    <cellStyle name="Note 2 6 2 5 4" xfId="32212" xr:uid="{00000000-0005-0000-0000-0000F0770000}"/>
    <cellStyle name="Note 2 6 2 6" xfId="7953" xr:uid="{00000000-0005-0000-0000-0000F1770000}"/>
    <cellStyle name="Note 2 6 2 6 2" xfId="14240" xr:uid="{00000000-0005-0000-0000-0000F2770000}"/>
    <cellStyle name="Note 2 6 2 6 2 2" xfId="27789" xr:uid="{00000000-0005-0000-0000-0000F3770000}"/>
    <cellStyle name="Note 2 6 2 6 3" xfId="32214" xr:uid="{00000000-0005-0000-0000-0000F4770000}"/>
    <cellStyle name="Note 2 6 2 7" xfId="7954" xr:uid="{00000000-0005-0000-0000-0000F5770000}"/>
    <cellStyle name="Note 2 6 2 7 2" xfId="16126" xr:uid="{00000000-0005-0000-0000-0000F6770000}"/>
    <cellStyle name="Note 2 6 2 7 2 2" xfId="29533" xr:uid="{00000000-0005-0000-0000-0000F7770000}"/>
    <cellStyle name="Note 2 6 2 7 3" xfId="32215" xr:uid="{00000000-0005-0000-0000-0000F8770000}"/>
    <cellStyle name="Note 2 6 2 8" xfId="10293" xr:uid="{00000000-0005-0000-0000-0000F9770000}"/>
    <cellStyle name="Note 2 6 2 9" xfId="32196" xr:uid="{00000000-0005-0000-0000-0000FA770000}"/>
    <cellStyle name="Note 2 6 3" xfId="7955" xr:uid="{00000000-0005-0000-0000-0000FB770000}"/>
    <cellStyle name="Note 2 6 3 2" xfId="7956" xr:uid="{00000000-0005-0000-0000-0000FC770000}"/>
    <cellStyle name="Note 2 6 3 2 2" xfId="7957" xr:uid="{00000000-0005-0000-0000-0000FD770000}"/>
    <cellStyle name="Note 2 6 3 2 2 2" xfId="11635" xr:uid="{00000000-0005-0000-0000-0000FE770000}"/>
    <cellStyle name="Note 2 6 3 2 2 3" xfId="32218" xr:uid="{00000000-0005-0000-0000-0000FF770000}"/>
    <cellStyle name="Note 2 6 3 2 3" xfId="7958" xr:uid="{00000000-0005-0000-0000-000000780000}"/>
    <cellStyle name="Note 2 6 3 2 3 2" xfId="16853" xr:uid="{00000000-0005-0000-0000-000001780000}"/>
    <cellStyle name="Note 2 6 3 2 3 2 2" xfId="30260" xr:uid="{00000000-0005-0000-0000-000002780000}"/>
    <cellStyle name="Note 2 6 3 2 3 3" xfId="32219" xr:uid="{00000000-0005-0000-0000-000003780000}"/>
    <cellStyle name="Note 2 6 3 2 4" xfId="10298" xr:uid="{00000000-0005-0000-0000-000004780000}"/>
    <cellStyle name="Note 2 6 3 2 5" xfId="32217" xr:uid="{00000000-0005-0000-0000-000005780000}"/>
    <cellStyle name="Note 2 6 3 3" xfId="7959" xr:uid="{00000000-0005-0000-0000-000006780000}"/>
    <cellStyle name="Note 2 6 3 3 2" xfId="7960" xr:uid="{00000000-0005-0000-0000-000007780000}"/>
    <cellStyle name="Note 2 6 3 3 2 2" xfId="13314" xr:uid="{00000000-0005-0000-0000-000008780000}"/>
    <cellStyle name="Note 2 6 3 3 2 3" xfId="32221" xr:uid="{00000000-0005-0000-0000-000009780000}"/>
    <cellStyle name="Note 2 6 3 3 3" xfId="12241" xr:uid="{00000000-0005-0000-0000-00000A780000}"/>
    <cellStyle name="Note 2 6 3 3 3 2" xfId="25953" xr:uid="{00000000-0005-0000-0000-00000B780000}"/>
    <cellStyle name="Note 2 6 3 3 4" xfId="32220" xr:uid="{00000000-0005-0000-0000-00000C780000}"/>
    <cellStyle name="Note 2 6 3 4" xfId="7961" xr:uid="{00000000-0005-0000-0000-00000D780000}"/>
    <cellStyle name="Note 2 6 3 4 2" xfId="7962" xr:uid="{00000000-0005-0000-0000-00000E780000}"/>
    <cellStyle name="Note 2 6 3 4 2 2" xfId="15749" xr:uid="{00000000-0005-0000-0000-00000F780000}"/>
    <cellStyle name="Note 2 6 3 4 2 3" xfId="32223" xr:uid="{00000000-0005-0000-0000-000010780000}"/>
    <cellStyle name="Note 2 6 3 4 3" xfId="13805" xr:uid="{00000000-0005-0000-0000-000011780000}"/>
    <cellStyle name="Note 2 6 3 4 3 2" xfId="27354" xr:uid="{00000000-0005-0000-0000-000012780000}"/>
    <cellStyle name="Note 2 6 3 4 4" xfId="32222" xr:uid="{00000000-0005-0000-0000-000013780000}"/>
    <cellStyle name="Note 2 6 3 5" xfId="7963" xr:uid="{00000000-0005-0000-0000-000014780000}"/>
    <cellStyle name="Note 2 6 3 5 2" xfId="14386" xr:uid="{00000000-0005-0000-0000-000015780000}"/>
    <cellStyle name="Note 2 6 3 5 2 2" xfId="27935" xr:uid="{00000000-0005-0000-0000-000016780000}"/>
    <cellStyle name="Note 2 6 3 5 3" xfId="32224" xr:uid="{00000000-0005-0000-0000-000017780000}"/>
    <cellStyle name="Note 2 6 3 6" xfId="7964" xr:uid="{00000000-0005-0000-0000-000018780000}"/>
    <cellStyle name="Note 2 6 3 6 2" xfId="16272" xr:uid="{00000000-0005-0000-0000-000019780000}"/>
    <cellStyle name="Note 2 6 3 6 2 2" xfId="29679" xr:uid="{00000000-0005-0000-0000-00001A780000}"/>
    <cellStyle name="Note 2 6 3 6 3" xfId="32225" xr:uid="{00000000-0005-0000-0000-00001B780000}"/>
    <cellStyle name="Note 2 6 3 7" xfId="10297" xr:uid="{00000000-0005-0000-0000-00001C780000}"/>
    <cellStyle name="Note 2 6 3 8" xfId="32216" xr:uid="{00000000-0005-0000-0000-00001D780000}"/>
    <cellStyle name="Note 2 6 4" xfId="7965" xr:uid="{00000000-0005-0000-0000-00001E780000}"/>
    <cellStyle name="Note 2 6 4 2" xfId="7966" xr:uid="{00000000-0005-0000-0000-00001F780000}"/>
    <cellStyle name="Note 2 6 4 2 2" xfId="11636" xr:uid="{00000000-0005-0000-0000-000020780000}"/>
    <cellStyle name="Note 2 6 4 2 3" xfId="32227" xr:uid="{00000000-0005-0000-0000-000021780000}"/>
    <cellStyle name="Note 2 6 4 3" xfId="7967" xr:uid="{00000000-0005-0000-0000-000022780000}"/>
    <cellStyle name="Note 2 6 4 3 2" xfId="16564" xr:uid="{00000000-0005-0000-0000-000023780000}"/>
    <cellStyle name="Note 2 6 4 3 2 2" xfId="29971" xr:uid="{00000000-0005-0000-0000-000024780000}"/>
    <cellStyle name="Note 2 6 4 3 3" xfId="32228" xr:uid="{00000000-0005-0000-0000-000025780000}"/>
    <cellStyle name="Note 2 6 4 4" xfId="10299" xr:uid="{00000000-0005-0000-0000-000026780000}"/>
    <cellStyle name="Note 2 6 4 5" xfId="32226" xr:uid="{00000000-0005-0000-0000-000027780000}"/>
    <cellStyle name="Note 2 6 5" xfId="7968" xr:uid="{00000000-0005-0000-0000-000028780000}"/>
    <cellStyle name="Note 2 6 5 2" xfId="7969" xr:uid="{00000000-0005-0000-0000-000029780000}"/>
    <cellStyle name="Note 2 6 5 2 2" xfId="13315" xr:uid="{00000000-0005-0000-0000-00002A780000}"/>
    <cellStyle name="Note 2 6 5 2 3" xfId="32230" xr:uid="{00000000-0005-0000-0000-00002B780000}"/>
    <cellStyle name="Note 2 6 5 3" xfId="11939" xr:uid="{00000000-0005-0000-0000-00002C780000}"/>
    <cellStyle name="Note 2 6 5 3 2" xfId="25654" xr:uid="{00000000-0005-0000-0000-00002D780000}"/>
    <cellStyle name="Note 2 6 5 4" xfId="32229" xr:uid="{00000000-0005-0000-0000-00002E780000}"/>
    <cellStyle name="Note 2 6 6" xfId="7970" xr:uid="{00000000-0005-0000-0000-00002F780000}"/>
    <cellStyle name="Note 2 6 6 2" xfId="7971" xr:uid="{00000000-0005-0000-0000-000030780000}"/>
    <cellStyle name="Note 2 6 6 2 2" xfId="15750" xr:uid="{00000000-0005-0000-0000-000031780000}"/>
    <cellStyle name="Note 2 6 6 2 3" xfId="32232" xr:uid="{00000000-0005-0000-0000-000032780000}"/>
    <cellStyle name="Note 2 6 6 3" xfId="13516" xr:uid="{00000000-0005-0000-0000-000033780000}"/>
    <cellStyle name="Note 2 6 6 3 2" xfId="27065" xr:uid="{00000000-0005-0000-0000-000034780000}"/>
    <cellStyle name="Note 2 6 6 4" xfId="32231" xr:uid="{00000000-0005-0000-0000-000035780000}"/>
    <cellStyle name="Note 2 6 7" xfId="7972" xr:uid="{00000000-0005-0000-0000-000036780000}"/>
    <cellStyle name="Note 2 6 7 2" xfId="14097" xr:uid="{00000000-0005-0000-0000-000037780000}"/>
    <cellStyle name="Note 2 6 7 2 2" xfId="27646" xr:uid="{00000000-0005-0000-0000-000038780000}"/>
    <cellStyle name="Note 2 6 7 3" xfId="32233" xr:uid="{00000000-0005-0000-0000-000039780000}"/>
    <cellStyle name="Note 2 6 8" xfId="7973" xr:uid="{00000000-0005-0000-0000-00003A780000}"/>
    <cellStyle name="Note 2 6 8 2" xfId="15983" xr:uid="{00000000-0005-0000-0000-00003B780000}"/>
    <cellStyle name="Note 2 6 8 2 2" xfId="29390" xr:uid="{00000000-0005-0000-0000-00003C780000}"/>
    <cellStyle name="Note 2 6 8 3" xfId="32234" xr:uid="{00000000-0005-0000-0000-00003D780000}"/>
    <cellStyle name="Note 2 6 9" xfId="10292" xr:uid="{00000000-0005-0000-0000-00003E780000}"/>
    <cellStyle name="Note 2 7" xfId="7974" xr:uid="{00000000-0005-0000-0000-00003F780000}"/>
    <cellStyle name="Note 2 7 2" xfId="7975" xr:uid="{00000000-0005-0000-0000-000040780000}"/>
    <cellStyle name="Note 2 7 2 2" xfId="7976" xr:uid="{00000000-0005-0000-0000-000041780000}"/>
    <cellStyle name="Note 2 7 2 2 2" xfId="7977" xr:uid="{00000000-0005-0000-0000-000042780000}"/>
    <cellStyle name="Note 2 7 2 2 2 2" xfId="11637" xr:uid="{00000000-0005-0000-0000-000043780000}"/>
    <cellStyle name="Note 2 7 2 2 2 3" xfId="32238" xr:uid="{00000000-0005-0000-0000-000044780000}"/>
    <cellStyle name="Note 2 7 2 2 3" xfId="7978" xr:uid="{00000000-0005-0000-0000-000045780000}"/>
    <cellStyle name="Note 2 7 2 2 3 2" xfId="16873" xr:uid="{00000000-0005-0000-0000-000046780000}"/>
    <cellStyle name="Note 2 7 2 2 3 2 2" xfId="30280" xr:uid="{00000000-0005-0000-0000-000047780000}"/>
    <cellStyle name="Note 2 7 2 2 3 3" xfId="32239" xr:uid="{00000000-0005-0000-0000-000048780000}"/>
    <cellStyle name="Note 2 7 2 2 4" xfId="10302" xr:uid="{00000000-0005-0000-0000-000049780000}"/>
    <cellStyle name="Note 2 7 2 2 5" xfId="32237" xr:uid="{00000000-0005-0000-0000-00004A780000}"/>
    <cellStyle name="Note 2 7 2 3" xfId="7979" xr:uid="{00000000-0005-0000-0000-00004B780000}"/>
    <cellStyle name="Note 2 7 2 3 2" xfId="7980" xr:uid="{00000000-0005-0000-0000-00004C780000}"/>
    <cellStyle name="Note 2 7 2 3 2 2" xfId="13316" xr:uid="{00000000-0005-0000-0000-00004D780000}"/>
    <cellStyle name="Note 2 7 2 3 2 3" xfId="32241" xr:uid="{00000000-0005-0000-0000-00004E780000}"/>
    <cellStyle name="Note 2 7 2 3 3" xfId="12261" xr:uid="{00000000-0005-0000-0000-00004F780000}"/>
    <cellStyle name="Note 2 7 2 3 3 2" xfId="25973" xr:uid="{00000000-0005-0000-0000-000050780000}"/>
    <cellStyle name="Note 2 7 2 3 4" xfId="32240" xr:uid="{00000000-0005-0000-0000-000051780000}"/>
    <cellStyle name="Note 2 7 2 4" xfId="7981" xr:uid="{00000000-0005-0000-0000-000052780000}"/>
    <cellStyle name="Note 2 7 2 4 2" xfId="7982" xr:uid="{00000000-0005-0000-0000-000053780000}"/>
    <cellStyle name="Note 2 7 2 4 2 2" xfId="15751" xr:uid="{00000000-0005-0000-0000-000054780000}"/>
    <cellStyle name="Note 2 7 2 4 2 3" xfId="32243" xr:uid="{00000000-0005-0000-0000-000055780000}"/>
    <cellStyle name="Note 2 7 2 4 3" xfId="13825" xr:uid="{00000000-0005-0000-0000-000056780000}"/>
    <cellStyle name="Note 2 7 2 4 3 2" xfId="27374" xr:uid="{00000000-0005-0000-0000-000057780000}"/>
    <cellStyle name="Note 2 7 2 4 4" xfId="32242" xr:uid="{00000000-0005-0000-0000-000058780000}"/>
    <cellStyle name="Note 2 7 2 5" xfId="7983" xr:uid="{00000000-0005-0000-0000-000059780000}"/>
    <cellStyle name="Note 2 7 2 5 2" xfId="14406" xr:uid="{00000000-0005-0000-0000-00005A780000}"/>
    <cellStyle name="Note 2 7 2 5 2 2" xfId="27955" xr:uid="{00000000-0005-0000-0000-00005B780000}"/>
    <cellStyle name="Note 2 7 2 5 3" xfId="32244" xr:uid="{00000000-0005-0000-0000-00005C780000}"/>
    <cellStyle name="Note 2 7 2 6" xfId="7984" xr:uid="{00000000-0005-0000-0000-00005D780000}"/>
    <cellStyle name="Note 2 7 2 6 2" xfId="16292" xr:uid="{00000000-0005-0000-0000-00005E780000}"/>
    <cellStyle name="Note 2 7 2 6 2 2" xfId="29699" xr:uid="{00000000-0005-0000-0000-00005F780000}"/>
    <cellStyle name="Note 2 7 2 6 3" xfId="32245" xr:uid="{00000000-0005-0000-0000-000060780000}"/>
    <cellStyle name="Note 2 7 2 7" xfId="10301" xr:uid="{00000000-0005-0000-0000-000061780000}"/>
    <cellStyle name="Note 2 7 2 8" xfId="32236" xr:uid="{00000000-0005-0000-0000-000062780000}"/>
    <cellStyle name="Note 2 7 3" xfId="7985" xr:uid="{00000000-0005-0000-0000-000063780000}"/>
    <cellStyle name="Note 2 7 3 2" xfId="7986" xr:uid="{00000000-0005-0000-0000-000064780000}"/>
    <cellStyle name="Note 2 7 3 2 2" xfId="11638" xr:uid="{00000000-0005-0000-0000-000065780000}"/>
    <cellStyle name="Note 2 7 3 2 3" xfId="32247" xr:uid="{00000000-0005-0000-0000-000066780000}"/>
    <cellStyle name="Note 2 7 3 3" xfId="7987" xr:uid="{00000000-0005-0000-0000-000067780000}"/>
    <cellStyle name="Note 2 7 3 3 2" xfId="16584" xr:uid="{00000000-0005-0000-0000-000068780000}"/>
    <cellStyle name="Note 2 7 3 3 2 2" xfId="29991" xr:uid="{00000000-0005-0000-0000-000069780000}"/>
    <cellStyle name="Note 2 7 3 3 3" xfId="32248" xr:uid="{00000000-0005-0000-0000-00006A780000}"/>
    <cellStyle name="Note 2 7 3 4" xfId="10303" xr:uid="{00000000-0005-0000-0000-00006B780000}"/>
    <cellStyle name="Note 2 7 3 5" xfId="32246" xr:uid="{00000000-0005-0000-0000-00006C780000}"/>
    <cellStyle name="Note 2 7 4" xfId="7988" xr:uid="{00000000-0005-0000-0000-00006D780000}"/>
    <cellStyle name="Note 2 7 4 2" xfId="7989" xr:uid="{00000000-0005-0000-0000-00006E780000}"/>
    <cellStyle name="Note 2 7 4 2 2" xfId="13317" xr:uid="{00000000-0005-0000-0000-00006F780000}"/>
    <cellStyle name="Note 2 7 4 2 3" xfId="32250" xr:uid="{00000000-0005-0000-0000-000070780000}"/>
    <cellStyle name="Note 2 7 4 3" xfId="11961" xr:uid="{00000000-0005-0000-0000-000071780000}"/>
    <cellStyle name="Note 2 7 4 3 2" xfId="25676" xr:uid="{00000000-0005-0000-0000-000072780000}"/>
    <cellStyle name="Note 2 7 4 4" xfId="32249" xr:uid="{00000000-0005-0000-0000-000073780000}"/>
    <cellStyle name="Note 2 7 5" xfId="7990" xr:uid="{00000000-0005-0000-0000-000074780000}"/>
    <cellStyle name="Note 2 7 5 2" xfId="7991" xr:uid="{00000000-0005-0000-0000-000075780000}"/>
    <cellStyle name="Note 2 7 5 2 2" xfId="15752" xr:uid="{00000000-0005-0000-0000-000076780000}"/>
    <cellStyle name="Note 2 7 5 2 3" xfId="32252" xr:uid="{00000000-0005-0000-0000-000077780000}"/>
    <cellStyle name="Note 2 7 5 3" xfId="13536" xr:uid="{00000000-0005-0000-0000-000078780000}"/>
    <cellStyle name="Note 2 7 5 3 2" xfId="27085" xr:uid="{00000000-0005-0000-0000-000079780000}"/>
    <cellStyle name="Note 2 7 5 4" xfId="32251" xr:uid="{00000000-0005-0000-0000-00007A780000}"/>
    <cellStyle name="Note 2 7 6" xfId="7992" xr:uid="{00000000-0005-0000-0000-00007B780000}"/>
    <cellStyle name="Note 2 7 6 2" xfId="14117" xr:uid="{00000000-0005-0000-0000-00007C780000}"/>
    <cellStyle name="Note 2 7 6 2 2" xfId="27666" xr:uid="{00000000-0005-0000-0000-00007D780000}"/>
    <cellStyle name="Note 2 7 6 3" xfId="32253" xr:uid="{00000000-0005-0000-0000-00007E780000}"/>
    <cellStyle name="Note 2 7 7" xfId="7993" xr:uid="{00000000-0005-0000-0000-00007F780000}"/>
    <cellStyle name="Note 2 7 7 2" xfId="16003" xr:uid="{00000000-0005-0000-0000-000080780000}"/>
    <cellStyle name="Note 2 7 7 2 2" xfId="29410" xr:uid="{00000000-0005-0000-0000-000081780000}"/>
    <cellStyle name="Note 2 7 7 3" xfId="32254" xr:uid="{00000000-0005-0000-0000-000082780000}"/>
    <cellStyle name="Note 2 7 8" xfId="10300" xr:uid="{00000000-0005-0000-0000-000083780000}"/>
    <cellStyle name="Note 2 7 9" xfId="32235" xr:uid="{00000000-0005-0000-0000-000084780000}"/>
    <cellStyle name="Note 2 8" xfId="7994" xr:uid="{00000000-0005-0000-0000-000085780000}"/>
    <cellStyle name="Note 2 8 2" xfId="7995" xr:uid="{00000000-0005-0000-0000-000086780000}"/>
    <cellStyle name="Note 2 8 2 2" xfId="7996" xr:uid="{00000000-0005-0000-0000-000087780000}"/>
    <cellStyle name="Note 2 8 2 2 2" xfId="11639" xr:uid="{00000000-0005-0000-0000-000088780000}"/>
    <cellStyle name="Note 2 8 2 2 3" xfId="32257" xr:uid="{00000000-0005-0000-0000-000089780000}"/>
    <cellStyle name="Note 2 8 2 3" xfId="7997" xr:uid="{00000000-0005-0000-0000-00008A780000}"/>
    <cellStyle name="Note 2 8 2 3 2" xfId="16729" xr:uid="{00000000-0005-0000-0000-00008B780000}"/>
    <cellStyle name="Note 2 8 2 3 2 2" xfId="30136" xr:uid="{00000000-0005-0000-0000-00008C780000}"/>
    <cellStyle name="Note 2 8 2 3 3" xfId="32258" xr:uid="{00000000-0005-0000-0000-00008D780000}"/>
    <cellStyle name="Note 2 8 2 4" xfId="10305" xr:uid="{00000000-0005-0000-0000-00008E780000}"/>
    <cellStyle name="Note 2 8 2 5" xfId="32256" xr:uid="{00000000-0005-0000-0000-00008F780000}"/>
    <cellStyle name="Note 2 8 3" xfId="7998" xr:uid="{00000000-0005-0000-0000-000090780000}"/>
    <cellStyle name="Note 2 8 3 2" xfId="7999" xr:uid="{00000000-0005-0000-0000-000091780000}"/>
    <cellStyle name="Note 2 8 3 2 2" xfId="13318" xr:uid="{00000000-0005-0000-0000-000092780000}"/>
    <cellStyle name="Note 2 8 3 2 3" xfId="32260" xr:uid="{00000000-0005-0000-0000-000093780000}"/>
    <cellStyle name="Note 2 8 3 3" xfId="12117" xr:uid="{00000000-0005-0000-0000-000094780000}"/>
    <cellStyle name="Note 2 8 3 3 2" xfId="25829" xr:uid="{00000000-0005-0000-0000-000095780000}"/>
    <cellStyle name="Note 2 8 3 4" xfId="32259" xr:uid="{00000000-0005-0000-0000-000096780000}"/>
    <cellStyle name="Note 2 8 4" xfId="8000" xr:uid="{00000000-0005-0000-0000-000097780000}"/>
    <cellStyle name="Note 2 8 4 2" xfId="8001" xr:uid="{00000000-0005-0000-0000-000098780000}"/>
    <cellStyle name="Note 2 8 4 2 2" xfId="15753" xr:uid="{00000000-0005-0000-0000-000099780000}"/>
    <cellStyle name="Note 2 8 4 2 3" xfId="32262" xr:uid="{00000000-0005-0000-0000-00009A780000}"/>
    <cellStyle name="Note 2 8 4 3" xfId="13681" xr:uid="{00000000-0005-0000-0000-00009B780000}"/>
    <cellStyle name="Note 2 8 4 3 2" xfId="27230" xr:uid="{00000000-0005-0000-0000-00009C780000}"/>
    <cellStyle name="Note 2 8 4 4" xfId="32261" xr:uid="{00000000-0005-0000-0000-00009D780000}"/>
    <cellStyle name="Note 2 8 5" xfId="8002" xr:uid="{00000000-0005-0000-0000-00009E780000}"/>
    <cellStyle name="Note 2 8 5 2" xfId="14262" xr:uid="{00000000-0005-0000-0000-00009F780000}"/>
    <cellStyle name="Note 2 8 5 2 2" xfId="27811" xr:uid="{00000000-0005-0000-0000-0000A0780000}"/>
    <cellStyle name="Note 2 8 5 3" xfId="32263" xr:uid="{00000000-0005-0000-0000-0000A1780000}"/>
    <cellStyle name="Note 2 8 6" xfId="8003" xr:uid="{00000000-0005-0000-0000-0000A2780000}"/>
    <cellStyle name="Note 2 8 6 2" xfId="16148" xr:uid="{00000000-0005-0000-0000-0000A3780000}"/>
    <cellStyle name="Note 2 8 6 2 2" xfId="29555" xr:uid="{00000000-0005-0000-0000-0000A4780000}"/>
    <cellStyle name="Note 2 8 6 3" xfId="32264" xr:uid="{00000000-0005-0000-0000-0000A5780000}"/>
    <cellStyle name="Note 2 8 7" xfId="10304" xr:uid="{00000000-0005-0000-0000-0000A6780000}"/>
    <cellStyle name="Note 2 8 8" xfId="32255" xr:uid="{00000000-0005-0000-0000-0000A7780000}"/>
    <cellStyle name="Note 2 9" xfId="8004" xr:uid="{00000000-0005-0000-0000-0000A8780000}"/>
    <cellStyle name="Note 2 9 2" xfId="8005" xr:uid="{00000000-0005-0000-0000-0000A9780000}"/>
    <cellStyle name="Note 2 9 2 2" xfId="13319" xr:uid="{00000000-0005-0000-0000-0000AA780000}"/>
    <cellStyle name="Note 2 9 2 3" xfId="32266" xr:uid="{00000000-0005-0000-0000-0000AB780000}"/>
    <cellStyle name="Note 2 9 3" xfId="8006" xr:uid="{00000000-0005-0000-0000-0000AC780000}"/>
    <cellStyle name="Note 2 9 3 2" xfId="17052" xr:uid="{00000000-0005-0000-0000-0000AD780000}"/>
    <cellStyle name="Note 2 9 3 2 2" xfId="30451" xr:uid="{00000000-0005-0000-0000-0000AE780000}"/>
    <cellStyle name="Note 2 9 3 3" xfId="32267" xr:uid="{00000000-0005-0000-0000-0000AF780000}"/>
    <cellStyle name="Note 2 9 4" xfId="10306" xr:uid="{00000000-0005-0000-0000-0000B0780000}"/>
    <cellStyle name="Note 2 9 5" xfId="32265" xr:uid="{00000000-0005-0000-0000-0000B1780000}"/>
    <cellStyle name="Note 3" xfId="8007" xr:uid="{00000000-0005-0000-0000-0000B2780000}"/>
    <cellStyle name="Note 3 10" xfId="10307" xr:uid="{00000000-0005-0000-0000-0000B3780000}"/>
    <cellStyle name="Note 3 11" xfId="32268" xr:uid="{00000000-0005-0000-0000-0000B4780000}"/>
    <cellStyle name="Note 3 2" xfId="8008" xr:uid="{00000000-0005-0000-0000-0000B5780000}"/>
    <cellStyle name="Note 3 2 10" xfId="32269" xr:uid="{00000000-0005-0000-0000-0000B6780000}"/>
    <cellStyle name="Note 3 2 2" xfId="8009" xr:uid="{00000000-0005-0000-0000-0000B7780000}"/>
    <cellStyle name="Note 3 2 2 2" xfId="8010" xr:uid="{00000000-0005-0000-0000-0000B8780000}"/>
    <cellStyle name="Note 3 2 2 2 2" xfId="8011" xr:uid="{00000000-0005-0000-0000-0000B9780000}"/>
    <cellStyle name="Note 3 2 2 2 2 2" xfId="8012" xr:uid="{00000000-0005-0000-0000-0000BA780000}"/>
    <cellStyle name="Note 3 2 2 2 2 2 2" xfId="11640" xr:uid="{00000000-0005-0000-0000-0000BB780000}"/>
    <cellStyle name="Note 3 2 2 2 2 2 3" xfId="32273" xr:uid="{00000000-0005-0000-0000-0000BC780000}"/>
    <cellStyle name="Note 3 2 2 2 2 3" xfId="8013" xr:uid="{00000000-0005-0000-0000-0000BD780000}"/>
    <cellStyle name="Note 3 2 2 2 2 3 2" xfId="16960" xr:uid="{00000000-0005-0000-0000-0000BE780000}"/>
    <cellStyle name="Note 3 2 2 2 2 3 2 2" xfId="30367" xr:uid="{00000000-0005-0000-0000-0000BF780000}"/>
    <cellStyle name="Note 3 2 2 2 2 3 3" xfId="32274" xr:uid="{00000000-0005-0000-0000-0000C0780000}"/>
    <cellStyle name="Note 3 2 2 2 2 4" xfId="10311" xr:uid="{00000000-0005-0000-0000-0000C1780000}"/>
    <cellStyle name="Note 3 2 2 2 2 5" xfId="32272" xr:uid="{00000000-0005-0000-0000-0000C2780000}"/>
    <cellStyle name="Note 3 2 2 2 3" xfId="8014" xr:uid="{00000000-0005-0000-0000-0000C3780000}"/>
    <cellStyle name="Note 3 2 2 2 3 2" xfId="8015" xr:uid="{00000000-0005-0000-0000-0000C4780000}"/>
    <cellStyle name="Note 3 2 2 2 3 2 2" xfId="13320" xr:uid="{00000000-0005-0000-0000-0000C5780000}"/>
    <cellStyle name="Note 3 2 2 2 3 2 3" xfId="32276" xr:uid="{00000000-0005-0000-0000-0000C6780000}"/>
    <cellStyle name="Note 3 2 2 2 3 3" xfId="12348" xr:uid="{00000000-0005-0000-0000-0000C7780000}"/>
    <cellStyle name="Note 3 2 2 2 3 3 2" xfId="26060" xr:uid="{00000000-0005-0000-0000-0000C8780000}"/>
    <cellStyle name="Note 3 2 2 2 3 4" xfId="32275" xr:uid="{00000000-0005-0000-0000-0000C9780000}"/>
    <cellStyle name="Note 3 2 2 2 4" xfId="8016" xr:uid="{00000000-0005-0000-0000-0000CA780000}"/>
    <cellStyle name="Note 3 2 2 2 4 2" xfId="8017" xr:uid="{00000000-0005-0000-0000-0000CB780000}"/>
    <cellStyle name="Note 3 2 2 2 4 2 2" xfId="15754" xr:uid="{00000000-0005-0000-0000-0000CC780000}"/>
    <cellStyle name="Note 3 2 2 2 4 2 3" xfId="32278" xr:uid="{00000000-0005-0000-0000-0000CD780000}"/>
    <cellStyle name="Note 3 2 2 2 4 3" xfId="13912" xr:uid="{00000000-0005-0000-0000-0000CE780000}"/>
    <cellStyle name="Note 3 2 2 2 4 3 2" xfId="27461" xr:uid="{00000000-0005-0000-0000-0000CF780000}"/>
    <cellStyle name="Note 3 2 2 2 4 4" xfId="32277" xr:uid="{00000000-0005-0000-0000-0000D0780000}"/>
    <cellStyle name="Note 3 2 2 2 5" xfId="8018" xr:uid="{00000000-0005-0000-0000-0000D1780000}"/>
    <cellStyle name="Note 3 2 2 2 5 2" xfId="14493" xr:uid="{00000000-0005-0000-0000-0000D2780000}"/>
    <cellStyle name="Note 3 2 2 2 5 2 2" xfId="28042" xr:uid="{00000000-0005-0000-0000-0000D3780000}"/>
    <cellStyle name="Note 3 2 2 2 5 3" xfId="32279" xr:uid="{00000000-0005-0000-0000-0000D4780000}"/>
    <cellStyle name="Note 3 2 2 2 6" xfId="8019" xr:uid="{00000000-0005-0000-0000-0000D5780000}"/>
    <cellStyle name="Note 3 2 2 2 6 2" xfId="16379" xr:uid="{00000000-0005-0000-0000-0000D6780000}"/>
    <cellStyle name="Note 3 2 2 2 6 2 2" xfId="29786" xr:uid="{00000000-0005-0000-0000-0000D7780000}"/>
    <cellStyle name="Note 3 2 2 2 6 3" xfId="32280" xr:uid="{00000000-0005-0000-0000-0000D8780000}"/>
    <cellStyle name="Note 3 2 2 2 7" xfId="10310" xr:uid="{00000000-0005-0000-0000-0000D9780000}"/>
    <cellStyle name="Note 3 2 2 2 8" xfId="32271" xr:uid="{00000000-0005-0000-0000-0000DA780000}"/>
    <cellStyle name="Note 3 2 2 3" xfId="8020" xr:uid="{00000000-0005-0000-0000-0000DB780000}"/>
    <cellStyle name="Note 3 2 2 3 2" xfId="8021" xr:uid="{00000000-0005-0000-0000-0000DC780000}"/>
    <cellStyle name="Note 3 2 2 3 2 2" xfId="11641" xr:uid="{00000000-0005-0000-0000-0000DD780000}"/>
    <cellStyle name="Note 3 2 2 3 2 3" xfId="32282" xr:uid="{00000000-0005-0000-0000-0000DE780000}"/>
    <cellStyle name="Note 3 2 2 3 3" xfId="8022" xr:uid="{00000000-0005-0000-0000-0000DF780000}"/>
    <cellStyle name="Note 3 2 2 3 3 2" xfId="16671" xr:uid="{00000000-0005-0000-0000-0000E0780000}"/>
    <cellStyle name="Note 3 2 2 3 3 2 2" xfId="30078" xr:uid="{00000000-0005-0000-0000-0000E1780000}"/>
    <cellStyle name="Note 3 2 2 3 3 3" xfId="32283" xr:uid="{00000000-0005-0000-0000-0000E2780000}"/>
    <cellStyle name="Note 3 2 2 3 4" xfId="10312" xr:uid="{00000000-0005-0000-0000-0000E3780000}"/>
    <cellStyle name="Note 3 2 2 3 5" xfId="32281" xr:uid="{00000000-0005-0000-0000-0000E4780000}"/>
    <cellStyle name="Note 3 2 2 4" xfId="8023" xr:uid="{00000000-0005-0000-0000-0000E5780000}"/>
    <cellStyle name="Note 3 2 2 4 2" xfId="8024" xr:uid="{00000000-0005-0000-0000-0000E6780000}"/>
    <cellStyle name="Note 3 2 2 4 2 2" xfId="13321" xr:uid="{00000000-0005-0000-0000-0000E7780000}"/>
    <cellStyle name="Note 3 2 2 4 2 3" xfId="32285" xr:uid="{00000000-0005-0000-0000-0000E8780000}"/>
    <cellStyle name="Note 3 2 2 4 3" xfId="12048" xr:uid="{00000000-0005-0000-0000-0000E9780000}"/>
    <cellStyle name="Note 3 2 2 4 3 2" xfId="25763" xr:uid="{00000000-0005-0000-0000-0000EA780000}"/>
    <cellStyle name="Note 3 2 2 4 4" xfId="32284" xr:uid="{00000000-0005-0000-0000-0000EB780000}"/>
    <cellStyle name="Note 3 2 2 5" xfId="8025" xr:uid="{00000000-0005-0000-0000-0000EC780000}"/>
    <cellStyle name="Note 3 2 2 5 2" xfId="8026" xr:uid="{00000000-0005-0000-0000-0000ED780000}"/>
    <cellStyle name="Note 3 2 2 5 2 2" xfId="15755" xr:uid="{00000000-0005-0000-0000-0000EE780000}"/>
    <cellStyle name="Note 3 2 2 5 2 3" xfId="32287" xr:uid="{00000000-0005-0000-0000-0000EF780000}"/>
    <cellStyle name="Note 3 2 2 5 3" xfId="13623" xr:uid="{00000000-0005-0000-0000-0000F0780000}"/>
    <cellStyle name="Note 3 2 2 5 3 2" xfId="27172" xr:uid="{00000000-0005-0000-0000-0000F1780000}"/>
    <cellStyle name="Note 3 2 2 5 4" xfId="32286" xr:uid="{00000000-0005-0000-0000-0000F2780000}"/>
    <cellStyle name="Note 3 2 2 6" xfId="8027" xr:uid="{00000000-0005-0000-0000-0000F3780000}"/>
    <cellStyle name="Note 3 2 2 6 2" xfId="14204" xr:uid="{00000000-0005-0000-0000-0000F4780000}"/>
    <cellStyle name="Note 3 2 2 6 2 2" xfId="27753" xr:uid="{00000000-0005-0000-0000-0000F5780000}"/>
    <cellStyle name="Note 3 2 2 6 3" xfId="32288" xr:uid="{00000000-0005-0000-0000-0000F6780000}"/>
    <cellStyle name="Note 3 2 2 7" xfId="8028" xr:uid="{00000000-0005-0000-0000-0000F7780000}"/>
    <cellStyle name="Note 3 2 2 7 2" xfId="16090" xr:uid="{00000000-0005-0000-0000-0000F8780000}"/>
    <cellStyle name="Note 3 2 2 7 2 2" xfId="29497" xr:uid="{00000000-0005-0000-0000-0000F9780000}"/>
    <cellStyle name="Note 3 2 2 7 3" xfId="32289" xr:uid="{00000000-0005-0000-0000-0000FA780000}"/>
    <cellStyle name="Note 3 2 2 8" xfId="10309" xr:uid="{00000000-0005-0000-0000-0000FB780000}"/>
    <cellStyle name="Note 3 2 2 9" xfId="32270" xr:uid="{00000000-0005-0000-0000-0000FC780000}"/>
    <cellStyle name="Note 3 2 3" xfId="8029" xr:uid="{00000000-0005-0000-0000-0000FD780000}"/>
    <cellStyle name="Note 3 2 3 2" xfId="8030" xr:uid="{00000000-0005-0000-0000-0000FE780000}"/>
    <cellStyle name="Note 3 2 3 2 2" xfId="8031" xr:uid="{00000000-0005-0000-0000-0000FF780000}"/>
    <cellStyle name="Note 3 2 3 2 2 2" xfId="11642" xr:uid="{00000000-0005-0000-0000-000000790000}"/>
    <cellStyle name="Note 3 2 3 2 2 3" xfId="32292" xr:uid="{00000000-0005-0000-0000-000001790000}"/>
    <cellStyle name="Note 3 2 3 2 3" xfId="8032" xr:uid="{00000000-0005-0000-0000-000002790000}"/>
    <cellStyle name="Note 3 2 3 2 3 2" xfId="16817" xr:uid="{00000000-0005-0000-0000-000003790000}"/>
    <cellStyle name="Note 3 2 3 2 3 2 2" xfId="30224" xr:uid="{00000000-0005-0000-0000-000004790000}"/>
    <cellStyle name="Note 3 2 3 2 3 3" xfId="32293" xr:uid="{00000000-0005-0000-0000-000005790000}"/>
    <cellStyle name="Note 3 2 3 2 4" xfId="10314" xr:uid="{00000000-0005-0000-0000-000006790000}"/>
    <cellStyle name="Note 3 2 3 2 5" xfId="32291" xr:uid="{00000000-0005-0000-0000-000007790000}"/>
    <cellStyle name="Note 3 2 3 3" xfId="8033" xr:uid="{00000000-0005-0000-0000-000008790000}"/>
    <cellStyle name="Note 3 2 3 3 2" xfId="8034" xr:uid="{00000000-0005-0000-0000-000009790000}"/>
    <cellStyle name="Note 3 2 3 3 2 2" xfId="13322" xr:uid="{00000000-0005-0000-0000-00000A790000}"/>
    <cellStyle name="Note 3 2 3 3 2 3" xfId="32295" xr:uid="{00000000-0005-0000-0000-00000B790000}"/>
    <cellStyle name="Note 3 2 3 3 3" xfId="12205" xr:uid="{00000000-0005-0000-0000-00000C790000}"/>
    <cellStyle name="Note 3 2 3 3 3 2" xfId="25917" xr:uid="{00000000-0005-0000-0000-00000D790000}"/>
    <cellStyle name="Note 3 2 3 3 4" xfId="32294" xr:uid="{00000000-0005-0000-0000-00000E790000}"/>
    <cellStyle name="Note 3 2 3 4" xfId="8035" xr:uid="{00000000-0005-0000-0000-00000F790000}"/>
    <cellStyle name="Note 3 2 3 4 2" xfId="8036" xr:uid="{00000000-0005-0000-0000-000010790000}"/>
    <cellStyle name="Note 3 2 3 4 2 2" xfId="15756" xr:uid="{00000000-0005-0000-0000-000011790000}"/>
    <cellStyle name="Note 3 2 3 4 2 3" xfId="32297" xr:uid="{00000000-0005-0000-0000-000012790000}"/>
    <cellStyle name="Note 3 2 3 4 3" xfId="13769" xr:uid="{00000000-0005-0000-0000-000013790000}"/>
    <cellStyle name="Note 3 2 3 4 3 2" xfId="27318" xr:uid="{00000000-0005-0000-0000-000014790000}"/>
    <cellStyle name="Note 3 2 3 4 4" xfId="32296" xr:uid="{00000000-0005-0000-0000-000015790000}"/>
    <cellStyle name="Note 3 2 3 5" xfId="8037" xr:uid="{00000000-0005-0000-0000-000016790000}"/>
    <cellStyle name="Note 3 2 3 5 2" xfId="14350" xr:uid="{00000000-0005-0000-0000-000017790000}"/>
    <cellStyle name="Note 3 2 3 5 2 2" xfId="27899" xr:uid="{00000000-0005-0000-0000-000018790000}"/>
    <cellStyle name="Note 3 2 3 5 3" xfId="32298" xr:uid="{00000000-0005-0000-0000-000019790000}"/>
    <cellStyle name="Note 3 2 3 6" xfId="8038" xr:uid="{00000000-0005-0000-0000-00001A790000}"/>
    <cellStyle name="Note 3 2 3 6 2" xfId="16236" xr:uid="{00000000-0005-0000-0000-00001B790000}"/>
    <cellStyle name="Note 3 2 3 6 2 2" xfId="29643" xr:uid="{00000000-0005-0000-0000-00001C790000}"/>
    <cellStyle name="Note 3 2 3 6 3" xfId="32299" xr:uid="{00000000-0005-0000-0000-00001D790000}"/>
    <cellStyle name="Note 3 2 3 7" xfId="10313" xr:uid="{00000000-0005-0000-0000-00001E790000}"/>
    <cellStyle name="Note 3 2 3 8" xfId="32290" xr:uid="{00000000-0005-0000-0000-00001F790000}"/>
    <cellStyle name="Note 3 2 4" xfId="8039" xr:uid="{00000000-0005-0000-0000-000020790000}"/>
    <cellStyle name="Note 3 2 4 2" xfId="8040" xr:uid="{00000000-0005-0000-0000-000021790000}"/>
    <cellStyle name="Note 3 2 4 2 2" xfId="11643" xr:uid="{00000000-0005-0000-0000-000022790000}"/>
    <cellStyle name="Note 3 2 4 2 3" xfId="32301" xr:uid="{00000000-0005-0000-0000-000023790000}"/>
    <cellStyle name="Note 3 2 4 3" xfId="8041" xr:uid="{00000000-0005-0000-0000-000024790000}"/>
    <cellStyle name="Note 3 2 4 3 2" xfId="17164" xr:uid="{00000000-0005-0000-0000-000025790000}"/>
    <cellStyle name="Note 3 2 4 3 2 2" xfId="30523" xr:uid="{00000000-0005-0000-0000-000026790000}"/>
    <cellStyle name="Note 3 2 4 3 3" xfId="32302" xr:uid="{00000000-0005-0000-0000-000027790000}"/>
    <cellStyle name="Note 3 2 4 4" xfId="10315" xr:uid="{00000000-0005-0000-0000-000028790000}"/>
    <cellStyle name="Note 3 2 4 5" xfId="32300" xr:uid="{00000000-0005-0000-0000-000029790000}"/>
    <cellStyle name="Note 3 2 5" xfId="8042" xr:uid="{00000000-0005-0000-0000-00002A790000}"/>
    <cellStyle name="Note 3 2 5 2" xfId="8043" xr:uid="{00000000-0005-0000-0000-00002B790000}"/>
    <cellStyle name="Note 3 2 5 2 2" xfId="13323" xr:uid="{00000000-0005-0000-0000-00002C790000}"/>
    <cellStyle name="Note 3 2 5 2 3" xfId="32304" xr:uid="{00000000-0005-0000-0000-00002D790000}"/>
    <cellStyle name="Note 3 2 5 3" xfId="8044" xr:uid="{00000000-0005-0000-0000-00002E790000}"/>
    <cellStyle name="Note 3 2 5 3 2" xfId="17253" xr:uid="{00000000-0005-0000-0000-00002F790000}"/>
    <cellStyle name="Note 3 2 5 3 2 2" xfId="30612" xr:uid="{00000000-0005-0000-0000-000030790000}"/>
    <cellStyle name="Note 3 2 5 3 3" xfId="32305" xr:uid="{00000000-0005-0000-0000-000031790000}"/>
    <cellStyle name="Note 3 2 5 4" xfId="11903" xr:uid="{00000000-0005-0000-0000-000032790000}"/>
    <cellStyle name="Note 3 2 5 4 2" xfId="25618" xr:uid="{00000000-0005-0000-0000-000033790000}"/>
    <cellStyle name="Note 3 2 5 5" xfId="32303" xr:uid="{00000000-0005-0000-0000-000034790000}"/>
    <cellStyle name="Note 3 2 6" xfId="8045" xr:uid="{00000000-0005-0000-0000-000035790000}"/>
    <cellStyle name="Note 3 2 6 2" xfId="8046" xr:uid="{00000000-0005-0000-0000-000036790000}"/>
    <cellStyle name="Note 3 2 6 2 2" xfId="15757" xr:uid="{00000000-0005-0000-0000-000037790000}"/>
    <cellStyle name="Note 3 2 6 2 3" xfId="32307" xr:uid="{00000000-0005-0000-0000-000038790000}"/>
    <cellStyle name="Note 3 2 6 3" xfId="8047" xr:uid="{00000000-0005-0000-0000-000039790000}"/>
    <cellStyle name="Note 3 2 6 3 2" xfId="16528" xr:uid="{00000000-0005-0000-0000-00003A790000}"/>
    <cellStyle name="Note 3 2 6 3 2 2" xfId="29935" xr:uid="{00000000-0005-0000-0000-00003B790000}"/>
    <cellStyle name="Note 3 2 6 3 3" xfId="32308" xr:uid="{00000000-0005-0000-0000-00003C790000}"/>
    <cellStyle name="Note 3 2 6 4" xfId="13480" xr:uid="{00000000-0005-0000-0000-00003D790000}"/>
    <cellStyle name="Note 3 2 6 4 2" xfId="27029" xr:uid="{00000000-0005-0000-0000-00003E790000}"/>
    <cellStyle name="Note 3 2 6 5" xfId="32306" xr:uid="{00000000-0005-0000-0000-00003F790000}"/>
    <cellStyle name="Note 3 2 7" xfId="8048" xr:uid="{00000000-0005-0000-0000-000040790000}"/>
    <cellStyle name="Note 3 2 7 2" xfId="14061" xr:uid="{00000000-0005-0000-0000-000041790000}"/>
    <cellStyle name="Note 3 2 7 2 2" xfId="27610" xr:uid="{00000000-0005-0000-0000-000042790000}"/>
    <cellStyle name="Note 3 2 7 3" xfId="32309" xr:uid="{00000000-0005-0000-0000-000043790000}"/>
    <cellStyle name="Note 3 2 8" xfId="8049" xr:uid="{00000000-0005-0000-0000-000044790000}"/>
    <cellStyle name="Note 3 2 8 2" xfId="15947" xr:uid="{00000000-0005-0000-0000-000045790000}"/>
    <cellStyle name="Note 3 2 8 2 2" xfId="29354" xr:uid="{00000000-0005-0000-0000-000046790000}"/>
    <cellStyle name="Note 3 2 8 3" xfId="32310" xr:uid="{00000000-0005-0000-0000-000047790000}"/>
    <cellStyle name="Note 3 2 9" xfId="10308" xr:uid="{00000000-0005-0000-0000-000048790000}"/>
    <cellStyle name="Note 3 3" xfId="8050" xr:uid="{00000000-0005-0000-0000-000049790000}"/>
    <cellStyle name="Note 3 3 2" xfId="8051" xr:uid="{00000000-0005-0000-0000-00004A790000}"/>
    <cellStyle name="Note 3 3 2 2" xfId="8052" xr:uid="{00000000-0005-0000-0000-00004B790000}"/>
    <cellStyle name="Note 3 3 2 2 2" xfId="8053" xr:uid="{00000000-0005-0000-0000-00004C790000}"/>
    <cellStyle name="Note 3 3 2 2 2 2" xfId="11644" xr:uid="{00000000-0005-0000-0000-00004D790000}"/>
    <cellStyle name="Note 3 3 2 2 2 3" xfId="32314" xr:uid="{00000000-0005-0000-0000-00004E790000}"/>
    <cellStyle name="Note 3 3 2 2 3" xfId="8054" xr:uid="{00000000-0005-0000-0000-00004F790000}"/>
    <cellStyle name="Note 3 3 2 2 3 2" xfId="16914" xr:uid="{00000000-0005-0000-0000-000050790000}"/>
    <cellStyle name="Note 3 3 2 2 3 2 2" xfId="30321" xr:uid="{00000000-0005-0000-0000-000051790000}"/>
    <cellStyle name="Note 3 3 2 2 3 3" xfId="32315" xr:uid="{00000000-0005-0000-0000-000052790000}"/>
    <cellStyle name="Note 3 3 2 2 4" xfId="10318" xr:uid="{00000000-0005-0000-0000-000053790000}"/>
    <cellStyle name="Note 3 3 2 2 5" xfId="32313" xr:uid="{00000000-0005-0000-0000-000054790000}"/>
    <cellStyle name="Note 3 3 2 3" xfId="8055" xr:uid="{00000000-0005-0000-0000-000055790000}"/>
    <cellStyle name="Note 3 3 2 3 2" xfId="8056" xr:uid="{00000000-0005-0000-0000-000056790000}"/>
    <cellStyle name="Note 3 3 2 3 2 2" xfId="13324" xr:uid="{00000000-0005-0000-0000-000057790000}"/>
    <cellStyle name="Note 3 3 2 3 2 3" xfId="32317" xr:uid="{00000000-0005-0000-0000-000058790000}"/>
    <cellStyle name="Note 3 3 2 3 3" xfId="12302" xr:uid="{00000000-0005-0000-0000-000059790000}"/>
    <cellStyle name="Note 3 3 2 3 3 2" xfId="26014" xr:uid="{00000000-0005-0000-0000-00005A790000}"/>
    <cellStyle name="Note 3 3 2 3 4" xfId="32316" xr:uid="{00000000-0005-0000-0000-00005B790000}"/>
    <cellStyle name="Note 3 3 2 4" xfId="8057" xr:uid="{00000000-0005-0000-0000-00005C790000}"/>
    <cellStyle name="Note 3 3 2 4 2" xfId="8058" xr:uid="{00000000-0005-0000-0000-00005D790000}"/>
    <cellStyle name="Note 3 3 2 4 2 2" xfId="15758" xr:uid="{00000000-0005-0000-0000-00005E790000}"/>
    <cellStyle name="Note 3 3 2 4 2 3" xfId="32319" xr:uid="{00000000-0005-0000-0000-00005F790000}"/>
    <cellStyle name="Note 3 3 2 4 3" xfId="13866" xr:uid="{00000000-0005-0000-0000-000060790000}"/>
    <cellStyle name="Note 3 3 2 4 3 2" xfId="27415" xr:uid="{00000000-0005-0000-0000-000061790000}"/>
    <cellStyle name="Note 3 3 2 4 4" xfId="32318" xr:uid="{00000000-0005-0000-0000-000062790000}"/>
    <cellStyle name="Note 3 3 2 5" xfId="8059" xr:uid="{00000000-0005-0000-0000-000063790000}"/>
    <cellStyle name="Note 3 3 2 5 2" xfId="14447" xr:uid="{00000000-0005-0000-0000-000064790000}"/>
    <cellStyle name="Note 3 3 2 5 2 2" xfId="27996" xr:uid="{00000000-0005-0000-0000-000065790000}"/>
    <cellStyle name="Note 3 3 2 5 3" xfId="32320" xr:uid="{00000000-0005-0000-0000-000066790000}"/>
    <cellStyle name="Note 3 3 2 6" xfId="8060" xr:uid="{00000000-0005-0000-0000-000067790000}"/>
    <cellStyle name="Note 3 3 2 6 2" xfId="16333" xr:uid="{00000000-0005-0000-0000-000068790000}"/>
    <cellStyle name="Note 3 3 2 6 2 2" xfId="29740" xr:uid="{00000000-0005-0000-0000-000069790000}"/>
    <cellStyle name="Note 3 3 2 6 3" xfId="32321" xr:uid="{00000000-0005-0000-0000-00006A790000}"/>
    <cellStyle name="Note 3 3 2 7" xfId="10317" xr:uid="{00000000-0005-0000-0000-00006B790000}"/>
    <cellStyle name="Note 3 3 2 8" xfId="32312" xr:uid="{00000000-0005-0000-0000-00006C790000}"/>
    <cellStyle name="Note 3 3 3" xfId="8061" xr:uid="{00000000-0005-0000-0000-00006D790000}"/>
    <cellStyle name="Note 3 3 3 2" xfId="8062" xr:uid="{00000000-0005-0000-0000-00006E790000}"/>
    <cellStyle name="Note 3 3 3 2 2" xfId="11645" xr:uid="{00000000-0005-0000-0000-00006F790000}"/>
    <cellStyle name="Note 3 3 3 2 3" xfId="32323" xr:uid="{00000000-0005-0000-0000-000070790000}"/>
    <cellStyle name="Note 3 3 3 3" xfId="8063" xr:uid="{00000000-0005-0000-0000-000071790000}"/>
    <cellStyle name="Note 3 3 3 3 2" xfId="16625" xr:uid="{00000000-0005-0000-0000-000072790000}"/>
    <cellStyle name="Note 3 3 3 3 2 2" xfId="30032" xr:uid="{00000000-0005-0000-0000-000073790000}"/>
    <cellStyle name="Note 3 3 3 3 3" xfId="32324" xr:uid="{00000000-0005-0000-0000-000074790000}"/>
    <cellStyle name="Note 3 3 3 4" xfId="10319" xr:uid="{00000000-0005-0000-0000-000075790000}"/>
    <cellStyle name="Note 3 3 3 5" xfId="32322" xr:uid="{00000000-0005-0000-0000-000076790000}"/>
    <cellStyle name="Note 3 3 4" xfId="8064" xr:uid="{00000000-0005-0000-0000-000077790000}"/>
    <cellStyle name="Note 3 3 4 2" xfId="8065" xr:uid="{00000000-0005-0000-0000-000078790000}"/>
    <cellStyle name="Note 3 3 4 2 2" xfId="13325" xr:uid="{00000000-0005-0000-0000-000079790000}"/>
    <cellStyle name="Note 3 3 4 2 3" xfId="32326" xr:uid="{00000000-0005-0000-0000-00007A790000}"/>
    <cellStyle name="Note 3 3 4 3" xfId="12002" xr:uid="{00000000-0005-0000-0000-00007B790000}"/>
    <cellStyle name="Note 3 3 4 3 2" xfId="25717" xr:uid="{00000000-0005-0000-0000-00007C790000}"/>
    <cellStyle name="Note 3 3 4 4" xfId="32325" xr:uid="{00000000-0005-0000-0000-00007D790000}"/>
    <cellStyle name="Note 3 3 5" xfId="8066" xr:uid="{00000000-0005-0000-0000-00007E790000}"/>
    <cellStyle name="Note 3 3 5 2" xfId="8067" xr:uid="{00000000-0005-0000-0000-00007F790000}"/>
    <cellStyle name="Note 3 3 5 2 2" xfId="15759" xr:uid="{00000000-0005-0000-0000-000080790000}"/>
    <cellStyle name="Note 3 3 5 2 3" xfId="32328" xr:uid="{00000000-0005-0000-0000-000081790000}"/>
    <cellStyle name="Note 3 3 5 3" xfId="13577" xr:uid="{00000000-0005-0000-0000-000082790000}"/>
    <cellStyle name="Note 3 3 5 3 2" xfId="27126" xr:uid="{00000000-0005-0000-0000-000083790000}"/>
    <cellStyle name="Note 3 3 5 4" xfId="32327" xr:uid="{00000000-0005-0000-0000-000084790000}"/>
    <cellStyle name="Note 3 3 6" xfId="8068" xr:uid="{00000000-0005-0000-0000-000085790000}"/>
    <cellStyle name="Note 3 3 6 2" xfId="14158" xr:uid="{00000000-0005-0000-0000-000086790000}"/>
    <cellStyle name="Note 3 3 6 2 2" xfId="27707" xr:uid="{00000000-0005-0000-0000-000087790000}"/>
    <cellStyle name="Note 3 3 6 3" xfId="32329" xr:uid="{00000000-0005-0000-0000-000088790000}"/>
    <cellStyle name="Note 3 3 7" xfId="8069" xr:uid="{00000000-0005-0000-0000-000089790000}"/>
    <cellStyle name="Note 3 3 7 2" xfId="16044" xr:uid="{00000000-0005-0000-0000-00008A790000}"/>
    <cellStyle name="Note 3 3 7 2 2" xfId="29451" xr:uid="{00000000-0005-0000-0000-00008B790000}"/>
    <cellStyle name="Note 3 3 7 3" xfId="32330" xr:uid="{00000000-0005-0000-0000-00008C790000}"/>
    <cellStyle name="Note 3 3 8" xfId="10316" xr:uid="{00000000-0005-0000-0000-00008D790000}"/>
    <cellStyle name="Note 3 3 9" xfId="32311" xr:uid="{00000000-0005-0000-0000-00008E790000}"/>
    <cellStyle name="Note 3 4" xfId="8070" xr:uid="{00000000-0005-0000-0000-00008F790000}"/>
    <cellStyle name="Note 3 4 2" xfId="8071" xr:uid="{00000000-0005-0000-0000-000090790000}"/>
    <cellStyle name="Note 3 4 2 2" xfId="8072" xr:uid="{00000000-0005-0000-0000-000091790000}"/>
    <cellStyle name="Note 3 4 2 2 2" xfId="11646" xr:uid="{00000000-0005-0000-0000-000092790000}"/>
    <cellStyle name="Note 3 4 2 2 3" xfId="32333" xr:uid="{00000000-0005-0000-0000-000093790000}"/>
    <cellStyle name="Note 3 4 2 3" xfId="8073" xr:uid="{00000000-0005-0000-0000-000094790000}"/>
    <cellStyle name="Note 3 4 2 3 2" xfId="16771" xr:uid="{00000000-0005-0000-0000-000095790000}"/>
    <cellStyle name="Note 3 4 2 3 2 2" xfId="30178" xr:uid="{00000000-0005-0000-0000-000096790000}"/>
    <cellStyle name="Note 3 4 2 3 3" xfId="32334" xr:uid="{00000000-0005-0000-0000-000097790000}"/>
    <cellStyle name="Note 3 4 2 4" xfId="10321" xr:uid="{00000000-0005-0000-0000-000098790000}"/>
    <cellStyle name="Note 3 4 2 5" xfId="32332" xr:uid="{00000000-0005-0000-0000-000099790000}"/>
    <cellStyle name="Note 3 4 3" xfId="8074" xr:uid="{00000000-0005-0000-0000-00009A790000}"/>
    <cellStyle name="Note 3 4 3 2" xfId="8075" xr:uid="{00000000-0005-0000-0000-00009B790000}"/>
    <cellStyle name="Note 3 4 3 2 2" xfId="13326" xr:uid="{00000000-0005-0000-0000-00009C790000}"/>
    <cellStyle name="Note 3 4 3 2 3" xfId="32336" xr:uid="{00000000-0005-0000-0000-00009D790000}"/>
    <cellStyle name="Note 3 4 3 3" xfId="12159" xr:uid="{00000000-0005-0000-0000-00009E790000}"/>
    <cellStyle name="Note 3 4 3 3 2" xfId="25871" xr:uid="{00000000-0005-0000-0000-00009F790000}"/>
    <cellStyle name="Note 3 4 3 4" xfId="32335" xr:uid="{00000000-0005-0000-0000-0000A0790000}"/>
    <cellStyle name="Note 3 4 4" xfId="8076" xr:uid="{00000000-0005-0000-0000-0000A1790000}"/>
    <cellStyle name="Note 3 4 4 2" xfId="8077" xr:uid="{00000000-0005-0000-0000-0000A2790000}"/>
    <cellStyle name="Note 3 4 4 2 2" xfId="15760" xr:uid="{00000000-0005-0000-0000-0000A3790000}"/>
    <cellStyle name="Note 3 4 4 2 3" xfId="32338" xr:uid="{00000000-0005-0000-0000-0000A4790000}"/>
    <cellStyle name="Note 3 4 4 3" xfId="13723" xr:uid="{00000000-0005-0000-0000-0000A5790000}"/>
    <cellStyle name="Note 3 4 4 3 2" xfId="27272" xr:uid="{00000000-0005-0000-0000-0000A6790000}"/>
    <cellStyle name="Note 3 4 4 4" xfId="32337" xr:uid="{00000000-0005-0000-0000-0000A7790000}"/>
    <cellStyle name="Note 3 4 5" xfId="8078" xr:uid="{00000000-0005-0000-0000-0000A8790000}"/>
    <cellStyle name="Note 3 4 5 2" xfId="14304" xr:uid="{00000000-0005-0000-0000-0000A9790000}"/>
    <cellStyle name="Note 3 4 5 2 2" xfId="27853" xr:uid="{00000000-0005-0000-0000-0000AA790000}"/>
    <cellStyle name="Note 3 4 5 3" xfId="32339" xr:uid="{00000000-0005-0000-0000-0000AB790000}"/>
    <cellStyle name="Note 3 4 6" xfId="8079" xr:uid="{00000000-0005-0000-0000-0000AC790000}"/>
    <cellStyle name="Note 3 4 6 2" xfId="16190" xr:uid="{00000000-0005-0000-0000-0000AD790000}"/>
    <cellStyle name="Note 3 4 6 2 2" xfId="29597" xr:uid="{00000000-0005-0000-0000-0000AE790000}"/>
    <cellStyle name="Note 3 4 6 3" xfId="32340" xr:uid="{00000000-0005-0000-0000-0000AF790000}"/>
    <cellStyle name="Note 3 4 7" xfId="10320" xr:uid="{00000000-0005-0000-0000-0000B0790000}"/>
    <cellStyle name="Note 3 4 8" xfId="32331" xr:uid="{00000000-0005-0000-0000-0000B1790000}"/>
    <cellStyle name="Note 3 5" xfId="8080" xr:uid="{00000000-0005-0000-0000-0000B2790000}"/>
    <cellStyle name="Note 3 5 2" xfId="8081" xr:uid="{00000000-0005-0000-0000-0000B3790000}"/>
    <cellStyle name="Note 3 5 2 2" xfId="11647" xr:uid="{00000000-0005-0000-0000-0000B4790000}"/>
    <cellStyle name="Note 3 5 2 3" xfId="32342" xr:uid="{00000000-0005-0000-0000-0000B5790000}"/>
    <cellStyle name="Note 3 5 3" xfId="8082" xr:uid="{00000000-0005-0000-0000-0000B6790000}"/>
    <cellStyle name="Note 3 5 3 2" xfId="17118" xr:uid="{00000000-0005-0000-0000-0000B7790000}"/>
    <cellStyle name="Note 3 5 3 2 2" xfId="30477" xr:uid="{00000000-0005-0000-0000-0000B8790000}"/>
    <cellStyle name="Note 3 5 3 3" xfId="32343" xr:uid="{00000000-0005-0000-0000-0000B9790000}"/>
    <cellStyle name="Note 3 5 4" xfId="10322" xr:uid="{00000000-0005-0000-0000-0000BA790000}"/>
    <cellStyle name="Note 3 5 5" xfId="32341" xr:uid="{00000000-0005-0000-0000-0000BB790000}"/>
    <cellStyle name="Note 3 6" xfId="8083" xr:uid="{00000000-0005-0000-0000-0000BC790000}"/>
    <cellStyle name="Note 3 6 2" xfId="8084" xr:uid="{00000000-0005-0000-0000-0000BD790000}"/>
    <cellStyle name="Note 3 6 2 2" xfId="13327" xr:uid="{00000000-0005-0000-0000-0000BE790000}"/>
    <cellStyle name="Note 3 6 2 3" xfId="32345" xr:uid="{00000000-0005-0000-0000-0000BF790000}"/>
    <cellStyle name="Note 3 6 3" xfId="8085" xr:uid="{00000000-0005-0000-0000-0000C0790000}"/>
    <cellStyle name="Note 3 6 3 2" xfId="17207" xr:uid="{00000000-0005-0000-0000-0000C1790000}"/>
    <cellStyle name="Note 3 6 3 2 2" xfId="30566" xr:uid="{00000000-0005-0000-0000-0000C2790000}"/>
    <cellStyle name="Note 3 6 3 3" xfId="32346" xr:uid="{00000000-0005-0000-0000-0000C3790000}"/>
    <cellStyle name="Note 3 6 4" xfId="11834" xr:uid="{00000000-0005-0000-0000-0000C4790000}"/>
    <cellStyle name="Note 3 6 4 2" xfId="25549" xr:uid="{00000000-0005-0000-0000-0000C5790000}"/>
    <cellStyle name="Note 3 6 5" xfId="32344" xr:uid="{00000000-0005-0000-0000-0000C6790000}"/>
    <cellStyle name="Note 3 7" xfId="8086" xr:uid="{00000000-0005-0000-0000-0000C7790000}"/>
    <cellStyle name="Note 3 7 2" xfId="8087" xr:uid="{00000000-0005-0000-0000-0000C8790000}"/>
    <cellStyle name="Note 3 7 2 2" xfId="15761" xr:uid="{00000000-0005-0000-0000-0000C9790000}"/>
    <cellStyle name="Note 3 7 2 3" xfId="32348" xr:uid="{00000000-0005-0000-0000-0000CA790000}"/>
    <cellStyle name="Note 3 7 3" xfId="8088" xr:uid="{00000000-0005-0000-0000-0000CB790000}"/>
    <cellStyle name="Note 3 7 3 2" xfId="16482" xr:uid="{00000000-0005-0000-0000-0000CC790000}"/>
    <cellStyle name="Note 3 7 3 2 2" xfId="29889" xr:uid="{00000000-0005-0000-0000-0000CD790000}"/>
    <cellStyle name="Note 3 7 3 3" xfId="32349" xr:uid="{00000000-0005-0000-0000-0000CE790000}"/>
    <cellStyle name="Note 3 7 4" xfId="13434" xr:uid="{00000000-0005-0000-0000-0000CF790000}"/>
    <cellStyle name="Note 3 7 4 2" xfId="26983" xr:uid="{00000000-0005-0000-0000-0000D0790000}"/>
    <cellStyle name="Note 3 7 5" xfId="32347" xr:uid="{00000000-0005-0000-0000-0000D1790000}"/>
    <cellStyle name="Note 3 8" xfId="8089" xr:uid="{00000000-0005-0000-0000-0000D2790000}"/>
    <cellStyle name="Note 3 8 2" xfId="14015" xr:uid="{00000000-0005-0000-0000-0000D3790000}"/>
    <cellStyle name="Note 3 8 2 2" xfId="27564" xr:uid="{00000000-0005-0000-0000-0000D4790000}"/>
    <cellStyle name="Note 3 8 3" xfId="32350" xr:uid="{00000000-0005-0000-0000-0000D5790000}"/>
    <cellStyle name="Note 3 9" xfId="8090" xr:uid="{00000000-0005-0000-0000-0000D6790000}"/>
    <cellStyle name="Note 3 9 2" xfId="15901" xr:uid="{00000000-0005-0000-0000-0000D7790000}"/>
    <cellStyle name="Note 3 9 2 2" xfId="29308" xr:uid="{00000000-0005-0000-0000-0000D8790000}"/>
    <cellStyle name="Note 3 9 3" xfId="32351" xr:uid="{00000000-0005-0000-0000-0000D9790000}"/>
    <cellStyle name="Note 4" xfId="17373" xr:uid="{00000000-0005-0000-0000-0000DA790000}"/>
    <cellStyle name="Note 4 2" xfId="30689" xr:uid="{00000000-0005-0000-0000-0000DB790000}"/>
    <cellStyle name="Note 5" xfId="17294" xr:uid="{00000000-0005-0000-0000-0000DC790000}"/>
    <cellStyle name="Note 5 2" xfId="30653" xr:uid="{00000000-0005-0000-0000-0000DD790000}"/>
    <cellStyle name="Output" xfId="23" builtinId="21" customBuiltin="1"/>
    <cellStyle name="Output 10" xfId="8091" xr:uid="{00000000-0005-0000-0000-0000DF790000}"/>
    <cellStyle name="Output 10 2" xfId="10324" xr:uid="{00000000-0005-0000-0000-0000E0790000}"/>
    <cellStyle name="Output 10 3" xfId="32352" xr:uid="{00000000-0005-0000-0000-0000E1790000}"/>
    <cellStyle name="Output 11" xfId="8092" xr:uid="{00000000-0005-0000-0000-0000E2790000}"/>
    <cellStyle name="Output 11 2" xfId="10325" xr:uid="{00000000-0005-0000-0000-0000E3790000}"/>
    <cellStyle name="Output 11 3" xfId="32353" xr:uid="{00000000-0005-0000-0000-0000E4790000}"/>
    <cellStyle name="Output 12" xfId="8093" xr:uid="{00000000-0005-0000-0000-0000E5790000}"/>
    <cellStyle name="Output 12 2" xfId="8094" xr:uid="{00000000-0005-0000-0000-0000E6790000}"/>
    <cellStyle name="Output 12 2 2" xfId="15762" xr:uid="{00000000-0005-0000-0000-0000E7790000}"/>
    <cellStyle name="Output 12 2 3" xfId="32355" xr:uid="{00000000-0005-0000-0000-0000E8790000}"/>
    <cellStyle name="Output 12 3" xfId="10499" xr:uid="{00000000-0005-0000-0000-0000E9790000}"/>
    <cellStyle name="Output 12 4" xfId="32354" xr:uid="{00000000-0005-0000-0000-0000EA790000}"/>
    <cellStyle name="Output 13" xfId="8095" xr:uid="{00000000-0005-0000-0000-0000EB790000}"/>
    <cellStyle name="Output 13 2" xfId="11648" xr:uid="{00000000-0005-0000-0000-0000EC790000}"/>
    <cellStyle name="Output 13 3" xfId="32356" xr:uid="{00000000-0005-0000-0000-0000ED790000}"/>
    <cellStyle name="Output 14" xfId="8096" xr:uid="{00000000-0005-0000-0000-0000EE790000}"/>
    <cellStyle name="Output 14 2" xfId="10323" xr:uid="{00000000-0005-0000-0000-0000EF790000}"/>
    <cellStyle name="Output 14 3" xfId="32357" xr:uid="{00000000-0005-0000-0000-0000F0790000}"/>
    <cellStyle name="Output 2" xfId="8097" xr:uid="{00000000-0005-0000-0000-0000F1790000}"/>
    <cellStyle name="Output 2 2" xfId="10326" xr:uid="{00000000-0005-0000-0000-0000F2790000}"/>
    <cellStyle name="Output 2 3" xfId="32358" xr:uid="{00000000-0005-0000-0000-0000F3790000}"/>
    <cellStyle name="Output 2 4" xfId="33053" xr:uid="{00000000-0005-0000-0000-0000F4790000}"/>
    <cellStyle name="Output 3" xfId="8098" xr:uid="{00000000-0005-0000-0000-0000F5790000}"/>
    <cellStyle name="Output 3 2" xfId="8099" xr:uid="{00000000-0005-0000-0000-0000F6790000}"/>
    <cellStyle name="Output 3 2 2" xfId="10328" xr:uid="{00000000-0005-0000-0000-0000F7790000}"/>
    <cellStyle name="Output 3 2 3" xfId="32360" xr:uid="{00000000-0005-0000-0000-0000F8790000}"/>
    <cellStyle name="Output 3 3" xfId="10327" xr:uid="{00000000-0005-0000-0000-0000F9790000}"/>
    <cellStyle name="Output 3 4" xfId="32359" xr:uid="{00000000-0005-0000-0000-0000FA790000}"/>
    <cellStyle name="Output 4" xfId="8100" xr:uid="{00000000-0005-0000-0000-0000FB790000}"/>
    <cellStyle name="Output 4 2" xfId="8101" xr:uid="{00000000-0005-0000-0000-0000FC790000}"/>
    <cellStyle name="Output 4 2 2" xfId="13329" xr:uid="{00000000-0005-0000-0000-0000FD790000}"/>
    <cellStyle name="Output 4 2 3" xfId="32362" xr:uid="{00000000-0005-0000-0000-0000FE790000}"/>
    <cellStyle name="Output 4 3" xfId="8102" xr:uid="{00000000-0005-0000-0000-0000FF790000}"/>
    <cellStyle name="Output 4 3 2" xfId="13328" xr:uid="{00000000-0005-0000-0000-0000007A0000}"/>
    <cellStyle name="Output 4 3 3" xfId="32363" xr:uid="{00000000-0005-0000-0000-0000017A0000}"/>
    <cellStyle name="Output 4 4" xfId="10329" xr:uid="{00000000-0005-0000-0000-0000027A0000}"/>
    <cellStyle name="Output 4 5" xfId="32361" xr:uid="{00000000-0005-0000-0000-0000037A0000}"/>
    <cellStyle name="Output 5" xfId="8103" xr:uid="{00000000-0005-0000-0000-0000047A0000}"/>
    <cellStyle name="Output 5 2" xfId="8104" xr:uid="{00000000-0005-0000-0000-0000057A0000}"/>
    <cellStyle name="Output 5 2 2" xfId="10331" xr:uid="{00000000-0005-0000-0000-0000067A0000}"/>
    <cellStyle name="Output 5 2 3" xfId="32365" xr:uid="{00000000-0005-0000-0000-0000077A0000}"/>
    <cellStyle name="Output 5 3" xfId="10330" xr:uid="{00000000-0005-0000-0000-0000087A0000}"/>
    <cellStyle name="Output 5 4" xfId="32364" xr:uid="{00000000-0005-0000-0000-0000097A0000}"/>
    <cellStyle name="Output 6" xfId="8105" xr:uid="{00000000-0005-0000-0000-00000A7A0000}"/>
    <cellStyle name="Output 6 2" xfId="10332" xr:uid="{00000000-0005-0000-0000-00000B7A0000}"/>
    <cellStyle name="Output 6 3" xfId="32366" xr:uid="{00000000-0005-0000-0000-00000C7A0000}"/>
    <cellStyle name="Output 7" xfId="8106" xr:uid="{00000000-0005-0000-0000-00000D7A0000}"/>
    <cellStyle name="Output 7 2" xfId="10333" xr:uid="{00000000-0005-0000-0000-00000E7A0000}"/>
    <cellStyle name="Output 7 3" xfId="32367" xr:uid="{00000000-0005-0000-0000-00000F7A0000}"/>
    <cellStyle name="Output 8" xfId="8107" xr:uid="{00000000-0005-0000-0000-0000107A0000}"/>
    <cellStyle name="Output 8 2" xfId="10334" xr:uid="{00000000-0005-0000-0000-0000117A0000}"/>
    <cellStyle name="Output 8 3" xfId="32368" xr:uid="{00000000-0005-0000-0000-0000127A0000}"/>
    <cellStyle name="Output 9" xfId="8108" xr:uid="{00000000-0005-0000-0000-0000137A0000}"/>
    <cellStyle name="Output 9 2" xfId="10335" xr:uid="{00000000-0005-0000-0000-0000147A0000}"/>
    <cellStyle name="Output 9 3" xfId="32369" xr:uid="{00000000-0005-0000-0000-0000157A0000}"/>
    <cellStyle name="Percent" xfId="9" builtinId="5"/>
    <cellStyle name="Percent 10" xfId="10336" xr:uid="{00000000-0005-0000-0000-0000177A0000}"/>
    <cellStyle name="Percent 11" xfId="17374" xr:uid="{00000000-0005-0000-0000-0000187A0000}"/>
    <cellStyle name="Percent 11 2" xfId="30690" xr:uid="{00000000-0005-0000-0000-0000197A0000}"/>
    <cellStyle name="Percent 12" xfId="8787" xr:uid="{00000000-0005-0000-0000-00001A7A0000}"/>
    <cellStyle name="Percent 13" xfId="51" xr:uid="{00000000-0005-0000-0000-00001B7A0000}"/>
    <cellStyle name="Percent 2" xfId="10" xr:uid="{00000000-0005-0000-0000-00001C7A0000}"/>
    <cellStyle name="Percent 2 10" xfId="8110" xr:uid="{00000000-0005-0000-0000-00001D7A0000}"/>
    <cellStyle name="Percent 2 10 2" xfId="10338" xr:uid="{00000000-0005-0000-0000-00001E7A0000}"/>
    <cellStyle name="Percent 2 10 3" xfId="32370" xr:uid="{00000000-0005-0000-0000-00001F7A0000}"/>
    <cellStyle name="Percent 2 11" xfId="8111" xr:uid="{00000000-0005-0000-0000-0000207A0000}"/>
    <cellStyle name="Percent 2 11 2" xfId="8112" xr:uid="{00000000-0005-0000-0000-0000217A0000}"/>
    <cellStyle name="Percent 2 11 2 2" xfId="13330" xr:uid="{00000000-0005-0000-0000-0000227A0000}"/>
    <cellStyle name="Percent 2 11 2 3" xfId="32372" xr:uid="{00000000-0005-0000-0000-0000237A0000}"/>
    <cellStyle name="Percent 2 11 3" xfId="8113" xr:uid="{00000000-0005-0000-0000-0000247A0000}"/>
    <cellStyle name="Percent 2 11 3 2" xfId="17054" xr:uid="{00000000-0005-0000-0000-0000257A0000}"/>
    <cellStyle name="Percent 2 11 3 2 2" xfId="30453" xr:uid="{00000000-0005-0000-0000-0000267A0000}"/>
    <cellStyle name="Percent 2 11 3 3" xfId="32373" xr:uid="{00000000-0005-0000-0000-0000277A0000}"/>
    <cellStyle name="Percent 2 11 4" xfId="10339" xr:uid="{00000000-0005-0000-0000-0000287A0000}"/>
    <cellStyle name="Percent 2 11 5" xfId="32371" xr:uid="{00000000-0005-0000-0000-0000297A0000}"/>
    <cellStyle name="Percent 2 12" xfId="8114" xr:uid="{00000000-0005-0000-0000-00002A7A0000}"/>
    <cellStyle name="Percent 2 12 2" xfId="8115" xr:uid="{00000000-0005-0000-0000-00002B7A0000}"/>
    <cellStyle name="Percent 2 12 2 2" xfId="13332" xr:uid="{00000000-0005-0000-0000-00002C7A0000}"/>
    <cellStyle name="Percent 2 12 2 3" xfId="32375" xr:uid="{00000000-0005-0000-0000-00002D7A0000}"/>
    <cellStyle name="Percent 2 12 3" xfId="8116" xr:uid="{00000000-0005-0000-0000-00002E7A0000}"/>
    <cellStyle name="Percent 2 12 3 2" xfId="13331" xr:uid="{00000000-0005-0000-0000-00002F7A0000}"/>
    <cellStyle name="Percent 2 12 3 2 2" xfId="26922" xr:uid="{00000000-0005-0000-0000-0000307A0000}"/>
    <cellStyle name="Percent 2 12 3 3" xfId="32376" xr:uid="{00000000-0005-0000-0000-0000317A0000}"/>
    <cellStyle name="Percent 2 12 4" xfId="8117" xr:uid="{00000000-0005-0000-0000-0000327A0000}"/>
    <cellStyle name="Percent 2 12 4 2" xfId="17112" xr:uid="{00000000-0005-0000-0000-0000337A0000}"/>
    <cellStyle name="Percent 2 12 4 2 2" xfId="30471" xr:uid="{00000000-0005-0000-0000-0000347A0000}"/>
    <cellStyle name="Percent 2 12 4 3" xfId="32377" xr:uid="{00000000-0005-0000-0000-0000357A0000}"/>
    <cellStyle name="Percent 2 12 5" xfId="10340" xr:uid="{00000000-0005-0000-0000-0000367A0000}"/>
    <cellStyle name="Percent 2 12 6" xfId="32374" xr:uid="{00000000-0005-0000-0000-0000377A0000}"/>
    <cellStyle name="Percent 2 13" xfId="8118" xr:uid="{00000000-0005-0000-0000-0000387A0000}"/>
    <cellStyle name="Percent 2 13 2" xfId="8119" xr:uid="{00000000-0005-0000-0000-0000397A0000}"/>
    <cellStyle name="Percent 2 13 2 2" xfId="17201" xr:uid="{00000000-0005-0000-0000-00003A7A0000}"/>
    <cellStyle name="Percent 2 13 2 2 2" xfId="30560" xr:uid="{00000000-0005-0000-0000-00003B7A0000}"/>
    <cellStyle name="Percent 2 13 2 3" xfId="32379" xr:uid="{00000000-0005-0000-0000-00003C7A0000}"/>
    <cellStyle name="Percent 2 13 3" xfId="10341" xr:uid="{00000000-0005-0000-0000-00003D7A0000}"/>
    <cellStyle name="Percent 2 13 4" xfId="32378" xr:uid="{00000000-0005-0000-0000-00003E7A0000}"/>
    <cellStyle name="Percent 2 14" xfId="8120" xr:uid="{00000000-0005-0000-0000-00003F7A0000}"/>
    <cellStyle name="Percent 2 14 2" xfId="8121" xr:uid="{00000000-0005-0000-0000-0000407A0000}"/>
    <cellStyle name="Percent 2 14 2 2" xfId="8122" xr:uid="{00000000-0005-0000-0000-0000417A0000}"/>
    <cellStyle name="Percent 2 14 2 2 2" xfId="11651" xr:uid="{00000000-0005-0000-0000-0000427A0000}"/>
    <cellStyle name="Percent 2 14 2 2 3" xfId="32382" xr:uid="{00000000-0005-0000-0000-0000437A0000}"/>
    <cellStyle name="Percent 2 14 2 3" xfId="10343" xr:uid="{00000000-0005-0000-0000-0000447A0000}"/>
    <cellStyle name="Percent 2 14 2 4" xfId="32381" xr:uid="{00000000-0005-0000-0000-0000457A0000}"/>
    <cellStyle name="Percent 2 14 3" xfId="8123" xr:uid="{00000000-0005-0000-0000-0000467A0000}"/>
    <cellStyle name="Percent 2 14 3 2" xfId="11650" xr:uid="{00000000-0005-0000-0000-0000477A0000}"/>
    <cellStyle name="Percent 2 14 3 3" xfId="32383" xr:uid="{00000000-0005-0000-0000-0000487A0000}"/>
    <cellStyle name="Percent 2 14 4" xfId="8124" xr:uid="{00000000-0005-0000-0000-0000497A0000}"/>
    <cellStyle name="Percent 2 14 4 2" xfId="17290" xr:uid="{00000000-0005-0000-0000-00004A7A0000}"/>
    <cellStyle name="Percent 2 14 4 2 2" xfId="30649" xr:uid="{00000000-0005-0000-0000-00004B7A0000}"/>
    <cellStyle name="Percent 2 14 4 3" xfId="32384" xr:uid="{00000000-0005-0000-0000-00004C7A0000}"/>
    <cellStyle name="Percent 2 14 5" xfId="10342" xr:uid="{00000000-0005-0000-0000-00004D7A0000}"/>
    <cellStyle name="Percent 2 14 6" xfId="32380" xr:uid="{00000000-0005-0000-0000-00004E7A0000}"/>
    <cellStyle name="Percent 2 15" xfId="8125" xr:uid="{00000000-0005-0000-0000-00004F7A0000}"/>
    <cellStyle name="Percent 2 15 2" xfId="8126" xr:uid="{00000000-0005-0000-0000-0000507A0000}"/>
    <cellStyle name="Percent 2 15 2 2" xfId="11652" xr:uid="{00000000-0005-0000-0000-0000517A0000}"/>
    <cellStyle name="Percent 2 15 2 3" xfId="32386" xr:uid="{00000000-0005-0000-0000-0000527A0000}"/>
    <cellStyle name="Percent 2 15 3" xfId="8127" xr:uid="{00000000-0005-0000-0000-0000537A0000}"/>
    <cellStyle name="Percent 2 15 3 2" xfId="16442" xr:uid="{00000000-0005-0000-0000-0000547A0000}"/>
    <cellStyle name="Percent 2 15 3 2 2" xfId="29849" xr:uid="{00000000-0005-0000-0000-0000557A0000}"/>
    <cellStyle name="Percent 2 15 3 3" xfId="32387" xr:uid="{00000000-0005-0000-0000-0000567A0000}"/>
    <cellStyle name="Percent 2 15 4" xfId="10344" xr:uid="{00000000-0005-0000-0000-0000577A0000}"/>
    <cellStyle name="Percent 2 15 5" xfId="32385" xr:uid="{00000000-0005-0000-0000-0000587A0000}"/>
    <cellStyle name="Percent 2 16" xfId="8128" xr:uid="{00000000-0005-0000-0000-0000597A0000}"/>
    <cellStyle name="Percent 2 16 2" xfId="8129" xr:uid="{00000000-0005-0000-0000-00005A7A0000}"/>
    <cellStyle name="Percent 2 16 2 2" xfId="11653" xr:uid="{00000000-0005-0000-0000-00005B7A0000}"/>
    <cellStyle name="Percent 2 16 2 3" xfId="32389" xr:uid="{00000000-0005-0000-0000-00005C7A0000}"/>
    <cellStyle name="Percent 2 16 3" xfId="10345" xr:uid="{00000000-0005-0000-0000-00005D7A0000}"/>
    <cellStyle name="Percent 2 16 4" xfId="32388" xr:uid="{00000000-0005-0000-0000-00005E7A0000}"/>
    <cellStyle name="Percent 2 17" xfId="8130" xr:uid="{00000000-0005-0000-0000-00005F7A0000}"/>
    <cellStyle name="Percent 2 17 2" xfId="8131" xr:uid="{00000000-0005-0000-0000-0000607A0000}"/>
    <cellStyle name="Percent 2 17 2 2" xfId="11654" xr:uid="{00000000-0005-0000-0000-0000617A0000}"/>
    <cellStyle name="Percent 2 17 2 3" xfId="32391" xr:uid="{00000000-0005-0000-0000-0000627A0000}"/>
    <cellStyle name="Percent 2 17 3" xfId="10346" xr:uid="{00000000-0005-0000-0000-0000637A0000}"/>
    <cellStyle name="Percent 2 17 4" xfId="32390" xr:uid="{00000000-0005-0000-0000-0000647A0000}"/>
    <cellStyle name="Percent 2 18" xfId="8132" xr:uid="{00000000-0005-0000-0000-0000657A0000}"/>
    <cellStyle name="Percent 2 18 2" xfId="8133" xr:uid="{00000000-0005-0000-0000-0000667A0000}"/>
    <cellStyle name="Percent 2 18 2 2" xfId="11655" xr:uid="{00000000-0005-0000-0000-0000677A0000}"/>
    <cellStyle name="Percent 2 18 2 3" xfId="32393" xr:uid="{00000000-0005-0000-0000-0000687A0000}"/>
    <cellStyle name="Percent 2 18 3" xfId="10347" xr:uid="{00000000-0005-0000-0000-0000697A0000}"/>
    <cellStyle name="Percent 2 18 4" xfId="32392" xr:uid="{00000000-0005-0000-0000-00006A7A0000}"/>
    <cellStyle name="Percent 2 19" xfId="8134" xr:uid="{00000000-0005-0000-0000-00006B7A0000}"/>
    <cellStyle name="Percent 2 19 2" xfId="8135" xr:uid="{00000000-0005-0000-0000-00006C7A0000}"/>
    <cellStyle name="Percent 2 19 2 2" xfId="11656" xr:uid="{00000000-0005-0000-0000-00006D7A0000}"/>
    <cellStyle name="Percent 2 19 2 3" xfId="32395" xr:uid="{00000000-0005-0000-0000-00006E7A0000}"/>
    <cellStyle name="Percent 2 19 3" xfId="10348" xr:uid="{00000000-0005-0000-0000-00006F7A0000}"/>
    <cellStyle name="Percent 2 19 4" xfId="32394" xr:uid="{00000000-0005-0000-0000-0000707A0000}"/>
    <cellStyle name="Percent 2 2" xfId="8136" xr:uid="{00000000-0005-0000-0000-0000717A0000}"/>
    <cellStyle name="Percent 2 2 10" xfId="8137" xr:uid="{00000000-0005-0000-0000-0000727A0000}"/>
    <cellStyle name="Percent 2 2 10 2" xfId="11657" xr:uid="{00000000-0005-0000-0000-0000737A0000}"/>
    <cellStyle name="Percent 2 2 10 3" xfId="32397" xr:uid="{00000000-0005-0000-0000-0000747A0000}"/>
    <cellStyle name="Percent 2 2 11" xfId="8138" xr:uid="{00000000-0005-0000-0000-0000757A0000}"/>
    <cellStyle name="Percent 2 2 11 2" xfId="8139" xr:uid="{00000000-0005-0000-0000-0000767A0000}"/>
    <cellStyle name="Percent 2 2 11 2 2" xfId="13333" xr:uid="{00000000-0005-0000-0000-0000777A0000}"/>
    <cellStyle name="Percent 2 2 11 2 2 2" xfId="26923" xr:uid="{00000000-0005-0000-0000-0000787A0000}"/>
    <cellStyle name="Percent 2 2 11 2 3" xfId="32399" xr:uid="{00000000-0005-0000-0000-0000797A0000}"/>
    <cellStyle name="Percent 2 2 11 3" xfId="8140" xr:uid="{00000000-0005-0000-0000-00007A7A0000}"/>
    <cellStyle name="Percent 2 2 11 3 2" xfId="15763" xr:uid="{00000000-0005-0000-0000-00007B7A0000}"/>
    <cellStyle name="Percent 2 2 11 3 3" xfId="32400" xr:uid="{00000000-0005-0000-0000-00007C7A0000}"/>
    <cellStyle name="Percent 2 2 11 4" xfId="11733" xr:uid="{00000000-0005-0000-0000-00007D7A0000}"/>
    <cellStyle name="Percent 2 2 11 5" xfId="32398" xr:uid="{00000000-0005-0000-0000-00007E7A0000}"/>
    <cellStyle name="Percent 2 2 12" xfId="8141" xr:uid="{00000000-0005-0000-0000-00007F7A0000}"/>
    <cellStyle name="Percent 2 2 12 2" xfId="11863" xr:uid="{00000000-0005-0000-0000-0000807A0000}"/>
    <cellStyle name="Percent 2 2 12 2 2" xfId="25578" xr:uid="{00000000-0005-0000-0000-0000817A0000}"/>
    <cellStyle name="Percent 2 2 12 3" xfId="32401" xr:uid="{00000000-0005-0000-0000-0000827A0000}"/>
    <cellStyle name="Percent 2 2 13" xfId="8142" xr:uid="{00000000-0005-0000-0000-0000837A0000}"/>
    <cellStyle name="Percent 2 2 13 2" xfId="13451" xr:uid="{00000000-0005-0000-0000-0000847A0000}"/>
    <cellStyle name="Percent 2 2 13 2 2" xfId="27000" xr:uid="{00000000-0005-0000-0000-0000857A0000}"/>
    <cellStyle name="Percent 2 2 13 3" xfId="32402" xr:uid="{00000000-0005-0000-0000-0000867A0000}"/>
    <cellStyle name="Percent 2 2 14" xfId="8143" xr:uid="{00000000-0005-0000-0000-0000877A0000}"/>
    <cellStyle name="Percent 2 2 14 2" xfId="14032" xr:uid="{00000000-0005-0000-0000-0000887A0000}"/>
    <cellStyle name="Percent 2 2 14 2 2" xfId="27581" xr:uid="{00000000-0005-0000-0000-0000897A0000}"/>
    <cellStyle name="Percent 2 2 14 3" xfId="32403" xr:uid="{00000000-0005-0000-0000-00008A7A0000}"/>
    <cellStyle name="Percent 2 2 15" xfId="8144" xr:uid="{00000000-0005-0000-0000-00008B7A0000}"/>
    <cellStyle name="Percent 2 2 15 2" xfId="15918" xr:uid="{00000000-0005-0000-0000-00008C7A0000}"/>
    <cellStyle name="Percent 2 2 15 2 2" xfId="29325" xr:uid="{00000000-0005-0000-0000-00008D7A0000}"/>
    <cellStyle name="Percent 2 2 15 3" xfId="32404" xr:uid="{00000000-0005-0000-0000-00008E7A0000}"/>
    <cellStyle name="Percent 2 2 16" xfId="8145" xr:uid="{00000000-0005-0000-0000-00008F7A0000}"/>
    <cellStyle name="Percent 2 2 16 2" xfId="10349" xr:uid="{00000000-0005-0000-0000-0000907A0000}"/>
    <cellStyle name="Percent 2 2 16 3" xfId="32405" xr:uid="{00000000-0005-0000-0000-0000917A0000}"/>
    <cellStyle name="Percent 2 2 17" xfId="8709" xr:uid="{00000000-0005-0000-0000-0000927A0000}"/>
    <cellStyle name="Percent 2 2 18" xfId="32396" xr:uid="{00000000-0005-0000-0000-0000937A0000}"/>
    <cellStyle name="Percent 2 2 2" xfId="8146" xr:uid="{00000000-0005-0000-0000-0000947A0000}"/>
    <cellStyle name="Percent 2 2 2 10" xfId="10350" xr:uid="{00000000-0005-0000-0000-0000957A0000}"/>
    <cellStyle name="Percent 2 2 2 11" xfId="32406" xr:uid="{00000000-0005-0000-0000-0000967A0000}"/>
    <cellStyle name="Percent 2 2 2 2" xfId="8147" xr:uid="{00000000-0005-0000-0000-0000977A0000}"/>
    <cellStyle name="Percent 2 2 2 2 2" xfId="8148" xr:uid="{00000000-0005-0000-0000-0000987A0000}"/>
    <cellStyle name="Percent 2 2 2 2 2 2" xfId="8149" xr:uid="{00000000-0005-0000-0000-0000997A0000}"/>
    <cellStyle name="Percent 2 2 2 2 2 2 2" xfId="8150" xr:uid="{00000000-0005-0000-0000-00009A7A0000}"/>
    <cellStyle name="Percent 2 2 2 2 2 2 2 2" xfId="11658" xr:uid="{00000000-0005-0000-0000-00009B7A0000}"/>
    <cellStyle name="Percent 2 2 2 2 2 2 2 3" xfId="32410" xr:uid="{00000000-0005-0000-0000-00009C7A0000}"/>
    <cellStyle name="Percent 2 2 2 2 2 2 3" xfId="8151" xr:uid="{00000000-0005-0000-0000-00009D7A0000}"/>
    <cellStyle name="Percent 2 2 2 2 2 2 3 2" xfId="16977" xr:uid="{00000000-0005-0000-0000-00009E7A0000}"/>
    <cellStyle name="Percent 2 2 2 2 2 2 3 2 2" xfId="30384" xr:uid="{00000000-0005-0000-0000-00009F7A0000}"/>
    <cellStyle name="Percent 2 2 2 2 2 2 3 3" xfId="32411" xr:uid="{00000000-0005-0000-0000-0000A07A0000}"/>
    <cellStyle name="Percent 2 2 2 2 2 2 4" xfId="10353" xr:uid="{00000000-0005-0000-0000-0000A17A0000}"/>
    <cellStyle name="Percent 2 2 2 2 2 2 5" xfId="32409" xr:uid="{00000000-0005-0000-0000-0000A27A0000}"/>
    <cellStyle name="Percent 2 2 2 2 2 3" xfId="8152" xr:uid="{00000000-0005-0000-0000-0000A37A0000}"/>
    <cellStyle name="Percent 2 2 2 2 2 3 2" xfId="8153" xr:uid="{00000000-0005-0000-0000-0000A47A0000}"/>
    <cellStyle name="Percent 2 2 2 2 2 3 2 2" xfId="13334" xr:uid="{00000000-0005-0000-0000-0000A57A0000}"/>
    <cellStyle name="Percent 2 2 2 2 2 3 2 3" xfId="32413" xr:uid="{00000000-0005-0000-0000-0000A67A0000}"/>
    <cellStyle name="Percent 2 2 2 2 2 3 3" xfId="12365" xr:uid="{00000000-0005-0000-0000-0000A77A0000}"/>
    <cellStyle name="Percent 2 2 2 2 2 3 3 2" xfId="26077" xr:uid="{00000000-0005-0000-0000-0000A87A0000}"/>
    <cellStyle name="Percent 2 2 2 2 2 3 4" xfId="32412" xr:uid="{00000000-0005-0000-0000-0000A97A0000}"/>
    <cellStyle name="Percent 2 2 2 2 2 4" xfId="8154" xr:uid="{00000000-0005-0000-0000-0000AA7A0000}"/>
    <cellStyle name="Percent 2 2 2 2 2 4 2" xfId="8155" xr:uid="{00000000-0005-0000-0000-0000AB7A0000}"/>
    <cellStyle name="Percent 2 2 2 2 2 4 2 2" xfId="15764" xr:uid="{00000000-0005-0000-0000-0000AC7A0000}"/>
    <cellStyle name="Percent 2 2 2 2 2 4 2 3" xfId="32415" xr:uid="{00000000-0005-0000-0000-0000AD7A0000}"/>
    <cellStyle name="Percent 2 2 2 2 2 4 3" xfId="13929" xr:uid="{00000000-0005-0000-0000-0000AE7A0000}"/>
    <cellStyle name="Percent 2 2 2 2 2 4 3 2" xfId="27478" xr:uid="{00000000-0005-0000-0000-0000AF7A0000}"/>
    <cellStyle name="Percent 2 2 2 2 2 4 4" xfId="32414" xr:uid="{00000000-0005-0000-0000-0000B07A0000}"/>
    <cellStyle name="Percent 2 2 2 2 2 5" xfId="8156" xr:uid="{00000000-0005-0000-0000-0000B17A0000}"/>
    <cellStyle name="Percent 2 2 2 2 2 5 2" xfId="14510" xr:uid="{00000000-0005-0000-0000-0000B27A0000}"/>
    <cellStyle name="Percent 2 2 2 2 2 5 2 2" xfId="28059" xr:uid="{00000000-0005-0000-0000-0000B37A0000}"/>
    <cellStyle name="Percent 2 2 2 2 2 5 3" xfId="32416" xr:uid="{00000000-0005-0000-0000-0000B47A0000}"/>
    <cellStyle name="Percent 2 2 2 2 2 6" xfId="8157" xr:uid="{00000000-0005-0000-0000-0000B57A0000}"/>
    <cellStyle name="Percent 2 2 2 2 2 6 2" xfId="16396" xr:uid="{00000000-0005-0000-0000-0000B67A0000}"/>
    <cellStyle name="Percent 2 2 2 2 2 6 2 2" xfId="29803" xr:uid="{00000000-0005-0000-0000-0000B77A0000}"/>
    <cellStyle name="Percent 2 2 2 2 2 6 3" xfId="32417" xr:uid="{00000000-0005-0000-0000-0000B87A0000}"/>
    <cellStyle name="Percent 2 2 2 2 2 7" xfId="10352" xr:uid="{00000000-0005-0000-0000-0000B97A0000}"/>
    <cellStyle name="Percent 2 2 2 2 2 8" xfId="32408" xr:uid="{00000000-0005-0000-0000-0000BA7A0000}"/>
    <cellStyle name="Percent 2 2 2 2 3" xfId="8158" xr:uid="{00000000-0005-0000-0000-0000BB7A0000}"/>
    <cellStyle name="Percent 2 2 2 2 3 2" xfId="8159" xr:uid="{00000000-0005-0000-0000-0000BC7A0000}"/>
    <cellStyle name="Percent 2 2 2 2 3 2 2" xfId="11659" xr:uid="{00000000-0005-0000-0000-0000BD7A0000}"/>
    <cellStyle name="Percent 2 2 2 2 3 2 3" xfId="32419" xr:uid="{00000000-0005-0000-0000-0000BE7A0000}"/>
    <cellStyle name="Percent 2 2 2 2 3 3" xfId="8160" xr:uid="{00000000-0005-0000-0000-0000BF7A0000}"/>
    <cellStyle name="Percent 2 2 2 2 3 3 2" xfId="16688" xr:uid="{00000000-0005-0000-0000-0000C07A0000}"/>
    <cellStyle name="Percent 2 2 2 2 3 3 2 2" xfId="30095" xr:uid="{00000000-0005-0000-0000-0000C17A0000}"/>
    <cellStyle name="Percent 2 2 2 2 3 3 3" xfId="32420" xr:uid="{00000000-0005-0000-0000-0000C27A0000}"/>
    <cellStyle name="Percent 2 2 2 2 3 4" xfId="10354" xr:uid="{00000000-0005-0000-0000-0000C37A0000}"/>
    <cellStyle name="Percent 2 2 2 2 3 5" xfId="32418" xr:uid="{00000000-0005-0000-0000-0000C47A0000}"/>
    <cellStyle name="Percent 2 2 2 2 4" xfId="8161" xr:uid="{00000000-0005-0000-0000-0000C57A0000}"/>
    <cellStyle name="Percent 2 2 2 2 4 2" xfId="8162" xr:uid="{00000000-0005-0000-0000-0000C67A0000}"/>
    <cellStyle name="Percent 2 2 2 2 4 2 2" xfId="13335" xr:uid="{00000000-0005-0000-0000-0000C77A0000}"/>
    <cellStyle name="Percent 2 2 2 2 4 2 3" xfId="32422" xr:uid="{00000000-0005-0000-0000-0000C87A0000}"/>
    <cellStyle name="Percent 2 2 2 2 4 3" xfId="12065" xr:uid="{00000000-0005-0000-0000-0000C97A0000}"/>
    <cellStyle name="Percent 2 2 2 2 4 3 2" xfId="25780" xr:uid="{00000000-0005-0000-0000-0000CA7A0000}"/>
    <cellStyle name="Percent 2 2 2 2 4 4" xfId="32421" xr:uid="{00000000-0005-0000-0000-0000CB7A0000}"/>
    <cellStyle name="Percent 2 2 2 2 5" xfId="8163" xr:uid="{00000000-0005-0000-0000-0000CC7A0000}"/>
    <cellStyle name="Percent 2 2 2 2 5 2" xfId="8164" xr:uid="{00000000-0005-0000-0000-0000CD7A0000}"/>
    <cellStyle name="Percent 2 2 2 2 5 2 2" xfId="15765" xr:uid="{00000000-0005-0000-0000-0000CE7A0000}"/>
    <cellStyle name="Percent 2 2 2 2 5 2 3" xfId="32424" xr:uid="{00000000-0005-0000-0000-0000CF7A0000}"/>
    <cellStyle name="Percent 2 2 2 2 5 3" xfId="13640" xr:uid="{00000000-0005-0000-0000-0000D07A0000}"/>
    <cellStyle name="Percent 2 2 2 2 5 3 2" xfId="27189" xr:uid="{00000000-0005-0000-0000-0000D17A0000}"/>
    <cellStyle name="Percent 2 2 2 2 5 4" xfId="32423" xr:uid="{00000000-0005-0000-0000-0000D27A0000}"/>
    <cellStyle name="Percent 2 2 2 2 6" xfId="8165" xr:uid="{00000000-0005-0000-0000-0000D37A0000}"/>
    <cellStyle name="Percent 2 2 2 2 6 2" xfId="14221" xr:uid="{00000000-0005-0000-0000-0000D47A0000}"/>
    <cellStyle name="Percent 2 2 2 2 6 2 2" xfId="27770" xr:uid="{00000000-0005-0000-0000-0000D57A0000}"/>
    <cellStyle name="Percent 2 2 2 2 6 3" xfId="32425" xr:uid="{00000000-0005-0000-0000-0000D67A0000}"/>
    <cellStyle name="Percent 2 2 2 2 7" xfId="8166" xr:uid="{00000000-0005-0000-0000-0000D77A0000}"/>
    <cellStyle name="Percent 2 2 2 2 7 2" xfId="16107" xr:uid="{00000000-0005-0000-0000-0000D87A0000}"/>
    <cellStyle name="Percent 2 2 2 2 7 2 2" xfId="29514" xr:uid="{00000000-0005-0000-0000-0000D97A0000}"/>
    <cellStyle name="Percent 2 2 2 2 7 3" xfId="32426" xr:uid="{00000000-0005-0000-0000-0000DA7A0000}"/>
    <cellStyle name="Percent 2 2 2 2 8" xfId="10351" xr:uid="{00000000-0005-0000-0000-0000DB7A0000}"/>
    <cellStyle name="Percent 2 2 2 2 9" xfId="32407" xr:uid="{00000000-0005-0000-0000-0000DC7A0000}"/>
    <cellStyle name="Percent 2 2 2 3" xfId="8167" xr:uid="{00000000-0005-0000-0000-0000DD7A0000}"/>
    <cellStyle name="Percent 2 2 2 3 2" xfId="8168" xr:uid="{00000000-0005-0000-0000-0000DE7A0000}"/>
    <cellStyle name="Percent 2 2 2 3 2 2" xfId="8169" xr:uid="{00000000-0005-0000-0000-0000DF7A0000}"/>
    <cellStyle name="Percent 2 2 2 3 2 2 2" xfId="11660" xr:uid="{00000000-0005-0000-0000-0000E07A0000}"/>
    <cellStyle name="Percent 2 2 2 3 2 2 3" xfId="32429" xr:uid="{00000000-0005-0000-0000-0000E17A0000}"/>
    <cellStyle name="Percent 2 2 2 3 2 3" xfId="8170" xr:uid="{00000000-0005-0000-0000-0000E27A0000}"/>
    <cellStyle name="Percent 2 2 2 3 2 3 2" xfId="16834" xr:uid="{00000000-0005-0000-0000-0000E37A0000}"/>
    <cellStyle name="Percent 2 2 2 3 2 3 2 2" xfId="30241" xr:uid="{00000000-0005-0000-0000-0000E47A0000}"/>
    <cellStyle name="Percent 2 2 2 3 2 3 3" xfId="32430" xr:uid="{00000000-0005-0000-0000-0000E57A0000}"/>
    <cellStyle name="Percent 2 2 2 3 2 4" xfId="10356" xr:uid="{00000000-0005-0000-0000-0000E67A0000}"/>
    <cellStyle name="Percent 2 2 2 3 2 5" xfId="32428" xr:uid="{00000000-0005-0000-0000-0000E77A0000}"/>
    <cellStyle name="Percent 2 2 2 3 3" xfId="8171" xr:uid="{00000000-0005-0000-0000-0000E87A0000}"/>
    <cellStyle name="Percent 2 2 2 3 3 2" xfId="8172" xr:uid="{00000000-0005-0000-0000-0000E97A0000}"/>
    <cellStyle name="Percent 2 2 2 3 3 2 2" xfId="13336" xr:uid="{00000000-0005-0000-0000-0000EA7A0000}"/>
    <cellStyle name="Percent 2 2 2 3 3 2 3" xfId="32432" xr:uid="{00000000-0005-0000-0000-0000EB7A0000}"/>
    <cellStyle name="Percent 2 2 2 3 3 3" xfId="12222" xr:uid="{00000000-0005-0000-0000-0000EC7A0000}"/>
    <cellStyle name="Percent 2 2 2 3 3 3 2" xfId="25934" xr:uid="{00000000-0005-0000-0000-0000ED7A0000}"/>
    <cellStyle name="Percent 2 2 2 3 3 4" xfId="32431" xr:uid="{00000000-0005-0000-0000-0000EE7A0000}"/>
    <cellStyle name="Percent 2 2 2 3 4" xfId="8173" xr:uid="{00000000-0005-0000-0000-0000EF7A0000}"/>
    <cellStyle name="Percent 2 2 2 3 4 2" xfId="8174" xr:uid="{00000000-0005-0000-0000-0000F07A0000}"/>
    <cellStyle name="Percent 2 2 2 3 4 2 2" xfId="15766" xr:uid="{00000000-0005-0000-0000-0000F17A0000}"/>
    <cellStyle name="Percent 2 2 2 3 4 2 3" xfId="32434" xr:uid="{00000000-0005-0000-0000-0000F27A0000}"/>
    <cellStyle name="Percent 2 2 2 3 4 3" xfId="13786" xr:uid="{00000000-0005-0000-0000-0000F37A0000}"/>
    <cellStyle name="Percent 2 2 2 3 4 3 2" xfId="27335" xr:uid="{00000000-0005-0000-0000-0000F47A0000}"/>
    <cellStyle name="Percent 2 2 2 3 4 4" xfId="32433" xr:uid="{00000000-0005-0000-0000-0000F57A0000}"/>
    <cellStyle name="Percent 2 2 2 3 5" xfId="8175" xr:uid="{00000000-0005-0000-0000-0000F67A0000}"/>
    <cellStyle name="Percent 2 2 2 3 5 2" xfId="14367" xr:uid="{00000000-0005-0000-0000-0000F77A0000}"/>
    <cellStyle name="Percent 2 2 2 3 5 2 2" xfId="27916" xr:uid="{00000000-0005-0000-0000-0000F87A0000}"/>
    <cellStyle name="Percent 2 2 2 3 5 3" xfId="32435" xr:uid="{00000000-0005-0000-0000-0000F97A0000}"/>
    <cellStyle name="Percent 2 2 2 3 6" xfId="8176" xr:uid="{00000000-0005-0000-0000-0000FA7A0000}"/>
    <cellStyle name="Percent 2 2 2 3 6 2" xfId="16253" xr:uid="{00000000-0005-0000-0000-0000FB7A0000}"/>
    <cellStyle name="Percent 2 2 2 3 6 2 2" xfId="29660" xr:uid="{00000000-0005-0000-0000-0000FC7A0000}"/>
    <cellStyle name="Percent 2 2 2 3 6 3" xfId="32436" xr:uid="{00000000-0005-0000-0000-0000FD7A0000}"/>
    <cellStyle name="Percent 2 2 2 3 7" xfId="10355" xr:uid="{00000000-0005-0000-0000-0000FE7A0000}"/>
    <cellStyle name="Percent 2 2 2 3 8" xfId="32427" xr:uid="{00000000-0005-0000-0000-0000FF7A0000}"/>
    <cellStyle name="Percent 2 2 2 4" xfId="8177" xr:uid="{00000000-0005-0000-0000-0000007B0000}"/>
    <cellStyle name="Percent 2 2 2 4 2" xfId="8178" xr:uid="{00000000-0005-0000-0000-0000017B0000}"/>
    <cellStyle name="Percent 2 2 2 4 2 2" xfId="17181" xr:uid="{00000000-0005-0000-0000-0000027B0000}"/>
    <cellStyle name="Percent 2 2 2 4 2 2 2" xfId="30540" xr:uid="{00000000-0005-0000-0000-0000037B0000}"/>
    <cellStyle name="Percent 2 2 2 4 2 3" xfId="32438" xr:uid="{00000000-0005-0000-0000-0000047B0000}"/>
    <cellStyle name="Percent 2 2 2 4 3" xfId="10357" xr:uid="{00000000-0005-0000-0000-0000057B0000}"/>
    <cellStyle name="Percent 2 2 2 4 4" xfId="32437" xr:uid="{00000000-0005-0000-0000-0000067B0000}"/>
    <cellStyle name="Percent 2 2 2 5" xfId="8179" xr:uid="{00000000-0005-0000-0000-0000077B0000}"/>
    <cellStyle name="Percent 2 2 2 5 2" xfId="8180" xr:uid="{00000000-0005-0000-0000-0000087B0000}"/>
    <cellStyle name="Percent 2 2 2 5 2 2" xfId="11661" xr:uid="{00000000-0005-0000-0000-0000097B0000}"/>
    <cellStyle name="Percent 2 2 2 5 2 3" xfId="32440" xr:uid="{00000000-0005-0000-0000-00000A7B0000}"/>
    <cellStyle name="Percent 2 2 2 5 3" xfId="8181" xr:uid="{00000000-0005-0000-0000-00000B7B0000}"/>
    <cellStyle name="Percent 2 2 2 5 3 2" xfId="17270" xr:uid="{00000000-0005-0000-0000-00000C7B0000}"/>
    <cellStyle name="Percent 2 2 2 5 3 2 2" xfId="30629" xr:uid="{00000000-0005-0000-0000-00000D7B0000}"/>
    <cellStyle name="Percent 2 2 2 5 3 3" xfId="32441" xr:uid="{00000000-0005-0000-0000-00000E7B0000}"/>
    <cellStyle name="Percent 2 2 2 5 4" xfId="10358" xr:uid="{00000000-0005-0000-0000-00000F7B0000}"/>
    <cellStyle name="Percent 2 2 2 5 5" xfId="32439" xr:uid="{00000000-0005-0000-0000-0000107B0000}"/>
    <cellStyle name="Percent 2 2 2 6" xfId="8182" xr:uid="{00000000-0005-0000-0000-0000117B0000}"/>
    <cellStyle name="Percent 2 2 2 6 2" xfId="8183" xr:uid="{00000000-0005-0000-0000-0000127B0000}"/>
    <cellStyle name="Percent 2 2 2 6 2 2" xfId="13337" xr:uid="{00000000-0005-0000-0000-0000137B0000}"/>
    <cellStyle name="Percent 2 2 2 6 2 3" xfId="32443" xr:uid="{00000000-0005-0000-0000-0000147B0000}"/>
    <cellStyle name="Percent 2 2 2 6 3" xfId="8184" xr:uid="{00000000-0005-0000-0000-0000157B0000}"/>
    <cellStyle name="Percent 2 2 2 6 3 2" xfId="16545" xr:uid="{00000000-0005-0000-0000-0000167B0000}"/>
    <cellStyle name="Percent 2 2 2 6 3 2 2" xfId="29952" xr:uid="{00000000-0005-0000-0000-0000177B0000}"/>
    <cellStyle name="Percent 2 2 2 6 3 3" xfId="32444" xr:uid="{00000000-0005-0000-0000-0000187B0000}"/>
    <cellStyle name="Percent 2 2 2 6 4" xfId="11920" xr:uid="{00000000-0005-0000-0000-0000197B0000}"/>
    <cellStyle name="Percent 2 2 2 6 4 2" xfId="25635" xr:uid="{00000000-0005-0000-0000-00001A7B0000}"/>
    <cellStyle name="Percent 2 2 2 6 5" xfId="32442" xr:uid="{00000000-0005-0000-0000-00001B7B0000}"/>
    <cellStyle name="Percent 2 2 2 7" xfId="8185" xr:uid="{00000000-0005-0000-0000-00001C7B0000}"/>
    <cellStyle name="Percent 2 2 2 7 2" xfId="8186" xr:uid="{00000000-0005-0000-0000-00001D7B0000}"/>
    <cellStyle name="Percent 2 2 2 7 2 2" xfId="15767" xr:uid="{00000000-0005-0000-0000-00001E7B0000}"/>
    <cellStyle name="Percent 2 2 2 7 2 3" xfId="32446" xr:uid="{00000000-0005-0000-0000-00001F7B0000}"/>
    <cellStyle name="Percent 2 2 2 7 3" xfId="13497" xr:uid="{00000000-0005-0000-0000-0000207B0000}"/>
    <cellStyle name="Percent 2 2 2 7 3 2" xfId="27046" xr:uid="{00000000-0005-0000-0000-0000217B0000}"/>
    <cellStyle name="Percent 2 2 2 7 4" xfId="32445" xr:uid="{00000000-0005-0000-0000-0000227B0000}"/>
    <cellStyle name="Percent 2 2 2 8" xfId="8187" xr:uid="{00000000-0005-0000-0000-0000237B0000}"/>
    <cellStyle name="Percent 2 2 2 8 2" xfId="14078" xr:uid="{00000000-0005-0000-0000-0000247B0000}"/>
    <cellStyle name="Percent 2 2 2 8 2 2" xfId="27627" xr:uid="{00000000-0005-0000-0000-0000257B0000}"/>
    <cellStyle name="Percent 2 2 2 8 3" xfId="32447" xr:uid="{00000000-0005-0000-0000-0000267B0000}"/>
    <cellStyle name="Percent 2 2 2 9" xfId="8188" xr:uid="{00000000-0005-0000-0000-0000277B0000}"/>
    <cellStyle name="Percent 2 2 2 9 2" xfId="15964" xr:uid="{00000000-0005-0000-0000-0000287B0000}"/>
    <cellStyle name="Percent 2 2 2 9 2 2" xfId="29371" xr:uid="{00000000-0005-0000-0000-0000297B0000}"/>
    <cellStyle name="Percent 2 2 2 9 3" xfId="32448" xr:uid="{00000000-0005-0000-0000-00002A7B0000}"/>
    <cellStyle name="Percent 2 2 3" xfId="8189" xr:uid="{00000000-0005-0000-0000-00002B7B0000}"/>
    <cellStyle name="Percent 2 2 3 2" xfId="8190" xr:uid="{00000000-0005-0000-0000-00002C7B0000}"/>
    <cellStyle name="Percent 2 2 3 2 2" xfId="8191" xr:uid="{00000000-0005-0000-0000-00002D7B0000}"/>
    <cellStyle name="Percent 2 2 3 2 2 2" xfId="8192" xr:uid="{00000000-0005-0000-0000-00002E7B0000}"/>
    <cellStyle name="Percent 2 2 3 2 2 2 2" xfId="11662" xr:uid="{00000000-0005-0000-0000-00002F7B0000}"/>
    <cellStyle name="Percent 2 2 3 2 2 2 3" xfId="32452" xr:uid="{00000000-0005-0000-0000-0000307B0000}"/>
    <cellStyle name="Percent 2 2 3 2 2 3" xfId="8193" xr:uid="{00000000-0005-0000-0000-0000317B0000}"/>
    <cellStyle name="Percent 2 2 3 2 2 3 2" xfId="16931" xr:uid="{00000000-0005-0000-0000-0000327B0000}"/>
    <cellStyle name="Percent 2 2 3 2 2 3 2 2" xfId="30338" xr:uid="{00000000-0005-0000-0000-0000337B0000}"/>
    <cellStyle name="Percent 2 2 3 2 2 3 3" xfId="32453" xr:uid="{00000000-0005-0000-0000-0000347B0000}"/>
    <cellStyle name="Percent 2 2 3 2 2 4" xfId="10361" xr:uid="{00000000-0005-0000-0000-0000357B0000}"/>
    <cellStyle name="Percent 2 2 3 2 2 5" xfId="32451" xr:uid="{00000000-0005-0000-0000-0000367B0000}"/>
    <cellStyle name="Percent 2 2 3 2 3" xfId="8194" xr:uid="{00000000-0005-0000-0000-0000377B0000}"/>
    <cellStyle name="Percent 2 2 3 2 3 2" xfId="8195" xr:uid="{00000000-0005-0000-0000-0000387B0000}"/>
    <cellStyle name="Percent 2 2 3 2 3 2 2" xfId="13338" xr:uid="{00000000-0005-0000-0000-0000397B0000}"/>
    <cellStyle name="Percent 2 2 3 2 3 2 3" xfId="32455" xr:uid="{00000000-0005-0000-0000-00003A7B0000}"/>
    <cellStyle name="Percent 2 2 3 2 3 3" xfId="12319" xr:uid="{00000000-0005-0000-0000-00003B7B0000}"/>
    <cellStyle name="Percent 2 2 3 2 3 3 2" xfId="26031" xr:uid="{00000000-0005-0000-0000-00003C7B0000}"/>
    <cellStyle name="Percent 2 2 3 2 3 4" xfId="32454" xr:uid="{00000000-0005-0000-0000-00003D7B0000}"/>
    <cellStyle name="Percent 2 2 3 2 4" xfId="8196" xr:uid="{00000000-0005-0000-0000-00003E7B0000}"/>
    <cellStyle name="Percent 2 2 3 2 4 2" xfId="8197" xr:uid="{00000000-0005-0000-0000-00003F7B0000}"/>
    <cellStyle name="Percent 2 2 3 2 4 2 2" xfId="15768" xr:uid="{00000000-0005-0000-0000-0000407B0000}"/>
    <cellStyle name="Percent 2 2 3 2 4 2 3" xfId="32457" xr:uid="{00000000-0005-0000-0000-0000417B0000}"/>
    <cellStyle name="Percent 2 2 3 2 4 3" xfId="13883" xr:uid="{00000000-0005-0000-0000-0000427B0000}"/>
    <cellStyle name="Percent 2 2 3 2 4 3 2" xfId="27432" xr:uid="{00000000-0005-0000-0000-0000437B0000}"/>
    <cellStyle name="Percent 2 2 3 2 4 4" xfId="32456" xr:uid="{00000000-0005-0000-0000-0000447B0000}"/>
    <cellStyle name="Percent 2 2 3 2 5" xfId="8198" xr:uid="{00000000-0005-0000-0000-0000457B0000}"/>
    <cellStyle name="Percent 2 2 3 2 5 2" xfId="14464" xr:uid="{00000000-0005-0000-0000-0000467B0000}"/>
    <cellStyle name="Percent 2 2 3 2 5 2 2" xfId="28013" xr:uid="{00000000-0005-0000-0000-0000477B0000}"/>
    <cellStyle name="Percent 2 2 3 2 5 3" xfId="32458" xr:uid="{00000000-0005-0000-0000-0000487B0000}"/>
    <cellStyle name="Percent 2 2 3 2 6" xfId="8199" xr:uid="{00000000-0005-0000-0000-0000497B0000}"/>
    <cellStyle name="Percent 2 2 3 2 6 2" xfId="16350" xr:uid="{00000000-0005-0000-0000-00004A7B0000}"/>
    <cellStyle name="Percent 2 2 3 2 6 2 2" xfId="29757" xr:uid="{00000000-0005-0000-0000-00004B7B0000}"/>
    <cellStyle name="Percent 2 2 3 2 6 3" xfId="32459" xr:uid="{00000000-0005-0000-0000-00004C7B0000}"/>
    <cellStyle name="Percent 2 2 3 2 7" xfId="10360" xr:uid="{00000000-0005-0000-0000-00004D7B0000}"/>
    <cellStyle name="Percent 2 2 3 2 8" xfId="32450" xr:uid="{00000000-0005-0000-0000-00004E7B0000}"/>
    <cellStyle name="Percent 2 2 3 3" xfId="8200" xr:uid="{00000000-0005-0000-0000-00004F7B0000}"/>
    <cellStyle name="Percent 2 2 3 3 2" xfId="8201" xr:uid="{00000000-0005-0000-0000-0000507B0000}"/>
    <cellStyle name="Percent 2 2 3 3 2 2" xfId="11663" xr:uid="{00000000-0005-0000-0000-0000517B0000}"/>
    <cellStyle name="Percent 2 2 3 3 2 3" xfId="32461" xr:uid="{00000000-0005-0000-0000-0000527B0000}"/>
    <cellStyle name="Percent 2 2 3 3 3" xfId="8202" xr:uid="{00000000-0005-0000-0000-0000537B0000}"/>
    <cellStyle name="Percent 2 2 3 3 3 2" xfId="16642" xr:uid="{00000000-0005-0000-0000-0000547B0000}"/>
    <cellStyle name="Percent 2 2 3 3 3 2 2" xfId="30049" xr:uid="{00000000-0005-0000-0000-0000557B0000}"/>
    <cellStyle name="Percent 2 2 3 3 3 3" xfId="32462" xr:uid="{00000000-0005-0000-0000-0000567B0000}"/>
    <cellStyle name="Percent 2 2 3 3 4" xfId="10362" xr:uid="{00000000-0005-0000-0000-0000577B0000}"/>
    <cellStyle name="Percent 2 2 3 3 5" xfId="32460" xr:uid="{00000000-0005-0000-0000-0000587B0000}"/>
    <cellStyle name="Percent 2 2 3 4" xfId="8203" xr:uid="{00000000-0005-0000-0000-0000597B0000}"/>
    <cellStyle name="Percent 2 2 3 4 2" xfId="8204" xr:uid="{00000000-0005-0000-0000-00005A7B0000}"/>
    <cellStyle name="Percent 2 2 3 4 2 2" xfId="13339" xr:uid="{00000000-0005-0000-0000-00005B7B0000}"/>
    <cellStyle name="Percent 2 2 3 4 2 3" xfId="32464" xr:uid="{00000000-0005-0000-0000-00005C7B0000}"/>
    <cellStyle name="Percent 2 2 3 4 3" xfId="12019" xr:uid="{00000000-0005-0000-0000-00005D7B0000}"/>
    <cellStyle name="Percent 2 2 3 4 3 2" xfId="25734" xr:uid="{00000000-0005-0000-0000-00005E7B0000}"/>
    <cellStyle name="Percent 2 2 3 4 4" xfId="32463" xr:uid="{00000000-0005-0000-0000-00005F7B0000}"/>
    <cellStyle name="Percent 2 2 3 5" xfId="8205" xr:uid="{00000000-0005-0000-0000-0000607B0000}"/>
    <cellStyle name="Percent 2 2 3 5 2" xfId="8206" xr:uid="{00000000-0005-0000-0000-0000617B0000}"/>
    <cellStyle name="Percent 2 2 3 5 2 2" xfId="15769" xr:uid="{00000000-0005-0000-0000-0000627B0000}"/>
    <cellStyle name="Percent 2 2 3 5 2 3" xfId="32466" xr:uid="{00000000-0005-0000-0000-0000637B0000}"/>
    <cellStyle name="Percent 2 2 3 5 3" xfId="13594" xr:uid="{00000000-0005-0000-0000-0000647B0000}"/>
    <cellStyle name="Percent 2 2 3 5 3 2" xfId="27143" xr:uid="{00000000-0005-0000-0000-0000657B0000}"/>
    <cellStyle name="Percent 2 2 3 5 4" xfId="32465" xr:uid="{00000000-0005-0000-0000-0000667B0000}"/>
    <cellStyle name="Percent 2 2 3 6" xfId="8207" xr:uid="{00000000-0005-0000-0000-0000677B0000}"/>
    <cellStyle name="Percent 2 2 3 6 2" xfId="14175" xr:uid="{00000000-0005-0000-0000-0000687B0000}"/>
    <cellStyle name="Percent 2 2 3 6 2 2" xfId="27724" xr:uid="{00000000-0005-0000-0000-0000697B0000}"/>
    <cellStyle name="Percent 2 2 3 6 3" xfId="32467" xr:uid="{00000000-0005-0000-0000-00006A7B0000}"/>
    <cellStyle name="Percent 2 2 3 7" xfId="8208" xr:uid="{00000000-0005-0000-0000-00006B7B0000}"/>
    <cellStyle name="Percent 2 2 3 7 2" xfId="16061" xr:uid="{00000000-0005-0000-0000-00006C7B0000}"/>
    <cellStyle name="Percent 2 2 3 7 2 2" xfId="29468" xr:uid="{00000000-0005-0000-0000-00006D7B0000}"/>
    <cellStyle name="Percent 2 2 3 7 3" xfId="32468" xr:uid="{00000000-0005-0000-0000-00006E7B0000}"/>
    <cellStyle name="Percent 2 2 3 8" xfId="10359" xr:uid="{00000000-0005-0000-0000-00006F7B0000}"/>
    <cellStyle name="Percent 2 2 3 9" xfId="32449" xr:uid="{00000000-0005-0000-0000-0000707B0000}"/>
    <cellStyle name="Percent 2 2 4" xfId="8209" xr:uid="{00000000-0005-0000-0000-0000717B0000}"/>
    <cellStyle name="Percent 2 2 4 2" xfId="8210" xr:uid="{00000000-0005-0000-0000-0000727B0000}"/>
    <cellStyle name="Percent 2 2 4 2 2" xfId="8211" xr:uid="{00000000-0005-0000-0000-0000737B0000}"/>
    <cellStyle name="Percent 2 2 4 2 2 2" xfId="11665" xr:uid="{00000000-0005-0000-0000-0000747B0000}"/>
    <cellStyle name="Percent 2 2 4 2 2 3" xfId="32471" xr:uid="{00000000-0005-0000-0000-0000757B0000}"/>
    <cellStyle name="Percent 2 2 4 2 3" xfId="8212" xr:uid="{00000000-0005-0000-0000-0000767B0000}"/>
    <cellStyle name="Percent 2 2 4 2 3 2" xfId="16788" xr:uid="{00000000-0005-0000-0000-0000777B0000}"/>
    <cellStyle name="Percent 2 2 4 2 3 2 2" xfId="30195" xr:uid="{00000000-0005-0000-0000-0000787B0000}"/>
    <cellStyle name="Percent 2 2 4 2 3 3" xfId="32472" xr:uid="{00000000-0005-0000-0000-0000797B0000}"/>
    <cellStyle name="Percent 2 2 4 2 4" xfId="10364" xr:uid="{00000000-0005-0000-0000-00007A7B0000}"/>
    <cellStyle name="Percent 2 2 4 2 5" xfId="32470" xr:uid="{00000000-0005-0000-0000-00007B7B0000}"/>
    <cellStyle name="Percent 2 2 4 3" xfId="8213" xr:uid="{00000000-0005-0000-0000-00007C7B0000}"/>
    <cellStyle name="Percent 2 2 4 3 2" xfId="8214" xr:uid="{00000000-0005-0000-0000-00007D7B0000}"/>
    <cellStyle name="Percent 2 2 4 3 2 2" xfId="13340" xr:uid="{00000000-0005-0000-0000-00007E7B0000}"/>
    <cellStyle name="Percent 2 2 4 3 2 3" xfId="32474" xr:uid="{00000000-0005-0000-0000-00007F7B0000}"/>
    <cellStyle name="Percent 2 2 4 3 3" xfId="12176" xr:uid="{00000000-0005-0000-0000-0000807B0000}"/>
    <cellStyle name="Percent 2 2 4 3 3 2" xfId="25888" xr:uid="{00000000-0005-0000-0000-0000817B0000}"/>
    <cellStyle name="Percent 2 2 4 3 4" xfId="32473" xr:uid="{00000000-0005-0000-0000-0000827B0000}"/>
    <cellStyle name="Percent 2 2 4 4" xfId="8215" xr:uid="{00000000-0005-0000-0000-0000837B0000}"/>
    <cellStyle name="Percent 2 2 4 4 2" xfId="8216" xr:uid="{00000000-0005-0000-0000-0000847B0000}"/>
    <cellStyle name="Percent 2 2 4 4 2 2" xfId="15770" xr:uid="{00000000-0005-0000-0000-0000857B0000}"/>
    <cellStyle name="Percent 2 2 4 4 2 3" xfId="32476" xr:uid="{00000000-0005-0000-0000-0000867B0000}"/>
    <cellStyle name="Percent 2 2 4 4 3" xfId="13740" xr:uid="{00000000-0005-0000-0000-0000877B0000}"/>
    <cellStyle name="Percent 2 2 4 4 3 2" xfId="27289" xr:uid="{00000000-0005-0000-0000-0000887B0000}"/>
    <cellStyle name="Percent 2 2 4 4 4" xfId="32475" xr:uid="{00000000-0005-0000-0000-0000897B0000}"/>
    <cellStyle name="Percent 2 2 4 5" xfId="8217" xr:uid="{00000000-0005-0000-0000-00008A7B0000}"/>
    <cellStyle name="Percent 2 2 4 5 2" xfId="14321" xr:uid="{00000000-0005-0000-0000-00008B7B0000}"/>
    <cellStyle name="Percent 2 2 4 5 2 2" xfId="27870" xr:uid="{00000000-0005-0000-0000-00008C7B0000}"/>
    <cellStyle name="Percent 2 2 4 5 3" xfId="32477" xr:uid="{00000000-0005-0000-0000-00008D7B0000}"/>
    <cellStyle name="Percent 2 2 4 6" xfId="8218" xr:uid="{00000000-0005-0000-0000-00008E7B0000}"/>
    <cellStyle name="Percent 2 2 4 6 2" xfId="16207" xr:uid="{00000000-0005-0000-0000-00008F7B0000}"/>
    <cellStyle name="Percent 2 2 4 6 2 2" xfId="29614" xr:uid="{00000000-0005-0000-0000-0000907B0000}"/>
    <cellStyle name="Percent 2 2 4 6 3" xfId="32478" xr:uid="{00000000-0005-0000-0000-0000917B0000}"/>
    <cellStyle name="Percent 2 2 4 7" xfId="10363" xr:uid="{00000000-0005-0000-0000-0000927B0000}"/>
    <cellStyle name="Percent 2 2 4 8" xfId="32469" xr:uid="{00000000-0005-0000-0000-0000937B0000}"/>
    <cellStyle name="Percent 2 2 5" xfId="8219" xr:uid="{00000000-0005-0000-0000-0000947B0000}"/>
    <cellStyle name="Percent 2 2 5 2" xfId="8220" xr:uid="{00000000-0005-0000-0000-0000957B0000}"/>
    <cellStyle name="Percent 2 2 5 2 2" xfId="8221" xr:uid="{00000000-0005-0000-0000-0000967B0000}"/>
    <cellStyle name="Percent 2 2 5 2 2 2" xfId="11667" xr:uid="{00000000-0005-0000-0000-0000977B0000}"/>
    <cellStyle name="Percent 2 2 5 2 2 3" xfId="32481" xr:uid="{00000000-0005-0000-0000-0000987B0000}"/>
    <cellStyle name="Percent 2 2 5 2 3" xfId="10366" xr:uid="{00000000-0005-0000-0000-0000997B0000}"/>
    <cellStyle name="Percent 2 2 5 2 4" xfId="32480" xr:uid="{00000000-0005-0000-0000-00009A7B0000}"/>
    <cellStyle name="Percent 2 2 5 3" xfId="8222" xr:uid="{00000000-0005-0000-0000-00009B7B0000}"/>
    <cellStyle name="Percent 2 2 5 3 2" xfId="11666" xr:uid="{00000000-0005-0000-0000-00009C7B0000}"/>
    <cellStyle name="Percent 2 2 5 3 3" xfId="32482" xr:uid="{00000000-0005-0000-0000-00009D7B0000}"/>
    <cellStyle name="Percent 2 2 5 4" xfId="8223" xr:uid="{00000000-0005-0000-0000-00009E7B0000}"/>
    <cellStyle name="Percent 2 2 5 4 2" xfId="17055" xr:uid="{00000000-0005-0000-0000-00009F7B0000}"/>
    <cellStyle name="Percent 2 2 5 4 2 2" xfId="30454" xr:uid="{00000000-0005-0000-0000-0000A07B0000}"/>
    <cellStyle name="Percent 2 2 5 4 3" xfId="32483" xr:uid="{00000000-0005-0000-0000-0000A17B0000}"/>
    <cellStyle name="Percent 2 2 5 5" xfId="10365" xr:uid="{00000000-0005-0000-0000-0000A27B0000}"/>
    <cellStyle name="Percent 2 2 5 6" xfId="32479" xr:uid="{00000000-0005-0000-0000-0000A37B0000}"/>
    <cellStyle name="Percent 2 2 6" xfId="8224" xr:uid="{00000000-0005-0000-0000-0000A47B0000}"/>
    <cellStyle name="Percent 2 2 6 2" xfId="8225" xr:uid="{00000000-0005-0000-0000-0000A57B0000}"/>
    <cellStyle name="Percent 2 2 6 2 2" xfId="17135" xr:uid="{00000000-0005-0000-0000-0000A67B0000}"/>
    <cellStyle name="Percent 2 2 6 2 2 2" xfId="30494" xr:uid="{00000000-0005-0000-0000-0000A77B0000}"/>
    <cellStyle name="Percent 2 2 6 2 3" xfId="32485" xr:uid="{00000000-0005-0000-0000-0000A87B0000}"/>
    <cellStyle name="Percent 2 2 6 3" xfId="10367" xr:uid="{00000000-0005-0000-0000-0000A97B0000}"/>
    <cellStyle name="Percent 2 2 6 4" xfId="32484" xr:uid="{00000000-0005-0000-0000-0000AA7B0000}"/>
    <cellStyle name="Percent 2 2 7" xfId="8226" xr:uid="{00000000-0005-0000-0000-0000AB7B0000}"/>
    <cellStyle name="Percent 2 2 7 2" xfId="8227" xr:uid="{00000000-0005-0000-0000-0000AC7B0000}"/>
    <cellStyle name="Percent 2 2 7 2 2" xfId="11668" xr:uid="{00000000-0005-0000-0000-0000AD7B0000}"/>
    <cellStyle name="Percent 2 2 7 2 3" xfId="32487" xr:uid="{00000000-0005-0000-0000-0000AE7B0000}"/>
    <cellStyle name="Percent 2 2 7 3" xfId="8228" xr:uid="{00000000-0005-0000-0000-0000AF7B0000}"/>
    <cellStyle name="Percent 2 2 7 3 2" xfId="17224" xr:uid="{00000000-0005-0000-0000-0000B07B0000}"/>
    <cellStyle name="Percent 2 2 7 3 2 2" xfId="30583" xr:uid="{00000000-0005-0000-0000-0000B17B0000}"/>
    <cellStyle name="Percent 2 2 7 3 3" xfId="32488" xr:uid="{00000000-0005-0000-0000-0000B27B0000}"/>
    <cellStyle name="Percent 2 2 7 4" xfId="10368" xr:uid="{00000000-0005-0000-0000-0000B37B0000}"/>
    <cellStyle name="Percent 2 2 7 5" xfId="32486" xr:uid="{00000000-0005-0000-0000-0000B47B0000}"/>
    <cellStyle name="Percent 2 2 8" xfId="8229" xr:uid="{00000000-0005-0000-0000-0000B57B0000}"/>
    <cellStyle name="Percent 2 2 8 2" xfId="8230" xr:uid="{00000000-0005-0000-0000-0000B67B0000}"/>
    <cellStyle name="Percent 2 2 8 2 2" xfId="11669" xr:uid="{00000000-0005-0000-0000-0000B77B0000}"/>
    <cellStyle name="Percent 2 2 8 2 3" xfId="32490" xr:uid="{00000000-0005-0000-0000-0000B87B0000}"/>
    <cellStyle name="Percent 2 2 8 3" xfId="8231" xr:uid="{00000000-0005-0000-0000-0000B97B0000}"/>
    <cellStyle name="Percent 2 2 8 3 2" xfId="16499" xr:uid="{00000000-0005-0000-0000-0000BA7B0000}"/>
    <cellStyle name="Percent 2 2 8 3 2 2" xfId="29906" xr:uid="{00000000-0005-0000-0000-0000BB7B0000}"/>
    <cellStyle name="Percent 2 2 8 3 3" xfId="32491" xr:uid="{00000000-0005-0000-0000-0000BC7B0000}"/>
    <cellStyle name="Percent 2 2 8 4" xfId="10369" xr:uid="{00000000-0005-0000-0000-0000BD7B0000}"/>
    <cellStyle name="Percent 2 2 8 5" xfId="32489" xr:uid="{00000000-0005-0000-0000-0000BE7B0000}"/>
    <cellStyle name="Percent 2 2 9" xfId="8232" xr:uid="{00000000-0005-0000-0000-0000BF7B0000}"/>
    <cellStyle name="Percent 2 2 9 2" xfId="8233" xr:uid="{00000000-0005-0000-0000-0000C07B0000}"/>
    <cellStyle name="Percent 2 2 9 2 2" xfId="13341" xr:uid="{00000000-0005-0000-0000-0000C17B0000}"/>
    <cellStyle name="Percent 2 2 9 2 2 2" xfId="26924" xr:uid="{00000000-0005-0000-0000-0000C27B0000}"/>
    <cellStyle name="Percent 2 2 9 2 3" xfId="32493" xr:uid="{00000000-0005-0000-0000-0000C37B0000}"/>
    <cellStyle name="Percent 2 2 9 3" xfId="8234" xr:uid="{00000000-0005-0000-0000-0000C47B0000}"/>
    <cellStyle name="Percent 2 2 9 3 2" xfId="15771" xr:uid="{00000000-0005-0000-0000-0000C57B0000}"/>
    <cellStyle name="Percent 2 2 9 3 3" xfId="32494" xr:uid="{00000000-0005-0000-0000-0000C67B0000}"/>
    <cellStyle name="Percent 2 2 9 4" xfId="10544" xr:uid="{00000000-0005-0000-0000-0000C77B0000}"/>
    <cellStyle name="Percent 2 2 9 4 2" xfId="24486" xr:uid="{00000000-0005-0000-0000-0000C87B0000}"/>
    <cellStyle name="Percent 2 2 9 5" xfId="32492" xr:uid="{00000000-0005-0000-0000-0000C97B0000}"/>
    <cellStyle name="Percent 2 20" xfId="8235" xr:uid="{00000000-0005-0000-0000-0000CA7B0000}"/>
    <cellStyle name="Percent 2 20 2" xfId="8236" xr:uid="{00000000-0005-0000-0000-0000CB7B0000}"/>
    <cellStyle name="Percent 2 20 2 2" xfId="11670" xr:uid="{00000000-0005-0000-0000-0000CC7B0000}"/>
    <cellStyle name="Percent 2 20 2 3" xfId="32496" xr:uid="{00000000-0005-0000-0000-0000CD7B0000}"/>
    <cellStyle name="Percent 2 20 3" xfId="10370" xr:uid="{00000000-0005-0000-0000-0000CE7B0000}"/>
    <cellStyle name="Percent 2 20 4" xfId="32495" xr:uid="{00000000-0005-0000-0000-0000CF7B0000}"/>
    <cellStyle name="Percent 2 21" xfId="8237" xr:uid="{00000000-0005-0000-0000-0000D07B0000}"/>
    <cellStyle name="Percent 2 21 2" xfId="8238" xr:uid="{00000000-0005-0000-0000-0000D17B0000}"/>
    <cellStyle name="Percent 2 21 2 2" xfId="11726" xr:uid="{00000000-0005-0000-0000-0000D27B0000}"/>
    <cellStyle name="Percent 2 21 2 2 2" xfId="25446" xr:uid="{00000000-0005-0000-0000-0000D37B0000}"/>
    <cellStyle name="Percent 2 21 2 3" xfId="32498" xr:uid="{00000000-0005-0000-0000-0000D47B0000}"/>
    <cellStyle name="Percent 2 21 3" xfId="8239" xr:uid="{00000000-0005-0000-0000-0000D57B0000}"/>
    <cellStyle name="Percent 2 21 3 2" xfId="13342" xr:uid="{00000000-0005-0000-0000-0000D67B0000}"/>
    <cellStyle name="Percent 2 21 3 2 2" xfId="26925" xr:uid="{00000000-0005-0000-0000-0000D77B0000}"/>
    <cellStyle name="Percent 2 21 3 3" xfId="32499" xr:uid="{00000000-0005-0000-0000-0000D87B0000}"/>
    <cellStyle name="Percent 2 21 4" xfId="8240" xr:uid="{00000000-0005-0000-0000-0000D97B0000}"/>
    <cellStyle name="Percent 2 21 4 2" xfId="15772" xr:uid="{00000000-0005-0000-0000-0000DA7B0000}"/>
    <cellStyle name="Percent 2 21 4 3" xfId="32500" xr:uid="{00000000-0005-0000-0000-0000DB7B0000}"/>
    <cellStyle name="Percent 2 21 5" xfId="10500" xr:uid="{00000000-0005-0000-0000-0000DC7B0000}"/>
    <cellStyle name="Percent 2 21 5 2" xfId="24450" xr:uid="{00000000-0005-0000-0000-0000DD7B0000}"/>
    <cellStyle name="Percent 2 21 6" xfId="32497" xr:uid="{00000000-0005-0000-0000-0000DE7B0000}"/>
    <cellStyle name="Percent 2 22" xfId="8241" xr:uid="{00000000-0005-0000-0000-0000DF7B0000}"/>
    <cellStyle name="Percent 2 22 2" xfId="8242" xr:uid="{00000000-0005-0000-0000-0000E07B0000}"/>
    <cellStyle name="Percent 2 22 2 2" xfId="13343" xr:uid="{00000000-0005-0000-0000-0000E17B0000}"/>
    <cellStyle name="Percent 2 22 2 2 2" xfId="26926" xr:uid="{00000000-0005-0000-0000-0000E27B0000}"/>
    <cellStyle name="Percent 2 22 2 3" xfId="32502" xr:uid="{00000000-0005-0000-0000-0000E37B0000}"/>
    <cellStyle name="Percent 2 22 3" xfId="8243" xr:uid="{00000000-0005-0000-0000-0000E47B0000}"/>
    <cellStyle name="Percent 2 22 3 2" xfId="15773" xr:uid="{00000000-0005-0000-0000-0000E57B0000}"/>
    <cellStyle name="Percent 2 22 3 3" xfId="32503" xr:uid="{00000000-0005-0000-0000-0000E67B0000}"/>
    <cellStyle name="Percent 2 22 4" xfId="10527" xr:uid="{00000000-0005-0000-0000-0000E77B0000}"/>
    <cellStyle name="Percent 2 22 4 2" xfId="24469" xr:uid="{00000000-0005-0000-0000-0000E87B0000}"/>
    <cellStyle name="Percent 2 22 5" xfId="32501" xr:uid="{00000000-0005-0000-0000-0000E97B0000}"/>
    <cellStyle name="Percent 2 23" xfId="8244" xr:uid="{00000000-0005-0000-0000-0000EA7B0000}"/>
    <cellStyle name="Percent 2 23 2" xfId="11649" xr:uid="{00000000-0005-0000-0000-0000EB7B0000}"/>
    <cellStyle name="Percent 2 23 3" xfId="32504" xr:uid="{00000000-0005-0000-0000-0000EC7B0000}"/>
    <cellStyle name="Percent 2 24" xfId="8245" xr:uid="{00000000-0005-0000-0000-0000ED7B0000}"/>
    <cellStyle name="Percent 2 24 2" xfId="11791" xr:uid="{00000000-0005-0000-0000-0000EE7B0000}"/>
    <cellStyle name="Percent 2 24 2 2" xfId="25506" xr:uid="{00000000-0005-0000-0000-0000EF7B0000}"/>
    <cellStyle name="Percent 2 24 3" xfId="32505" xr:uid="{00000000-0005-0000-0000-0000F07B0000}"/>
    <cellStyle name="Percent 2 25" xfId="8246" xr:uid="{00000000-0005-0000-0000-0000F17B0000}"/>
    <cellStyle name="Percent 2 25 2" xfId="13394" xr:uid="{00000000-0005-0000-0000-0000F27B0000}"/>
    <cellStyle name="Percent 2 25 2 2" xfId="26943" xr:uid="{00000000-0005-0000-0000-0000F37B0000}"/>
    <cellStyle name="Percent 2 25 3" xfId="32506" xr:uid="{00000000-0005-0000-0000-0000F47B0000}"/>
    <cellStyle name="Percent 2 26" xfId="8247" xr:uid="{00000000-0005-0000-0000-0000F57B0000}"/>
    <cellStyle name="Percent 2 26 2" xfId="13975" xr:uid="{00000000-0005-0000-0000-0000F67B0000}"/>
    <cellStyle name="Percent 2 26 2 2" xfId="27524" xr:uid="{00000000-0005-0000-0000-0000F77B0000}"/>
    <cellStyle name="Percent 2 26 3" xfId="32507" xr:uid="{00000000-0005-0000-0000-0000F87B0000}"/>
    <cellStyle name="Percent 2 27" xfId="8248" xr:uid="{00000000-0005-0000-0000-0000F97B0000}"/>
    <cellStyle name="Percent 2 27 2" xfId="15844" xr:uid="{00000000-0005-0000-0000-0000FA7B0000}"/>
    <cellStyle name="Percent 2 27 2 2" xfId="29251" xr:uid="{00000000-0005-0000-0000-0000FB7B0000}"/>
    <cellStyle name="Percent 2 27 3" xfId="32508" xr:uid="{00000000-0005-0000-0000-0000FC7B0000}"/>
    <cellStyle name="Percent 2 28" xfId="8249" xr:uid="{00000000-0005-0000-0000-0000FD7B0000}"/>
    <cellStyle name="Percent 2 28 2" xfId="15861" xr:uid="{00000000-0005-0000-0000-0000FE7B0000}"/>
    <cellStyle name="Percent 2 28 2 2" xfId="29268" xr:uid="{00000000-0005-0000-0000-0000FF7B0000}"/>
    <cellStyle name="Percent 2 28 3" xfId="32509" xr:uid="{00000000-0005-0000-0000-0000007C0000}"/>
    <cellStyle name="Percent 2 29" xfId="8654" xr:uid="{00000000-0005-0000-0000-0000017C0000}"/>
    <cellStyle name="Percent 2 29 2" xfId="10337" xr:uid="{00000000-0005-0000-0000-0000027C0000}"/>
    <cellStyle name="Percent 2 3" xfId="8250" xr:uid="{00000000-0005-0000-0000-0000037C0000}"/>
    <cellStyle name="Percent 2 3 10" xfId="8251" xr:uid="{00000000-0005-0000-0000-0000047C0000}"/>
    <cellStyle name="Percent 2 3 10 2" xfId="17351" xr:uid="{00000000-0005-0000-0000-0000057C0000}"/>
    <cellStyle name="Percent 2 3 10 3" xfId="32510" xr:uid="{00000000-0005-0000-0000-0000067C0000}"/>
    <cellStyle name="Percent 2 3 11" xfId="8748" xr:uid="{00000000-0005-0000-0000-0000077C0000}"/>
    <cellStyle name="Percent 2 3 12" xfId="10371" xr:uid="{00000000-0005-0000-0000-0000087C0000}"/>
    <cellStyle name="Percent 2 3 2" xfId="8252" xr:uid="{00000000-0005-0000-0000-0000097C0000}"/>
    <cellStyle name="Percent 2 3 2 2" xfId="8253" xr:uid="{00000000-0005-0000-0000-00000A7C0000}"/>
    <cellStyle name="Percent 2 3 2 2 2" xfId="8254" xr:uid="{00000000-0005-0000-0000-00000B7C0000}"/>
    <cellStyle name="Percent 2 3 2 2 2 2" xfId="8255" xr:uid="{00000000-0005-0000-0000-00000C7C0000}"/>
    <cellStyle name="Percent 2 3 2 2 2 2 2" xfId="11671" xr:uid="{00000000-0005-0000-0000-00000D7C0000}"/>
    <cellStyle name="Percent 2 3 2 2 2 2 3" xfId="32514" xr:uid="{00000000-0005-0000-0000-00000E7C0000}"/>
    <cellStyle name="Percent 2 3 2 2 2 3" xfId="8256" xr:uid="{00000000-0005-0000-0000-00000F7C0000}"/>
    <cellStyle name="Percent 2 3 2 2 2 3 2" xfId="16954" xr:uid="{00000000-0005-0000-0000-0000107C0000}"/>
    <cellStyle name="Percent 2 3 2 2 2 3 2 2" xfId="30361" xr:uid="{00000000-0005-0000-0000-0000117C0000}"/>
    <cellStyle name="Percent 2 3 2 2 2 3 3" xfId="32515" xr:uid="{00000000-0005-0000-0000-0000127C0000}"/>
    <cellStyle name="Percent 2 3 2 2 2 4" xfId="10374" xr:uid="{00000000-0005-0000-0000-0000137C0000}"/>
    <cellStyle name="Percent 2 3 2 2 2 5" xfId="32513" xr:uid="{00000000-0005-0000-0000-0000147C0000}"/>
    <cellStyle name="Percent 2 3 2 2 3" xfId="8257" xr:uid="{00000000-0005-0000-0000-0000157C0000}"/>
    <cellStyle name="Percent 2 3 2 2 3 2" xfId="8258" xr:uid="{00000000-0005-0000-0000-0000167C0000}"/>
    <cellStyle name="Percent 2 3 2 2 3 2 2" xfId="13344" xr:uid="{00000000-0005-0000-0000-0000177C0000}"/>
    <cellStyle name="Percent 2 3 2 2 3 2 3" xfId="32517" xr:uid="{00000000-0005-0000-0000-0000187C0000}"/>
    <cellStyle name="Percent 2 3 2 2 3 3" xfId="12342" xr:uid="{00000000-0005-0000-0000-0000197C0000}"/>
    <cellStyle name="Percent 2 3 2 2 3 3 2" xfId="26054" xr:uid="{00000000-0005-0000-0000-00001A7C0000}"/>
    <cellStyle name="Percent 2 3 2 2 3 4" xfId="32516" xr:uid="{00000000-0005-0000-0000-00001B7C0000}"/>
    <cellStyle name="Percent 2 3 2 2 4" xfId="8259" xr:uid="{00000000-0005-0000-0000-00001C7C0000}"/>
    <cellStyle name="Percent 2 3 2 2 4 2" xfId="8260" xr:uid="{00000000-0005-0000-0000-00001D7C0000}"/>
    <cellStyle name="Percent 2 3 2 2 4 2 2" xfId="15774" xr:uid="{00000000-0005-0000-0000-00001E7C0000}"/>
    <cellStyle name="Percent 2 3 2 2 4 2 3" xfId="32519" xr:uid="{00000000-0005-0000-0000-00001F7C0000}"/>
    <cellStyle name="Percent 2 3 2 2 4 3" xfId="13906" xr:uid="{00000000-0005-0000-0000-0000207C0000}"/>
    <cellStyle name="Percent 2 3 2 2 4 3 2" xfId="27455" xr:uid="{00000000-0005-0000-0000-0000217C0000}"/>
    <cellStyle name="Percent 2 3 2 2 4 4" xfId="32518" xr:uid="{00000000-0005-0000-0000-0000227C0000}"/>
    <cellStyle name="Percent 2 3 2 2 5" xfId="8261" xr:uid="{00000000-0005-0000-0000-0000237C0000}"/>
    <cellStyle name="Percent 2 3 2 2 5 2" xfId="14487" xr:uid="{00000000-0005-0000-0000-0000247C0000}"/>
    <cellStyle name="Percent 2 3 2 2 5 2 2" xfId="28036" xr:uid="{00000000-0005-0000-0000-0000257C0000}"/>
    <cellStyle name="Percent 2 3 2 2 5 3" xfId="32520" xr:uid="{00000000-0005-0000-0000-0000267C0000}"/>
    <cellStyle name="Percent 2 3 2 2 6" xfId="8262" xr:uid="{00000000-0005-0000-0000-0000277C0000}"/>
    <cellStyle name="Percent 2 3 2 2 6 2" xfId="16373" xr:uid="{00000000-0005-0000-0000-0000287C0000}"/>
    <cellStyle name="Percent 2 3 2 2 6 2 2" xfId="29780" xr:uid="{00000000-0005-0000-0000-0000297C0000}"/>
    <cellStyle name="Percent 2 3 2 2 6 3" xfId="32521" xr:uid="{00000000-0005-0000-0000-00002A7C0000}"/>
    <cellStyle name="Percent 2 3 2 2 7" xfId="10373" xr:uid="{00000000-0005-0000-0000-00002B7C0000}"/>
    <cellStyle name="Percent 2 3 2 2 8" xfId="32512" xr:uid="{00000000-0005-0000-0000-00002C7C0000}"/>
    <cellStyle name="Percent 2 3 2 3" xfId="8263" xr:uid="{00000000-0005-0000-0000-00002D7C0000}"/>
    <cellStyle name="Percent 2 3 2 3 2" xfId="8264" xr:uid="{00000000-0005-0000-0000-00002E7C0000}"/>
    <cellStyle name="Percent 2 3 2 3 2 2" xfId="11672" xr:uid="{00000000-0005-0000-0000-00002F7C0000}"/>
    <cellStyle name="Percent 2 3 2 3 2 3" xfId="32523" xr:uid="{00000000-0005-0000-0000-0000307C0000}"/>
    <cellStyle name="Percent 2 3 2 3 3" xfId="8265" xr:uid="{00000000-0005-0000-0000-0000317C0000}"/>
    <cellStyle name="Percent 2 3 2 3 3 2" xfId="16665" xr:uid="{00000000-0005-0000-0000-0000327C0000}"/>
    <cellStyle name="Percent 2 3 2 3 3 2 2" xfId="30072" xr:uid="{00000000-0005-0000-0000-0000337C0000}"/>
    <cellStyle name="Percent 2 3 2 3 3 3" xfId="32524" xr:uid="{00000000-0005-0000-0000-0000347C0000}"/>
    <cellStyle name="Percent 2 3 2 3 4" xfId="10375" xr:uid="{00000000-0005-0000-0000-0000357C0000}"/>
    <cellStyle name="Percent 2 3 2 3 5" xfId="32522" xr:uid="{00000000-0005-0000-0000-0000367C0000}"/>
    <cellStyle name="Percent 2 3 2 4" xfId="8266" xr:uid="{00000000-0005-0000-0000-0000377C0000}"/>
    <cellStyle name="Percent 2 3 2 4 2" xfId="8267" xr:uid="{00000000-0005-0000-0000-0000387C0000}"/>
    <cellStyle name="Percent 2 3 2 4 2 2" xfId="13345" xr:uid="{00000000-0005-0000-0000-0000397C0000}"/>
    <cellStyle name="Percent 2 3 2 4 2 3" xfId="32526" xr:uid="{00000000-0005-0000-0000-00003A7C0000}"/>
    <cellStyle name="Percent 2 3 2 4 3" xfId="12042" xr:uid="{00000000-0005-0000-0000-00003B7C0000}"/>
    <cellStyle name="Percent 2 3 2 4 3 2" xfId="25757" xr:uid="{00000000-0005-0000-0000-00003C7C0000}"/>
    <cellStyle name="Percent 2 3 2 4 4" xfId="32525" xr:uid="{00000000-0005-0000-0000-00003D7C0000}"/>
    <cellStyle name="Percent 2 3 2 5" xfId="8268" xr:uid="{00000000-0005-0000-0000-00003E7C0000}"/>
    <cellStyle name="Percent 2 3 2 5 2" xfId="8269" xr:uid="{00000000-0005-0000-0000-00003F7C0000}"/>
    <cellStyle name="Percent 2 3 2 5 2 2" xfId="15775" xr:uid="{00000000-0005-0000-0000-0000407C0000}"/>
    <cellStyle name="Percent 2 3 2 5 2 3" xfId="32528" xr:uid="{00000000-0005-0000-0000-0000417C0000}"/>
    <cellStyle name="Percent 2 3 2 5 3" xfId="13617" xr:uid="{00000000-0005-0000-0000-0000427C0000}"/>
    <cellStyle name="Percent 2 3 2 5 3 2" xfId="27166" xr:uid="{00000000-0005-0000-0000-0000437C0000}"/>
    <cellStyle name="Percent 2 3 2 5 4" xfId="32527" xr:uid="{00000000-0005-0000-0000-0000447C0000}"/>
    <cellStyle name="Percent 2 3 2 6" xfId="8270" xr:uid="{00000000-0005-0000-0000-0000457C0000}"/>
    <cellStyle name="Percent 2 3 2 6 2" xfId="14198" xr:uid="{00000000-0005-0000-0000-0000467C0000}"/>
    <cellStyle name="Percent 2 3 2 6 2 2" xfId="27747" xr:uid="{00000000-0005-0000-0000-0000477C0000}"/>
    <cellStyle name="Percent 2 3 2 6 3" xfId="32529" xr:uid="{00000000-0005-0000-0000-0000487C0000}"/>
    <cellStyle name="Percent 2 3 2 7" xfId="8271" xr:uid="{00000000-0005-0000-0000-0000497C0000}"/>
    <cellStyle name="Percent 2 3 2 7 2" xfId="16084" xr:uid="{00000000-0005-0000-0000-00004A7C0000}"/>
    <cellStyle name="Percent 2 3 2 7 2 2" xfId="29491" xr:uid="{00000000-0005-0000-0000-00004B7C0000}"/>
    <cellStyle name="Percent 2 3 2 7 3" xfId="32530" xr:uid="{00000000-0005-0000-0000-00004C7C0000}"/>
    <cellStyle name="Percent 2 3 2 8" xfId="10372" xr:uid="{00000000-0005-0000-0000-00004D7C0000}"/>
    <cellStyle name="Percent 2 3 2 9" xfId="32511" xr:uid="{00000000-0005-0000-0000-00004E7C0000}"/>
    <cellStyle name="Percent 2 3 3" xfId="8272" xr:uid="{00000000-0005-0000-0000-00004F7C0000}"/>
    <cellStyle name="Percent 2 3 3 2" xfId="8273" xr:uid="{00000000-0005-0000-0000-0000507C0000}"/>
    <cellStyle name="Percent 2 3 3 2 2" xfId="8274" xr:uid="{00000000-0005-0000-0000-0000517C0000}"/>
    <cellStyle name="Percent 2 3 3 2 2 2" xfId="11673" xr:uid="{00000000-0005-0000-0000-0000527C0000}"/>
    <cellStyle name="Percent 2 3 3 2 2 3" xfId="32533" xr:uid="{00000000-0005-0000-0000-0000537C0000}"/>
    <cellStyle name="Percent 2 3 3 2 3" xfId="8275" xr:uid="{00000000-0005-0000-0000-0000547C0000}"/>
    <cellStyle name="Percent 2 3 3 2 3 2" xfId="16811" xr:uid="{00000000-0005-0000-0000-0000557C0000}"/>
    <cellStyle name="Percent 2 3 3 2 3 2 2" xfId="30218" xr:uid="{00000000-0005-0000-0000-0000567C0000}"/>
    <cellStyle name="Percent 2 3 3 2 3 3" xfId="32534" xr:uid="{00000000-0005-0000-0000-0000577C0000}"/>
    <cellStyle name="Percent 2 3 3 2 4" xfId="10377" xr:uid="{00000000-0005-0000-0000-0000587C0000}"/>
    <cellStyle name="Percent 2 3 3 2 5" xfId="32532" xr:uid="{00000000-0005-0000-0000-0000597C0000}"/>
    <cellStyle name="Percent 2 3 3 3" xfId="8276" xr:uid="{00000000-0005-0000-0000-00005A7C0000}"/>
    <cellStyle name="Percent 2 3 3 3 2" xfId="8277" xr:uid="{00000000-0005-0000-0000-00005B7C0000}"/>
    <cellStyle name="Percent 2 3 3 3 2 2" xfId="13346" xr:uid="{00000000-0005-0000-0000-00005C7C0000}"/>
    <cellStyle name="Percent 2 3 3 3 2 3" xfId="32536" xr:uid="{00000000-0005-0000-0000-00005D7C0000}"/>
    <cellStyle name="Percent 2 3 3 3 3" xfId="12199" xr:uid="{00000000-0005-0000-0000-00005E7C0000}"/>
    <cellStyle name="Percent 2 3 3 3 3 2" xfId="25911" xr:uid="{00000000-0005-0000-0000-00005F7C0000}"/>
    <cellStyle name="Percent 2 3 3 3 4" xfId="32535" xr:uid="{00000000-0005-0000-0000-0000607C0000}"/>
    <cellStyle name="Percent 2 3 3 4" xfId="8278" xr:uid="{00000000-0005-0000-0000-0000617C0000}"/>
    <cellStyle name="Percent 2 3 3 4 2" xfId="8279" xr:uid="{00000000-0005-0000-0000-0000627C0000}"/>
    <cellStyle name="Percent 2 3 3 4 2 2" xfId="15776" xr:uid="{00000000-0005-0000-0000-0000637C0000}"/>
    <cellStyle name="Percent 2 3 3 4 2 3" xfId="32538" xr:uid="{00000000-0005-0000-0000-0000647C0000}"/>
    <cellStyle name="Percent 2 3 3 4 3" xfId="13763" xr:uid="{00000000-0005-0000-0000-0000657C0000}"/>
    <cellStyle name="Percent 2 3 3 4 3 2" xfId="27312" xr:uid="{00000000-0005-0000-0000-0000667C0000}"/>
    <cellStyle name="Percent 2 3 3 4 4" xfId="32537" xr:uid="{00000000-0005-0000-0000-0000677C0000}"/>
    <cellStyle name="Percent 2 3 3 5" xfId="8280" xr:uid="{00000000-0005-0000-0000-0000687C0000}"/>
    <cellStyle name="Percent 2 3 3 5 2" xfId="14344" xr:uid="{00000000-0005-0000-0000-0000697C0000}"/>
    <cellStyle name="Percent 2 3 3 5 2 2" xfId="27893" xr:uid="{00000000-0005-0000-0000-00006A7C0000}"/>
    <cellStyle name="Percent 2 3 3 5 3" xfId="32539" xr:uid="{00000000-0005-0000-0000-00006B7C0000}"/>
    <cellStyle name="Percent 2 3 3 6" xfId="8281" xr:uid="{00000000-0005-0000-0000-00006C7C0000}"/>
    <cellStyle name="Percent 2 3 3 6 2" xfId="16230" xr:uid="{00000000-0005-0000-0000-00006D7C0000}"/>
    <cellStyle name="Percent 2 3 3 6 2 2" xfId="29637" xr:uid="{00000000-0005-0000-0000-00006E7C0000}"/>
    <cellStyle name="Percent 2 3 3 6 3" xfId="32540" xr:uid="{00000000-0005-0000-0000-00006F7C0000}"/>
    <cellStyle name="Percent 2 3 3 7" xfId="10376" xr:uid="{00000000-0005-0000-0000-0000707C0000}"/>
    <cellStyle name="Percent 2 3 3 8" xfId="32531" xr:uid="{00000000-0005-0000-0000-0000717C0000}"/>
    <cellStyle name="Percent 2 3 4" xfId="8282" xr:uid="{00000000-0005-0000-0000-0000727C0000}"/>
    <cellStyle name="Percent 2 3 4 2" xfId="8283" xr:uid="{00000000-0005-0000-0000-0000737C0000}"/>
    <cellStyle name="Percent 2 3 4 2 2" xfId="13347" xr:uid="{00000000-0005-0000-0000-0000747C0000}"/>
    <cellStyle name="Percent 2 3 4 2 3" xfId="32542" xr:uid="{00000000-0005-0000-0000-0000757C0000}"/>
    <cellStyle name="Percent 2 3 4 3" xfId="8284" xr:uid="{00000000-0005-0000-0000-0000767C0000}"/>
    <cellStyle name="Percent 2 3 4 3 2" xfId="17158" xr:uid="{00000000-0005-0000-0000-0000777C0000}"/>
    <cellStyle name="Percent 2 3 4 3 2 2" xfId="30517" xr:uid="{00000000-0005-0000-0000-0000787C0000}"/>
    <cellStyle name="Percent 2 3 4 3 3" xfId="32543" xr:uid="{00000000-0005-0000-0000-0000797C0000}"/>
    <cellStyle name="Percent 2 3 4 4" xfId="10378" xr:uid="{00000000-0005-0000-0000-00007A7C0000}"/>
    <cellStyle name="Percent 2 3 4 5" xfId="32541" xr:uid="{00000000-0005-0000-0000-00007B7C0000}"/>
    <cellStyle name="Percent 2 3 5" xfId="8285" xr:uid="{00000000-0005-0000-0000-00007C7C0000}"/>
    <cellStyle name="Percent 2 3 5 2" xfId="8286" xr:uid="{00000000-0005-0000-0000-00007D7C0000}"/>
    <cellStyle name="Percent 2 3 5 2 2" xfId="11674" xr:uid="{00000000-0005-0000-0000-00007E7C0000}"/>
    <cellStyle name="Percent 2 3 5 2 3" xfId="32545" xr:uid="{00000000-0005-0000-0000-00007F7C0000}"/>
    <cellStyle name="Percent 2 3 5 3" xfId="8287" xr:uid="{00000000-0005-0000-0000-0000807C0000}"/>
    <cellStyle name="Percent 2 3 5 3 2" xfId="17247" xr:uid="{00000000-0005-0000-0000-0000817C0000}"/>
    <cellStyle name="Percent 2 3 5 3 2 2" xfId="30606" xr:uid="{00000000-0005-0000-0000-0000827C0000}"/>
    <cellStyle name="Percent 2 3 5 3 3" xfId="32546" xr:uid="{00000000-0005-0000-0000-0000837C0000}"/>
    <cellStyle name="Percent 2 3 5 4" xfId="10379" xr:uid="{00000000-0005-0000-0000-0000847C0000}"/>
    <cellStyle name="Percent 2 3 5 5" xfId="32544" xr:uid="{00000000-0005-0000-0000-0000857C0000}"/>
    <cellStyle name="Percent 2 3 6" xfId="8288" xr:uid="{00000000-0005-0000-0000-0000867C0000}"/>
    <cellStyle name="Percent 2 3 6 2" xfId="8289" xr:uid="{00000000-0005-0000-0000-0000877C0000}"/>
    <cellStyle name="Percent 2 3 6 2 2" xfId="15777" xr:uid="{00000000-0005-0000-0000-0000887C0000}"/>
    <cellStyle name="Percent 2 3 6 2 3" xfId="32548" xr:uid="{00000000-0005-0000-0000-0000897C0000}"/>
    <cellStyle name="Percent 2 3 6 3" xfId="8290" xr:uid="{00000000-0005-0000-0000-00008A7C0000}"/>
    <cellStyle name="Percent 2 3 6 3 2" xfId="16522" xr:uid="{00000000-0005-0000-0000-00008B7C0000}"/>
    <cellStyle name="Percent 2 3 6 3 2 2" xfId="29929" xr:uid="{00000000-0005-0000-0000-00008C7C0000}"/>
    <cellStyle name="Percent 2 3 6 3 3" xfId="32549" xr:uid="{00000000-0005-0000-0000-00008D7C0000}"/>
    <cellStyle name="Percent 2 3 6 4" xfId="11897" xr:uid="{00000000-0005-0000-0000-00008E7C0000}"/>
    <cellStyle name="Percent 2 3 6 4 2" xfId="25612" xr:uid="{00000000-0005-0000-0000-00008F7C0000}"/>
    <cellStyle name="Percent 2 3 6 5" xfId="32547" xr:uid="{00000000-0005-0000-0000-0000907C0000}"/>
    <cellStyle name="Percent 2 3 7" xfId="8291" xr:uid="{00000000-0005-0000-0000-0000917C0000}"/>
    <cellStyle name="Percent 2 3 7 2" xfId="13474" xr:uid="{00000000-0005-0000-0000-0000927C0000}"/>
    <cellStyle name="Percent 2 3 7 2 2" xfId="27023" xr:uid="{00000000-0005-0000-0000-0000937C0000}"/>
    <cellStyle name="Percent 2 3 7 3" xfId="32550" xr:uid="{00000000-0005-0000-0000-0000947C0000}"/>
    <cellStyle name="Percent 2 3 8" xfId="8292" xr:uid="{00000000-0005-0000-0000-0000957C0000}"/>
    <cellStyle name="Percent 2 3 8 2" xfId="14055" xr:uid="{00000000-0005-0000-0000-0000967C0000}"/>
    <cellStyle name="Percent 2 3 8 2 2" xfId="27604" xr:uid="{00000000-0005-0000-0000-0000977C0000}"/>
    <cellStyle name="Percent 2 3 8 3" xfId="32551" xr:uid="{00000000-0005-0000-0000-0000987C0000}"/>
    <cellStyle name="Percent 2 3 9" xfId="8293" xr:uid="{00000000-0005-0000-0000-0000997C0000}"/>
    <cellStyle name="Percent 2 3 9 2" xfId="15941" xr:uid="{00000000-0005-0000-0000-00009A7C0000}"/>
    <cellStyle name="Percent 2 3 9 2 2" xfId="29348" xr:uid="{00000000-0005-0000-0000-00009B7C0000}"/>
    <cellStyle name="Percent 2 3 9 3" xfId="32552" xr:uid="{00000000-0005-0000-0000-00009C7C0000}"/>
    <cellStyle name="Percent 2 30" xfId="33030" xr:uid="{00000000-0005-0000-0000-00009D7C0000}"/>
    <cellStyle name="Percent 2 31" xfId="8109" xr:uid="{00000000-0005-0000-0000-00009E7C0000}"/>
    <cellStyle name="Percent 2 4" xfId="8294" xr:uid="{00000000-0005-0000-0000-00009F7C0000}"/>
    <cellStyle name="Percent 2 4 10" xfId="10380" xr:uid="{00000000-0005-0000-0000-0000A07C0000}"/>
    <cellStyle name="Percent 2 4 11" xfId="32553" xr:uid="{00000000-0005-0000-0000-0000A17C0000}"/>
    <cellStyle name="Percent 2 4 2" xfId="8295" xr:uid="{00000000-0005-0000-0000-0000A27C0000}"/>
    <cellStyle name="Percent 2 4 2 2" xfId="8296" xr:uid="{00000000-0005-0000-0000-0000A37C0000}"/>
    <cellStyle name="Percent 2 4 2 2 2" xfId="8297" xr:uid="{00000000-0005-0000-0000-0000A47C0000}"/>
    <cellStyle name="Percent 2 4 2 2 2 2" xfId="8298" xr:uid="{00000000-0005-0000-0000-0000A57C0000}"/>
    <cellStyle name="Percent 2 4 2 2 2 2 2" xfId="11675" xr:uid="{00000000-0005-0000-0000-0000A67C0000}"/>
    <cellStyle name="Percent 2 4 2 2 2 2 3" xfId="32557" xr:uid="{00000000-0005-0000-0000-0000A77C0000}"/>
    <cellStyle name="Percent 2 4 2 2 2 3" xfId="8299" xr:uid="{00000000-0005-0000-0000-0000A87C0000}"/>
    <cellStyle name="Percent 2 4 2 2 2 3 2" xfId="16908" xr:uid="{00000000-0005-0000-0000-0000A97C0000}"/>
    <cellStyle name="Percent 2 4 2 2 2 3 2 2" xfId="30315" xr:uid="{00000000-0005-0000-0000-0000AA7C0000}"/>
    <cellStyle name="Percent 2 4 2 2 2 3 3" xfId="32558" xr:uid="{00000000-0005-0000-0000-0000AB7C0000}"/>
    <cellStyle name="Percent 2 4 2 2 2 4" xfId="10383" xr:uid="{00000000-0005-0000-0000-0000AC7C0000}"/>
    <cellStyle name="Percent 2 4 2 2 2 5" xfId="32556" xr:uid="{00000000-0005-0000-0000-0000AD7C0000}"/>
    <cellStyle name="Percent 2 4 2 2 3" xfId="8300" xr:uid="{00000000-0005-0000-0000-0000AE7C0000}"/>
    <cellStyle name="Percent 2 4 2 2 3 2" xfId="8301" xr:uid="{00000000-0005-0000-0000-0000AF7C0000}"/>
    <cellStyle name="Percent 2 4 2 2 3 2 2" xfId="13348" xr:uid="{00000000-0005-0000-0000-0000B07C0000}"/>
    <cellStyle name="Percent 2 4 2 2 3 2 3" xfId="32560" xr:uid="{00000000-0005-0000-0000-0000B17C0000}"/>
    <cellStyle name="Percent 2 4 2 2 3 3" xfId="12296" xr:uid="{00000000-0005-0000-0000-0000B27C0000}"/>
    <cellStyle name="Percent 2 4 2 2 3 3 2" xfId="26008" xr:uid="{00000000-0005-0000-0000-0000B37C0000}"/>
    <cellStyle name="Percent 2 4 2 2 3 4" xfId="32559" xr:uid="{00000000-0005-0000-0000-0000B47C0000}"/>
    <cellStyle name="Percent 2 4 2 2 4" xfId="8302" xr:uid="{00000000-0005-0000-0000-0000B57C0000}"/>
    <cellStyle name="Percent 2 4 2 2 4 2" xfId="8303" xr:uid="{00000000-0005-0000-0000-0000B67C0000}"/>
    <cellStyle name="Percent 2 4 2 2 4 2 2" xfId="15778" xr:uid="{00000000-0005-0000-0000-0000B77C0000}"/>
    <cellStyle name="Percent 2 4 2 2 4 2 3" xfId="32562" xr:uid="{00000000-0005-0000-0000-0000B87C0000}"/>
    <cellStyle name="Percent 2 4 2 2 4 3" xfId="13860" xr:uid="{00000000-0005-0000-0000-0000B97C0000}"/>
    <cellStyle name="Percent 2 4 2 2 4 3 2" xfId="27409" xr:uid="{00000000-0005-0000-0000-0000BA7C0000}"/>
    <cellStyle name="Percent 2 4 2 2 4 4" xfId="32561" xr:uid="{00000000-0005-0000-0000-0000BB7C0000}"/>
    <cellStyle name="Percent 2 4 2 2 5" xfId="8304" xr:uid="{00000000-0005-0000-0000-0000BC7C0000}"/>
    <cellStyle name="Percent 2 4 2 2 5 2" xfId="14441" xr:uid="{00000000-0005-0000-0000-0000BD7C0000}"/>
    <cellStyle name="Percent 2 4 2 2 5 2 2" xfId="27990" xr:uid="{00000000-0005-0000-0000-0000BE7C0000}"/>
    <cellStyle name="Percent 2 4 2 2 5 3" xfId="32563" xr:uid="{00000000-0005-0000-0000-0000BF7C0000}"/>
    <cellStyle name="Percent 2 4 2 2 6" xfId="8305" xr:uid="{00000000-0005-0000-0000-0000C07C0000}"/>
    <cellStyle name="Percent 2 4 2 2 6 2" xfId="16327" xr:uid="{00000000-0005-0000-0000-0000C17C0000}"/>
    <cellStyle name="Percent 2 4 2 2 6 2 2" xfId="29734" xr:uid="{00000000-0005-0000-0000-0000C27C0000}"/>
    <cellStyle name="Percent 2 4 2 2 6 3" xfId="32564" xr:uid="{00000000-0005-0000-0000-0000C37C0000}"/>
    <cellStyle name="Percent 2 4 2 2 7" xfId="10382" xr:uid="{00000000-0005-0000-0000-0000C47C0000}"/>
    <cellStyle name="Percent 2 4 2 2 8" xfId="32555" xr:uid="{00000000-0005-0000-0000-0000C57C0000}"/>
    <cellStyle name="Percent 2 4 2 3" xfId="8306" xr:uid="{00000000-0005-0000-0000-0000C67C0000}"/>
    <cellStyle name="Percent 2 4 2 3 2" xfId="8307" xr:uid="{00000000-0005-0000-0000-0000C77C0000}"/>
    <cellStyle name="Percent 2 4 2 3 2 2" xfId="11676" xr:uid="{00000000-0005-0000-0000-0000C87C0000}"/>
    <cellStyle name="Percent 2 4 2 3 2 3" xfId="32566" xr:uid="{00000000-0005-0000-0000-0000C97C0000}"/>
    <cellStyle name="Percent 2 4 2 3 3" xfId="8308" xr:uid="{00000000-0005-0000-0000-0000CA7C0000}"/>
    <cellStyle name="Percent 2 4 2 3 3 2" xfId="16619" xr:uid="{00000000-0005-0000-0000-0000CB7C0000}"/>
    <cellStyle name="Percent 2 4 2 3 3 2 2" xfId="30026" xr:uid="{00000000-0005-0000-0000-0000CC7C0000}"/>
    <cellStyle name="Percent 2 4 2 3 3 3" xfId="32567" xr:uid="{00000000-0005-0000-0000-0000CD7C0000}"/>
    <cellStyle name="Percent 2 4 2 3 4" xfId="10384" xr:uid="{00000000-0005-0000-0000-0000CE7C0000}"/>
    <cellStyle name="Percent 2 4 2 3 5" xfId="32565" xr:uid="{00000000-0005-0000-0000-0000CF7C0000}"/>
    <cellStyle name="Percent 2 4 2 4" xfId="8309" xr:uid="{00000000-0005-0000-0000-0000D07C0000}"/>
    <cellStyle name="Percent 2 4 2 4 2" xfId="8310" xr:uid="{00000000-0005-0000-0000-0000D17C0000}"/>
    <cellStyle name="Percent 2 4 2 4 2 2" xfId="13349" xr:uid="{00000000-0005-0000-0000-0000D27C0000}"/>
    <cellStyle name="Percent 2 4 2 4 2 3" xfId="32569" xr:uid="{00000000-0005-0000-0000-0000D37C0000}"/>
    <cellStyle name="Percent 2 4 2 4 3" xfId="11996" xr:uid="{00000000-0005-0000-0000-0000D47C0000}"/>
    <cellStyle name="Percent 2 4 2 4 3 2" xfId="25711" xr:uid="{00000000-0005-0000-0000-0000D57C0000}"/>
    <cellStyle name="Percent 2 4 2 4 4" xfId="32568" xr:uid="{00000000-0005-0000-0000-0000D67C0000}"/>
    <cellStyle name="Percent 2 4 2 5" xfId="8311" xr:uid="{00000000-0005-0000-0000-0000D77C0000}"/>
    <cellStyle name="Percent 2 4 2 5 2" xfId="8312" xr:uid="{00000000-0005-0000-0000-0000D87C0000}"/>
    <cellStyle name="Percent 2 4 2 5 2 2" xfId="15779" xr:uid="{00000000-0005-0000-0000-0000D97C0000}"/>
    <cellStyle name="Percent 2 4 2 5 2 3" xfId="32571" xr:uid="{00000000-0005-0000-0000-0000DA7C0000}"/>
    <cellStyle name="Percent 2 4 2 5 3" xfId="13571" xr:uid="{00000000-0005-0000-0000-0000DB7C0000}"/>
    <cellStyle name="Percent 2 4 2 5 3 2" xfId="27120" xr:uid="{00000000-0005-0000-0000-0000DC7C0000}"/>
    <cellStyle name="Percent 2 4 2 5 4" xfId="32570" xr:uid="{00000000-0005-0000-0000-0000DD7C0000}"/>
    <cellStyle name="Percent 2 4 2 6" xfId="8313" xr:uid="{00000000-0005-0000-0000-0000DE7C0000}"/>
    <cellStyle name="Percent 2 4 2 6 2" xfId="14152" xr:uid="{00000000-0005-0000-0000-0000DF7C0000}"/>
    <cellStyle name="Percent 2 4 2 6 2 2" xfId="27701" xr:uid="{00000000-0005-0000-0000-0000E07C0000}"/>
    <cellStyle name="Percent 2 4 2 6 3" xfId="32572" xr:uid="{00000000-0005-0000-0000-0000E17C0000}"/>
    <cellStyle name="Percent 2 4 2 7" xfId="8314" xr:uid="{00000000-0005-0000-0000-0000E27C0000}"/>
    <cellStyle name="Percent 2 4 2 7 2" xfId="16038" xr:uid="{00000000-0005-0000-0000-0000E37C0000}"/>
    <cellStyle name="Percent 2 4 2 7 2 2" xfId="29445" xr:uid="{00000000-0005-0000-0000-0000E47C0000}"/>
    <cellStyle name="Percent 2 4 2 7 3" xfId="32573" xr:uid="{00000000-0005-0000-0000-0000E57C0000}"/>
    <cellStyle name="Percent 2 4 2 8" xfId="10381" xr:uid="{00000000-0005-0000-0000-0000E67C0000}"/>
    <cellStyle name="Percent 2 4 2 9" xfId="32554" xr:uid="{00000000-0005-0000-0000-0000E77C0000}"/>
    <cellStyle name="Percent 2 4 3" xfId="8315" xr:uid="{00000000-0005-0000-0000-0000E87C0000}"/>
    <cellStyle name="Percent 2 4 3 2" xfId="8316" xr:uid="{00000000-0005-0000-0000-0000E97C0000}"/>
    <cellStyle name="Percent 2 4 3 2 2" xfId="8317" xr:uid="{00000000-0005-0000-0000-0000EA7C0000}"/>
    <cellStyle name="Percent 2 4 3 2 2 2" xfId="11677" xr:uid="{00000000-0005-0000-0000-0000EB7C0000}"/>
    <cellStyle name="Percent 2 4 3 2 2 3" xfId="32576" xr:uid="{00000000-0005-0000-0000-0000EC7C0000}"/>
    <cellStyle name="Percent 2 4 3 2 3" xfId="8318" xr:uid="{00000000-0005-0000-0000-0000ED7C0000}"/>
    <cellStyle name="Percent 2 4 3 2 3 2" xfId="16768" xr:uid="{00000000-0005-0000-0000-0000EE7C0000}"/>
    <cellStyle name="Percent 2 4 3 2 3 2 2" xfId="30175" xr:uid="{00000000-0005-0000-0000-0000EF7C0000}"/>
    <cellStyle name="Percent 2 4 3 2 3 3" xfId="32577" xr:uid="{00000000-0005-0000-0000-0000F07C0000}"/>
    <cellStyle name="Percent 2 4 3 2 4" xfId="10386" xr:uid="{00000000-0005-0000-0000-0000F17C0000}"/>
    <cellStyle name="Percent 2 4 3 2 5" xfId="32575" xr:uid="{00000000-0005-0000-0000-0000F27C0000}"/>
    <cellStyle name="Percent 2 4 3 3" xfId="8319" xr:uid="{00000000-0005-0000-0000-0000F37C0000}"/>
    <cellStyle name="Percent 2 4 3 3 2" xfId="8320" xr:uid="{00000000-0005-0000-0000-0000F47C0000}"/>
    <cellStyle name="Percent 2 4 3 3 2 2" xfId="13350" xr:uid="{00000000-0005-0000-0000-0000F57C0000}"/>
    <cellStyle name="Percent 2 4 3 3 2 3" xfId="32579" xr:uid="{00000000-0005-0000-0000-0000F67C0000}"/>
    <cellStyle name="Percent 2 4 3 3 3" xfId="12156" xr:uid="{00000000-0005-0000-0000-0000F77C0000}"/>
    <cellStyle name="Percent 2 4 3 3 3 2" xfId="25868" xr:uid="{00000000-0005-0000-0000-0000F87C0000}"/>
    <cellStyle name="Percent 2 4 3 3 4" xfId="32578" xr:uid="{00000000-0005-0000-0000-0000F97C0000}"/>
    <cellStyle name="Percent 2 4 3 4" xfId="8321" xr:uid="{00000000-0005-0000-0000-0000FA7C0000}"/>
    <cellStyle name="Percent 2 4 3 4 2" xfId="8322" xr:uid="{00000000-0005-0000-0000-0000FB7C0000}"/>
    <cellStyle name="Percent 2 4 3 4 2 2" xfId="15780" xr:uid="{00000000-0005-0000-0000-0000FC7C0000}"/>
    <cellStyle name="Percent 2 4 3 4 2 3" xfId="32581" xr:uid="{00000000-0005-0000-0000-0000FD7C0000}"/>
    <cellStyle name="Percent 2 4 3 4 3" xfId="13720" xr:uid="{00000000-0005-0000-0000-0000FE7C0000}"/>
    <cellStyle name="Percent 2 4 3 4 3 2" xfId="27269" xr:uid="{00000000-0005-0000-0000-0000FF7C0000}"/>
    <cellStyle name="Percent 2 4 3 4 4" xfId="32580" xr:uid="{00000000-0005-0000-0000-0000007D0000}"/>
    <cellStyle name="Percent 2 4 3 5" xfId="8323" xr:uid="{00000000-0005-0000-0000-0000017D0000}"/>
    <cellStyle name="Percent 2 4 3 5 2" xfId="14301" xr:uid="{00000000-0005-0000-0000-0000027D0000}"/>
    <cellStyle name="Percent 2 4 3 5 2 2" xfId="27850" xr:uid="{00000000-0005-0000-0000-0000037D0000}"/>
    <cellStyle name="Percent 2 4 3 5 3" xfId="32582" xr:uid="{00000000-0005-0000-0000-0000047D0000}"/>
    <cellStyle name="Percent 2 4 3 6" xfId="8324" xr:uid="{00000000-0005-0000-0000-0000057D0000}"/>
    <cellStyle name="Percent 2 4 3 6 2" xfId="16187" xr:uid="{00000000-0005-0000-0000-0000067D0000}"/>
    <cellStyle name="Percent 2 4 3 6 2 2" xfId="29594" xr:uid="{00000000-0005-0000-0000-0000077D0000}"/>
    <cellStyle name="Percent 2 4 3 6 3" xfId="32583" xr:uid="{00000000-0005-0000-0000-0000087D0000}"/>
    <cellStyle name="Percent 2 4 3 7" xfId="10385" xr:uid="{00000000-0005-0000-0000-0000097D0000}"/>
    <cellStyle name="Percent 2 4 3 8" xfId="32574" xr:uid="{00000000-0005-0000-0000-00000A7D0000}"/>
    <cellStyle name="Percent 2 4 4" xfId="8325" xr:uid="{00000000-0005-0000-0000-00000B7D0000}"/>
    <cellStyle name="Percent 2 4 4 2" xfId="8326" xr:uid="{00000000-0005-0000-0000-00000C7D0000}"/>
    <cellStyle name="Percent 2 4 4 2 2" xfId="16476" xr:uid="{00000000-0005-0000-0000-00000D7D0000}"/>
    <cellStyle name="Percent 2 4 4 2 2 2" xfId="29883" xr:uid="{00000000-0005-0000-0000-00000E7D0000}"/>
    <cellStyle name="Percent 2 4 4 2 3" xfId="32585" xr:uid="{00000000-0005-0000-0000-00000F7D0000}"/>
    <cellStyle name="Percent 2 4 4 3" xfId="10387" xr:uid="{00000000-0005-0000-0000-0000107D0000}"/>
    <cellStyle name="Percent 2 4 4 4" xfId="32584" xr:uid="{00000000-0005-0000-0000-0000117D0000}"/>
    <cellStyle name="Percent 2 4 5" xfId="8327" xr:uid="{00000000-0005-0000-0000-0000127D0000}"/>
    <cellStyle name="Percent 2 4 5 2" xfId="8328" xr:uid="{00000000-0005-0000-0000-0000137D0000}"/>
    <cellStyle name="Percent 2 4 5 2 2" xfId="11678" xr:uid="{00000000-0005-0000-0000-0000147D0000}"/>
    <cellStyle name="Percent 2 4 5 2 3" xfId="32587" xr:uid="{00000000-0005-0000-0000-0000157D0000}"/>
    <cellStyle name="Percent 2 4 5 3" xfId="10388" xr:uid="{00000000-0005-0000-0000-0000167D0000}"/>
    <cellStyle name="Percent 2 4 5 4" xfId="32586" xr:uid="{00000000-0005-0000-0000-0000177D0000}"/>
    <cellStyle name="Percent 2 4 6" xfId="8329" xr:uid="{00000000-0005-0000-0000-0000187D0000}"/>
    <cellStyle name="Percent 2 4 6 2" xfId="8330" xr:uid="{00000000-0005-0000-0000-0000197D0000}"/>
    <cellStyle name="Percent 2 4 6 2 2" xfId="13351" xr:uid="{00000000-0005-0000-0000-00001A7D0000}"/>
    <cellStyle name="Percent 2 4 6 2 3" xfId="32589" xr:uid="{00000000-0005-0000-0000-00001B7D0000}"/>
    <cellStyle name="Percent 2 4 6 3" xfId="11827" xr:uid="{00000000-0005-0000-0000-00001C7D0000}"/>
    <cellStyle name="Percent 2 4 6 3 2" xfId="25542" xr:uid="{00000000-0005-0000-0000-00001D7D0000}"/>
    <cellStyle name="Percent 2 4 6 4" xfId="32588" xr:uid="{00000000-0005-0000-0000-00001E7D0000}"/>
    <cellStyle name="Percent 2 4 7" xfId="8331" xr:uid="{00000000-0005-0000-0000-00001F7D0000}"/>
    <cellStyle name="Percent 2 4 7 2" xfId="8332" xr:uid="{00000000-0005-0000-0000-0000207D0000}"/>
    <cellStyle name="Percent 2 4 7 2 2" xfId="15781" xr:uid="{00000000-0005-0000-0000-0000217D0000}"/>
    <cellStyle name="Percent 2 4 7 2 3" xfId="32591" xr:uid="{00000000-0005-0000-0000-0000227D0000}"/>
    <cellStyle name="Percent 2 4 7 3" xfId="13428" xr:uid="{00000000-0005-0000-0000-0000237D0000}"/>
    <cellStyle name="Percent 2 4 7 3 2" xfId="26977" xr:uid="{00000000-0005-0000-0000-0000247D0000}"/>
    <cellStyle name="Percent 2 4 7 4" xfId="32590" xr:uid="{00000000-0005-0000-0000-0000257D0000}"/>
    <cellStyle name="Percent 2 4 8" xfId="8333" xr:uid="{00000000-0005-0000-0000-0000267D0000}"/>
    <cellStyle name="Percent 2 4 8 2" xfId="14009" xr:uid="{00000000-0005-0000-0000-0000277D0000}"/>
    <cellStyle name="Percent 2 4 8 2 2" xfId="27558" xr:uid="{00000000-0005-0000-0000-0000287D0000}"/>
    <cellStyle name="Percent 2 4 8 3" xfId="32592" xr:uid="{00000000-0005-0000-0000-0000297D0000}"/>
    <cellStyle name="Percent 2 4 9" xfId="8334" xr:uid="{00000000-0005-0000-0000-00002A7D0000}"/>
    <cellStyle name="Percent 2 4 9 2" xfId="15895" xr:uid="{00000000-0005-0000-0000-00002B7D0000}"/>
    <cellStyle name="Percent 2 4 9 2 2" xfId="29302" xr:uid="{00000000-0005-0000-0000-00002C7D0000}"/>
    <cellStyle name="Percent 2 4 9 3" xfId="32593" xr:uid="{00000000-0005-0000-0000-00002D7D0000}"/>
    <cellStyle name="Percent 2 5" xfId="8335" xr:uid="{00000000-0005-0000-0000-00002E7D0000}"/>
    <cellStyle name="Percent 2 5 10" xfId="10389" xr:uid="{00000000-0005-0000-0000-00002F7D0000}"/>
    <cellStyle name="Percent 2 5 11" xfId="32594" xr:uid="{00000000-0005-0000-0000-0000307D0000}"/>
    <cellStyle name="Percent 2 5 2" xfId="8336" xr:uid="{00000000-0005-0000-0000-0000317D0000}"/>
    <cellStyle name="Percent 2 5 2 2" xfId="8337" xr:uid="{00000000-0005-0000-0000-0000327D0000}"/>
    <cellStyle name="Percent 2 5 2 2 2" xfId="8338" xr:uid="{00000000-0005-0000-0000-0000337D0000}"/>
    <cellStyle name="Percent 2 5 2 2 2 2" xfId="8339" xr:uid="{00000000-0005-0000-0000-0000347D0000}"/>
    <cellStyle name="Percent 2 5 2 2 2 2 2" xfId="11679" xr:uid="{00000000-0005-0000-0000-0000357D0000}"/>
    <cellStyle name="Percent 2 5 2 2 2 2 3" xfId="32598" xr:uid="{00000000-0005-0000-0000-0000367D0000}"/>
    <cellStyle name="Percent 2 5 2 2 2 3" xfId="8340" xr:uid="{00000000-0005-0000-0000-0000377D0000}"/>
    <cellStyle name="Percent 2 5 2 2 2 3 2" xfId="16891" xr:uid="{00000000-0005-0000-0000-0000387D0000}"/>
    <cellStyle name="Percent 2 5 2 2 2 3 2 2" xfId="30298" xr:uid="{00000000-0005-0000-0000-0000397D0000}"/>
    <cellStyle name="Percent 2 5 2 2 2 3 3" xfId="32599" xr:uid="{00000000-0005-0000-0000-00003A7D0000}"/>
    <cellStyle name="Percent 2 5 2 2 2 4" xfId="10392" xr:uid="{00000000-0005-0000-0000-00003B7D0000}"/>
    <cellStyle name="Percent 2 5 2 2 2 5" xfId="32597" xr:uid="{00000000-0005-0000-0000-00003C7D0000}"/>
    <cellStyle name="Percent 2 5 2 2 3" xfId="8341" xr:uid="{00000000-0005-0000-0000-00003D7D0000}"/>
    <cellStyle name="Percent 2 5 2 2 3 2" xfId="8342" xr:uid="{00000000-0005-0000-0000-00003E7D0000}"/>
    <cellStyle name="Percent 2 5 2 2 3 2 2" xfId="13352" xr:uid="{00000000-0005-0000-0000-00003F7D0000}"/>
    <cellStyle name="Percent 2 5 2 2 3 2 3" xfId="32601" xr:uid="{00000000-0005-0000-0000-0000407D0000}"/>
    <cellStyle name="Percent 2 5 2 2 3 3" xfId="12279" xr:uid="{00000000-0005-0000-0000-0000417D0000}"/>
    <cellStyle name="Percent 2 5 2 2 3 3 2" xfId="25991" xr:uid="{00000000-0005-0000-0000-0000427D0000}"/>
    <cellStyle name="Percent 2 5 2 2 3 4" xfId="32600" xr:uid="{00000000-0005-0000-0000-0000437D0000}"/>
    <cellStyle name="Percent 2 5 2 2 4" xfId="8343" xr:uid="{00000000-0005-0000-0000-0000447D0000}"/>
    <cellStyle name="Percent 2 5 2 2 4 2" xfId="8344" xr:uid="{00000000-0005-0000-0000-0000457D0000}"/>
    <cellStyle name="Percent 2 5 2 2 4 2 2" xfId="15782" xr:uid="{00000000-0005-0000-0000-0000467D0000}"/>
    <cellStyle name="Percent 2 5 2 2 4 2 3" xfId="32603" xr:uid="{00000000-0005-0000-0000-0000477D0000}"/>
    <cellStyle name="Percent 2 5 2 2 4 3" xfId="13843" xr:uid="{00000000-0005-0000-0000-0000487D0000}"/>
    <cellStyle name="Percent 2 5 2 2 4 3 2" xfId="27392" xr:uid="{00000000-0005-0000-0000-0000497D0000}"/>
    <cellStyle name="Percent 2 5 2 2 4 4" xfId="32602" xr:uid="{00000000-0005-0000-0000-00004A7D0000}"/>
    <cellStyle name="Percent 2 5 2 2 5" xfId="8345" xr:uid="{00000000-0005-0000-0000-00004B7D0000}"/>
    <cellStyle name="Percent 2 5 2 2 5 2" xfId="14424" xr:uid="{00000000-0005-0000-0000-00004C7D0000}"/>
    <cellStyle name="Percent 2 5 2 2 5 2 2" xfId="27973" xr:uid="{00000000-0005-0000-0000-00004D7D0000}"/>
    <cellStyle name="Percent 2 5 2 2 5 3" xfId="32604" xr:uid="{00000000-0005-0000-0000-00004E7D0000}"/>
    <cellStyle name="Percent 2 5 2 2 6" xfId="8346" xr:uid="{00000000-0005-0000-0000-00004F7D0000}"/>
    <cellStyle name="Percent 2 5 2 2 6 2" xfId="16310" xr:uid="{00000000-0005-0000-0000-0000507D0000}"/>
    <cellStyle name="Percent 2 5 2 2 6 2 2" xfId="29717" xr:uid="{00000000-0005-0000-0000-0000517D0000}"/>
    <cellStyle name="Percent 2 5 2 2 6 3" xfId="32605" xr:uid="{00000000-0005-0000-0000-0000527D0000}"/>
    <cellStyle name="Percent 2 5 2 2 7" xfId="10391" xr:uid="{00000000-0005-0000-0000-0000537D0000}"/>
    <cellStyle name="Percent 2 5 2 2 8" xfId="32596" xr:uid="{00000000-0005-0000-0000-0000547D0000}"/>
    <cellStyle name="Percent 2 5 2 3" xfId="8347" xr:uid="{00000000-0005-0000-0000-0000557D0000}"/>
    <cellStyle name="Percent 2 5 2 3 2" xfId="8348" xr:uid="{00000000-0005-0000-0000-0000567D0000}"/>
    <cellStyle name="Percent 2 5 2 3 2 2" xfId="11680" xr:uid="{00000000-0005-0000-0000-0000577D0000}"/>
    <cellStyle name="Percent 2 5 2 3 2 3" xfId="32607" xr:uid="{00000000-0005-0000-0000-0000587D0000}"/>
    <cellStyle name="Percent 2 5 2 3 3" xfId="8349" xr:uid="{00000000-0005-0000-0000-0000597D0000}"/>
    <cellStyle name="Percent 2 5 2 3 3 2" xfId="16602" xr:uid="{00000000-0005-0000-0000-00005A7D0000}"/>
    <cellStyle name="Percent 2 5 2 3 3 2 2" xfId="30009" xr:uid="{00000000-0005-0000-0000-00005B7D0000}"/>
    <cellStyle name="Percent 2 5 2 3 3 3" xfId="32608" xr:uid="{00000000-0005-0000-0000-00005C7D0000}"/>
    <cellStyle name="Percent 2 5 2 3 4" xfId="10393" xr:uid="{00000000-0005-0000-0000-00005D7D0000}"/>
    <cellStyle name="Percent 2 5 2 3 5" xfId="32606" xr:uid="{00000000-0005-0000-0000-00005E7D0000}"/>
    <cellStyle name="Percent 2 5 2 4" xfId="8350" xr:uid="{00000000-0005-0000-0000-00005F7D0000}"/>
    <cellStyle name="Percent 2 5 2 4 2" xfId="8351" xr:uid="{00000000-0005-0000-0000-0000607D0000}"/>
    <cellStyle name="Percent 2 5 2 4 2 2" xfId="13353" xr:uid="{00000000-0005-0000-0000-0000617D0000}"/>
    <cellStyle name="Percent 2 5 2 4 2 3" xfId="32610" xr:uid="{00000000-0005-0000-0000-0000627D0000}"/>
    <cellStyle name="Percent 2 5 2 4 3" xfId="11979" xr:uid="{00000000-0005-0000-0000-0000637D0000}"/>
    <cellStyle name="Percent 2 5 2 4 3 2" xfId="25694" xr:uid="{00000000-0005-0000-0000-0000647D0000}"/>
    <cellStyle name="Percent 2 5 2 4 4" xfId="32609" xr:uid="{00000000-0005-0000-0000-0000657D0000}"/>
    <cellStyle name="Percent 2 5 2 5" xfId="8352" xr:uid="{00000000-0005-0000-0000-0000667D0000}"/>
    <cellStyle name="Percent 2 5 2 5 2" xfId="8353" xr:uid="{00000000-0005-0000-0000-0000677D0000}"/>
    <cellStyle name="Percent 2 5 2 5 2 2" xfId="15783" xr:uid="{00000000-0005-0000-0000-0000687D0000}"/>
    <cellStyle name="Percent 2 5 2 5 2 3" xfId="32612" xr:uid="{00000000-0005-0000-0000-0000697D0000}"/>
    <cellStyle name="Percent 2 5 2 5 3" xfId="13554" xr:uid="{00000000-0005-0000-0000-00006A7D0000}"/>
    <cellStyle name="Percent 2 5 2 5 3 2" xfId="27103" xr:uid="{00000000-0005-0000-0000-00006B7D0000}"/>
    <cellStyle name="Percent 2 5 2 5 4" xfId="32611" xr:uid="{00000000-0005-0000-0000-00006C7D0000}"/>
    <cellStyle name="Percent 2 5 2 6" xfId="8354" xr:uid="{00000000-0005-0000-0000-00006D7D0000}"/>
    <cellStyle name="Percent 2 5 2 6 2" xfId="14135" xr:uid="{00000000-0005-0000-0000-00006E7D0000}"/>
    <cellStyle name="Percent 2 5 2 6 2 2" xfId="27684" xr:uid="{00000000-0005-0000-0000-00006F7D0000}"/>
    <cellStyle name="Percent 2 5 2 6 3" xfId="32613" xr:uid="{00000000-0005-0000-0000-0000707D0000}"/>
    <cellStyle name="Percent 2 5 2 7" xfId="8355" xr:uid="{00000000-0005-0000-0000-0000717D0000}"/>
    <cellStyle name="Percent 2 5 2 7 2" xfId="16021" xr:uid="{00000000-0005-0000-0000-0000727D0000}"/>
    <cellStyle name="Percent 2 5 2 7 2 2" xfId="29428" xr:uid="{00000000-0005-0000-0000-0000737D0000}"/>
    <cellStyle name="Percent 2 5 2 7 3" xfId="32614" xr:uid="{00000000-0005-0000-0000-0000747D0000}"/>
    <cellStyle name="Percent 2 5 2 8" xfId="10390" xr:uid="{00000000-0005-0000-0000-0000757D0000}"/>
    <cellStyle name="Percent 2 5 2 9" xfId="32595" xr:uid="{00000000-0005-0000-0000-0000767D0000}"/>
    <cellStyle name="Percent 2 5 3" xfId="8356" xr:uid="{00000000-0005-0000-0000-0000777D0000}"/>
    <cellStyle name="Percent 2 5 3 2" xfId="8357" xr:uid="{00000000-0005-0000-0000-0000787D0000}"/>
    <cellStyle name="Percent 2 5 3 2 2" xfId="8358" xr:uid="{00000000-0005-0000-0000-0000797D0000}"/>
    <cellStyle name="Percent 2 5 3 2 2 2" xfId="11681" xr:uid="{00000000-0005-0000-0000-00007A7D0000}"/>
    <cellStyle name="Percent 2 5 3 2 2 3" xfId="32617" xr:uid="{00000000-0005-0000-0000-00007B7D0000}"/>
    <cellStyle name="Percent 2 5 3 2 3" xfId="8359" xr:uid="{00000000-0005-0000-0000-00007C7D0000}"/>
    <cellStyle name="Percent 2 5 3 2 3 2" xfId="16751" xr:uid="{00000000-0005-0000-0000-00007D7D0000}"/>
    <cellStyle name="Percent 2 5 3 2 3 2 2" xfId="30158" xr:uid="{00000000-0005-0000-0000-00007E7D0000}"/>
    <cellStyle name="Percent 2 5 3 2 3 3" xfId="32618" xr:uid="{00000000-0005-0000-0000-00007F7D0000}"/>
    <cellStyle name="Percent 2 5 3 2 4" xfId="10395" xr:uid="{00000000-0005-0000-0000-0000807D0000}"/>
    <cellStyle name="Percent 2 5 3 2 5" xfId="32616" xr:uid="{00000000-0005-0000-0000-0000817D0000}"/>
    <cellStyle name="Percent 2 5 3 3" xfId="8360" xr:uid="{00000000-0005-0000-0000-0000827D0000}"/>
    <cellStyle name="Percent 2 5 3 3 2" xfId="8361" xr:uid="{00000000-0005-0000-0000-0000837D0000}"/>
    <cellStyle name="Percent 2 5 3 3 2 2" xfId="13354" xr:uid="{00000000-0005-0000-0000-0000847D0000}"/>
    <cellStyle name="Percent 2 5 3 3 2 3" xfId="32620" xr:uid="{00000000-0005-0000-0000-0000857D0000}"/>
    <cellStyle name="Percent 2 5 3 3 3" xfId="12139" xr:uid="{00000000-0005-0000-0000-0000867D0000}"/>
    <cellStyle name="Percent 2 5 3 3 3 2" xfId="25851" xr:uid="{00000000-0005-0000-0000-0000877D0000}"/>
    <cellStyle name="Percent 2 5 3 3 4" xfId="32619" xr:uid="{00000000-0005-0000-0000-0000887D0000}"/>
    <cellStyle name="Percent 2 5 3 4" xfId="8362" xr:uid="{00000000-0005-0000-0000-0000897D0000}"/>
    <cellStyle name="Percent 2 5 3 4 2" xfId="8363" xr:uid="{00000000-0005-0000-0000-00008A7D0000}"/>
    <cellStyle name="Percent 2 5 3 4 2 2" xfId="15784" xr:uid="{00000000-0005-0000-0000-00008B7D0000}"/>
    <cellStyle name="Percent 2 5 3 4 2 3" xfId="32622" xr:uid="{00000000-0005-0000-0000-00008C7D0000}"/>
    <cellStyle name="Percent 2 5 3 4 3" xfId="13703" xr:uid="{00000000-0005-0000-0000-00008D7D0000}"/>
    <cellStyle name="Percent 2 5 3 4 3 2" xfId="27252" xr:uid="{00000000-0005-0000-0000-00008E7D0000}"/>
    <cellStyle name="Percent 2 5 3 4 4" xfId="32621" xr:uid="{00000000-0005-0000-0000-00008F7D0000}"/>
    <cellStyle name="Percent 2 5 3 5" xfId="8364" xr:uid="{00000000-0005-0000-0000-0000907D0000}"/>
    <cellStyle name="Percent 2 5 3 5 2" xfId="14284" xr:uid="{00000000-0005-0000-0000-0000917D0000}"/>
    <cellStyle name="Percent 2 5 3 5 2 2" xfId="27833" xr:uid="{00000000-0005-0000-0000-0000927D0000}"/>
    <cellStyle name="Percent 2 5 3 5 3" xfId="32623" xr:uid="{00000000-0005-0000-0000-0000937D0000}"/>
    <cellStyle name="Percent 2 5 3 6" xfId="8365" xr:uid="{00000000-0005-0000-0000-0000947D0000}"/>
    <cellStyle name="Percent 2 5 3 6 2" xfId="16170" xr:uid="{00000000-0005-0000-0000-0000957D0000}"/>
    <cellStyle name="Percent 2 5 3 6 2 2" xfId="29577" xr:uid="{00000000-0005-0000-0000-0000967D0000}"/>
    <cellStyle name="Percent 2 5 3 6 3" xfId="32624" xr:uid="{00000000-0005-0000-0000-0000977D0000}"/>
    <cellStyle name="Percent 2 5 3 7" xfId="10394" xr:uid="{00000000-0005-0000-0000-0000987D0000}"/>
    <cellStyle name="Percent 2 5 3 8" xfId="32615" xr:uid="{00000000-0005-0000-0000-0000997D0000}"/>
    <cellStyle name="Percent 2 5 4" xfId="8366" xr:uid="{00000000-0005-0000-0000-00009A7D0000}"/>
    <cellStyle name="Percent 2 5 4 2" xfId="8367" xr:uid="{00000000-0005-0000-0000-00009B7D0000}"/>
    <cellStyle name="Percent 2 5 4 2 2" xfId="16459" xr:uid="{00000000-0005-0000-0000-00009C7D0000}"/>
    <cellStyle name="Percent 2 5 4 2 2 2" xfId="29866" xr:uid="{00000000-0005-0000-0000-00009D7D0000}"/>
    <cellStyle name="Percent 2 5 4 2 3" xfId="32626" xr:uid="{00000000-0005-0000-0000-00009E7D0000}"/>
    <cellStyle name="Percent 2 5 4 3" xfId="10396" xr:uid="{00000000-0005-0000-0000-00009F7D0000}"/>
    <cellStyle name="Percent 2 5 4 4" xfId="32625" xr:uid="{00000000-0005-0000-0000-0000A07D0000}"/>
    <cellStyle name="Percent 2 5 5" xfId="8368" xr:uid="{00000000-0005-0000-0000-0000A17D0000}"/>
    <cellStyle name="Percent 2 5 5 2" xfId="8369" xr:uid="{00000000-0005-0000-0000-0000A27D0000}"/>
    <cellStyle name="Percent 2 5 5 2 2" xfId="11682" xr:uid="{00000000-0005-0000-0000-0000A37D0000}"/>
    <cellStyle name="Percent 2 5 5 2 3" xfId="32628" xr:uid="{00000000-0005-0000-0000-0000A47D0000}"/>
    <cellStyle name="Percent 2 5 5 3" xfId="10397" xr:uid="{00000000-0005-0000-0000-0000A57D0000}"/>
    <cellStyle name="Percent 2 5 5 4" xfId="32627" xr:uid="{00000000-0005-0000-0000-0000A67D0000}"/>
    <cellStyle name="Percent 2 5 6" xfId="8370" xr:uid="{00000000-0005-0000-0000-0000A77D0000}"/>
    <cellStyle name="Percent 2 5 6 2" xfId="8371" xr:uid="{00000000-0005-0000-0000-0000A87D0000}"/>
    <cellStyle name="Percent 2 5 6 2 2" xfId="13355" xr:uid="{00000000-0005-0000-0000-0000A97D0000}"/>
    <cellStyle name="Percent 2 5 6 2 3" xfId="32630" xr:uid="{00000000-0005-0000-0000-0000AA7D0000}"/>
    <cellStyle name="Percent 2 5 6 3" xfId="11810" xr:uid="{00000000-0005-0000-0000-0000AB7D0000}"/>
    <cellStyle name="Percent 2 5 6 3 2" xfId="25525" xr:uid="{00000000-0005-0000-0000-0000AC7D0000}"/>
    <cellStyle name="Percent 2 5 6 4" xfId="32629" xr:uid="{00000000-0005-0000-0000-0000AD7D0000}"/>
    <cellStyle name="Percent 2 5 7" xfId="8372" xr:uid="{00000000-0005-0000-0000-0000AE7D0000}"/>
    <cellStyle name="Percent 2 5 7 2" xfId="8373" xr:uid="{00000000-0005-0000-0000-0000AF7D0000}"/>
    <cellStyle name="Percent 2 5 7 2 2" xfId="15785" xr:uid="{00000000-0005-0000-0000-0000B07D0000}"/>
    <cellStyle name="Percent 2 5 7 2 3" xfId="32632" xr:uid="{00000000-0005-0000-0000-0000B17D0000}"/>
    <cellStyle name="Percent 2 5 7 3" xfId="13411" xr:uid="{00000000-0005-0000-0000-0000B27D0000}"/>
    <cellStyle name="Percent 2 5 7 3 2" xfId="26960" xr:uid="{00000000-0005-0000-0000-0000B37D0000}"/>
    <cellStyle name="Percent 2 5 7 4" xfId="32631" xr:uid="{00000000-0005-0000-0000-0000B47D0000}"/>
    <cellStyle name="Percent 2 5 8" xfId="8374" xr:uid="{00000000-0005-0000-0000-0000B57D0000}"/>
    <cellStyle name="Percent 2 5 8 2" xfId="13992" xr:uid="{00000000-0005-0000-0000-0000B67D0000}"/>
    <cellStyle name="Percent 2 5 8 2 2" xfId="27541" xr:uid="{00000000-0005-0000-0000-0000B77D0000}"/>
    <cellStyle name="Percent 2 5 8 3" xfId="32633" xr:uid="{00000000-0005-0000-0000-0000B87D0000}"/>
    <cellStyle name="Percent 2 5 9" xfId="8375" xr:uid="{00000000-0005-0000-0000-0000B97D0000}"/>
    <cellStyle name="Percent 2 5 9 2" xfId="15878" xr:uid="{00000000-0005-0000-0000-0000BA7D0000}"/>
    <cellStyle name="Percent 2 5 9 2 2" xfId="29285" xr:uid="{00000000-0005-0000-0000-0000BB7D0000}"/>
    <cellStyle name="Percent 2 5 9 3" xfId="32634" xr:uid="{00000000-0005-0000-0000-0000BC7D0000}"/>
    <cellStyle name="Percent 2 6" xfId="8376" xr:uid="{00000000-0005-0000-0000-0000BD7D0000}"/>
    <cellStyle name="Percent 2 6 10" xfId="10398" xr:uid="{00000000-0005-0000-0000-0000BE7D0000}"/>
    <cellStyle name="Percent 2 6 11" xfId="32635" xr:uid="{00000000-0005-0000-0000-0000BF7D0000}"/>
    <cellStyle name="Percent 2 6 2" xfId="8377" xr:uid="{00000000-0005-0000-0000-0000C07D0000}"/>
    <cellStyle name="Percent 2 6 2 2" xfId="8378" xr:uid="{00000000-0005-0000-0000-0000C17D0000}"/>
    <cellStyle name="Percent 2 6 2 2 2" xfId="8379" xr:uid="{00000000-0005-0000-0000-0000C27D0000}"/>
    <cellStyle name="Percent 2 6 2 2 2 2" xfId="8380" xr:uid="{00000000-0005-0000-0000-0000C37D0000}"/>
    <cellStyle name="Percent 2 6 2 2 2 2 2" xfId="11683" xr:uid="{00000000-0005-0000-0000-0000C47D0000}"/>
    <cellStyle name="Percent 2 6 2 2 2 2 3" xfId="32639" xr:uid="{00000000-0005-0000-0000-0000C57D0000}"/>
    <cellStyle name="Percent 2 6 2 2 2 3" xfId="8381" xr:uid="{00000000-0005-0000-0000-0000C67D0000}"/>
    <cellStyle name="Percent 2 6 2 2 2 3 2" xfId="16997" xr:uid="{00000000-0005-0000-0000-0000C77D0000}"/>
    <cellStyle name="Percent 2 6 2 2 2 3 2 2" xfId="30404" xr:uid="{00000000-0005-0000-0000-0000C87D0000}"/>
    <cellStyle name="Percent 2 6 2 2 2 3 3" xfId="32640" xr:uid="{00000000-0005-0000-0000-0000C97D0000}"/>
    <cellStyle name="Percent 2 6 2 2 2 4" xfId="10401" xr:uid="{00000000-0005-0000-0000-0000CA7D0000}"/>
    <cellStyle name="Percent 2 6 2 2 2 5" xfId="32638" xr:uid="{00000000-0005-0000-0000-0000CB7D0000}"/>
    <cellStyle name="Percent 2 6 2 2 3" xfId="8382" xr:uid="{00000000-0005-0000-0000-0000CC7D0000}"/>
    <cellStyle name="Percent 2 6 2 2 3 2" xfId="8383" xr:uid="{00000000-0005-0000-0000-0000CD7D0000}"/>
    <cellStyle name="Percent 2 6 2 2 3 2 2" xfId="13356" xr:uid="{00000000-0005-0000-0000-0000CE7D0000}"/>
    <cellStyle name="Percent 2 6 2 2 3 2 3" xfId="32642" xr:uid="{00000000-0005-0000-0000-0000CF7D0000}"/>
    <cellStyle name="Percent 2 6 2 2 3 3" xfId="12385" xr:uid="{00000000-0005-0000-0000-0000D07D0000}"/>
    <cellStyle name="Percent 2 6 2 2 3 3 2" xfId="26097" xr:uid="{00000000-0005-0000-0000-0000D17D0000}"/>
    <cellStyle name="Percent 2 6 2 2 3 4" xfId="32641" xr:uid="{00000000-0005-0000-0000-0000D27D0000}"/>
    <cellStyle name="Percent 2 6 2 2 4" xfId="8384" xr:uid="{00000000-0005-0000-0000-0000D37D0000}"/>
    <cellStyle name="Percent 2 6 2 2 4 2" xfId="8385" xr:uid="{00000000-0005-0000-0000-0000D47D0000}"/>
    <cellStyle name="Percent 2 6 2 2 4 2 2" xfId="15786" xr:uid="{00000000-0005-0000-0000-0000D57D0000}"/>
    <cellStyle name="Percent 2 6 2 2 4 2 3" xfId="32644" xr:uid="{00000000-0005-0000-0000-0000D67D0000}"/>
    <cellStyle name="Percent 2 6 2 2 4 3" xfId="13949" xr:uid="{00000000-0005-0000-0000-0000D77D0000}"/>
    <cellStyle name="Percent 2 6 2 2 4 3 2" xfId="27498" xr:uid="{00000000-0005-0000-0000-0000D87D0000}"/>
    <cellStyle name="Percent 2 6 2 2 4 4" xfId="32643" xr:uid="{00000000-0005-0000-0000-0000D97D0000}"/>
    <cellStyle name="Percent 2 6 2 2 5" xfId="8386" xr:uid="{00000000-0005-0000-0000-0000DA7D0000}"/>
    <cellStyle name="Percent 2 6 2 2 5 2" xfId="14530" xr:uid="{00000000-0005-0000-0000-0000DB7D0000}"/>
    <cellStyle name="Percent 2 6 2 2 5 2 2" xfId="28079" xr:uid="{00000000-0005-0000-0000-0000DC7D0000}"/>
    <cellStyle name="Percent 2 6 2 2 5 3" xfId="32645" xr:uid="{00000000-0005-0000-0000-0000DD7D0000}"/>
    <cellStyle name="Percent 2 6 2 2 6" xfId="8387" xr:uid="{00000000-0005-0000-0000-0000DE7D0000}"/>
    <cellStyle name="Percent 2 6 2 2 6 2" xfId="16416" xr:uid="{00000000-0005-0000-0000-0000DF7D0000}"/>
    <cellStyle name="Percent 2 6 2 2 6 2 2" xfId="29823" xr:uid="{00000000-0005-0000-0000-0000E07D0000}"/>
    <cellStyle name="Percent 2 6 2 2 6 3" xfId="32646" xr:uid="{00000000-0005-0000-0000-0000E17D0000}"/>
    <cellStyle name="Percent 2 6 2 2 7" xfId="10400" xr:uid="{00000000-0005-0000-0000-0000E27D0000}"/>
    <cellStyle name="Percent 2 6 2 2 8" xfId="32637" xr:uid="{00000000-0005-0000-0000-0000E37D0000}"/>
    <cellStyle name="Percent 2 6 2 3" xfId="8388" xr:uid="{00000000-0005-0000-0000-0000E47D0000}"/>
    <cellStyle name="Percent 2 6 2 3 2" xfId="8389" xr:uid="{00000000-0005-0000-0000-0000E57D0000}"/>
    <cellStyle name="Percent 2 6 2 3 2 2" xfId="11684" xr:uid="{00000000-0005-0000-0000-0000E67D0000}"/>
    <cellStyle name="Percent 2 6 2 3 2 3" xfId="32648" xr:uid="{00000000-0005-0000-0000-0000E77D0000}"/>
    <cellStyle name="Percent 2 6 2 3 3" xfId="8390" xr:uid="{00000000-0005-0000-0000-0000E87D0000}"/>
    <cellStyle name="Percent 2 6 2 3 3 2" xfId="16708" xr:uid="{00000000-0005-0000-0000-0000E97D0000}"/>
    <cellStyle name="Percent 2 6 2 3 3 2 2" xfId="30115" xr:uid="{00000000-0005-0000-0000-0000EA7D0000}"/>
    <cellStyle name="Percent 2 6 2 3 3 3" xfId="32649" xr:uid="{00000000-0005-0000-0000-0000EB7D0000}"/>
    <cellStyle name="Percent 2 6 2 3 4" xfId="10402" xr:uid="{00000000-0005-0000-0000-0000EC7D0000}"/>
    <cellStyle name="Percent 2 6 2 3 5" xfId="32647" xr:uid="{00000000-0005-0000-0000-0000ED7D0000}"/>
    <cellStyle name="Percent 2 6 2 4" xfId="8391" xr:uid="{00000000-0005-0000-0000-0000EE7D0000}"/>
    <cellStyle name="Percent 2 6 2 4 2" xfId="8392" xr:uid="{00000000-0005-0000-0000-0000EF7D0000}"/>
    <cellStyle name="Percent 2 6 2 4 2 2" xfId="13357" xr:uid="{00000000-0005-0000-0000-0000F07D0000}"/>
    <cellStyle name="Percent 2 6 2 4 2 3" xfId="32651" xr:uid="{00000000-0005-0000-0000-0000F17D0000}"/>
    <cellStyle name="Percent 2 6 2 4 3" xfId="12085" xr:uid="{00000000-0005-0000-0000-0000F27D0000}"/>
    <cellStyle name="Percent 2 6 2 4 3 2" xfId="25800" xr:uid="{00000000-0005-0000-0000-0000F37D0000}"/>
    <cellStyle name="Percent 2 6 2 4 4" xfId="32650" xr:uid="{00000000-0005-0000-0000-0000F47D0000}"/>
    <cellStyle name="Percent 2 6 2 5" xfId="8393" xr:uid="{00000000-0005-0000-0000-0000F57D0000}"/>
    <cellStyle name="Percent 2 6 2 5 2" xfId="8394" xr:uid="{00000000-0005-0000-0000-0000F67D0000}"/>
    <cellStyle name="Percent 2 6 2 5 2 2" xfId="15787" xr:uid="{00000000-0005-0000-0000-0000F77D0000}"/>
    <cellStyle name="Percent 2 6 2 5 2 3" xfId="32653" xr:uid="{00000000-0005-0000-0000-0000F87D0000}"/>
    <cellStyle name="Percent 2 6 2 5 3" xfId="13660" xr:uid="{00000000-0005-0000-0000-0000F97D0000}"/>
    <cellStyle name="Percent 2 6 2 5 3 2" xfId="27209" xr:uid="{00000000-0005-0000-0000-0000FA7D0000}"/>
    <cellStyle name="Percent 2 6 2 5 4" xfId="32652" xr:uid="{00000000-0005-0000-0000-0000FB7D0000}"/>
    <cellStyle name="Percent 2 6 2 6" xfId="8395" xr:uid="{00000000-0005-0000-0000-0000FC7D0000}"/>
    <cellStyle name="Percent 2 6 2 6 2" xfId="14241" xr:uid="{00000000-0005-0000-0000-0000FD7D0000}"/>
    <cellStyle name="Percent 2 6 2 6 2 2" xfId="27790" xr:uid="{00000000-0005-0000-0000-0000FE7D0000}"/>
    <cellStyle name="Percent 2 6 2 6 3" xfId="32654" xr:uid="{00000000-0005-0000-0000-0000FF7D0000}"/>
    <cellStyle name="Percent 2 6 2 7" xfId="8396" xr:uid="{00000000-0005-0000-0000-0000007E0000}"/>
    <cellStyle name="Percent 2 6 2 7 2" xfId="16127" xr:uid="{00000000-0005-0000-0000-0000017E0000}"/>
    <cellStyle name="Percent 2 6 2 7 2 2" xfId="29534" xr:uid="{00000000-0005-0000-0000-0000027E0000}"/>
    <cellStyle name="Percent 2 6 2 7 3" xfId="32655" xr:uid="{00000000-0005-0000-0000-0000037E0000}"/>
    <cellStyle name="Percent 2 6 2 8" xfId="10399" xr:uid="{00000000-0005-0000-0000-0000047E0000}"/>
    <cellStyle name="Percent 2 6 2 9" xfId="32636" xr:uid="{00000000-0005-0000-0000-0000057E0000}"/>
    <cellStyle name="Percent 2 6 3" xfId="8397" xr:uid="{00000000-0005-0000-0000-0000067E0000}"/>
    <cellStyle name="Percent 2 6 3 2" xfId="8398" xr:uid="{00000000-0005-0000-0000-0000077E0000}"/>
    <cellStyle name="Percent 2 6 3 2 2" xfId="8399" xr:uid="{00000000-0005-0000-0000-0000087E0000}"/>
    <cellStyle name="Percent 2 6 3 2 2 2" xfId="11685" xr:uid="{00000000-0005-0000-0000-0000097E0000}"/>
    <cellStyle name="Percent 2 6 3 2 2 3" xfId="32658" xr:uid="{00000000-0005-0000-0000-00000A7E0000}"/>
    <cellStyle name="Percent 2 6 3 2 3" xfId="8400" xr:uid="{00000000-0005-0000-0000-00000B7E0000}"/>
    <cellStyle name="Percent 2 6 3 2 3 2" xfId="16854" xr:uid="{00000000-0005-0000-0000-00000C7E0000}"/>
    <cellStyle name="Percent 2 6 3 2 3 2 2" xfId="30261" xr:uid="{00000000-0005-0000-0000-00000D7E0000}"/>
    <cellStyle name="Percent 2 6 3 2 3 3" xfId="32659" xr:uid="{00000000-0005-0000-0000-00000E7E0000}"/>
    <cellStyle name="Percent 2 6 3 2 4" xfId="10404" xr:uid="{00000000-0005-0000-0000-00000F7E0000}"/>
    <cellStyle name="Percent 2 6 3 2 5" xfId="32657" xr:uid="{00000000-0005-0000-0000-0000107E0000}"/>
    <cellStyle name="Percent 2 6 3 3" xfId="8401" xr:uid="{00000000-0005-0000-0000-0000117E0000}"/>
    <cellStyle name="Percent 2 6 3 3 2" xfId="8402" xr:uid="{00000000-0005-0000-0000-0000127E0000}"/>
    <cellStyle name="Percent 2 6 3 3 2 2" xfId="13358" xr:uid="{00000000-0005-0000-0000-0000137E0000}"/>
    <cellStyle name="Percent 2 6 3 3 2 3" xfId="32661" xr:uid="{00000000-0005-0000-0000-0000147E0000}"/>
    <cellStyle name="Percent 2 6 3 3 3" xfId="12242" xr:uid="{00000000-0005-0000-0000-0000157E0000}"/>
    <cellStyle name="Percent 2 6 3 3 3 2" xfId="25954" xr:uid="{00000000-0005-0000-0000-0000167E0000}"/>
    <cellStyle name="Percent 2 6 3 3 4" xfId="32660" xr:uid="{00000000-0005-0000-0000-0000177E0000}"/>
    <cellStyle name="Percent 2 6 3 4" xfId="8403" xr:uid="{00000000-0005-0000-0000-0000187E0000}"/>
    <cellStyle name="Percent 2 6 3 4 2" xfId="8404" xr:uid="{00000000-0005-0000-0000-0000197E0000}"/>
    <cellStyle name="Percent 2 6 3 4 2 2" xfId="15788" xr:uid="{00000000-0005-0000-0000-00001A7E0000}"/>
    <cellStyle name="Percent 2 6 3 4 2 3" xfId="32663" xr:uid="{00000000-0005-0000-0000-00001B7E0000}"/>
    <cellStyle name="Percent 2 6 3 4 3" xfId="13806" xr:uid="{00000000-0005-0000-0000-00001C7E0000}"/>
    <cellStyle name="Percent 2 6 3 4 3 2" xfId="27355" xr:uid="{00000000-0005-0000-0000-00001D7E0000}"/>
    <cellStyle name="Percent 2 6 3 4 4" xfId="32662" xr:uid="{00000000-0005-0000-0000-00001E7E0000}"/>
    <cellStyle name="Percent 2 6 3 5" xfId="8405" xr:uid="{00000000-0005-0000-0000-00001F7E0000}"/>
    <cellStyle name="Percent 2 6 3 5 2" xfId="14387" xr:uid="{00000000-0005-0000-0000-0000207E0000}"/>
    <cellStyle name="Percent 2 6 3 5 2 2" xfId="27936" xr:uid="{00000000-0005-0000-0000-0000217E0000}"/>
    <cellStyle name="Percent 2 6 3 5 3" xfId="32664" xr:uid="{00000000-0005-0000-0000-0000227E0000}"/>
    <cellStyle name="Percent 2 6 3 6" xfId="8406" xr:uid="{00000000-0005-0000-0000-0000237E0000}"/>
    <cellStyle name="Percent 2 6 3 6 2" xfId="16273" xr:uid="{00000000-0005-0000-0000-0000247E0000}"/>
    <cellStyle name="Percent 2 6 3 6 2 2" xfId="29680" xr:uid="{00000000-0005-0000-0000-0000257E0000}"/>
    <cellStyle name="Percent 2 6 3 6 3" xfId="32665" xr:uid="{00000000-0005-0000-0000-0000267E0000}"/>
    <cellStyle name="Percent 2 6 3 7" xfId="10403" xr:uid="{00000000-0005-0000-0000-0000277E0000}"/>
    <cellStyle name="Percent 2 6 3 8" xfId="32656" xr:uid="{00000000-0005-0000-0000-0000287E0000}"/>
    <cellStyle name="Percent 2 6 4" xfId="8407" xr:uid="{00000000-0005-0000-0000-0000297E0000}"/>
    <cellStyle name="Percent 2 6 4 2" xfId="8408" xr:uid="{00000000-0005-0000-0000-00002A7E0000}"/>
    <cellStyle name="Percent 2 6 4 2 2" xfId="16565" xr:uid="{00000000-0005-0000-0000-00002B7E0000}"/>
    <cellStyle name="Percent 2 6 4 2 2 2" xfId="29972" xr:uid="{00000000-0005-0000-0000-00002C7E0000}"/>
    <cellStyle name="Percent 2 6 4 2 3" xfId="32667" xr:uid="{00000000-0005-0000-0000-00002D7E0000}"/>
    <cellStyle name="Percent 2 6 4 3" xfId="10405" xr:uid="{00000000-0005-0000-0000-00002E7E0000}"/>
    <cellStyle name="Percent 2 6 4 4" xfId="32666" xr:uid="{00000000-0005-0000-0000-00002F7E0000}"/>
    <cellStyle name="Percent 2 6 5" xfId="8409" xr:uid="{00000000-0005-0000-0000-0000307E0000}"/>
    <cellStyle name="Percent 2 6 5 2" xfId="8410" xr:uid="{00000000-0005-0000-0000-0000317E0000}"/>
    <cellStyle name="Percent 2 6 5 2 2" xfId="11686" xr:uid="{00000000-0005-0000-0000-0000327E0000}"/>
    <cellStyle name="Percent 2 6 5 2 3" xfId="32669" xr:uid="{00000000-0005-0000-0000-0000337E0000}"/>
    <cellStyle name="Percent 2 6 5 3" xfId="10406" xr:uid="{00000000-0005-0000-0000-0000347E0000}"/>
    <cellStyle name="Percent 2 6 5 4" xfId="32668" xr:uid="{00000000-0005-0000-0000-0000357E0000}"/>
    <cellStyle name="Percent 2 6 6" xfId="8411" xr:uid="{00000000-0005-0000-0000-0000367E0000}"/>
    <cellStyle name="Percent 2 6 6 2" xfId="8412" xr:uid="{00000000-0005-0000-0000-0000377E0000}"/>
    <cellStyle name="Percent 2 6 6 2 2" xfId="13359" xr:uid="{00000000-0005-0000-0000-0000387E0000}"/>
    <cellStyle name="Percent 2 6 6 2 3" xfId="32671" xr:uid="{00000000-0005-0000-0000-0000397E0000}"/>
    <cellStyle name="Percent 2 6 6 3" xfId="11940" xr:uid="{00000000-0005-0000-0000-00003A7E0000}"/>
    <cellStyle name="Percent 2 6 6 3 2" xfId="25655" xr:uid="{00000000-0005-0000-0000-00003B7E0000}"/>
    <cellStyle name="Percent 2 6 6 4" xfId="32670" xr:uid="{00000000-0005-0000-0000-00003C7E0000}"/>
    <cellStyle name="Percent 2 6 7" xfId="8413" xr:uid="{00000000-0005-0000-0000-00003D7E0000}"/>
    <cellStyle name="Percent 2 6 7 2" xfId="8414" xr:uid="{00000000-0005-0000-0000-00003E7E0000}"/>
    <cellStyle name="Percent 2 6 7 2 2" xfId="15789" xr:uid="{00000000-0005-0000-0000-00003F7E0000}"/>
    <cellStyle name="Percent 2 6 7 2 3" xfId="32673" xr:uid="{00000000-0005-0000-0000-0000407E0000}"/>
    <cellStyle name="Percent 2 6 7 3" xfId="13517" xr:uid="{00000000-0005-0000-0000-0000417E0000}"/>
    <cellStyle name="Percent 2 6 7 3 2" xfId="27066" xr:uid="{00000000-0005-0000-0000-0000427E0000}"/>
    <cellStyle name="Percent 2 6 7 4" xfId="32672" xr:uid="{00000000-0005-0000-0000-0000437E0000}"/>
    <cellStyle name="Percent 2 6 8" xfId="8415" xr:uid="{00000000-0005-0000-0000-0000447E0000}"/>
    <cellStyle name="Percent 2 6 8 2" xfId="14098" xr:uid="{00000000-0005-0000-0000-0000457E0000}"/>
    <cellStyle name="Percent 2 6 8 2 2" xfId="27647" xr:uid="{00000000-0005-0000-0000-0000467E0000}"/>
    <cellStyle name="Percent 2 6 8 3" xfId="32674" xr:uid="{00000000-0005-0000-0000-0000477E0000}"/>
    <cellStyle name="Percent 2 6 9" xfId="8416" xr:uid="{00000000-0005-0000-0000-0000487E0000}"/>
    <cellStyle name="Percent 2 6 9 2" xfId="15984" xr:uid="{00000000-0005-0000-0000-0000497E0000}"/>
    <cellStyle name="Percent 2 6 9 2 2" xfId="29391" xr:uid="{00000000-0005-0000-0000-00004A7E0000}"/>
    <cellStyle name="Percent 2 6 9 3" xfId="32675" xr:uid="{00000000-0005-0000-0000-00004B7E0000}"/>
    <cellStyle name="Percent 2 7" xfId="8417" xr:uid="{00000000-0005-0000-0000-00004C7E0000}"/>
    <cellStyle name="Percent 2 7 2" xfId="8418" xr:uid="{00000000-0005-0000-0000-00004D7E0000}"/>
    <cellStyle name="Percent 2 7 2 2" xfId="8419" xr:uid="{00000000-0005-0000-0000-00004E7E0000}"/>
    <cellStyle name="Percent 2 7 2 2 2" xfId="8420" xr:uid="{00000000-0005-0000-0000-00004F7E0000}"/>
    <cellStyle name="Percent 2 7 2 2 2 2" xfId="11687" xr:uid="{00000000-0005-0000-0000-0000507E0000}"/>
    <cellStyle name="Percent 2 7 2 2 2 3" xfId="32679" xr:uid="{00000000-0005-0000-0000-0000517E0000}"/>
    <cellStyle name="Percent 2 7 2 2 3" xfId="8421" xr:uid="{00000000-0005-0000-0000-0000527E0000}"/>
    <cellStyle name="Percent 2 7 2 2 3 2" xfId="16874" xr:uid="{00000000-0005-0000-0000-0000537E0000}"/>
    <cellStyle name="Percent 2 7 2 2 3 2 2" xfId="30281" xr:uid="{00000000-0005-0000-0000-0000547E0000}"/>
    <cellStyle name="Percent 2 7 2 2 3 3" xfId="32680" xr:uid="{00000000-0005-0000-0000-0000557E0000}"/>
    <cellStyle name="Percent 2 7 2 2 4" xfId="10409" xr:uid="{00000000-0005-0000-0000-0000567E0000}"/>
    <cellStyle name="Percent 2 7 2 2 5" xfId="32678" xr:uid="{00000000-0005-0000-0000-0000577E0000}"/>
    <cellStyle name="Percent 2 7 2 3" xfId="8422" xr:uid="{00000000-0005-0000-0000-0000587E0000}"/>
    <cellStyle name="Percent 2 7 2 3 2" xfId="8423" xr:uid="{00000000-0005-0000-0000-0000597E0000}"/>
    <cellStyle name="Percent 2 7 2 3 2 2" xfId="13360" xr:uid="{00000000-0005-0000-0000-00005A7E0000}"/>
    <cellStyle name="Percent 2 7 2 3 2 3" xfId="32682" xr:uid="{00000000-0005-0000-0000-00005B7E0000}"/>
    <cellStyle name="Percent 2 7 2 3 3" xfId="12262" xr:uid="{00000000-0005-0000-0000-00005C7E0000}"/>
    <cellStyle name="Percent 2 7 2 3 3 2" xfId="25974" xr:uid="{00000000-0005-0000-0000-00005D7E0000}"/>
    <cellStyle name="Percent 2 7 2 3 4" xfId="32681" xr:uid="{00000000-0005-0000-0000-00005E7E0000}"/>
    <cellStyle name="Percent 2 7 2 4" xfId="8424" xr:uid="{00000000-0005-0000-0000-00005F7E0000}"/>
    <cellStyle name="Percent 2 7 2 4 2" xfId="8425" xr:uid="{00000000-0005-0000-0000-0000607E0000}"/>
    <cellStyle name="Percent 2 7 2 4 2 2" xfId="15790" xr:uid="{00000000-0005-0000-0000-0000617E0000}"/>
    <cellStyle name="Percent 2 7 2 4 2 3" xfId="32684" xr:uid="{00000000-0005-0000-0000-0000627E0000}"/>
    <cellStyle name="Percent 2 7 2 4 3" xfId="13826" xr:uid="{00000000-0005-0000-0000-0000637E0000}"/>
    <cellStyle name="Percent 2 7 2 4 3 2" xfId="27375" xr:uid="{00000000-0005-0000-0000-0000647E0000}"/>
    <cellStyle name="Percent 2 7 2 4 4" xfId="32683" xr:uid="{00000000-0005-0000-0000-0000657E0000}"/>
    <cellStyle name="Percent 2 7 2 5" xfId="8426" xr:uid="{00000000-0005-0000-0000-0000667E0000}"/>
    <cellStyle name="Percent 2 7 2 5 2" xfId="14407" xr:uid="{00000000-0005-0000-0000-0000677E0000}"/>
    <cellStyle name="Percent 2 7 2 5 2 2" xfId="27956" xr:uid="{00000000-0005-0000-0000-0000687E0000}"/>
    <cellStyle name="Percent 2 7 2 5 3" xfId="32685" xr:uid="{00000000-0005-0000-0000-0000697E0000}"/>
    <cellStyle name="Percent 2 7 2 6" xfId="8427" xr:uid="{00000000-0005-0000-0000-00006A7E0000}"/>
    <cellStyle name="Percent 2 7 2 6 2" xfId="16293" xr:uid="{00000000-0005-0000-0000-00006B7E0000}"/>
    <cellStyle name="Percent 2 7 2 6 2 2" xfId="29700" xr:uid="{00000000-0005-0000-0000-00006C7E0000}"/>
    <cellStyle name="Percent 2 7 2 6 3" xfId="32686" xr:uid="{00000000-0005-0000-0000-00006D7E0000}"/>
    <cellStyle name="Percent 2 7 2 7" xfId="10408" xr:uid="{00000000-0005-0000-0000-00006E7E0000}"/>
    <cellStyle name="Percent 2 7 2 8" xfId="32677" xr:uid="{00000000-0005-0000-0000-00006F7E0000}"/>
    <cellStyle name="Percent 2 7 3" xfId="8428" xr:uid="{00000000-0005-0000-0000-0000707E0000}"/>
    <cellStyle name="Percent 2 7 3 2" xfId="8429" xr:uid="{00000000-0005-0000-0000-0000717E0000}"/>
    <cellStyle name="Percent 2 7 3 2 2" xfId="11688" xr:uid="{00000000-0005-0000-0000-0000727E0000}"/>
    <cellStyle name="Percent 2 7 3 2 3" xfId="32688" xr:uid="{00000000-0005-0000-0000-0000737E0000}"/>
    <cellStyle name="Percent 2 7 3 3" xfId="8430" xr:uid="{00000000-0005-0000-0000-0000747E0000}"/>
    <cellStyle name="Percent 2 7 3 3 2" xfId="16585" xr:uid="{00000000-0005-0000-0000-0000757E0000}"/>
    <cellStyle name="Percent 2 7 3 3 2 2" xfId="29992" xr:uid="{00000000-0005-0000-0000-0000767E0000}"/>
    <cellStyle name="Percent 2 7 3 3 3" xfId="32689" xr:uid="{00000000-0005-0000-0000-0000777E0000}"/>
    <cellStyle name="Percent 2 7 3 4" xfId="10410" xr:uid="{00000000-0005-0000-0000-0000787E0000}"/>
    <cellStyle name="Percent 2 7 3 5" xfId="32687" xr:uid="{00000000-0005-0000-0000-0000797E0000}"/>
    <cellStyle name="Percent 2 7 4" xfId="8431" xr:uid="{00000000-0005-0000-0000-00007A7E0000}"/>
    <cellStyle name="Percent 2 7 4 2" xfId="8432" xr:uid="{00000000-0005-0000-0000-00007B7E0000}"/>
    <cellStyle name="Percent 2 7 4 2 2" xfId="13361" xr:uid="{00000000-0005-0000-0000-00007C7E0000}"/>
    <cellStyle name="Percent 2 7 4 2 3" xfId="32691" xr:uid="{00000000-0005-0000-0000-00007D7E0000}"/>
    <cellStyle name="Percent 2 7 4 3" xfId="11962" xr:uid="{00000000-0005-0000-0000-00007E7E0000}"/>
    <cellStyle name="Percent 2 7 4 3 2" xfId="25677" xr:uid="{00000000-0005-0000-0000-00007F7E0000}"/>
    <cellStyle name="Percent 2 7 4 4" xfId="32690" xr:uid="{00000000-0005-0000-0000-0000807E0000}"/>
    <cellStyle name="Percent 2 7 5" xfId="8433" xr:uid="{00000000-0005-0000-0000-0000817E0000}"/>
    <cellStyle name="Percent 2 7 5 2" xfId="8434" xr:uid="{00000000-0005-0000-0000-0000827E0000}"/>
    <cellStyle name="Percent 2 7 5 2 2" xfId="15791" xr:uid="{00000000-0005-0000-0000-0000837E0000}"/>
    <cellStyle name="Percent 2 7 5 2 3" xfId="32693" xr:uid="{00000000-0005-0000-0000-0000847E0000}"/>
    <cellStyle name="Percent 2 7 5 3" xfId="13537" xr:uid="{00000000-0005-0000-0000-0000857E0000}"/>
    <cellStyle name="Percent 2 7 5 3 2" xfId="27086" xr:uid="{00000000-0005-0000-0000-0000867E0000}"/>
    <cellStyle name="Percent 2 7 5 4" xfId="32692" xr:uid="{00000000-0005-0000-0000-0000877E0000}"/>
    <cellStyle name="Percent 2 7 6" xfId="8435" xr:uid="{00000000-0005-0000-0000-0000887E0000}"/>
    <cellStyle name="Percent 2 7 6 2" xfId="14118" xr:uid="{00000000-0005-0000-0000-0000897E0000}"/>
    <cellStyle name="Percent 2 7 6 2 2" xfId="27667" xr:uid="{00000000-0005-0000-0000-00008A7E0000}"/>
    <cellStyle name="Percent 2 7 6 3" xfId="32694" xr:uid="{00000000-0005-0000-0000-00008B7E0000}"/>
    <cellStyle name="Percent 2 7 7" xfId="8436" xr:uid="{00000000-0005-0000-0000-00008C7E0000}"/>
    <cellStyle name="Percent 2 7 7 2" xfId="16004" xr:uid="{00000000-0005-0000-0000-00008D7E0000}"/>
    <cellStyle name="Percent 2 7 7 2 2" xfId="29411" xr:uid="{00000000-0005-0000-0000-00008E7E0000}"/>
    <cellStyle name="Percent 2 7 7 3" xfId="32695" xr:uid="{00000000-0005-0000-0000-00008F7E0000}"/>
    <cellStyle name="Percent 2 7 8" xfId="10407" xr:uid="{00000000-0005-0000-0000-0000907E0000}"/>
    <cellStyle name="Percent 2 7 9" xfId="32676" xr:uid="{00000000-0005-0000-0000-0000917E0000}"/>
    <cellStyle name="Percent 2 8" xfId="8437" xr:uid="{00000000-0005-0000-0000-0000927E0000}"/>
    <cellStyle name="Percent 2 8 2" xfId="8438" xr:uid="{00000000-0005-0000-0000-0000937E0000}"/>
    <cellStyle name="Percent 2 8 2 2" xfId="8439" xr:uid="{00000000-0005-0000-0000-0000947E0000}"/>
    <cellStyle name="Percent 2 8 2 2 2" xfId="11689" xr:uid="{00000000-0005-0000-0000-0000957E0000}"/>
    <cellStyle name="Percent 2 8 2 2 3" xfId="32698" xr:uid="{00000000-0005-0000-0000-0000967E0000}"/>
    <cellStyle name="Percent 2 8 2 3" xfId="8440" xr:uid="{00000000-0005-0000-0000-0000977E0000}"/>
    <cellStyle name="Percent 2 8 2 3 2" xfId="16731" xr:uid="{00000000-0005-0000-0000-0000987E0000}"/>
    <cellStyle name="Percent 2 8 2 3 2 2" xfId="30138" xr:uid="{00000000-0005-0000-0000-0000997E0000}"/>
    <cellStyle name="Percent 2 8 2 3 3" xfId="32699" xr:uid="{00000000-0005-0000-0000-00009A7E0000}"/>
    <cellStyle name="Percent 2 8 2 4" xfId="10412" xr:uid="{00000000-0005-0000-0000-00009B7E0000}"/>
    <cellStyle name="Percent 2 8 2 5" xfId="32697" xr:uid="{00000000-0005-0000-0000-00009C7E0000}"/>
    <cellStyle name="Percent 2 8 3" xfId="8441" xr:uid="{00000000-0005-0000-0000-00009D7E0000}"/>
    <cellStyle name="Percent 2 8 3 2" xfId="8442" xr:uid="{00000000-0005-0000-0000-00009E7E0000}"/>
    <cellStyle name="Percent 2 8 3 2 2" xfId="13362" xr:uid="{00000000-0005-0000-0000-00009F7E0000}"/>
    <cellStyle name="Percent 2 8 3 2 3" xfId="32701" xr:uid="{00000000-0005-0000-0000-0000A07E0000}"/>
    <cellStyle name="Percent 2 8 3 3" xfId="12119" xr:uid="{00000000-0005-0000-0000-0000A17E0000}"/>
    <cellStyle name="Percent 2 8 3 3 2" xfId="25831" xr:uid="{00000000-0005-0000-0000-0000A27E0000}"/>
    <cellStyle name="Percent 2 8 3 4" xfId="32700" xr:uid="{00000000-0005-0000-0000-0000A37E0000}"/>
    <cellStyle name="Percent 2 8 4" xfId="8443" xr:uid="{00000000-0005-0000-0000-0000A47E0000}"/>
    <cellStyle name="Percent 2 8 4 2" xfId="8444" xr:uid="{00000000-0005-0000-0000-0000A57E0000}"/>
    <cellStyle name="Percent 2 8 4 2 2" xfId="15792" xr:uid="{00000000-0005-0000-0000-0000A67E0000}"/>
    <cellStyle name="Percent 2 8 4 2 3" xfId="32703" xr:uid="{00000000-0005-0000-0000-0000A77E0000}"/>
    <cellStyle name="Percent 2 8 4 3" xfId="13683" xr:uid="{00000000-0005-0000-0000-0000A87E0000}"/>
    <cellStyle name="Percent 2 8 4 3 2" xfId="27232" xr:uid="{00000000-0005-0000-0000-0000A97E0000}"/>
    <cellStyle name="Percent 2 8 4 4" xfId="32702" xr:uid="{00000000-0005-0000-0000-0000AA7E0000}"/>
    <cellStyle name="Percent 2 8 5" xfId="8445" xr:uid="{00000000-0005-0000-0000-0000AB7E0000}"/>
    <cellStyle name="Percent 2 8 5 2" xfId="14264" xr:uid="{00000000-0005-0000-0000-0000AC7E0000}"/>
    <cellStyle name="Percent 2 8 5 2 2" xfId="27813" xr:uid="{00000000-0005-0000-0000-0000AD7E0000}"/>
    <cellStyle name="Percent 2 8 5 3" xfId="32704" xr:uid="{00000000-0005-0000-0000-0000AE7E0000}"/>
    <cellStyle name="Percent 2 8 6" xfId="8446" xr:uid="{00000000-0005-0000-0000-0000AF7E0000}"/>
    <cellStyle name="Percent 2 8 6 2" xfId="16150" xr:uid="{00000000-0005-0000-0000-0000B07E0000}"/>
    <cellStyle name="Percent 2 8 6 2 2" xfId="29557" xr:uid="{00000000-0005-0000-0000-0000B17E0000}"/>
    <cellStyle name="Percent 2 8 6 3" xfId="32705" xr:uid="{00000000-0005-0000-0000-0000B27E0000}"/>
    <cellStyle name="Percent 2 8 7" xfId="10411" xr:uid="{00000000-0005-0000-0000-0000B37E0000}"/>
    <cellStyle name="Percent 2 8 8" xfId="32696" xr:uid="{00000000-0005-0000-0000-0000B47E0000}"/>
    <cellStyle name="Percent 2 9" xfId="8447" xr:uid="{00000000-0005-0000-0000-0000B57E0000}"/>
    <cellStyle name="Percent 2 9 2" xfId="8448" xr:uid="{00000000-0005-0000-0000-0000B67E0000}"/>
    <cellStyle name="Percent 2 9 2 2" xfId="8449" xr:uid="{00000000-0005-0000-0000-0000B77E0000}"/>
    <cellStyle name="Percent 2 9 2 2 2" xfId="11690" xr:uid="{00000000-0005-0000-0000-0000B87E0000}"/>
    <cellStyle name="Percent 2 9 2 2 3" xfId="32708" xr:uid="{00000000-0005-0000-0000-0000B97E0000}"/>
    <cellStyle name="Percent 2 9 2 3" xfId="8450" xr:uid="{00000000-0005-0000-0000-0000BA7E0000}"/>
    <cellStyle name="Percent 2 9 2 3 2" xfId="16736" xr:uid="{00000000-0005-0000-0000-0000BB7E0000}"/>
    <cellStyle name="Percent 2 9 2 3 2 2" xfId="30143" xr:uid="{00000000-0005-0000-0000-0000BC7E0000}"/>
    <cellStyle name="Percent 2 9 2 3 3" xfId="32709" xr:uid="{00000000-0005-0000-0000-0000BD7E0000}"/>
    <cellStyle name="Percent 2 9 2 4" xfId="10414" xr:uid="{00000000-0005-0000-0000-0000BE7E0000}"/>
    <cellStyle name="Percent 2 9 2 5" xfId="32707" xr:uid="{00000000-0005-0000-0000-0000BF7E0000}"/>
    <cellStyle name="Percent 2 9 3" xfId="8451" xr:uid="{00000000-0005-0000-0000-0000C07E0000}"/>
    <cellStyle name="Percent 2 9 3 2" xfId="8452" xr:uid="{00000000-0005-0000-0000-0000C17E0000}"/>
    <cellStyle name="Percent 2 9 3 2 2" xfId="13363" xr:uid="{00000000-0005-0000-0000-0000C27E0000}"/>
    <cellStyle name="Percent 2 9 3 2 3" xfId="32711" xr:uid="{00000000-0005-0000-0000-0000C37E0000}"/>
    <cellStyle name="Percent 2 9 3 3" xfId="12124" xr:uid="{00000000-0005-0000-0000-0000C47E0000}"/>
    <cellStyle name="Percent 2 9 3 3 2" xfId="25836" xr:uid="{00000000-0005-0000-0000-0000C57E0000}"/>
    <cellStyle name="Percent 2 9 3 4" xfId="32710" xr:uid="{00000000-0005-0000-0000-0000C67E0000}"/>
    <cellStyle name="Percent 2 9 4" xfId="8453" xr:uid="{00000000-0005-0000-0000-0000C77E0000}"/>
    <cellStyle name="Percent 2 9 4 2" xfId="8454" xr:uid="{00000000-0005-0000-0000-0000C87E0000}"/>
    <cellStyle name="Percent 2 9 4 2 2" xfId="15793" xr:uid="{00000000-0005-0000-0000-0000C97E0000}"/>
    <cellStyle name="Percent 2 9 4 2 3" xfId="32713" xr:uid="{00000000-0005-0000-0000-0000CA7E0000}"/>
    <cellStyle name="Percent 2 9 4 3" xfId="13688" xr:uid="{00000000-0005-0000-0000-0000CB7E0000}"/>
    <cellStyle name="Percent 2 9 4 3 2" xfId="27237" xr:uid="{00000000-0005-0000-0000-0000CC7E0000}"/>
    <cellStyle name="Percent 2 9 4 4" xfId="32712" xr:uid="{00000000-0005-0000-0000-0000CD7E0000}"/>
    <cellStyle name="Percent 2 9 5" xfId="8455" xr:uid="{00000000-0005-0000-0000-0000CE7E0000}"/>
    <cellStyle name="Percent 2 9 5 2" xfId="14269" xr:uid="{00000000-0005-0000-0000-0000CF7E0000}"/>
    <cellStyle name="Percent 2 9 5 2 2" xfId="27818" xr:uid="{00000000-0005-0000-0000-0000D07E0000}"/>
    <cellStyle name="Percent 2 9 5 3" xfId="32714" xr:uid="{00000000-0005-0000-0000-0000D17E0000}"/>
    <cellStyle name="Percent 2 9 6" xfId="8456" xr:uid="{00000000-0005-0000-0000-0000D27E0000}"/>
    <cellStyle name="Percent 2 9 6 2" xfId="16155" xr:uid="{00000000-0005-0000-0000-0000D37E0000}"/>
    <cellStyle name="Percent 2 9 6 2 2" xfId="29562" xr:uid="{00000000-0005-0000-0000-0000D47E0000}"/>
    <cellStyle name="Percent 2 9 6 3" xfId="32715" xr:uid="{00000000-0005-0000-0000-0000D57E0000}"/>
    <cellStyle name="Percent 2 9 7" xfId="10413" xr:uid="{00000000-0005-0000-0000-0000D67E0000}"/>
    <cellStyle name="Percent 2 9 8" xfId="32706" xr:uid="{00000000-0005-0000-0000-0000D77E0000}"/>
    <cellStyle name="Percent 3" xfId="8457" xr:uid="{00000000-0005-0000-0000-0000D87E0000}"/>
    <cellStyle name="Percent 3 2" xfId="8458" xr:uid="{00000000-0005-0000-0000-0000D97E0000}"/>
    <cellStyle name="Percent 3 2 2" xfId="8719" xr:uid="{00000000-0005-0000-0000-0000DA7E0000}"/>
    <cellStyle name="Percent 3 2 3" xfId="32717" xr:uid="{00000000-0005-0000-0000-0000DB7E0000}"/>
    <cellStyle name="Percent 3 2 4" xfId="32914" xr:uid="{00000000-0005-0000-0000-0000DC7E0000}"/>
    <cellStyle name="Percent 3 3" xfId="8459" xr:uid="{00000000-0005-0000-0000-0000DD7E0000}"/>
    <cellStyle name="Percent 3 3 2" xfId="8460" xr:uid="{00000000-0005-0000-0000-0000DE7E0000}"/>
    <cellStyle name="Percent 3 3 2 2" xfId="17352" xr:uid="{00000000-0005-0000-0000-0000DF7E0000}"/>
    <cellStyle name="Percent 3 3 2 3" xfId="32719" xr:uid="{00000000-0005-0000-0000-0000E07E0000}"/>
    <cellStyle name="Percent 3 3 3" xfId="8749" xr:uid="{00000000-0005-0000-0000-0000E17E0000}"/>
    <cellStyle name="Percent 3 3 4" xfId="10416" xr:uid="{00000000-0005-0000-0000-0000E27E0000}"/>
    <cellStyle name="Percent 3 3 5" xfId="32718" xr:uid="{00000000-0005-0000-0000-0000E37E0000}"/>
    <cellStyle name="Percent 3 4" xfId="8657" xr:uid="{00000000-0005-0000-0000-0000E47E0000}"/>
    <cellStyle name="Percent 3 4 2" xfId="10415" xr:uid="{00000000-0005-0000-0000-0000E57E0000}"/>
    <cellStyle name="Percent 3 5" xfId="32716" xr:uid="{00000000-0005-0000-0000-0000E67E0000}"/>
    <cellStyle name="Percent 3 6" xfId="32913" xr:uid="{00000000-0005-0000-0000-0000E77E0000}"/>
    <cellStyle name="Percent 3 7" xfId="33096" xr:uid="{00000000-0005-0000-0000-0000E87E0000}"/>
    <cellStyle name="Percent 4" xfId="8461" xr:uid="{00000000-0005-0000-0000-0000E97E0000}"/>
    <cellStyle name="Percent 4 2" xfId="8462" xr:uid="{00000000-0005-0000-0000-0000EA7E0000}"/>
    <cellStyle name="Percent 4 2 2" xfId="10418" xr:uid="{00000000-0005-0000-0000-0000EB7E0000}"/>
    <cellStyle name="Percent 4 2 3" xfId="32721" xr:uid="{00000000-0005-0000-0000-0000EC7E0000}"/>
    <cellStyle name="Percent 4 3" xfId="8463" xr:uid="{00000000-0005-0000-0000-0000ED7E0000}"/>
    <cellStyle name="Percent 4 3 2" xfId="13364" xr:uid="{00000000-0005-0000-0000-0000EE7E0000}"/>
    <cellStyle name="Percent 4 3 3" xfId="32722" xr:uid="{00000000-0005-0000-0000-0000EF7E0000}"/>
    <cellStyle name="Percent 4 4" xfId="8464" xr:uid="{00000000-0005-0000-0000-0000F07E0000}"/>
    <cellStyle name="Percent 4 4 2" xfId="10417" xr:uid="{00000000-0005-0000-0000-0000F17E0000}"/>
    <cellStyle name="Percent 4 4 3" xfId="32723" xr:uid="{00000000-0005-0000-0000-0000F27E0000}"/>
    <cellStyle name="Percent 4 5" xfId="8674" xr:uid="{00000000-0005-0000-0000-0000F37E0000}"/>
    <cellStyle name="Percent 4 6" xfId="32720" xr:uid="{00000000-0005-0000-0000-0000F47E0000}"/>
    <cellStyle name="Percent 4 7" xfId="32915" xr:uid="{00000000-0005-0000-0000-0000F57E0000}"/>
    <cellStyle name="Percent 5" xfId="8465" xr:uid="{00000000-0005-0000-0000-0000F67E0000}"/>
    <cellStyle name="Percent 5 2" xfId="8466" xr:uid="{00000000-0005-0000-0000-0000F77E0000}"/>
    <cellStyle name="Percent 5 2 2" xfId="17353" xr:uid="{00000000-0005-0000-0000-0000F87E0000}"/>
    <cellStyle name="Percent 5 2 3" xfId="32725" xr:uid="{00000000-0005-0000-0000-0000F97E0000}"/>
    <cellStyle name="Percent 5 2 4" xfId="32945" xr:uid="{00000000-0005-0000-0000-0000FA7E0000}"/>
    <cellStyle name="Percent 5 2 5" xfId="33003" xr:uid="{00000000-0005-0000-0000-0000FB7E0000}"/>
    <cellStyle name="Percent 5 3" xfId="8750" xr:uid="{00000000-0005-0000-0000-0000FC7E0000}"/>
    <cellStyle name="Percent 5 4" xfId="32724" xr:uid="{00000000-0005-0000-0000-0000FD7E0000}"/>
    <cellStyle name="Percent 5 5" xfId="32916" xr:uid="{00000000-0005-0000-0000-0000FE7E0000}"/>
    <cellStyle name="Percent 5 6" xfId="32976" xr:uid="{00000000-0005-0000-0000-0000FF7E0000}"/>
    <cellStyle name="Percent 6" xfId="8467" xr:uid="{00000000-0005-0000-0000-0000007F0000}"/>
    <cellStyle name="Percent 6 10" xfId="8751" xr:uid="{00000000-0005-0000-0000-0000017F0000}"/>
    <cellStyle name="Percent 6 11" xfId="10419" xr:uid="{00000000-0005-0000-0000-0000027F0000}"/>
    <cellStyle name="Percent 6 12" xfId="32726" xr:uid="{00000000-0005-0000-0000-0000037F0000}"/>
    <cellStyle name="Percent 6 2" xfId="8468" xr:uid="{00000000-0005-0000-0000-0000047F0000}"/>
    <cellStyle name="Percent 6 2 2" xfId="8469" xr:uid="{00000000-0005-0000-0000-0000057F0000}"/>
    <cellStyle name="Percent 6 2 2 2" xfId="8470" xr:uid="{00000000-0005-0000-0000-0000067F0000}"/>
    <cellStyle name="Percent 6 2 2 2 2" xfId="8471" xr:uid="{00000000-0005-0000-0000-0000077F0000}"/>
    <cellStyle name="Percent 6 2 2 2 2 2" xfId="11695" xr:uid="{00000000-0005-0000-0000-0000087F0000}"/>
    <cellStyle name="Percent 6 2 2 2 2 3" xfId="32730" xr:uid="{00000000-0005-0000-0000-0000097F0000}"/>
    <cellStyle name="Percent 6 2 2 2 3" xfId="8472" xr:uid="{00000000-0005-0000-0000-00000A7F0000}"/>
    <cellStyle name="Percent 6 2 2 2 3 2" xfId="16937" xr:uid="{00000000-0005-0000-0000-00000B7F0000}"/>
    <cellStyle name="Percent 6 2 2 2 3 2 2" xfId="30344" xr:uid="{00000000-0005-0000-0000-00000C7F0000}"/>
    <cellStyle name="Percent 6 2 2 2 3 3" xfId="32731" xr:uid="{00000000-0005-0000-0000-00000D7F0000}"/>
    <cellStyle name="Percent 6 2 2 2 4" xfId="10422" xr:uid="{00000000-0005-0000-0000-00000E7F0000}"/>
    <cellStyle name="Percent 6 2 2 2 5" xfId="32729" xr:uid="{00000000-0005-0000-0000-00000F7F0000}"/>
    <cellStyle name="Percent 6 2 2 3" xfId="8473" xr:uid="{00000000-0005-0000-0000-0000107F0000}"/>
    <cellStyle name="Percent 6 2 2 3 2" xfId="8474" xr:uid="{00000000-0005-0000-0000-0000117F0000}"/>
    <cellStyle name="Percent 6 2 2 3 2 2" xfId="13365" xr:uid="{00000000-0005-0000-0000-0000127F0000}"/>
    <cellStyle name="Percent 6 2 2 3 2 3" xfId="32733" xr:uid="{00000000-0005-0000-0000-0000137F0000}"/>
    <cellStyle name="Percent 6 2 2 3 3" xfId="12325" xr:uid="{00000000-0005-0000-0000-0000147F0000}"/>
    <cellStyle name="Percent 6 2 2 3 3 2" xfId="26037" xr:uid="{00000000-0005-0000-0000-0000157F0000}"/>
    <cellStyle name="Percent 6 2 2 3 4" xfId="32732" xr:uid="{00000000-0005-0000-0000-0000167F0000}"/>
    <cellStyle name="Percent 6 2 2 4" xfId="8475" xr:uid="{00000000-0005-0000-0000-0000177F0000}"/>
    <cellStyle name="Percent 6 2 2 4 2" xfId="8476" xr:uid="{00000000-0005-0000-0000-0000187F0000}"/>
    <cellStyle name="Percent 6 2 2 4 2 2" xfId="15794" xr:uid="{00000000-0005-0000-0000-0000197F0000}"/>
    <cellStyle name="Percent 6 2 2 4 2 3" xfId="32735" xr:uid="{00000000-0005-0000-0000-00001A7F0000}"/>
    <cellStyle name="Percent 6 2 2 4 3" xfId="13889" xr:uid="{00000000-0005-0000-0000-00001B7F0000}"/>
    <cellStyle name="Percent 6 2 2 4 3 2" xfId="27438" xr:uid="{00000000-0005-0000-0000-00001C7F0000}"/>
    <cellStyle name="Percent 6 2 2 4 4" xfId="32734" xr:uid="{00000000-0005-0000-0000-00001D7F0000}"/>
    <cellStyle name="Percent 6 2 2 5" xfId="8477" xr:uid="{00000000-0005-0000-0000-00001E7F0000}"/>
    <cellStyle name="Percent 6 2 2 5 2" xfId="14470" xr:uid="{00000000-0005-0000-0000-00001F7F0000}"/>
    <cellStyle name="Percent 6 2 2 5 2 2" xfId="28019" xr:uid="{00000000-0005-0000-0000-0000207F0000}"/>
    <cellStyle name="Percent 6 2 2 5 3" xfId="32736" xr:uid="{00000000-0005-0000-0000-0000217F0000}"/>
    <cellStyle name="Percent 6 2 2 6" xfId="8478" xr:uid="{00000000-0005-0000-0000-0000227F0000}"/>
    <cellStyle name="Percent 6 2 2 6 2" xfId="16356" xr:uid="{00000000-0005-0000-0000-0000237F0000}"/>
    <cellStyle name="Percent 6 2 2 6 2 2" xfId="29763" xr:uid="{00000000-0005-0000-0000-0000247F0000}"/>
    <cellStyle name="Percent 6 2 2 6 3" xfId="32737" xr:uid="{00000000-0005-0000-0000-0000257F0000}"/>
    <cellStyle name="Percent 6 2 2 7" xfId="10421" xr:uid="{00000000-0005-0000-0000-0000267F0000}"/>
    <cellStyle name="Percent 6 2 2 8" xfId="32728" xr:uid="{00000000-0005-0000-0000-0000277F0000}"/>
    <cellStyle name="Percent 6 2 3" xfId="8479" xr:uid="{00000000-0005-0000-0000-0000287F0000}"/>
    <cellStyle name="Percent 6 2 3 2" xfId="8480" xr:uid="{00000000-0005-0000-0000-0000297F0000}"/>
    <cellStyle name="Percent 6 2 3 2 2" xfId="11696" xr:uid="{00000000-0005-0000-0000-00002A7F0000}"/>
    <cellStyle name="Percent 6 2 3 2 3" xfId="32739" xr:uid="{00000000-0005-0000-0000-00002B7F0000}"/>
    <cellStyle name="Percent 6 2 3 3" xfId="8481" xr:uid="{00000000-0005-0000-0000-00002C7F0000}"/>
    <cellStyle name="Percent 6 2 3 3 2" xfId="16648" xr:uid="{00000000-0005-0000-0000-00002D7F0000}"/>
    <cellStyle name="Percent 6 2 3 3 2 2" xfId="30055" xr:uid="{00000000-0005-0000-0000-00002E7F0000}"/>
    <cellStyle name="Percent 6 2 3 3 3" xfId="32740" xr:uid="{00000000-0005-0000-0000-00002F7F0000}"/>
    <cellStyle name="Percent 6 2 3 4" xfId="10423" xr:uid="{00000000-0005-0000-0000-0000307F0000}"/>
    <cellStyle name="Percent 6 2 3 5" xfId="32738" xr:uid="{00000000-0005-0000-0000-0000317F0000}"/>
    <cellStyle name="Percent 6 2 4" xfId="8482" xr:uid="{00000000-0005-0000-0000-0000327F0000}"/>
    <cellStyle name="Percent 6 2 4 2" xfId="8483" xr:uid="{00000000-0005-0000-0000-0000337F0000}"/>
    <cellStyle name="Percent 6 2 4 2 2" xfId="13366" xr:uid="{00000000-0005-0000-0000-0000347F0000}"/>
    <cellStyle name="Percent 6 2 4 2 3" xfId="32742" xr:uid="{00000000-0005-0000-0000-0000357F0000}"/>
    <cellStyle name="Percent 6 2 4 3" xfId="12025" xr:uid="{00000000-0005-0000-0000-0000367F0000}"/>
    <cellStyle name="Percent 6 2 4 3 2" xfId="25740" xr:uid="{00000000-0005-0000-0000-0000377F0000}"/>
    <cellStyle name="Percent 6 2 4 4" xfId="32741" xr:uid="{00000000-0005-0000-0000-0000387F0000}"/>
    <cellStyle name="Percent 6 2 5" xfId="8484" xr:uid="{00000000-0005-0000-0000-0000397F0000}"/>
    <cellStyle name="Percent 6 2 5 2" xfId="8485" xr:uid="{00000000-0005-0000-0000-00003A7F0000}"/>
    <cellStyle name="Percent 6 2 5 2 2" xfId="15795" xr:uid="{00000000-0005-0000-0000-00003B7F0000}"/>
    <cellStyle name="Percent 6 2 5 2 3" xfId="32744" xr:uid="{00000000-0005-0000-0000-00003C7F0000}"/>
    <cellStyle name="Percent 6 2 5 3" xfId="13600" xr:uid="{00000000-0005-0000-0000-00003D7F0000}"/>
    <cellStyle name="Percent 6 2 5 3 2" xfId="27149" xr:uid="{00000000-0005-0000-0000-00003E7F0000}"/>
    <cellStyle name="Percent 6 2 5 4" xfId="32743" xr:uid="{00000000-0005-0000-0000-00003F7F0000}"/>
    <cellStyle name="Percent 6 2 6" xfId="8486" xr:uid="{00000000-0005-0000-0000-0000407F0000}"/>
    <cellStyle name="Percent 6 2 6 2" xfId="14181" xr:uid="{00000000-0005-0000-0000-0000417F0000}"/>
    <cellStyle name="Percent 6 2 6 2 2" xfId="27730" xr:uid="{00000000-0005-0000-0000-0000427F0000}"/>
    <cellStyle name="Percent 6 2 6 3" xfId="32745" xr:uid="{00000000-0005-0000-0000-0000437F0000}"/>
    <cellStyle name="Percent 6 2 7" xfId="8487" xr:uid="{00000000-0005-0000-0000-0000447F0000}"/>
    <cellStyle name="Percent 6 2 7 2" xfId="16067" xr:uid="{00000000-0005-0000-0000-0000457F0000}"/>
    <cellStyle name="Percent 6 2 7 2 2" xfId="29474" xr:uid="{00000000-0005-0000-0000-0000467F0000}"/>
    <cellStyle name="Percent 6 2 7 3" xfId="32746" xr:uid="{00000000-0005-0000-0000-0000477F0000}"/>
    <cellStyle name="Percent 6 2 8" xfId="10420" xr:uid="{00000000-0005-0000-0000-0000487F0000}"/>
    <cellStyle name="Percent 6 2 9" xfId="32727" xr:uid="{00000000-0005-0000-0000-0000497F0000}"/>
    <cellStyle name="Percent 6 3" xfId="8488" xr:uid="{00000000-0005-0000-0000-00004A7F0000}"/>
    <cellStyle name="Percent 6 3 2" xfId="8489" xr:uid="{00000000-0005-0000-0000-00004B7F0000}"/>
    <cellStyle name="Percent 6 3 2 2" xfId="8490" xr:uid="{00000000-0005-0000-0000-00004C7F0000}"/>
    <cellStyle name="Percent 6 3 2 2 2" xfId="11697" xr:uid="{00000000-0005-0000-0000-00004D7F0000}"/>
    <cellStyle name="Percent 6 3 2 2 3" xfId="32749" xr:uid="{00000000-0005-0000-0000-00004E7F0000}"/>
    <cellStyle name="Percent 6 3 2 3" xfId="8491" xr:uid="{00000000-0005-0000-0000-00004F7F0000}"/>
    <cellStyle name="Percent 6 3 2 3 2" xfId="16794" xr:uid="{00000000-0005-0000-0000-0000507F0000}"/>
    <cellStyle name="Percent 6 3 2 3 2 2" xfId="30201" xr:uid="{00000000-0005-0000-0000-0000517F0000}"/>
    <cellStyle name="Percent 6 3 2 3 3" xfId="32750" xr:uid="{00000000-0005-0000-0000-0000527F0000}"/>
    <cellStyle name="Percent 6 3 2 4" xfId="10425" xr:uid="{00000000-0005-0000-0000-0000537F0000}"/>
    <cellStyle name="Percent 6 3 2 5" xfId="32748" xr:uid="{00000000-0005-0000-0000-0000547F0000}"/>
    <cellStyle name="Percent 6 3 3" xfId="8492" xr:uid="{00000000-0005-0000-0000-0000557F0000}"/>
    <cellStyle name="Percent 6 3 3 2" xfId="8493" xr:uid="{00000000-0005-0000-0000-0000567F0000}"/>
    <cellStyle name="Percent 6 3 3 2 2" xfId="13367" xr:uid="{00000000-0005-0000-0000-0000577F0000}"/>
    <cellStyle name="Percent 6 3 3 2 3" xfId="32752" xr:uid="{00000000-0005-0000-0000-0000587F0000}"/>
    <cellStyle name="Percent 6 3 3 3" xfId="12182" xr:uid="{00000000-0005-0000-0000-0000597F0000}"/>
    <cellStyle name="Percent 6 3 3 3 2" xfId="25894" xr:uid="{00000000-0005-0000-0000-00005A7F0000}"/>
    <cellStyle name="Percent 6 3 3 4" xfId="32751" xr:uid="{00000000-0005-0000-0000-00005B7F0000}"/>
    <cellStyle name="Percent 6 3 4" xfId="8494" xr:uid="{00000000-0005-0000-0000-00005C7F0000}"/>
    <cellStyle name="Percent 6 3 4 2" xfId="8495" xr:uid="{00000000-0005-0000-0000-00005D7F0000}"/>
    <cellStyle name="Percent 6 3 4 2 2" xfId="15796" xr:uid="{00000000-0005-0000-0000-00005E7F0000}"/>
    <cellStyle name="Percent 6 3 4 2 3" xfId="32754" xr:uid="{00000000-0005-0000-0000-00005F7F0000}"/>
    <cellStyle name="Percent 6 3 4 3" xfId="13746" xr:uid="{00000000-0005-0000-0000-0000607F0000}"/>
    <cellStyle name="Percent 6 3 4 3 2" xfId="27295" xr:uid="{00000000-0005-0000-0000-0000617F0000}"/>
    <cellStyle name="Percent 6 3 4 4" xfId="32753" xr:uid="{00000000-0005-0000-0000-0000627F0000}"/>
    <cellStyle name="Percent 6 3 5" xfId="8496" xr:uid="{00000000-0005-0000-0000-0000637F0000}"/>
    <cellStyle name="Percent 6 3 5 2" xfId="14327" xr:uid="{00000000-0005-0000-0000-0000647F0000}"/>
    <cellStyle name="Percent 6 3 5 2 2" xfId="27876" xr:uid="{00000000-0005-0000-0000-0000657F0000}"/>
    <cellStyle name="Percent 6 3 5 3" xfId="32755" xr:uid="{00000000-0005-0000-0000-0000667F0000}"/>
    <cellStyle name="Percent 6 3 6" xfId="8497" xr:uid="{00000000-0005-0000-0000-0000677F0000}"/>
    <cellStyle name="Percent 6 3 6 2" xfId="16213" xr:uid="{00000000-0005-0000-0000-0000687F0000}"/>
    <cellStyle name="Percent 6 3 6 2 2" xfId="29620" xr:uid="{00000000-0005-0000-0000-0000697F0000}"/>
    <cellStyle name="Percent 6 3 6 3" xfId="32756" xr:uid="{00000000-0005-0000-0000-00006A7F0000}"/>
    <cellStyle name="Percent 6 3 7" xfId="10424" xr:uid="{00000000-0005-0000-0000-00006B7F0000}"/>
    <cellStyle name="Percent 6 3 8" xfId="32747" xr:uid="{00000000-0005-0000-0000-00006C7F0000}"/>
    <cellStyle name="Percent 6 4" xfId="8498" xr:uid="{00000000-0005-0000-0000-00006D7F0000}"/>
    <cellStyle name="Percent 6 4 2" xfId="8499" xr:uid="{00000000-0005-0000-0000-00006E7F0000}"/>
    <cellStyle name="Percent 6 4 2 2" xfId="11698" xr:uid="{00000000-0005-0000-0000-00006F7F0000}"/>
    <cellStyle name="Percent 6 4 2 3" xfId="32758" xr:uid="{00000000-0005-0000-0000-0000707F0000}"/>
    <cellStyle name="Percent 6 4 3" xfId="8500" xr:uid="{00000000-0005-0000-0000-0000717F0000}"/>
    <cellStyle name="Percent 6 4 3 2" xfId="17141" xr:uid="{00000000-0005-0000-0000-0000727F0000}"/>
    <cellStyle name="Percent 6 4 3 2 2" xfId="30500" xr:uid="{00000000-0005-0000-0000-0000737F0000}"/>
    <cellStyle name="Percent 6 4 3 3" xfId="32759" xr:uid="{00000000-0005-0000-0000-0000747F0000}"/>
    <cellStyle name="Percent 6 4 4" xfId="10426" xr:uid="{00000000-0005-0000-0000-0000757F0000}"/>
    <cellStyle name="Percent 6 4 5" xfId="32757" xr:uid="{00000000-0005-0000-0000-0000767F0000}"/>
    <cellStyle name="Percent 6 5" xfId="8501" xr:uid="{00000000-0005-0000-0000-0000777F0000}"/>
    <cellStyle name="Percent 6 5 2" xfId="8502" xr:uid="{00000000-0005-0000-0000-0000787F0000}"/>
    <cellStyle name="Percent 6 5 2 2" xfId="13368" xr:uid="{00000000-0005-0000-0000-0000797F0000}"/>
    <cellStyle name="Percent 6 5 2 3" xfId="32761" xr:uid="{00000000-0005-0000-0000-00007A7F0000}"/>
    <cellStyle name="Percent 6 5 3" xfId="8503" xr:uid="{00000000-0005-0000-0000-00007B7F0000}"/>
    <cellStyle name="Percent 6 5 3 2" xfId="17230" xr:uid="{00000000-0005-0000-0000-00007C7F0000}"/>
    <cellStyle name="Percent 6 5 3 2 2" xfId="30589" xr:uid="{00000000-0005-0000-0000-00007D7F0000}"/>
    <cellStyle name="Percent 6 5 3 3" xfId="32762" xr:uid="{00000000-0005-0000-0000-00007E7F0000}"/>
    <cellStyle name="Percent 6 5 4" xfId="11877" xr:uid="{00000000-0005-0000-0000-00007F7F0000}"/>
    <cellStyle name="Percent 6 5 4 2" xfId="25592" xr:uid="{00000000-0005-0000-0000-0000807F0000}"/>
    <cellStyle name="Percent 6 5 5" xfId="32760" xr:uid="{00000000-0005-0000-0000-0000817F0000}"/>
    <cellStyle name="Percent 6 6" xfId="8504" xr:uid="{00000000-0005-0000-0000-0000827F0000}"/>
    <cellStyle name="Percent 6 6 2" xfId="8505" xr:uid="{00000000-0005-0000-0000-0000837F0000}"/>
    <cellStyle name="Percent 6 6 2 2" xfId="15797" xr:uid="{00000000-0005-0000-0000-0000847F0000}"/>
    <cellStyle name="Percent 6 6 2 3" xfId="32764" xr:uid="{00000000-0005-0000-0000-0000857F0000}"/>
    <cellStyle name="Percent 6 6 3" xfId="8506" xr:uid="{00000000-0005-0000-0000-0000867F0000}"/>
    <cellStyle name="Percent 6 6 3 2" xfId="16505" xr:uid="{00000000-0005-0000-0000-0000877F0000}"/>
    <cellStyle name="Percent 6 6 3 2 2" xfId="29912" xr:uid="{00000000-0005-0000-0000-0000887F0000}"/>
    <cellStyle name="Percent 6 6 3 3" xfId="32765" xr:uid="{00000000-0005-0000-0000-0000897F0000}"/>
    <cellStyle name="Percent 6 6 4" xfId="13457" xr:uid="{00000000-0005-0000-0000-00008A7F0000}"/>
    <cellStyle name="Percent 6 6 4 2" xfId="27006" xr:uid="{00000000-0005-0000-0000-00008B7F0000}"/>
    <cellStyle name="Percent 6 6 5" xfId="32763" xr:uid="{00000000-0005-0000-0000-00008C7F0000}"/>
    <cellStyle name="Percent 6 7" xfId="8507" xr:uid="{00000000-0005-0000-0000-00008D7F0000}"/>
    <cellStyle name="Percent 6 7 2" xfId="14038" xr:uid="{00000000-0005-0000-0000-00008E7F0000}"/>
    <cellStyle name="Percent 6 7 2 2" xfId="27587" xr:uid="{00000000-0005-0000-0000-00008F7F0000}"/>
    <cellStyle name="Percent 6 7 3" xfId="32766" xr:uid="{00000000-0005-0000-0000-0000907F0000}"/>
    <cellStyle name="Percent 6 8" xfId="8508" xr:uid="{00000000-0005-0000-0000-0000917F0000}"/>
    <cellStyle name="Percent 6 8 2" xfId="15924" xr:uid="{00000000-0005-0000-0000-0000927F0000}"/>
    <cellStyle name="Percent 6 8 2 2" xfId="29331" xr:uid="{00000000-0005-0000-0000-0000937F0000}"/>
    <cellStyle name="Percent 6 8 3" xfId="32767" xr:uid="{00000000-0005-0000-0000-0000947F0000}"/>
    <cellStyle name="Percent 6 9" xfId="8509" xr:uid="{00000000-0005-0000-0000-0000957F0000}"/>
    <cellStyle name="Percent 6 9 2" xfId="17354" xr:uid="{00000000-0005-0000-0000-0000967F0000}"/>
    <cellStyle name="Percent 6 9 3" xfId="32768" xr:uid="{00000000-0005-0000-0000-0000977F0000}"/>
    <cellStyle name="Percent 7" xfId="8510" xr:uid="{00000000-0005-0000-0000-0000987F0000}"/>
    <cellStyle name="Percent 7 2" xfId="10427" xr:uid="{00000000-0005-0000-0000-0000997F0000}"/>
    <cellStyle name="Percent 7 3" xfId="32769" xr:uid="{00000000-0005-0000-0000-00009A7F0000}"/>
    <cellStyle name="Percent 8" xfId="8511" xr:uid="{00000000-0005-0000-0000-00009B7F0000}"/>
    <cellStyle name="Percent 8 2" xfId="8512" xr:uid="{00000000-0005-0000-0000-00009C7F0000}"/>
    <cellStyle name="Percent 8 2 2" xfId="10429" xr:uid="{00000000-0005-0000-0000-00009D7F0000}"/>
    <cellStyle name="Percent 8 2 3" xfId="32771" xr:uid="{00000000-0005-0000-0000-00009E7F0000}"/>
    <cellStyle name="Percent 8 3" xfId="8513" xr:uid="{00000000-0005-0000-0000-00009F7F0000}"/>
    <cellStyle name="Percent 8 3 2" xfId="13369" xr:uid="{00000000-0005-0000-0000-0000A07F0000}"/>
    <cellStyle name="Percent 8 3 3" xfId="32772" xr:uid="{00000000-0005-0000-0000-0000A17F0000}"/>
    <cellStyle name="Percent 8 4" xfId="10428" xr:uid="{00000000-0005-0000-0000-0000A27F0000}"/>
    <cellStyle name="Percent 8 5" xfId="32770" xr:uid="{00000000-0005-0000-0000-0000A37F0000}"/>
    <cellStyle name="Percent 9" xfId="8514" xr:uid="{00000000-0005-0000-0000-0000A47F0000}"/>
    <cellStyle name="Percent 9 2" xfId="8515" xr:uid="{00000000-0005-0000-0000-0000A57F0000}"/>
    <cellStyle name="Percent 9 2 2" xfId="13371" xr:uid="{00000000-0005-0000-0000-0000A67F0000}"/>
    <cellStyle name="Percent 9 2 3" xfId="32774" xr:uid="{00000000-0005-0000-0000-0000A77F0000}"/>
    <cellStyle name="Percent 9 3" xfId="8516" xr:uid="{00000000-0005-0000-0000-0000A87F0000}"/>
    <cellStyle name="Percent 9 3 2" xfId="13370" xr:uid="{00000000-0005-0000-0000-0000A97F0000}"/>
    <cellStyle name="Percent 9 3 3" xfId="32775" xr:uid="{00000000-0005-0000-0000-0000AA7F0000}"/>
    <cellStyle name="Percent 9 4" xfId="10525" xr:uid="{00000000-0005-0000-0000-0000AB7F0000}"/>
    <cellStyle name="Percent 9 5" xfId="32773" xr:uid="{00000000-0005-0000-0000-0000AC7F0000}"/>
    <cellStyle name="SAPBEXaggData" xfId="8517" xr:uid="{00000000-0005-0000-0000-0000AD7F0000}"/>
    <cellStyle name="SAPBEXaggData 2" xfId="17056" xr:uid="{00000000-0005-0000-0000-0000AE7F0000}"/>
    <cellStyle name="SAPBEXaggData 3" xfId="32776" xr:uid="{00000000-0005-0000-0000-0000AF7F0000}"/>
    <cellStyle name="SAPBEXaggDataEmph" xfId="8518" xr:uid="{00000000-0005-0000-0000-0000B07F0000}"/>
    <cellStyle name="SAPBEXaggDataEmph 2" xfId="17057" xr:uid="{00000000-0005-0000-0000-0000B17F0000}"/>
    <cellStyle name="SAPBEXaggDataEmph 3" xfId="32777" xr:uid="{00000000-0005-0000-0000-0000B27F0000}"/>
    <cellStyle name="SAPBEXaggItem" xfId="8519" xr:uid="{00000000-0005-0000-0000-0000B37F0000}"/>
    <cellStyle name="SAPBEXaggItem 2" xfId="17058" xr:uid="{00000000-0005-0000-0000-0000B47F0000}"/>
    <cellStyle name="SAPBEXaggItem 3" xfId="32778" xr:uid="{00000000-0005-0000-0000-0000B57F0000}"/>
    <cellStyle name="SAPBEXaggItemX" xfId="8520" xr:uid="{00000000-0005-0000-0000-0000B67F0000}"/>
    <cellStyle name="SAPBEXaggItemX 2" xfId="17059" xr:uid="{00000000-0005-0000-0000-0000B77F0000}"/>
    <cellStyle name="SAPBEXaggItemX 3" xfId="32779" xr:uid="{00000000-0005-0000-0000-0000B87F0000}"/>
    <cellStyle name="SAPBEXchaText" xfId="8521" xr:uid="{00000000-0005-0000-0000-0000B97F0000}"/>
    <cellStyle name="SAPBEXchaText 2" xfId="17060" xr:uid="{00000000-0005-0000-0000-0000BA7F0000}"/>
    <cellStyle name="SAPBEXchaText 3" xfId="32780" xr:uid="{00000000-0005-0000-0000-0000BB7F0000}"/>
    <cellStyle name="SAPBEXexcBad7" xfId="8522" xr:uid="{00000000-0005-0000-0000-0000BC7F0000}"/>
    <cellStyle name="SAPBEXexcBad7 2" xfId="17061" xr:uid="{00000000-0005-0000-0000-0000BD7F0000}"/>
    <cellStyle name="SAPBEXexcBad7 3" xfId="32781" xr:uid="{00000000-0005-0000-0000-0000BE7F0000}"/>
    <cellStyle name="SAPBEXexcBad8" xfId="8523" xr:uid="{00000000-0005-0000-0000-0000BF7F0000}"/>
    <cellStyle name="SAPBEXexcBad8 2" xfId="17062" xr:uid="{00000000-0005-0000-0000-0000C07F0000}"/>
    <cellStyle name="SAPBEXexcBad8 3" xfId="32782" xr:uid="{00000000-0005-0000-0000-0000C17F0000}"/>
    <cellStyle name="SAPBEXexcBad9" xfId="8524" xr:uid="{00000000-0005-0000-0000-0000C27F0000}"/>
    <cellStyle name="SAPBEXexcBad9 2" xfId="17063" xr:uid="{00000000-0005-0000-0000-0000C37F0000}"/>
    <cellStyle name="SAPBEXexcBad9 3" xfId="32783" xr:uid="{00000000-0005-0000-0000-0000C47F0000}"/>
    <cellStyle name="SAPBEXexcCritical4" xfId="8525" xr:uid="{00000000-0005-0000-0000-0000C57F0000}"/>
    <cellStyle name="SAPBEXexcCritical4 2" xfId="17064" xr:uid="{00000000-0005-0000-0000-0000C67F0000}"/>
    <cellStyle name="SAPBEXexcCritical4 3" xfId="32784" xr:uid="{00000000-0005-0000-0000-0000C77F0000}"/>
    <cellStyle name="SAPBEXexcCritical5" xfId="8526" xr:uid="{00000000-0005-0000-0000-0000C87F0000}"/>
    <cellStyle name="SAPBEXexcCritical5 2" xfId="17065" xr:uid="{00000000-0005-0000-0000-0000C97F0000}"/>
    <cellStyle name="SAPBEXexcCritical5 3" xfId="32785" xr:uid="{00000000-0005-0000-0000-0000CA7F0000}"/>
    <cellStyle name="SAPBEXexcCritical6" xfId="8527" xr:uid="{00000000-0005-0000-0000-0000CB7F0000}"/>
    <cellStyle name="SAPBEXexcCritical6 2" xfId="17066" xr:uid="{00000000-0005-0000-0000-0000CC7F0000}"/>
    <cellStyle name="SAPBEXexcCritical6 3" xfId="32786" xr:uid="{00000000-0005-0000-0000-0000CD7F0000}"/>
    <cellStyle name="SAPBEXexcGood1" xfId="8528" xr:uid="{00000000-0005-0000-0000-0000CE7F0000}"/>
    <cellStyle name="SAPBEXexcGood1 2" xfId="17067" xr:uid="{00000000-0005-0000-0000-0000CF7F0000}"/>
    <cellStyle name="SAPBEXexcGood1 3" xfId="32787" xr:uid="{00000000-0005-0000-0000-0000D07F0000}"/>
    <cellStyle name="SAPBEXexcGood2" xfId="8529" xr:uid="{00000000-0005-0000-0000-0000D17F0000}"/>
    <cellStyle name="SAPBEXexcGood2 2" xfId="17068" xr:uid="{00000000-0005-0000-0000-0000D27F0000}"/>
    <cellStyle name="SAPBEXexcGood2 3" xfId="32788" xr:uid="{00000000-0005-0000-0000-0000D37F0000}"/>
    <cellStyle name="SAPBEXexcGood3" xfId="8530" xr:uid="{00000000-0005-0000-0000-0000D47F0000}"/>
    <cellStyle name="SAPBEXexcGood3 2" xfId="17069" xr:uid="{00000000-0005-0000-0000-0000D57F0000}"/>
    <cellStyle name="SAPBEXexcGood3 3" xfId="32789" xr:uid="{00000000-0005-0000-0000-0000D67F0000}"/>
    <cellStyle name="SAPBEXfilterDrill" xfId="8531" xr:uid="{00000000-0005-0000-0000-0000D77F0000}"/>
    <cellStyle name="SAPBEXfilterDrill 2" xfId="17070" xr:uid="{00000000-0005-0000-0000-0000D87F0000}"/>
    <cellStyle name="SAPBEXfilterDrill 3" xfId="32790" xr:uid="{00000000-0005-0000-0000-0000D97F0000}"/>
    <cellStyle name="SAPBEXfilterItem" xfId="8532" xr:uid="{00000000-0005-0000-0000-0000DA7F0000}"/>
    <cellStyle name="SAPBEXfilterItem 2" xfId="17071" xr:uid="{00000000-0005-0000-0000-0000DB7F0000}"/>
    <cellStyle name="SAPBEXfilterItem 3" xfId="32791" xr:uid="{00000000-0005-0000-0000-0000DC7F0000}"/>
    <cellStyle name="SAPBEXfilterText" xfId="8533" xr:uid="{00000000-0005-0000-0000-0000DD7F0000}"/>
    <cellStyle name="SAPBEXfilterText 2" xfId="17072" xr:uid="{00000000-0005-0000-0000-0000DE7F0000}"/>
    <cellStyle name="SAPBEXfilterText 3" xfId="32792" xr:uid="{00000000-0005-0000-0000-0000DF7F0000}"/>
    <cellStyle name="SAPBEXformats" xfId="8534" xr:uid="{00000000-0005-0000-0000-0000E07F0000}"/>
    <cellStyle name="SAPBEXformats 2" xfId="17073" xr:uid="{00000000-0005-0000-0000-0000E17F0000}"/>
    <cellStyle name="SAPBEXformats 3" xfId="32793" xr:uid="{00000000-0005-0000-0000-0000E27F0000}"/>
    <cellStyle name="SAPBEXheaderItem" xfId="8535" xr:uid="{00000000-0005-0000-0000-0000E37F0000}"/>
    <cellStyle name="SAPBEXheaderItem 2" xfId="17074" xr:uid="{00000000-0005-0000-0000-0000E47F0000}"/>
    <cellStyle name="SAPBEXheaderItem 3" xfId="32794" xr:uid="{00000000-0005-0000-0000-0000E57F0000}"/>
    <cellStyle name="SAPBEXheaderText" xfId="8536" xr:uid="{00000000-0005-0000-0000-0000E67F0000}"/>
    <cellStyle name="SAPBEXheaderText 2" xfId="17075" xr:uid="{00000000-0005-0000-0000-0000E77F0000}"/>
    <cellStyle name="SAPBEXheaderText 3" xfId="32795" xr:uid="{00000000-0005-0000-0000-0000E87F0000}"/>
    <cellStyle name="SAPBEXHLevel0" xfId="8537" xr:uid="{00000000-0005-0000-0000-0000E97F0000}"/>
    <cellStyle name="SAPBEXHLevel0 2" xfId="17076" xr:uid="{00000000-0005-0000-0000-0000EA7F0000}"/>
    <cellStyle name="SAPBEXHLevel0 3" xfId="32796" xr:uid="{00000000-0005-0000-0000-0000EB7F0000}"/>
    <cellStyle name="SAPBEXHLevel0X" xfId="8538" xr:uid="{00000000-0005-0000-0000-0000EC7F0000}"/>
    <cellStyle name="SAPBEXHLevel0X 2" xfId="17077" xr:uid="{00000000-0005-0000-0000-0000ED7F0000}"/>
    <cellStyle name="SAPBEXHLevel0X 3" xfId="32797" xr:uid="{00000000-0005-0000-0000-0000EE7F0000}"/>
    <cellStyle name="SAPBEXHLevel1" xfId="8539" xr:uid="{00000000-0005-0000-0000-0000EF7F0000}"/>
    <cellStyle name="SAPBEXHLevel1 2" xfId="17078" xr:uid="{00000000-0005-0000-0000-0000F07F0000}"/>
    <cellStyle name="SAPBEXHLevel1 3" xfId="32798" xr:uid="{00000000-0005-0000-0000-0000F17F0000}"/>
    <cellStyle name="SAPBEXHLevel1X" xfId="8540" xr:uid="{00000000-0005-0000-0000-0000F27F0000}"/>
    <cellStyle name="SAPBEXHLevel1X 2" xfId="17079" xr:uid="{00000000-0005-0000-0000-0000F37F0000}"/>
    <cellStyle name="SAPBEXHLevel1X 3" xfId="32799" xr:uid="{00000000-0005-0000-0000-0000F47F0000}"/>
    <cellStyle name="SAPBEXHLevel2" xfId="8541" xr:uid="{00000000-0005-0000-0000-0000F57F0000}"/>
    <cellStyle name="SAPBEXHLevel2 2" xfId="17080" xr:uid="{00000000-0005-0000-0000-0000F67F0000}"/>
    <cellStyle name="SAPBEXHLevel2 3" xfId="32800" xr:uid="{00000000-0005-0000-0000-0000F77F0000}"/>
    <cellStyle name="SAPBEXHLevel2X" xfId="8542" xr:uid="{00000000-0005-0000-0000-0000F87F0000}"/>
    <cellStyle name="SAPBEXHLevel2X 2" xfId="17081" xr:uid="{00000000-0005-0000-0000-0000F97F0000}"/>
    <cellStyle name="SAPBEXHLevel2X 3" xfId="32801" xr:uid="{00000000-0005-0000-0000-0000FA7F0000}"/>
    <cellStyle name="SAPBEXHLevel3" xfId="8543" xr:uid="{00000000-0005-0000-0000-0000FB7F0000}"/>
    <cellStyle name="SAPBEXHLevel3 2" xfId="17082" xr:uid="{00000000-0005-0000-0000-0000FC7F0000}"/>
    <cellStyle name="SAPBEXHLevel3 3" xfId="32802" xr:uid="{00000000-0005-0000-0000-0000FD7F0000}"/>
    <cellStyle name="SAPBEXHLevel3X" xfId="8544" xr:uid="{00000000-0005-0000-0000-0000FE7F0000}"/>
    <cellStyle name="SAPBEXHLevel3X 2" xfId="17083" xr:uid="{00000000-0005-0000-0000-0000FF7F0000}"/>
    <cellStyle name="SAPBEXHLevel3X 3" xfId="32803" xr:uid="{00000000-0005-0000-0000-000000800000}"/>
    <cellStyle name="SAPBEXinputData" xfId="8545" xr:uid="{00000000-0005-0000-0000-000001800000}"/>
    <cellStyle name="SAPBEXinputData 2" xfId="17084" xr:uid="{00000000-0005-0000-0000-000002800000}"/>
    <cellStyle name="SAPBEXinputData 3" xfId="32804" xr:uid="{00000000-0005-0000-0000-000003800000}"/>
    <cellStyle name="SAPBEXresData" xfId="8546" xr:uid="{00000000-0005-0000-0000-000004800000}"/>
    <cellStyle name="SAPBEXresData 2" xfId="17085" xr:uid="{00000000-0005-0000-0000-000005800000}"/>
    <cellStyle name="SAPBEXresData 3" xfId="32805" xr:uid="{00000000-0005-0000-0000-000006800000}"/>
    <cellStyle name="SAPBEXresDataEmph" xfId="8547" xr:uid="{00000000-0005-0000-0000-000007800000}"/>
    <cellStyle name="SAPBEXresDataEmph 2" xfId="17086" xr:uid="{00000000-0005-0000-0000-000008800000}"/>
    <cellStyle name="SAPBEXresDataEmph 3" xfId="32806" xr:uid="{00000000-0005-0000-0000-000009800000}"/>
    <cellStyle name="SAPBEXresItem" xfId="8548" xr:uid="{00000000-0005-0000-0000-00000A800000}"/>
    <cellStyle name="SAPBEXresItem 2" xfId="17087" xr:uid="{00000000-0005-0000-0000-00000B800000}"/>
    <cellStyle name="SAPBEXresItem 3" xfId="32807" xr:uid="{00000000-0005-0000-0000-00000C800000}"/>
    <cellStyle name="SAPBEXresItemX" xfId="8549" xr:uid="{00000000-0005-0000-0000-00000D800000}"/>
    <cellStyle name="SAPBEXresItemX 2" xfId="17088" xr:uid="{00000000-0005-0000-0000-00000E800000}"/>
    <cellStyle name="SAPBEXresItemX 3" xfId="32808" xr:uid="{00000000-0005-0000-0000-00000F800000}"/>
    <cellStyle name="SAPBEXstdData" xfId="8550" xr:uid="{00000000-0005-0000-0000-000010800000}"/>
    <cellStyle name="SAPBEXstdData 2" xfId="17089" xr:uid="{00000000-0005-0000-0000-000011800000}"/>
    <cellStyle name="SAPBEXstdData 3" xfId="32809" xr:uid="{00000000-0005-0000-0000-000012800000}"/>
    <cellStyle name="SAPBEXstdDataEmph" xfId="8551" xr:uid="{00000000-0005-0000-0000-000013800000}"/>
    <cellStyle name="SAPBEXstdDataEmph 2" xfId="17090" xr:uid="{00000000-0005-0000-0000-000014800000}"/>
    <cellStyle name="SAPBEXstdDataEmph 3" xfId="32810" xr:uid="{00000000-0005-0000-0000-000015800000}"/>
    <cellStyle name="SAPBEXstdItem" xfId="8552" xr:uid="{00000000-0005-0000-0000-000016800000}"/>
    <cellStyle name="SAPBEXstdItem 2" xfId="17091" xr:uid="{00000000-0005-0000-0000-000017800000}"/>
    <cellStyle name="SAPBEXstdItem 3" xfId="32811" xr:uid="{00000000-0005-0000-0000-000018800000}"/>
    <cellStyle name="SAPBEXstdItemX" xfId="8553" xr:uid="{00000000-0005-0000-0000-000019800000}"/>
    <cellStyle name="SAPBEXstdItemX 2" xfId="17092" xr:uid="{00000000-0005-0000-0000-00001A800000}"/>
    <cellStyle name="SAPBEXstdItemX 3" xfId="32812" xr:uid="{00000000-0005-0000-0000-00001B800000}"/>
    <cellStyle name="SAPBEXtitle" xfId="8554" xr:uid="{00000000-0005-0000-0000-00001C800000}"/>
    <cellStyle name="SAPBEXtitle 2" xfId="17093" xr:uid="{00000000-0005-0000-0000-00001D800000}"/>
    <cellStyle name="SAPBEXtitle 3" xfId="32813" xr:uid="{00000000-0005-0000-0000-00001E800000}"/>
    <cellStyle name="SAPBEXundefined" xfId="8555" xr:uid="{00000000-0005-0000-0000-00001F800000}"/>
    <cellStyle name="SAPBEXundefined 2" xfId="17094" xr:uid="{00000000-0005-0000-0000-000020800000}"/>
    <cellStyle name="SAPBEXundefined 3" xfId="32814" xr:uid="{00000000-0005-0000-0000-000021800000}"/>
    <cellStyle name="Sheet Title" xfId="8556" xr:uid="{00000000-0005-0000-0000-000022800000}"/>
    <cellStyle name="Sheet Title 2" xfId="17095" xr:uid="{00000000-0005-0000-0000-000023800000}"/>
    <cellStyle name="Sheet Title 3" xfId="32815" xr:uid="{00000000-0005-0000-0000-000024800000}"/>
    <cellStyle name="Style 1" xfId="11" xr:uid="{00000000-0005-0000-0000-000025800000}"/>
    <cellStyle name="Style 2" xfId="12" xr:uid="{00000000-0005-0000-0000-000026800000}"/>
    <cellStyle name="TableStyleLight1" xfId="8557" xr:uid="{00000000-0005-0000-0000-000027800000}"/>
    <cellStyle name="TableStyleLight1 2" xfId="10430" xr:uid="{00000000-0005-0000-0000-000028800000}"/>
    <cellStyle name="TableStyleLight1 3" xfId="32816" xr:uid="{00000000-0005-0000-0000-000029800000}"/>
    <cellStyle name="Title" xfId="14" builtinId="15" customBuiltin="1"/>
    <cellStyle name="Title 10" xfId="8558" xr:uid="{00000000-0005-0000-0000-00002B800000}"/>
    <cellStyle name="Title 10 2" xfId="8559" xr:uid="{00000000-0005-0000-0000-00002C800000}"/>
    <cellStyle name="Title 10 2 2" xfId="11701" xr:uid="{00000000-0005-0000-0000-00002D800000}"/>
    <cellStyle name="Title 10 2 3" xfId="32818" xr:uid="{00000000-0005-0000-0000-00002E800000}"/>
    <cellStyle name="Title 10 3" xfId="10432" xr:uid="{00000000-0005-0000-0000-00002F800000}"/>
    <cellStyle name="Title 10 4" xfId="32817" xr:uid="{00000000-0005-0000-0000-000030800000}"/>
    <cellStyle name="Title 11" xfId="8560" xr:uid="{00000000-0005-0000-0000-000031800000}"/>
    <cellStyle name="Title 11 2" xfId="8561" xr:uid="{00000000-0005-0000-0000-000032800000}"/>
    <cellStyle name="Title 11 2 2" xfId="15798" xr:uid="{00000000-0005-0000-0000-000033800000}"/>
    <cellStyle name="Title 11 2 3" xfId="32820" xr:uid="{00000000-0005-0000-0000-000034800000}"/>
    <cellStyle name="Title 11 3" xfId="10433" xr:uid="{00000000-0005-0000-0000-000035800000}"/>
    <cellStyle name="Title 11 4" xfId="32819" xr:uid="{00000000-0005-0000-0000-000036800000}"/>
    <cellStyle name="Title 12" xfId="8562" xr:uid="{00000000-0005-0000-0000-000037800000}"/>
    <cellStyle name="Title 12 2" xfId="8563" xr:uid="{00000000-0005-0000-0000-000038800000}"/>
    <cellStyle name="Title 12 2 2" xfId="15799" xr:uid="{00000000-0005-0000-0000-000039800000}"/>
    <cellStyle name="Title 12 2 3" xfId="32822" xr:uid="{00000000-0005-0000-0000-00003A800000}"/>
    <cellStyle name="Title 12 3" xfId="10501" xr:uid="{00000000-0005-0000-0000-00003B800000}"/>
    <cellStyle name="Title 12 4" xfId="32821" xr:uid="{00000000-0005-0000-0000-00003C800000}"/>
    <cellStyle name="Title 13" xfId="8564" xr:uid="{00000000-0005-0000-0000-00003D800000}"/>
    <cellStyle name="Title 13 2" xfId="11700" xr:uid="{00000000-0005-0000-0000-00003E800000}"/>
    <cellStyle name="Title 13 3" xfId="32823" xr:uid="{00000000-0005-0000-0000-00003F800000}"/>
    <cellStyle name="Title 14" xfId="8565" xr:uid="{00000000-0005-0000-0000-000040800000}"/>
    <cellStyle name="Title 14 2" xfId="10431" xr:uid="{00000000-0005-0000-0000-000041800000}"/>
    <cellStyle name="Title 14 3" xfId="32824" xr:uid="{00000000-0005-0000-0000-000042800000}"/>
    <cellStyle name="Title 2" xfId="8566" xr:uid="{00000000-0005-0000-0000-000043800000}"/>
    <cellStyle name="Title 2 2" xfId="8567" xr:uid="{00000000-0005-0000-0000-000044800000}"/>
    <cellStyle name="Title 2 2 2" xfId="10435" xr:uid="{00000000-0005-0000-0000-000045800000}"/>
    <cellStyle name="Title 2 2 3" xfId="32826" xr:uid="{00000000-0005-0000-0000-000046800000}"/>
    <cellStyle name="Title 2 3" xfId="8568" xr:uid="{00000000-0005-0000-0000-000047800000}"/>
    <cellStyle name="Title 2 3 2" xfId="13372" xr:uid="{00000000-0005-0000-0000-000048800000}"/>
    <cellStyle name="Title 2 3 3" xfId="32827" xr:uid="{00000000-0005-0000-0000-000049800000}"/>
    <cellStyle name="Title 2 4" xfId="10434" xr:uid="{00000000-0005-0000-0000-00004A800000}"/>
    <cellStyle name="Title 2 5" xfId="32825" xr:uid="{00000000-0005-0000-0000-00004B800000}"/>
    <cellStyle name="Title 2 6" xfId="33099" xr:uid="{00000000-0005-0000-0000-00004C800000}"/>
    <cellStyle name="Title 3" xfId="8569" xr:uid="{00000000-0005-0000-0000-00004D800000}"/>
    <cellStyle name="Title 3 2" xfId="8570" xr:uid="{00000000-0005-0000-0000-00004E800000}"/>
    <cellStyle name="Title 3 2 2" xfId="10437" xr:uid="{00000000-0005-0000-0000-00004F800000}"/>
    <cellStyle name="Title 3 2 3" xfId="32829" xr:uid="{00000000-0005-0000-0000-000050800000}"/>
    <cellStyle name="Title 3 3" xfId="8571" xr:uid="{00000000-0005-0000-0000-000051800000}"/>
    <cellStyle name="Title 3 3 2" xfId="13374" xr:uid="{00000000-0005-0000-0000-000052800000}"/>
    <cellStyle name="Title 3 3 3" xfId="32830" xr:uid="{00000000-0005-0000-0000-000053800000}"/>
    <cellStyle name="Title 3 4" xfId="8572" xr:uid="{00000000-0005-0000-0000-000054800000}"/>
    <cellStyle name="Title 3 4 2" xfId="13373" xr:uid="{00000000-0005-0000-0000-000055800000}"/>
    <cellStyle name="Title 3 4 3" xfId="32831" xr:uid="{00000000-0005-0000-0000-000056800000}"/>
    <cellStyle name="Title 3 5" xfId="10436" xr:uid="{00000000-0005-0000-0000-000057800000}"/>
    <cellStyle name="Title 3 6" xfId="32828" xr:uid="{00000000-0005-0000-0000-000058800000}"/>
    <cellStyle name="Title 3 7" xfId="33101" xr:uid="{00000000-0005-0000-0000-000059800000}"/>
    <cellStyle name="Title 4" xfId="8573" xr:uid="{00000000-0005-0000-0000-00005A800000}"/>
    <cellStyle name="Title 4 2" xfId="8574" xr:uid="{00000000-0005-0000-0000-00005B800000}"/>
    <cellStyle name="Title 4 2 2" xfId="8575" xr:uid="{00000000-0005-0000-0000-00005C800000}"/>
    <cellStyle name="Title 4 2 2 2" xfId="11703" xr:uid="{00000000-0005-0000-0000-00005D800000}"/>
    <cellStyle name="Title 4 2 2 3" xfId="32834" xr:uid="{00000000-0005-0000-0000-00005E800000}"/>
    <cellStyle name="Title 4 2 3" xfId="10439" xr:uid="{00000000-0005-0000-0000-00005F800000}"/>
    <cellStyle name="Title 4 2 4" xfId="32833" xr:uid="{00000000-0005-0000-0000-000060800000}"/>
    <cellStyle name="Title 4 3" xfId="8576" xr:uid="{00000000-0005-0000-0000-000061800000}"/>
    <cellStyle name="Title 4 3 2" xfId="11702" xr:uid="{00000000-0005-0000-0000-000062800000}"/>
    <cellStyle name="Title 4 3 3" xfId="32835" xr:uid="{00000000-0005-0000-0000-000063800000}"/>
    <cellStyle name="Title 4 4" xfId="8577" xr:uid="{00000000-0005-0000-0000-000064800000}"/>
    <cellStyle name="Title 4 4 2" xfId="13375" xr:uid="{00000000-0005-0000-0000-000065800000}"/>
    <cellStyle name="Title 4 4 3" xfId="32836" xr:uid="{00000000-0005-0000-0000-000066800000}"/>
    <cellStyle name="Title 4 5" xfId="8578" xr:uid="{00000000-0005-0000-0000-000067800000}"/>
    <cellStyle name="Title 4 5 2" xfId="15800" xr:uid="{00000000-0005-0000-0000-000068800000}"/>
    <cellStyle name="Title 4 5 3" xfId="32837" xr:uid="{00000000-0005-0000-0000-000069800000}"/>
    <cellStyle name="Title 4 6" xfId="10438" xr:uid="{00000000-0005-0000-0000-00006A800000}"/>
    <cellStyle name="Title 4 7" xfId="32832" xr:uid="{00000000-0005-0000-0000-00006B800000}"/>
    <cellStyle name="Title 5" xfId="8579" xr:uid="{00000000-0005-0000-0000-00006C800000}"/>
    <cellStyle name="Title 5 2" xfId="8580" xr:uid="{00000000-0005-0000-0000-00006D800000}"/>
    <cellStyle name="Title 5 2 2" xfId="8581" xr:uid="{00000000-0005-0000-0000-00006E800000}"/>
    <cellStyle name="Title 5 2 2 2" xfId="11705" xr:uid="{00000000-0005-0000-0000-00006F800000}"/>
    <cellStyle name="Title 5 2 2 3" xfId="32840" xr:uid="{00000000-0005-0000-0000-000070800000}"/>
    <cellStyle name="Title 5 2 3" xfId="10441" xr:uid="{00000000-0005-0000-0000-000071800000}"/>
    <cellStyle name="Title 5 2 4" xfId="32839" xr:uid="{00000000-0005-0000-0000-000072800000}"/>
    <cellStyle name="Title 5 3" xfId="8582" xr:uid="{00000000-0005-0000-0000-000073800000}"/>
    <cellStyle name="Title 5 3 2" xfId="11704" xr:uid="{00000000-0005-0000-0000-000074800000}"/>
    <cellStyle name="Title 5 3 3" xfId="32841" xr:uid="{00000000-0005-0000-0000-000075800000}"/>
    <cellStyle name="Title 5 4" xfId="10440" xr:uid="{00000000-0005-0000-0000-000076800000}"/>
    <cellStyle name="Title 5 5" xfId="32838" xr:uid="{00000000-0005-0000-0000-000077800000}"/>
    <cellStyle name="Title 6" xfId="8583" xr:uid="{00000000-0005-0000-0000-000078800000}"/>
    <cellStyle name="Title 6 2" xfId="8584" xr:uid="{00000000-0005-0000-0000-000079800000}"/>
    <cellStyle name="Title 6 2 2" xfId="11706" xr:uid="{00000000-0005-0000-0000-00007A800000}"/>
    <cellStyle name="Title 6 2 3" xfId="32843" xr:uid="{00000000-0005-0000-0000-00007B800000}"/>
    <cellStyle name="Title 6 3" xfId="10442" xr:uid="{00000000-0005-0000-0000-00007C800000}"/>
    <cellStyle name="Title 6 4" xfId="32842" xr:uid="{00000000-0005-0000-0000-00007D800000}"/>
    <cellStyle name="Title 7" xfId="8585" xr:uid="{00000000-0005-0000-0000-00007E800000}"/>
    <cellStyle name="Title 7 2" xfId="8586" xr:uid="{00000000-0005-0000-0000-00007F800000}"/>
    <cellStyle name="Title 7 2 2" xfId="11707" xr:uid="{00000000-0005-0000-0000-000080800000}"/>
    <cellStyle name="Title 7 2 3" xfId="32845" xr:uid="{00000000-0005-0000-0000-000081800000}"/>
    <cellStyle name="Title 7 3" xfId="10443" xr:uid="{00000000-0005-0000-0000-000082800000}"/>
    <cellStyle name="Title 7 4" xfId="32844" xr:uid="{00000000-0005-0000-0000-000083800000}"/>
    <cellStyle name="Title 8" xfId="8587" xr:uid="{00000000-0005-0000-0000-000084800000}"/>
    <cellStyle name="Title 8 2" xfId="8588" xr:uid="{00000000-0005-0000-0000-000085800000}"/>
    <cellStyle name="Title 8 2 2" xfId="11708" xr:uid="{00000000-0005-0000-0000-000086800000}"/>
    <cellStyle name="Title 8 2 3" xfId="32847" xr:uid="{00000000-0005-0000-0000-000087800000}"/>
    <cellStyle name="Title 8 3" xfId="10444" xr:uid="{00000000-0005-0000-0000-000088800000}"/>
    <cellStyle name="Title 8 4" xfId="32846" xr:uid="{00000000-0005-0000-0000-000089800000}"/>
    <cellStyle name="Title 9" xfId="8589" xr:uid="{00000000-0005-0000-0000-00008A800000}"/>
    <cellStyle name="Title 9 2" xfId="8590" xr:uid="{00000000-0005-0000-0000-00008B800000}"/>
    <cellStyle name="Title 9 2 2" xfId="11709" xr:uid="{00000000-0005-0000-0000-00008C800000}"/>
    <cellStyle name="Title 9 2 3" xfId="32849" xr:uid="{00000000-0005-0000-0000-00008D800000}"/>
    <cellStyle name="Title 9 3" xfId="10445" xr:uid="{00000000-0005-0000-0000-00008E800000}"/>
    <cellStyle name="Title 9 4" xfId="32848" xr:uid="{00000000-0005-0000-0000-00008F800000}"/>
    <cellStyle name="Total" xfId="26" builtinId="25" customBuiltin="1"/>
    <cellStyle name="Total 10" xfId="8591" xr:uid="{00000000-0005-0000-0000-000091800000}"/>
    <cellStyle name="Total 10 2" xfId="8752" xr:uid="{00000000-0005-0000-0000-000092800000}"/>
    <cellStyle name="Total 10 3" xfId="32850" xr:uid="{00000000-0005-0000-0000-000093800000}"/>
    <cellStyle name="Total 11" xfId="8592" xr:uid="{00000000-0005-0000-0000-000094800000}"/>
    <cellStyle name="Total 11 2" xfId="8753" xr:uid="{00000000-0005-0000-0000-000095800000}"/>
    <cellStyle name="Total 11 3" xfId="32851" xr:uid="{00000000-0005-0000-0000-000096800000}"/>
    <cellStyle name="Total 12" xfId="8593" xr:uid="{00000000-0005-0000-0000-000097800000}"/>
    <cellStyle name="Total 12 2" xfId="8754" xr:uid="{00000000-0005-0000-0000-000098800000}"/>
    <cellStyle name="Total 12 3" xfId="32852" xr:uid="{00000000-0005-0000-0000-000099800000}"/>
    <cellStyle name="Total 13" xfId="8594" xr:uid="{00000000-0005-0000-0000-00009A800000}"/>
    <cellStyle name="Total 13 2" xfId="8755" xr:uid="{00000000-0005-0000-0000-00009B800000}"/>
    <cellStyle name="Total 13 3" xfId="32853" xr:uid="{00000000-0005-0000-0000-00009C800000}"/>
    <cellStyle name="Total 14" xfId="8595" xr:uid="{00000000-0005-0000-0000-00009D800000}"/>
    <cellStyle name="Total 14 2" xfId="8756" xr:uid="{00000000-0005-0000-0000-00009E800000}"/>
    <cellStyle name="Total 14 3" xfId="32854" xr:uid="{00000000-0005-0000-0000-00009F800000}"/>
    <cellStyle name="Total 15" xfId="8596" xr:uid="{00000000-0005-0000-0000-0000A0800000}"/>
    <cellStyle name="Total 15 2" xfId="8757" xr:uid="{00000000-0005-0000-0000-0000A1800000}"/>
    <cellStyle name="Total 15 3" xfId="32855" xr:uid="{00000000-0005-0000-0000-0000A2800000}"/>
    <cellStyle name="Total 16" xfId="8597" xr:uid="{00000000-0005-0000-0000-0000A3800000}"/>
    <cellStyle name="Total 16 2" xfId="8758" xr:uid="{00000000-0005-0000-0000-0000A4800000}"/>
    <cellStyle name="Total 16 3" xfId="32856" xr:uid="{00000000-0005-0000-0000-0000A5800000}"/>
    <cellStyle name="Total 17" xfId="8598" xr:uid="{00000000-0005-0000-0000-0000A6800000}"/>
    <cellStyle name="Total 17 2" xfId="8759" xr:uid="{00000000-0005-0000-0000-0000A7800000}"/>
    <cellStyle name="Total 17 3" xfId="32857" xr:uid="{00000000-0005-0000-0000-0000A8800000}"/>
    <cellStyle name="Total 18" xfId="8599" xr:uid="{00000000-0005-0000-0000-0000A9800000}"/>
    <cellStyle name="Total 18 2" xfId="8760" xr:uid="{00000000-0005-0000-0000-0000AA800000}"/>
    <cellStyle name="Total 18 3" xfId="32858" xr:uid="{00000000-0005-0000-0000-0000AB800000}"/>
    <cellStyle name="Total 19" xfId="8600" xr:uid="{00000000-0005-0000-0000-0000AC800000}"/>
    <cellStyle name="Total 19 2" xfId="8761" xr:uid="{00000000-0005-0000-0000-0000AD800000}"/>
    <cellStyle name="Total 19 3" xfId="32859" xr:uid="{00000000-0005-0000-0000-0000AE800000}"/>
    <cellStyle name="Total 2" xfId="8601" xr:uid="{00000000-0005-0000-0000-0000AF800000}"/>
    <cellStyle name="Total 2 10" xfId="8602" xr:uid="{00000000-0005-0000-0000-0000B0800000}"/>
    <cellStyle name="Total 2 10 2" xfId="8603" xr:uid="{00000000-0005-0000-0000-0000B1800000}"/>
    <cellStyle name="Total 2 10 2 2" xfId="17355" xr:uid="{00000000-0005-0000-0000-0000B2800000}"/>
    <cellStyle name="Total 2 10 2 3" xfId="32862" xr:uid="{00000000-0005-0000-0000-0000B3800000}"/>
    <cellStyle name="Total 2 10 3" xfId="8762" xr:uid="{00000000-0005-0000-0000-0000B4800000}"/>
    <cellStyle name="Total 2 10 4" xfId="10446" xr:uid="{00000000-0005-0000-0000-0000B5800000}"/>
    <cellStyle name="Total 2 10 5" xfId="32861" xr:uid="{00000000-0005-0000-0000-0000B6800000}"/>
    <cellStyle name="Total 2 11" xfId="8604" xr:uid="{00000000-0005-0000-0000-0000B7800000}"/>
    <cellStyle name="Total 2 11 2" xfId="8605" xr:uid="{00000000-0005-0000-0000-0000B8800000}"/>
    <cellStyle name="Total 2 11 2 2" xfId="17356" xr:uid="{00000000-0005-0000-0000-0000B9800000}"/>
    <cellStyle name="Total 2 11 2 3" xfId="32864" xr:uid="{00000000-0005-0000-0000-0000BA800000}"/>
    <cellStyle name="Total 2 11 3" xfId="8763" xr:uid="{00000000-0005-0000-0000-0000BB800000}"/>
    <cellStyle name="Total 2 11 4" xfId="10447" xr:uid="{00000000-0005-0000-0000-0000BC800000}"/>
    <cellStyle name="Total 2 11 5" xfId="32863" xr:uid="{00000000-0005-0000-0000-0000BD800000}"/>
    <cellStyle name="Total 2 12" xfId="8606" xr:uid="{00000000-0005-0000-0000-0000BE800000}"/>
    <cellStyle name="Total 2 12 2" xfId="8607" xr:uid="{00000000-0005-0000-0000-0000BF800000}"/>
    <cellStyle name="Total 2 12 2 2" xfId="17357" xr:uid="{00000000-0005-0000-0000-0000C0800000}"/>
    <cellStyle name="Total 2 12 2 3" xfId="32866" xr:uid="{00000000-0005-0000-0000-0000C1800000}"/>
    <cellStyle name="Total 2 12 3" xfId="8764" xr:uid="{00000000-0005-0000-0000-0000C2800000}"/>
    <cellStyle name="Total 2 12 4" xfId="10448" xr:uid="{00000000-0005-0000-0000-0000C3800000}"/>
    <cellStyle name="Total 2 12 5" xfId="32865" xr:uid="{00000000-0005-0000-0000-0000C4800000}"/>
    <cellStyle name="Total 2 13" xfId="8608" xr:uid="{00000000-0005-0000-0000-0000C5800000}"/>
    <cellStyle name="Total 2 13 2" xfId="8609" xr:uid="{00000000-0005-0000-0000-0000C6800000}"/>
    <cellStyle name="Total 2 13 2 2" xfId="17358" xr:uid="{00000000-0005-0000-0000-0000C7800000}"/>
    <cellStyle name="Total 2 13 2 3" xfId="32868" xr:uid="{00000000-0005-0000-0000-0000C8800000}"/>
    <cellStyle name="Total 2 13 3" xfId="8765" xr:uid="{00000000-0005-0000-0000-0000C9800000}"/>
    <cellStyle name="Total 2 13 4" xfId="10449" xr:uid="{00000000-0005-0000-0000-0000CA800000}"/>
    <cellStyle name="Total 2 13 5" xfId="32867" xr:uid="{00000000-0005-0000-0000-0000CB800000}"/>
    <cellStyle name="Total 2 14" xfId="8610" xr:uid="{00000000-0005-0000-0000-0000CC800000}"/>
    <cellStyle name="Total 2 14 2" xfId="8611" xr:uid="{00000000-0005-0000-0000-0000CD800000}"/>
    <cellStyle name="Total 2 14 2 2" xfId="15801" xr:uid="{00000000-0005-0000-0000-0000CE800000}"/>
    <cellStyle name="Total 2 14 2 3" xfId="32870" xr:uid="{00000000-0005-0000-0000-0000CF800000}"/>
    <cellStyle name="Total 2 14 3" xfId="8612" xr:uid="{00000000-0005-0000-0000-0000D0800000}"/>
    <cellStyle name="Total 2 14 3 2" xfId="17367" xr:uid="{00000000-0005-0000-0000-0000D1800000}"/>
    <cellStyle name="Total 2 14 3 3" xfId="32871" xr:uid="{00000000-0005-0000-0000-0000D2800000}"/>
    <cellStyle name="Total 2 14 4" xfId="8766" xr:uid="{00000000-0005-0000-0000-0000D3800000}"/>
    <cellStyle name="Total 2 14 5" xfId="10502" xr:uid="{00000000-0005-0000-0000-0000D4800000}"/>
    <cellStyle name="Total 2 14 6" xfId="32869" xr:uid="{00000000-0005-0000-0000-0000D5800000}"/>
    <cellStyle name="Total 2 15" xfId="8613" xr:uid="{00000000-0005-0000-0000-0000D6800000}"/>
    <cellStyle name="Total 2 15 2" xfId="8767" xr:uid="{00000000-0005-0000-0000-0000D7800000}"/>
    <cellStyle name="Total 2 15 3" xfId="32872" xr:uid="{00000000-0005-0000-0000-0000D8800000}"/>
    <cellStyle name="Total 2 16" xfId="8614" xr:uid="{00000000-0005-0000-0000-0000D9800000}"/>
    <cellStyle name="Total 2 16 2" xfId="8768" xr:uid="{00000000-0005-0000-0000-0000DA800000}"/>
    <cellStyle name="Total 2 16 3" xfId="32873" xr:uid="{00000000-0005-0000-0000-0000DB800000}"/>
    <cellStyle name="Total 2 17" xfId="8615" xr:uid="{00000000-0005-0000-0000-0000DC800000}"/>
    <cellStyle name="Total 2 17 2" xfId="8769" xr:uid="{00000000-0005-0000-0000-0000DD800000}"/>
    <cellStyle name="Total 2 17 3" xfId="32874" xr:uid="{00000000-0005-0000-0000-0000DE800000}"/>
    <cellStyle name="Total 2 18" xfId="8616" xr:uid="{00000000-0005-0000-0000-0000DF800000}"/>
    <cellStyle name="Total 2 18 2" xfId="8770" xr:uid="{00000000-0005-0000-0000-0000E0800000}"/>
    <cellStyle name="Total 2 18 3" xfId="32875" xr:uid="{00000000-0005-0000-0000-0000E1800000}"/>
    <cellStyle name="Total 2 19" xfId="8700" xr:uid="{00000000-0005-0000-0000-0000E2800000}"/>
    <cellStyle name="Total 2 2" xfId="8617" xr:uid="{00000000-0005-0000-0000-0000E3800000}"/>
    <cellStyle name="Total 2 2 2" xfId="8618" xr:uid="{00000000-0005-0000-0000-0000E4800000}"/>
    <cellStyle name="Total 2 2 2 2" xfId="10451" xr:uid="{00000000-0005-0000-0000-0000E5800000}"/>
    <cellStyle name="Total 2 2 2 3" xfId="32877" xr:uid="{00000000-0005-0000-0000-0000E6800000}"/>
    <cellStyle name="Total 2 2 3" xfId="8619" xr:uid="{00000000-0005-0000-0000-0000E7800000}"/>
    <cellStyle name="Total 2 2 3 2" xfId="8620" xr:uid="{00000000-0005-0000-0000-0000E8800000}"/>
    <cellStyle name="Total 2 2 3 2 2" xfId="15802" xr:uid="{00000000-0005-0000-0000-0000E9800000}"/>
    <cellStyle name="Total 2 2 3 2 3" xfId="32879" xr:uid="{00000000-0005-0000-0000-0000EA800000}"/>
    <cellStyle name="Total 2 2 3 3" xfId="11734" xr:uid="{00000000-0005-0000-0000-0000EB800000}"/>
    <cellStyle name="Total 2 2 3 4" xfId="32878" xr:uid="{00000000-0005-0000-0000-0000EC800000}"/>
    <cellStyle name="Total 2 2 4" xfId="8621" xr:uid="{00000000-0005-0000-0000-0000ED800000}"/>
    <cellStyle name="Total 2 2 4 2" xfId="12102" xr:uid="{00000000-0005-0000-0000-0000EE800000}"/>
    <cellStyle name="Total 2 2 4 3" xfId="32880" xr:uid="{00000000-0005-0000-0000-0000EF800000}"/>
    <cellStyle name="Total 2 2 5" xfId="8622" xr:uid="{00000000-0005-0000-0000-0000F0800000}"/>
    <cellStyle name="Total 2 2 5 2" xfId="17359" xr:uid="{00000000-0005-0000-0000-0000F1800000}"/>
    <cellStyle name="Total 2 2 5 3" xfId="32881" xr:uid="{00000000-0005-0000-0000-0000F2800000}"/>
    <cellStyle name="Total 2 2 6" xfId="8771" xr:uid="{00000000-0005-0000-0000-0000F3800000}"/>
    <cellStyle name="Total 2 2 7" xfId="10450" xr:uid="{00000000-0005-0000-0000-0000F4800000}"/>
    <cellStyle name="Total 2 2 8" xfId="32876" xr:uid="{00000000-0005-0000-0000-0000F5800000}"/>
    <cellStyle name="Total 2 20" xfId="32860" xr:uid="{00000000-0005-0000-0000-0000F6800000}"/>
    <cellStyle name="Total 2 21" xfId="33060" xr:uid="{00000000-0005-0000-0000-0000F7800000}"/>
    <cellStyle name="Total 2 3" xfId="8623" xr:uid="{00000000-0005-0000-0000-0000F8800000}"/>
    <cellStyle name="Total 2 3 2" xfId="8624" xr:uid="{00000000-0005-0000-0000-0000F9800000}"/>
    <cellStyle name="Total 2 3 2 2" xfId="10453" xr:uid="{00000000-0005-0000-0000-0000FA800000}"/>
    <cellStyle name="Total 2 3 2 3" xfId="32883" xr:uid="{00000000-0005-0000-0000-0000FB800000}"/>
    <cellStyle name="Total 2 3 3" xfId="8625" xr:uid="{00000000-0005-0000-0000-0000FC800000}"/>
    <cellStyle name="Total 2 3 3 2" xfId="17360" xr:uid="{00000000-0005-0000-0000-0000FD800000}"/>
    <cellStyle name="Total 2 3 3 3" xfId="32884" xr:uid="{00000000-0005-0000-0000-0000FE800000}"/>
    <cellStyle name="Total 2 3 4" xfId="8772" xr:uid="{00000000-0005-0000-0000-0000FF800000}"/>
    <cellStyle name="Total 2 3 5" xfId="10452" xr:uid="{00000000-0005-0000-0000-000000810000}"/>
    <cellStyle name="Total 2 3 6" xfId="32882" xr:uid="{00000000-0005-0000-0000-000001810000}"/>
    <cellStyle name="Total 2 4" xfId="8626" xr:uid="{00000000-0005-0000-0000-000002810000}"/>
    <cellStyle name="Total 2 4 2" xfId="8627" xr:uid="{00000000-0005-0000-0000-000003810000}"/>
    <cellStyle name="Total 2 4 2 2" xfId="10455" xr:uid="{00000000-0005-0000-0000-000004810000}"/>
    <cellStyle name="Total 2 4 2 3" xfId="32886" xr:uid="{00000000-0005-0000-0000-000005810000}"/>
    <cellStyle name="Total 2 4 3" xfId="8628" xr:uid="{00000000-0005-0000-0000-000006810000}"/>
    <cellStyle name="Total 2 4 3 2" xfId="17361" xr:uid="{00000000-0005-0000-0000-000007810000}"/>
    <cellStyle name="Total 2 4 3 3" xfId="32887" xr:uid="{00000000-0005-0000-0000-000008810000}"/>
    <cellStyle name="Total 2 4 4" xfId="8773" xr:uid="{00000000-0005-0000-0000-000009810000}"/>
    <cellStyle name="Total 2 4 5" xfId="10454" xr:uid="{00000000-0005-0000-0000-00000A810000}"/>
    <cellStyle name="Total 2 4 6" xfId="32885" xr:uid="{00000000-0005-0000-0000-00000B810000}"/>
    <cellStyle name="Total 2 5" xfId="8629" xr:uid="{00000000-0005-0000-0000-00000C810000}"/>
    <cellStyle name="Total 2 5 2" xfId="8630" xr:uid="{00000000-0005-0000-0000-00000D810000}"/>
    <cellStyle name="Total 2 5 2 2" xfId="13377" xr:uid="{00000000-0005-0000-0000-00000E810000}"/>
    <cellStyle name="Total 2 5 2 3" xfId="32889" xr:uid="{00000000-0005-0000-0000-00000F810000}"/>
    <cellStyle name="Total 2 5 3" xfId="8631" xr:uid="{00000000-0005-0000-0000-000010810000}"/>
    <cellStyle name="Total 2 5 3 2" xfId="13376" xr:uid="{00000000-0005-0000-0000-000011810000}"/>
    <cellStyle name="Total 2 5 3 3" xfId="32890" xr:uid="{00000000-0005-0000-0000-000012810000}"/>
    <cellStyle name="Total 2 5 4" xfId="8632" xr:uid="{00000000-0005-0000-0000-000013810000}"/>
    <cellStyle name="Total 2 5 4 2" xfId="17362" xr:uid="{00000000-0005-0000-0000-000014810000}"/>
    <cellStyle name="Total 2 5 4 3" xfId="32891" xr:uid="{00000000-0005-0000-0000-000015810000}"/>
    <cellStyle name="Total 2 5 5" xfId="8774" xr:uid="{00000000-0005-0000-0000-000016810000}"/>
    <cellStyle name="Total 2 5 6" xfId="10456" xr:uid="{00000000-0005-0000-0000-000017810000}"/>
    <cellStyle name="Total 2 5 7" xfId="32888" xr:uid="{00000000-0005-0000-0000-000018810000}"/>
    <cellStyle name="Total 2 6" xfId="8633" xr:uid="{00000000-0005-0000-0000-000019810000}"/>
    <cellStyle name="Total 2 6 2" xfId="8634" xr:uid="{00000000-0005-0000-0000-00001A810000}"/>
    <cellStyle name="Total 2 6 2 2" xfId="17363" xr:uid="{00000000-0005-0000-0000-00001B810000}"/>
    <cellStyle name="Total 2 6 2 3" xfId="32893" xr:uid="{00000000-0005-0000-0000-00001C810000}"/>
    <cellStyle name="Total 2 6 3" xfId="8775" xr:uid="{00000000-0005-0000-0000-00001D810000}"/>
    <cellStyle name="Total 2 6 4" xfId="10457" xr:uid="{00000000-0005-0000-0000-00001E810000}"/>
    <cellStyle name="Total 2 6 5" xfId="32892" xr:uid="{00000000-0005-0000-0000-00001F810000}"/>
    <cellStyle name="Total 2 7" xfId="8635" xr:uid="{00000000-0005-0000-0000-000020810000}"/>
    <cellStyle name="Total 2 7 2" xfId="8636" xr:uid="{00000000-0005-0000-0000-000021810000}"/>
    <cellStyle name="Total 2 7 2 2" xfId="10459" xr:uid="{00000000-0005-0000-0000-000022810000}"/>
    <cellStyle name="Total 2 7 2 3" xfId="32895" xr:uid="{00000000-0005-0000-0000-000023810000}"/>
    <cellStyle name="Total 2 7 3" xfId="8637" xr:uid="{00000000-0005-0000-0000-000024810000}"/>
    <cellStyle name="Total 2 7 3 2" xfId="17364" xr:uid="{00000000-0005-0000-0000-000025810000}"/>
    <cellStyle name="Total 2 7 3 3" xfId="32896" xr:uid="{00000000-0005-0000-0000-000026810000}"/>
    <cellStyle name="Total 2 7 4" xfId="8776" xr:uid="{00000000-0005-0000-0000-000027810000}"/>
    <cellStyle name="Total 2 7 5" xfId="10458" xr:uid="{00000000-0005-0000-0000-000028810000}"/>
    <cellStyle name="Total 2 7 6" xfId="32894" xr:uid="{00000000-0005-0000-0000-000029810000}"/>
    <cellStyle name="Total 2 8" xfId="8638" xr:uid="{00000000-0005-0000-0000-00002A810000}"/>
    <cellStyle name="Total 2 8 2" xfId="8639" xr:uid="{00000000-0005-0000-0000-00002B810000}"/>
    <cellStyle name="Total 2 8 2 2" xfId="17365" xr:uid="{00000000-0005-0000-0000-00002C810000}"/>
    <cellStyle name="Total 2 8 2 3" xfId="32898" xr:uid="{00000000-0005-0000-0000-00002D810000}"/>
    <cellStyle name="Total 2 8 3" xfId="8777" xr:uid="{00000000-0005-0000-0000-00002E810000}"/>
    <cellStyle name="Total 2 8 4" xfId="10460" xr:uid="{00000000-0005-0000-0000-00002F810000}"/>
    <cellStyle name="Total 2 8 5" xfId="32897" xr:uid="{00000000-0005-0000-0000-000030810000}"/>
    <cellStyle name="Total 2 9" xfId="8640" xr:uid="{00000000-0005-0000-0000-000031810000}"/>
    <cellStyle name="Total 2 9 2" xfId="8641" xr:uid="{00000000-0005-0000-0000-000032810000}"/>
    <cellStyle name="Total 2 9 2 2" xfId="17366" xr:uid="{00000000-0005-0000-0000-000033810000}"/>
    <cellStyle name="Total 2 9 2 3" xfId="32900" xr:uid="{00000000-0005-0000-0000-000034810000}"/>
    <cellStyle name="Total 2 9 3" xfId="8778" xr:uid="{00000000-0005-0000-0000-000035810000}"/>
    <cellStyle name="Total 2 9 4" xfId="10461" xr:uid="{00000000-0005-0000-0000-000036810000}"/>
    <cellStyle name="Total 2 9 5" xfId="32899" xr:uid="{00000000-0005-0000-0000-000037810000}"/>
    <cellStyle name="Total 20" xfId="8642" xr:uid="{00000000-0005-0000-0000-000038810000}"/>
    <cellStyle name="Total 20 2" xfId="8779" xr:uid="{00000000-0005-0000-0000-000039810000}"/>
    <cellStyle name="Total 20 3" xfId="32901" xr:uid="{00000000-0005-0000-0000-00003A810000}"/>
    <cellStyle name="Total 3" xfId="8643" xr:uid="{00000000-0005-0000-0000-00003B810000}"/>
    <cellStyle name="Total 3 2" xfId="8675" xr:uid="{00000000-0005-0000-0000-00003C810000}"/>
    <cellStyle name="Total 3 3" xfId="32902" xr:uid="{00000000-0005-0000-0000-00003D810000}"/>
    <cellStyle name="Total 3 4" xfId="33092" xr:uid="{00000000-0005-0000-0000-00003E810000}"/>
    <cellStyle name="Total 4" xfId="8644" xr:uid="{00000000-0005-0000-0000-00003F810000}"/>
    <cellStyle name="Total 4 2" xfId="8780" xr:uid="{00000000-0005-0000-0000-000040810000}"/>
    <cellStyle name="Total 4 3" xfId="32903" xr:uid="{00000000-0005-0000-0000-000041810000}"/>
    <cellStyle name="Total 5" xfId="8645" xr:uid="{00000000-0005-0000-0000-000042810000}"/>
    <cellStyle name="Total 5 2" xfId="8781" xr:uid="{00000000-0005-0000-0000-000043810000}"/>
    <cellStyle name="Total 5 3" xfId="32904" xr:uid="{00000000-0005-0000-0000-000044810000}"/>
    <cellStyle name="Total 6" xfId="8646" xr:uid="{00000000-0005-0000-0000-000045810000}"/>
    <cellStyle name="Total 6 2" xfId="8782" xr:uid="{00000000-0005-0000-0000-000046810000}"/>
    <cellStyle name="Total 6 3" xfId="32905" xr:uid="{00000000-0005-0000-0000-000047810000}"/>
    <cellStyle name="Total 7" xfId="8647" xr:uid="{00000000-0005-0000-0000-000048810000}"/>
    <cellStyle name="Total 7 2" xfId="8783" xr:uid="{00000000-0005-0000-0000-000049810000}"/>
    <cellStyle name="Total 7 3" xfId="32906" xr:uid="{00000000-0005-0000-0000-00004A810000}"/>
    <cellStyle name="Total 8" xfId="8648" xr:uid="{00000000-0005-0000-0000-00004B810000}"/>
    <cellStyle name="Total 8 2" xfId="8784" xr:uid="{00000000-0005-0000-0000-00004C810000}"/>
    <cellStyle name="Total 8 3" xfId="32907" xr:uid="{00000000-0005-0000-0000-00004D810000}"/>
    <cellStyle name="Total 9" xfId="8649" xr:uid="{00000000-0005-0000-0000-00004E810000}"/>
    <cellStyle name="Total 9 2" xfId="8785" xr:uid="{00000000-0005-0000-0000-00004F810000}"/>
    <cellStyle name="Total 9 3" xfId="32908" xr:uid="{00000000-0005-0000-0000-000050810000}"/>
    <cellStyle name="Warning Text" xfId="33034" builtinId="11" customBuiltin="1"/>
    <cellStyle name="Warning Text 2" xfId="8814" xr:uid="{00000000-0005-0000-0000-000052810000}"/>
    <cellStyle name="Warning Text 2 2" xfId="33057" xr:uid="{00000000-0005-0000-0000-000053810000}"/>
    <cellStyle name="Warning Text 3" xfId="32909" xr:uid="{00000000-0005-0000-0000-000054810000}"/>
    <cellStyle name="Warning Text 4" xfId="8650" xr:uid="{00000000-0005-0000-0000-000055810000}"/>
  </cellStyles>
  <dxfs count="83">
    <dxf>
      <fill>
        <patternFill>
          <bgColor indexed="42"/>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rgb="FFCCCCCC"/>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rgb="FFF0F0F0"/>
        </patternFill>
      </fill>
    </dxf>
    <dxf>
      <fill>
        <patternFill>
          <bgColor rgb="FFF0F0F0"/>
        </patternFill>
      </fill>
    </dxf>
    <dxf>
      <fill>
        <patternFill>
          <bgColor indexed="42"/>
        </patternFill>
      </fill>
    </dxf>
    <dxf>
      <fill>
        <patternFill>
          <bgColor indexed="42"/>
        </patternFill>
      </fill>
    </dxf>
    <dxf>
      <fill>
        <patternFill>
          <bgColor rgb="FFCCCCCC"/>
        </patternFill>
      </fill>
    </dxf>
    <dxf>
      <fill>
        <patternFill>
          <bgColor indexed="42"/>
        </patternFill>
      </fill>
    </dxf>
    <dxf>
      <fill>
        <patternFill>
          <bgColor rgb="FFCCCCCC"/>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CCCCCC"/>
        </patternFill>
      </fill>
    </dxf>
    <dxf>
      <fill>
        <patternFill>
          <bgColor rgb="FFFF0000"/>
        </patternFill>
      </fill>
    </dxf>
    <dxf>
      <fill>
        <patternFill>
          <bgColor rgb="FFF0F0F0"/>
        </patternFill>
      </fill>
    </dxf>
    <dxf>
      <fill>
        <patternFill>
          <bgColor indexed="42"/>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indexed="42"/>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rgb="FFF0F0F0"/>
        </patternFill>
      </fill>
    </dxf>
    <dxf>
      <fill>
        <patternFill>
          <bgColor indexed="42"/>
        </patternFill>
      </fill>
    </dxf>
    <dxf>
      <fill>
        <patternFill>
          <bgColor rgb="FFFF0000"/>
        </patternFill>
      </fill>
    </dxf>
    <dxf>
      <fill>
        <patternFill>
          <bgColor indexed="42"/>
        </patternFill>
      </fill>
    </dxf>
    <dxf>
      <fill>
        <patternFill>
          <bgColor indexed="22"/>
        </patternFill>
      </fill>
    </dxf>
    <dxf>
      <fill>
        <patternFill>
          <bgColor rgb="FFF0F0F0"/>
        </patternFill>
      </fill>
    </dxf>
    <dxf>
      <fill>
        <patternFill>
          <bgColor rgb="FFF0F0F0"/>
        </patternFill>
      </fill>
    </dxf>
    <dxf>
      <font>
        <b/>
        <i val="0"/>
      </font>
      <border>
        <left style="thin">
          <color auto="1"/>
        </left>
        <right style="thin">
          <color auto="1"/>
        </right>
        <top style="thin">
          <color auto="1"/>
        </top>
        <bottom style="thin">
          <color auto="1"/>
        </bottom>
      </border>
    </dxf>
    <dxf>
      <font>
        <b/>
        <i val="0"/>
      </font>
      <fill>
        <patternFill>
          <bgColor rgb="FFFF9999"/>
        </patternFill>
      </fill>
    </dxf>
    <dxf>
      <fill>
        <patternFill>
          <bgColor indexed="42"/>
        </patternFill>
      </fill>
    </dxf>
    <dxf>
      <font>
        <b/>
        <i val="0"/>
      </font>
      <fill>
        <patternFill patternType="none">
          <bgColor auto="1"/>
        </patternFill>
      </fill>
    </dxf>
    <dxf>
      <fill>
        <patternFill>
          <bgColor rgb="FFF0F0F0"/>
        </patternFill>
      </fill>
    </dxf>
    <dxf>
      <fill>
        <patternFill>
          <bgColor rgb="FFF0F0F0"/>
        </patternFill>
      </fill>
    </dxf>
    <dxf>
      <fill>
        <patternFill>
          <bgColor indexed="42"/>
        </patternFill>
      </fill>
    </dxf>
    <dxf>
      <fill>
        <patternFill>
          <bgColor indexed="42"/>
        </patternFill>
      </fill>
    </dxf>
    <dxf>
      <fill>
        <patternFill>
          <bgColor rgb="FFCCCCCC"/>
        </patternFill>
      </fill>
    </dxf>
    <dxf>
      <fill>
        <patternFill>
          <bgColor indexed="22"/>
        </patternFill>
      </fill>
    </dxf>
    <dxf>
      <fill>
        <patternFill>
          <bgColor indexed="42"/>
        </patternFill>
      </fill>
    </dxf>
    <dxf>
      <fill>
        <patternFill>
          <bgColor indexed="22"/>
        </patternFill>
      </fill>
    </dxf>
    <dxf>
      <fill>
        <patternFill>
          <bgColor indexed="22"/>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0000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Distribution of Marketing Costs over Years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numRef>
              <c:f>Marketing!$H$35:$N$35</c:f>
              <c:numCache>
                <c:formatCode>"SYE "General</c:formatCode>
                <c:ptCount val="7"/>
                <c:pt idx="0">
                  <c:v>2026</c:v>
                </c:pt>
                <c:pt idx="1">
                  <c:v>2027</c:v>
                </c:pt>
                <c:pt idx="2">
                  <c:v>2028</c:v>
                </c:pt>
                <c:pt idx="3">
                  <c:v>2029</c:v>
                </c:pt>
                <c:pt idx="4">
                  <c:v>2030</c:v>
                </c:pt>
                <c:pt idx="5">
                  <c:v>2031</c:v>
                </c:pt>
                <c:pt idx="6">
                  <c:v>2032</c:v>
                </c:pt>
              </c:numCache>
            </c:numRef>
          </c:cat>
          <c:val>
            <c:numRef>
              <c:f>Marketing!$H$45:$N$45</c:f>
              <c:numCache>
                <c:formatCode>0%;[Red]\(0%\);"-%"</c:formatCode>
                <c:ptCount val="7"/>
                <c:pt idx="0">
                  <c:v>0</c:v>
                </c:pt>
                <c:pt idx="1">
                  <c:v>0.16666666666666666</c:v>
                </c:pt>
                <c:pt idx="2">
                  <c:v>0.16666666666666666</c:v>
                </c:pt>
                <c:pt idx="3">
                  <c:v>0.16666666666666666</c:v>
                </c:pt>
                <c:pt idx="4">
                  <c:v>0.16666666666666666</c:v>
                </c:pt>
                <c:pt idx="5">
                  <c:v>0.16666666666666666</c:v>
                </c:pt>
                <c:pt idx="6">
                  <c:v>0.16666666666666666</c:v>
                </c:pt>
              </c:numCache>
            </c:numRef>
          </c:val>
          <c:extLst>
            <c:ext xmlns:c16="http://schemas.microsoft.com/office/drawing/2014/chart" uri="{C3380CC4-5D6E-409C-BE32-E72D297353CC}">
              <c16:uniqueId val="{00000000-5CB2-48AE-9193-C06B0AC357F4}"/>
            </c:ext>
          </c:extLst>
        </c:ser>
        <c:dLbls>
          <c:showLegendKey val="0"/>
          <c:showVal val="0"/>
          <c:showCatName val="0"/>
          <c:showSerName val="0"/>
          <c:showPercent val="0"/>
          <c:showBubbleSize val="0"/>
        </c:dLbls>
        <c:gapWidth val="219"/>
        <c:overlap val="-27"/>
        <c:axId val="609338608"/>
        <c:axId val="609337296"/>
      </c:barChart>
      <c:catAx>
        <c:axId val="609338608"/>
        <c:scaling>
          <c:orientation val="minMax"/>
        </c:scaling>
        <c:delete val="0"/>
        <c:axPos val="b"/>
        <c:numFmt formatCode="&quot;SYE &quot;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337296"/>
        <c:crosses val="autoZero"/>
        <c:auto val="1"/>
        <c:lblAlgn val="ctr"/>
        <c:lblOffset val="100"/>
        <c:noMultiLvlLbl val="0"/>
      </c:catAx>
      <c:valAx>
        <c:axId val="609337296"/>
        <c:scaling>
          <c:orientation val="minMax"/>
        </c:scaling>
        <c:delete val="0"/>
        <c:axPos val="l"/>
        <c:majorGridlines>
          <c:spPr>
            <a:ln w="9525" cap="flat" cmpd="sng" algn="ctr">
              <a:solidFill>
                <a:schemeClr val="tx1">
                  <a:lumMod val="15000"/>
                  <a:lumOff val="85000"/>
                </a:schemeClr>
              </a:solidFill>
              <a:round/>
            </a:ln>
            <a:effectLst/>
          </c:spPr>
        </c:majorGridlines>
        <c:numFmt formatCode="0%;[Red]\(0%\);&quot;-%&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09338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hyperlink" Target="https://tax.nv.gov/LocalGovt/PolicyPub/ArchiveFiles/PersonalPropertyManual/2020-2021_Personal_Property_Manual_rev_03282019/" TargetMode="External"/></Relationships>
</file>

<file path=xl/drawings/drawing1.xml><?xml version="1.0" encoding="utf-8"?>
<xdr:wsDr xmlns:xdr="http://schemas.openxmlformats.org/drawingml/2006/spreadsheetDrawing" xmlns:a="http://schemas.openxmlformats.org/drawingml/2006/main">
  <xdr:twoCellAnchor>
    <xdr:from>
      <xdr:col>5</xdr:col>
      <xdr:colOff>256761</xdr:colOff>
      <xdr:row>3</xdr:row>
      <xdr:rowOff>66261</xdr:rowOff>
    </xdr:from>
    <xdr:to>
      <xdr:col>11</xdr:col>
      <xdr:colOff>198783</xdr:colOff>
      <xdr:row>23</xdr:row>
      <xdr:rowOff>132522</xdr:rowOff>
    </xdr:to>
    <xdr:sp macro="" textlink="">
      <xdr:nvSpPr>
        <xdr:cNvPr id="2" name="TextBox 1">
          <a:extLst>
            <a:ext uri="{FF2B5EF4-FFF2-40B4-BE49-F238E27FC236}">
              <a16:creationId xmlns:a16="http://schemas.microsoft.com/office/drawing/2014/main" id="{56603F13-3B70-EAFA-F9DD-91D010DDCC3D}"/>
            </a:ext>
          </a:extLst>
        </xdr:cNvPr>
        <xdr:cNvSpPr txBox="1"/>
      </xdr:nvSpPr>
      <xdr:spPr>
        <a:xfrm>
          <a:off x="4911587" y="654326"/>
          <a:ext cx="3520109" cy="4936435"/>
        </a:xfrm>
        <a:prstGeom prst="rect">
          <a:avLst/>
        </a:prstGeom>
        <a:solidFill>
          <a:srgbClr xmlns:mc="http://schemas.openxmlformats.org/markup-compatibility/2006" xmlns:a14="http://schemas.microsoft.com/office/drawing/2010/main" val="FCF305" mc:Ignorable="a14" a14:legacySpreadsheetColorIndex="1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a:t>Mkt</a:t>
          </a:r>
          <a:r>
            <a:rPr lang="en-US" sz="1200" baseline="0"/>
            <a:t> Res: added more areas for more detail under Projections heading.</a:t>
          </a:r>
        </a:p>
        <a:p>
          <a:r>
            <a:rPr lang="en-US" sz="1200" baseline="0"/>
            <a:t>Facilities expense %TR, %TExp vs. % PCFP (Base) (Remove impacts of higher grant, CSP, NSLP</a:t>
          </a:r>
        </a:p>
        <a:p>
          <a:endParaRPr lang="en-US" sz="1200"/>
        </a:p>
        <a:p>
          <a:r>
            <a:rPr lang="en-US" sz="1200"/>
            <a:t>Add Salaries &amp; Benefits for Substitute</a:t>
          </a:r>
          <a:r>
            <a:rPr lang="en-US" sz="1200" baseline="0"/>
            <a:t> Teachers</a:t>
          </a:r>
          <a:endParaRPr 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xdr:colOff>
      <xdr:row>0</xdr:row>
      <xdr:rowOff>42861</xdr:rowOff>
    </xdr:from>
    <xdr:to>
      <xdr:col>14</xdr:col>
      <xdr:colOff>0</xdr:colOff>
      <xdr:row>8</xdr:row>
      <xdr:rowOff>133350</xdr:rowOff>
    </xdr:to>
    <xdr:graphicFrame macro="">
      <xdr:nvGraphicFramePr>
        <xdr:cNvPr id="3" name="Chart 2">
          <a:extLst>
            <a:ext uri="{FF2B5EF4-FFF2-40B4-BE49-F238E27FC236}">
              <a16:creationId xmlns:a16="http://schemas.microsoft.com/office/drawing/2014/main" id="{252BAAC3-BACD-46F0-9E2E-B6D3A33A0FD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125016</xdr:colOff>
      <xdr:row>16</xdr:row>
      <xdr:rowOff>8283</xdr:rowOff>
    </xdr:from>
    <xdr:to>
      <xdr:col>4</xdr:col>
      <xdr:colOff>414130</xdr:colOff>
      <xdr:row>21</xdr:row>
      <xdr:rowOff>190500</xdr:rowOff>
    </xdr:to>
    <xdr:sp macro="" textlink="">
      <xdr:nvSpPr>
        <xdr:cNvPr id="2" name="Right Brace 1">
          <a:extLst>
            <a:ext uri="{FF2B5EF4-FFF2-40B4-BE49-F238E27FC236}">
              <a16:creationId xmlns:a16="http://schemas.microsoft.com/office/drawing/2014/main" id="{0F46D520-CD22-4243-8B12-BE1C09720F3A}"/>
            </a:ext>
          </a:extLst>
        </xdr:cNvPr>
        <xdr:cNvSpPr/>
      </xdr:nvSpPr>
      <xdr:spPr bwMode="auto">
        <a:xfrm>
          <a:off x="5417603" y="3163957"/>
          <a:ext cx="289114" cy="977347"/>
        </a:xfrm>
        <a:prstGeom prst="rightBrace">
          <a:avLst>
            <a:gd name="adj1" fmla="val 0"/>
            <a:gd name="adj2" fmla="val 50000"/>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238125</xdr:colOff>
      <xdr:row>268</xdr:row>
      <xdr:rowOff>190500</xdr:rowOff>
    </xdr:from>
    <xdr:to>
      <xdr:col>31</xdr:col>
      <xdr:colOff>266700</xdr:colOff>
      <xdr:row>289</xdr:row>
      <xdr:rowOff>133350</xdr:rowOff>
    </xdr:to>
    <xdr:sp macro="" textlink="">
      <xdr:nvSpPr>
        <xdr:cNvPr id="4" name="TextBox 3">
          <a:extLst>
            <a:ext uri="{FF2B5EF4-FFF2-40B4-BE49-F238E27FC236}">
              <a16:creationId xmlns:a16="http://schemas.microsoft.com/office/drawing/2014/main" id="{E02FF4D1-AE58-4044-885C-AF51C7C1B860}"/>
            </a:ext>
          </a:extLst>
        </xdr:cNvPr>
        <xdr:cNvSpPr txBox="1"/>
      </xdr:nvSpPr>
      <xdr:spPr>
        <a:xfrm>
          <a:off x="9229725" y="24745950"/>
          <a:ext cx="3952875" cy="4143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Though a student can only be counted</a:t>
          </a:r>
          <a:r>
            <a:rPr lang="en-US" sz="1100" baseline="0"/>
            <a:t> in one category if they otherwise qualify for multiple categories I'm breaking out the mixture of  where a student is being counted and not counted.</a:t>
          </a:r>
        </a:p>
        <a:p>
          <a:endParaRPr lang="en-US" sz="1100" baseline="0"/>
        </a:p>
        <a:p>
          <a:r>
            <a:rPr lang="en-US" sz="1100" baseline="0"/>
            <a:t>That's because we've been counting "blended" students  historically and I think we want to still be able to  continue that "measurement" approach.</a:t>
          </a:r>
        </a:p>
        <a:p>
          <a:endParaRPr lang="en-US" sz="1100" baseline="0"/>
        </a:p>
        <a:p>
          <a:r>
            <a:rPr lang="en-US" sz="1100" baseline="0"/>
            <a:t>At the same time we want to know how many qualifying students there are for additional funding.  And  by having those students that are not qualified then we can essentially do a check for reasonability.  that check would be to ask how reasonable it would be to have a certain proportion of blended/diverse students versus not.  It's highly likely that some students should be counted in multiple categories they otherwise qualify for even if they dont't qualify for the additional funding.   </a:t>
          </a:r>
          <a:endParaRPr lang="en-US" sz="1100"/>
        </a:p>
      </xdr:txBody>
    </xdr:sp>
    <xdr:clientData/>
  </xdr:twoCellAnchor>
  <xdr:oneCellAnchor>
    <xdr:from>
      <xdr:col>5</xdr:col>
      <xdr:colOff>771525</xdr:colOff>
      <xdr:row>93</xdr:row>
      <xdr:rowOff>142875</xdr:rowOff>
    </xdr:from>
    <xdr:ext cx="184731" cy="264560"/>
    <xdr:sp macro="" textlink="">
      <xdr:nvSpPr>
        <xdr:cNvPr id="5" name="TextBox 4">
          <a:extLst>
            <a:ext uri="{FF2B5EF4-FFF2-40B4-BE49-F238E27FC236}">
              <a16:creationId xmlns:a16="http://schemas.microsoft.com/office/drawing/2014/main" id="{CF1715AC-FB00-451D-860C-E637E4496418}"/>
            </a:ext>
          </a:extLst>
        </xdr:cNvPr>
        <xdr:cNvSpPr txBox="1"/>
      </xdr:nvSpPr>
      <xdr:spPr>
        <a:xfrm>
          <a:off x="4953000" y="1089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478568</xdr:colOff>
      <xdr:row>25</xdr:row>
      <xdr:rowOff>26918</xdr:rowOff>
    </xdr:from>
    <xdr:to>
      <xdr:col>20</xdr:col>
      <xdr:colOff>57232</xdr:colOff>
      <xdr:row>46</xdr:row>
      <xdr:rowOff>154470</xdr:rowOff>
    </xdr:to>
    <xdr:pic>
      <xdr:nvPicPr>
        <xdr:cNvPr id="4" name="Picture 10">
          <a:extLst>
            <a:ext uri="{FF2B5EF4-FFF2-40B4-BE49-F238E27FC236}">
              <a16:creationId xmlns:a16="http://schemas.microsoft.com/office/drawing/2014/main" id="{10F8F633-D7A6-43D2-98E4-4A8A182DB9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088" y="1261358"/>
          <a:ext cx="11450624" cy="36479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198782</xdr:colOff>
      <xdr:row>47</xdr:row>
      <xdr:rowOff>124239</xdr:rowOff>
    </xdr:from>
    <xdr:to>
      <xdr:col>10</xdr:col>
      <xdr:colOff>480391</xdr:colOff>
      <xdr:row>55</xdr:row>
      <xdr:rowOff>107674</xdr:rowOff>
    </xdr:to>
    <xdr:sp macro="" textlink="">
      <xdr:nvSpPr>
        <xdr:cNvPr id="3" name="TextBox 2">
          <a:extLst>
            <a:ext uri="{FF2B5EF4-FFF2-40B4-BE49-F238E27FC236}">
              <a16:creationId xmlns:a16="http://schemas.microsoft.com/office/drawing/2014/main" id="{D104F1A3-32FF-4A1B-9B3B-9F2787368E25}"/>
            </a:ext>
          </a:extLst>
        </xdr:cNvPr>
        <xdr:cNvSpPr txBox="1"/>
      </xdr:nvSpPr>
      <xdr:spPr>
        <a:xfrm>
          <a:off x="198782" y="4994413"/>
          <a:ext cx="6137413" cy="13086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chemeClr val="dk1"/>
              </a:solidFill>
              <a:effectLst/>
              <a:latin typeface="+mn-lt"/>
              <a:ea typeface="+mn-ea"/>
              <a:cs typeface="+mn-cs"/>
            </a:rPr>
            <a:t>Question on the FFE&amp;T tab of the budget workbook – the formula in row 55 is including only noncapitalized expenses and excluding the costs of furniture and computer equipment.  If the school has a capitalization policy of $5,000, these items would be considered noncapital and should be expensed fully in the year purchased (because individual costs are less than $5k).  What is the recommended workaround for properly including these expenses in each year?  Also, - in looking at row 53, a fixed 15 year life for all capitalized expenditures seems too long, particularly for computers. 7/13/2020</a:t>
          </a: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115957</xdr:colOff>
      <xdr:row>5</xdr:row>
      <xdr:rowOff>49696</xdr:rowOff>
    </xdr:from>
    <xdr:to>
      <xdr:col>8</xdr:col>
      <xdr:colOff>397565</xdr:colOff>
      <xdr:row>25</xdr:row>
      <xdr:rowOff>1</xdr:rowOff>
    </xdr:to>
    <xdr:sp macro="" textlink="">
      <xdr:nvSpPr>
        <xdr:cNvPr id="2" name="TextBox 1">
          <a:hlinkClick xmlns:r="http://schemas.openxmlformats.org/officeDocument/2006/relationships" r:id="rId1"/>
          <a:extLst>
            <a:ext uri="{FF2B5EF4-FFF2-40B4-BE49-F238E27FC236}">
              <a16:creationId xmlns:a16="http://schemas.microsoft.com/office/drawing/2014/main" id="{26377E2C-059C-47BD-AD43-F0EAE52F1DE5}"/>
            </a:ext>
          </a:extLst>
        </xdr:cNvPr>
        <xdr:cNvSpPr txBox="1"/>
      </xdr:nvSpPr>
      <xdr:spPr>
        <a:xfrm>
          <a:off x="115957" y="944218"/>
          <a:ext cx="5284304" cy="3263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Generic Facilities and FFE narrative</a:t>
          </a:r>
        </a:p>
        <a:p>
          <a:endPar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endParaRPr>
        </a:p>
        <a:p>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New to this application is built in capitalization and depreciation/amortization.  This applies to capital outlays on leases (such as tenant improvements) and several categories of FFE&amp;T.  Capital outlays are depreciated based on a 15-year schedule.  The FFE&amp;T tab states what depreciation schedule is being used for each category.  These schedules are based on the Nevada Personal Property Manual’s expected life for each category.  You can access the version of the NV Personal Property Manual used here: </a:t>
          </a:r>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https://tax.nv.gov/LocalGovt/PolicyPub/ArchiveFiles/PersonalPropertyManual/2020-2021_Personal_Property_Manual_rev_03282019/</a:t>
          </a:r>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 .  The values used come from the Information Systems section on page 11, and the Office Furniture, Retail Sales Equipment, Other section on page 16.</a:t>
          </a:r>
        </a:p>
        <a:p>
          <a:endPar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endParaRPr>
        </a:p>
        <a:p>
          <a:r>
            <a:rPr lang="en-US" sz="1100" u="none" strike="noStrike" baseline="0">
              <a:solidFill>
                <a:srgbClr xmlns:mc="http://schemas.openxmlformats.org/markup-compatibility/2006" xmlns:a14="http://schemas.microsoft.com/office/drawing/2010/main" val="000000" mc:Ignorable="a14" a14:legacySpreadsheetColorIndex="8"/>
              </a:solidFill>
              <a:effectLst/>
              <a:latin typeface="Times New Roman" panose="02020603050405020304" pitchFamily="18" charset="0"/>
              <a:ea typeface="+mn-ea"/>
              <a:cs typeface="+mn-cs"/>
            </a:rPr>
            <a:t>The primary purpose of these additions is to give a better picture of what an audited full accrual basis Statement of Activities will look like for an applicant while still allowing for an analysis of the cash cost and cash flow outlook of operating the proposed school.  With the exception of the rows for “Other Equipment”, these calculations will all be done automatically for you and require no additional inputs.</a:t>
          </a:r>
        </a:p>
        <a:p>
          <a:r>
            <a:rPr lang="en-US" sz="1100" u="none" strike="noStrike" baseline="0">
              <a:solidFill>
                <a:srgbClr xmlns:mc="http://schemas.openxmlformats.org/markup-compatibility/2006" xmlns:a14="http://schemas.microsoft.com/office/drawing/2010/main" val="000000" mc:Ignorable="a14" a14:legacySpreadsheetColorIndex="8"/>
              </a:solidFill>
              <a:latin typeface="Times New Roman" panose="02020603050405020304" pitchFamily="18" charset="0"/>
            </a:rPr>
            <a:t>sdf</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115956</xdr:colOff>
      <xdr:row>8</xdr:row>
      <xdr:rowOff>124238</xdr:rowOff>
    </xdr:from>
    <xdr:ext cx="2923761" cy="1297919"/>
    <xdr:sp macro="" textlink="">
      <xdr:nvSpPr>
        <xdr:cNvPr id="2" name="TextBox 1">
          <a:extLst>
            <a:ext uri="{FF2B5EF4-FFF2-40B4-BE49-F238E27FC236}">
              <a16:creationId xmlns:a16="http://schemas.microsoft.com/office/drawing/2014/main" id="{344B4FE5-32CA-449D-ADED-41FA2D531554}"/>
            </a:ext>
          </a:extLst>
        </xdr:cNvPr>
        <xdr:cNvSpPr txBox="1"/>
      </xdr:nvSpPr>
      <xdr:spPr>
        <a:xfrm>
          <a:off x="10576891" y="1292086"/>
          <a:ext cx="2923761" cy="1297919"/>
        </a:xfrm>
        <a:prstGeom prst="rect">
          <a:avLst/>
        </a:prstGeom>
        <a:solidFill>
          <a:schemeClr val="accent1">
            <a:alpha val="75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t>This page is intended to be a quick view of how each cost center is affecting overall financial performance. </a:t>
          </a:r>
        </a:p>
        <a:p>
          <a:r>
            <a:rPr lang="en-US" sz="1100"/>
            <a:t>It will automatically populate</a:t>
          </a:r>
          <a:r>
            <a:rPr lang="en-US" sz="1100" baseline="0"/>
            <a:t> as you complete the required tabs in the application. The use of this tab is completely optional and at your discretion.</a:t>
          </a:r>
          <a:endParaRPr lang="en-US" sz="1100"/>
        </a:p>
      </xdr:txBody>
    </xdr:sp>
    <xdr:clientData/>
  </xdr:oneCellAnchor>
</xdr:wsDr>
</file>

<file path=xl/persons/person.xml><?xml version="1.0" encoding="utf-8"?>
<personList xmlns="http://schemas.microsoft.com/office/spreadsheetml/2018/threadedcomments" xmlns:x="http://schemas.openxmlformats.org/spreadsheetml/2006/main">
  <person displayName="Michael Dang" id="{58D7CBF4-770A-4C73-A5CB-9F34A753C88F}" userId="Michael Dang" providerId="None"/>
  <person displayName="Kristen Vandawalker" id="{682C4762-D16B-4258-9EED-D403D1FC79AE}" userId="e3244694677ecd41" providerId="Windows Live"/>
  <person displayName="Michael Dang" id="{53965B3A-B08B-4BC2-8174-88EB25E8A830}" userId="S::mdang@spcsa.nv.gov::a3e2d36e-033d-41a4-80d1-b0cff51c0698"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97" dT="2024-11-13T20:25:28.64" personId="{682C4762-D16B-4258-9EED-D403D1FC79AE}" id="{1F282CAE-A3FF-4257-9931-DD281178725A}">
    <text>The Inflation adjuster is designed to account for any increases in PCFP Revenue. Please be sure to enter the cost of inflation in this cell. You may wish to test inflation rates of 0 to 3%.  Be sure you can still operate with a surplus even with a 0% inflator/escalator.</text>
  </threadedComment>
</ThreadedComments>
</file>

<file path=xl/threadedComments/threadedComment2.xml><?xml version="1.0" encoding="utf-8"?>
<ThreadedComments xmlns="http://schemas.microsoft.com/office/spreadsheetml/2018/threadedcomments" xmlns:x="http://schemas.openxmlformats.org/spreadsheetml/2006/main">
  <threadedComment ref="C60" dT="2023-02-08T01:03:49.48" personId="{53965B3A-B08B-4BC2-8174-88EB25E8A830}" id="{5AB4F22B-B34E-46CC-85F4-92C228ADA667}">
    <text xml:space="preserve">7.65% for employees on Social Security
1.45% for employees on PERS
Applicants should derive a weighted average estimate FICA rate depending on how many SS employees they plan to have versus PERS employees.
FICA is the Federal Insurance Contributions Act.  
https://defcomp.nv.gov/Resources/FICA_Info___FAQ_s/#:~:text=How%20much%20do%20I%20have,on%20a%20tax%20deferred%20basis.
How much do I have to contribute from my paycheck?
You must contribute 7.5% of your gross compensation per pay period to the Plan. Your contributions are made on a tax deferred basis.
</text>
    <extLst>
      <x:ext xmlns:xltc2="http://schemas.microsoft.com/office/spreadsheetml/2020/threadedcomments2" uri="{F7C98A9C-CBB3-438F-8F68-D28B6AF4A901}">
        <xltc2:checksum>2360989648</xltc2:checksum>
        <xltc2:hyperlink startIndex="258" length="118" url="https://defcomp.nv.gov/Resources/FICA_Info___FAQ_s/#:~:text=How%20much%20do%20I%20have,on%20a%20tax%20deferred%20basis"/>
      </x:ext>
    </extLst>
  </threadedComment>
  <threadedComment ref="C61" dT="2022-12-30T18:20:15.58" personId="{53965B3A-B08B-4BC2-8174-88EB25E8A830}" id="{5B5C6FFC-D74F-4D89-957C-272E389EFD53}">
    <text>For full EPC, use new rate:  Contribution Rate Changes – Employer Pay Contribution (EPC) Plan:  Regular Members – will increase from 29.75% to 33.50.
As of July 1, 2023
Use a blended rate between the EPC and the EE/Er rates, depending on your estimates of type of participation by your employees. 
https://www.nvpers.org/sites/default/files/publications/21735_NV_PERS_News_2022_p6_1.pdf</text>
  </threadedComment>
  <threadedComment ref="C64" dT="2023-02-08T00:19:20.03" personId="{53965B3A-B08B-4BC2-8174-88EB25E8A830}" id="{8B28DE3F-0513-4202-B787-159B600CA677}">
    <text>Unemployment Insurance Information 
https://ui.nv.gov/ESSHTML/ui_information.htm
Unemployment Insurance Rates:
Employing Units in Nevada, who meet registration requirements, must pay unemployment insurance (UI) tax at a rate of 2.95 percent (.0295) of wages paid to each employee up to the taxable wage limit.  The employer retains this rate for a period of 14 to 17 calendar quarters (this is dependent on the quarter in which the employer becomes subject to the law), after which the rate will be determined under the "Experience Rating" system. An additional .05 percent (.0005) tax is charged for the Career Enhancement Program (CEP).
See website for more information.</text>
    <extLst>
      <x:ext xmlns:xltc2="http://schemas.microsoft.com/office/spreadsheetml/2020/threadedcomments2" uri="{F7C98A9C-CBB3-438F-8F68-D28B6AF4A901}">
        <xltc2:checksum>1913804148</xltc2:checksum>
        <xltc2:hyperlink startIndex="36" length="44" url="https://ui.nv.gov/ESSHTML/ui_information.htm"/>
      </x:ext>
    </extLst>
  </threadedComment>
  <threadedComment ref="C65" dT="2023-02-08T00:35:15.23" personId="{53965B3A-B08B-4BC2-8174-88EB25E8A830}" id="{31D788BA-A50C-47FC-8E94-21A195E0BD60}">
    <text xml:space="preserve">Employer costs for workers’ compensation insurance (per $100 of covered wages)
https://pieinsurance.com/blog/workers-comp/workers-comp-how-much/
</text>
    <extLst>
      <x:ext xmlns:xltc2="http://schemas.microsoft.com/office/spreadsheetml/2020/threadedcomments2" uri="{F7C98A9C-CBB3-438F-8F68-D28B6AF4A901}">
        <xltc2:checksum>2176889104</xltc2:checksum>
        <xltc2:hyperlink startIndex="79" length="65" url="https://pieinsurance.com/blog/workers-comp/workers-comp-how-much/"/>
      </x:ext>
    </extLst>
  </threadedComment>
  <threadedComment ref="B436" dT="2024-07-17T16:23:53.44" personId="{53965B3A-B08B-4BC2-8174-88EB25E8A830}" id="{CE950E8C-C673-4EA1-816B-0806360F654E}">
    <text>Not included in Total Benefits above as these benefit costs are absorbed by the substitute placement firm.
This level may be set to zero, though, assuming a typical substitute placement firms is not participating in PERS.</text>
  </threadedComment>
</ThreadedComments>
</file>

<file path=xl/threadedComments/threadedComment3.xml><?xml version="1.0" encoding="utf-8"?>
<ThreadedComments xmlns="http://schemas.microsoft.com/office/spreadsheetml/2018/threadedcomments" xmlns:x="http://schemas.openxmlformats.org/spreadsheetml/2006/main">
  <threadedComment ref="B36" personId="{58D7CBF4-770A-4C73-A5CB-9F34A753C88F}" id="{5A0475E5-6B0D-4D68-9F79-BF251AC40EF8}">
    <text xml:space="preserve">Keep at &gt;=1 in FTE section; use PT section for PT, like 0.5 </text>
  </threadedComment>
</ThreadedComments>
</file>

<file path=xl/threadedComments/threadedComment4.xml><?xml version="1.0" encoding="utf-8"?>
<ThreadedComments xmlns="http://schemas.microsoft.com/office/spreadsheetml/2018/threadedcomments" xmlns:x="http://schemas.openxmlformats.org/spreadsheetml/2006/main">
  <threadedComment ref="B33" personId="{58D7CBF4-770A-4C73-A5CB-9F34A753C88F}" id="{3A938AAD-556B-4D4E-BDCA-B0961C23113C}">
    <text>Great Teaching &amp; Leading, NV Ready Technology, Teacher Incentives, and other measures in AB309 of the 2019 legislative session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hyperlink" Target="https://transparentnevada.com/agencies/salaries/charter-schools/"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leg.state.nv.us/Session/82nd2023/Bills/SB/SB503_EN.pdf" TargetMode="External"/><Relationship Id="rId2" Type="http://schemas.openxmlformats.org/officeDocument/2006/relationships/hyperlink" Target="https://www.leg.state.nv.us/Session/82nd2023/Bills/SB/SB503_EN.pdf" TargetMode="External"/><Relationship Id="rId1" Type="http://schemas.openxmlformats.org/officeDocument/2006/relationships/hyperlink" Target="https://www.leg.state.nv.us/App/NELIS/REL/81st2021/Bill/8227/Text" TargetMode="External"/><Relationship Id="rId5" Type="http://schemas.openxmlformats.org/officeDocument/2006/relationships/drawing" Target="../drawings/drawing4.xml"/><Relationship Id="rId4" Type="http://schemas.openxmlformats.org/officeDocument/2006/relationships/printerSettings" Target="../printerSettings/printerSettings16.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s://charterschools.nv.gov/OpenASchool/Application_Packet/" TargetMode="External"/><Relationship Id="rId1" Type="http://schemas.openxmlformats.org/officeDocument/2006/relationships/hyperlink" Target="https://doe.nv.gov/DataCenter/Enrollment_Data/"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19.bin"/><Relationship Id="rId5" Type="http://schemas.microsoft.com/office/2017/10/relationships/threadedComment" Target="../threadedComments/threadedComment3.xml"/><Relationship Id="rId4" Type="http://schemas.openxmlformats.org/officeDocument/2006/relationships/comments" Target="../comments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21.bin"/><Relationship Id="rId4" Type="http://schemas.microsoft.com/office/2017/10/relationships/threadedComment" Target="../threadedComments/threadedComment4.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8541A-83D0-4B21-99A3-31C6411F551F}">
  <sheetPr>
    <tabColor theme="4" tint="0.39997558519241921"/>
  </sheetPr>
  <dimension ref="A1:A110"/>
  <sheetViews>
    <sheetView zoomScale="65" zoomScaleNormal="65" workbookViewId="0">
      <selection activeCell="A66" sqref="A66"/>
    </sheetView>
  </sheetViews>
  <sheetFormatPr defaultRowHeight="14.4"/>
  <cols>
    <col min="1" max="1" width="155.33203125" style="1801" customWidth="1"/>
  </cols>
  <sheetData>
    <row r="1" spans="1:1" ht="21">
      <c r="A1" s="1799" t="s">
        <v>1314</v>
      </c>
    </row>
    <row r="2" spans="1:1" ht="58.2" thickBot="1">
      <c r="A2" s="1800" t="s">
        <v>1381</v>
      </c>
    </row>
    <row r="3" spans="1:1" ht="15" thickBot="1"/>
    <row r="4" spans="1:1" ht="18">
      <c r="A4" s="1802" t="s">
        <v>1315</v>
      </c>
    </row>
    <row r="5" spans="1:1" s="2" customFormat="1">
      <c r="A5" s="1803" t="s">
        <v>1317</v>
      </c>
    </row>
    <row r="6" spans="1:1" s="2" customFormat="1">
      <c r="A6" s="1803" t="s">
        <v>1316</v>
      </c>
    </row>
    <row r="7" spans="1:1" s="2" customFormat="1">
      <c r="A7" s="1803" t="s">
        <v>1318</v>
      </c>
    </row>
    <row r="8" spans="1:1" s="2" customFormat="1">
      <c r="A8" s="1803" t="s">
        <v>1382</v>
      </c>
    </row>
    <row r="9" spans="1:1" s="2" customFormat="1">
      <c r="A9" s="1803" t="s">
        <v>1319</v>
      </c>
    </row>
    <row r="10" spans="1:1" s="2" customFormat="1">
      <c r="A10" s="1803" t="s">
        <v>1372</v>
      </c>
    </row>
    <row r="11" spans="1:1" s="2" customFormat="1">
      <c r="A11" s="1803" t="s">
        <v>1320</v>
      </c>
    </row>
    <row r="12" spans="1:1" s="2" customFormat="1" ht="28.8">
      <c r="A12" s="1803" t="s">
        <v>1321</v>
      </c>
    </row>
    <row r="13" spans="1:1" s="2" customFormat="1">
      <c r="A13" s="1803" t="s">
        <v>1331</v>
      </c>
    </row>
    <row r="14" spans="1:1" s="2" customFormat="1">
      <c r="A14" s="1803" t="s">
        <v>1373</v>
      </c>
    </row>
    <row r="15" spans="1:1" s="2" customFormat="1">
      <c r="A15" s="1803" t="s">
        <v>1332</v>
      </c>
    </row>
    <row r="16" spans="1:1" s="2" customFormat="1" ht="21" customHeight="1" thickBot="1">
      <c r="A16" s="1804" t="s">
        <v>1322</v>
      </c>
    </row>
    <row r="17" spans="1:1" ht="15" thickBot="1">
      <c r="A17" s="1805"/>
    </row>
    <row r="18" spans="1:1" ht="18">
      <c r="A18" s="1802" t="s">
        <v>1315</v>
      </c>
    </row>
    <row r="19" spans="1:1">
      <c r="A19" s="1806" t="s">
        <v>1323</v>
      </c>
    </row>
    <row r="20" spans="1:1">
      <c r="A20" s="1807" t="s">
        <v>1324</v>
      </c>
    </row>
    <row r="21" spans="1:1">
      <c r="A21" s="1806" t="s">
        <v>1325</v>
      </c>
    </row>
    <row r="22" spans="1:1" ht="43.2">
      <c r="A22" s="1807" t="s">
        <v>1383</v>
      </c>
    </row>
    <row r="23" spans="1:1">
      <c r="A23" s="1806" t="s">
        <v>1328</v>
      </c>
    </row>
    <row r="24" spans="1:1">
      <c r="A24" s="1807" t="s">
        <v>1327</v>
      </c>
    </row>
    <row r="25" spans="1:1" ht="28.8">
      <c r="A25" s="1810" t="s">
        <v>1380</v>
      </c>
    </row>
    <row r="26" spans="1:1" ht="28.8">
      <c r="A26" s="1810" t="s">
        <v>1375</v>
      </c>
    </row>
    <row r="27" spans="1:1">
      <c r="A27" s="1825" t="s">
        <v>1333</v>
      </c>
    </row>
    <row r="28" spans="1:1">
      <c r="A28" s="1825" t="s">
        <v>1334</v>
      </c>
    </row>
    <row r="29" spans="1:1">
      <c r="A29" s="1825" t="s">
        <v>1374</v>
      </c>
    </row>
    <row r="30" spans="1:1">
      <c r="A30" s="1825" t="s">
        <v>1335</v>
      </c>
    </row>
    <row r="31" spans="1:1">
      <c r="A31" s="1825" t="s">
        <v>1376</v>
      </c>
    </row>
    <row r="32" spans="1:1">
      <c r="A32" s="1825" t="s">
        <v>1336</v>
      </c>
    </row>
    <row r="33" spans="1:1">
      <c r="A33" s="1806" t="s">
        <v>1329</v>
      </c>
    </row>
    <row r="34" spans="1:1" ht="28.8">
      <c r="A34" s="1811" t="s">
        <v>1330</v>
      </c>
    </row>
    <row r="35" spans="1:1">
      <c r="A35" s="1812" t="s">
        <v>1337</v>
      </c>
    </row>
    <row r="36" spans="1:1">
      <c r="A36" s="1812" t="s">
        <v>1338</v>
      </c>
    </row>
    <row r="37" spans="1:1">
      <c r="A37" s="1806" t="s">
        <v>1339</v>
      </c>
    </row>
    <row r="38" spans="1:1" ht="28.8">
      <c r="A38" s="1808" t="s">
        <v>1340</v>
      </c>
    </row>
    <row r="39" spans="1:1">
      <c r="A39" s="1810" t="s">
        <v>1341</v>
      </c>
    </row>
    <row r="40" spans="1:1">
      <c r="A40" s="1810" t="s">
        <v>1342</v>
      </c>
    </row>
    <row r="41" spans="1:1">
      <c r="A41" s="1810" t="s">
        <v>1343</v>
      </c>
    </row>
    <row r="42" spans="1:1" ht="28.8">
      <c r="A42" s="1810" t="s">
        <v>1344</v>
      </c>
    </row>
    <row r="43" spans="1:1" ht="28.8">
      <c r="A43" s="1810" t="s">
        <v>1345</v>
      </c>
    </row>
    <row r="44" spans="1:1" ht="28.8">
      <c r="A44" s="1810" t="s">
        <v>1346</v>
      </c>
    </row>
    <row r="45" spans="1:1">
      <c r="A45" s="1810" t="s">
        <v>1347</v>
      </c>
    </row>
    <row r="46" spans="1:1" ht="30.6">
      <c r="A46" s="1810" t="s">
        <v>1348</v>
      </c>
    </row>
    <row r="47" spans="1:1" ht="28.8">
      <c r="A47" s="1810" t="s">
        <v>1349</v>
      </c>
    </row>
    <row r="48" spans="1:1">
      <c r="A48" s="1807" t="s">
        <v>1351</v>
      </c>
    </row>
    <row r="49" spans="1:1">
      <c r="A49" s="1809" t="s">
        <v>1350</v>
      </c>
    </row>
    <row r="50" spans="1:1">
      <c r="A50" s="1806" t="s">
        <v>1352</v>
      </c>
    </row>
    <row r="51" spans="1:1" ht="32.25" customHeight="1">
      <c r="A51" s="1808" t="s">
        <v>1377</v>
      </c>
    </row>
    <row r="52" spans="1:1">
      <c r="A52" s="1806" t="s">
        <v>1353</v>
      </c>
    </row>
    <row r="53" spans="1:1">
      <c r="A53" s="1807" t="s">
        <v>1327</v>
      </c>
    </row>
    <row r="54" spans="1:1">
      <c r="A54" s="1812" t="s">
        <v>1378</v>
      </c>
    </row>
    <row r="55" spans="1:1" ht="18.75" customHeight="1">
      <c r="A55" s="1812" t="s">
        <v>1354</v>
      </c>
    </row>
    <row r="56" spans="1:1">
      <c r="A56" s="1806" t="s">
        <v>1355</v>
      </c>
    </row>
    <row r="57" spans="1:1" ht="33.75" customHeight="1">
      <c r="A57" s="1808" t="s">
        <v>1356</v>
      </c>
    </row>
    <row r="58" spans="1:1">
      <c r="A58" s="1806" t="s">
        <v>113</v>
      </c>
    </row>
    <row r="59" spans="1:1">
      <c r="A59" s="1807" t="s">
        <v>1327</v>
      </c>
    </row>
    <row r="60" spans="1:1">
      <c r="A60" s="1810" t="s">
        <v>1357</v>
      </c>
    </row>
    <row r="61" spans="1:1">
      <c r="A61" s="1810" t="s">
        <v>1358</v>
      </c>
    </row>
    <row r="62" spans="1:1">
      <c r="A62" s="1810" t="s">
        <v>1359</v>
      </c>
    </row>
    <row r="63" spans="1:1">
      <c r="A63" s="1806" t="s">
        <v>1360</v>
      </c>
    </row>
    <row r="64" spans="1:1" ht="57.6">
      <c r="A64" s="1808" t="s">
        <v>1379</v>
      </c>
    </row>
    <row r="65" spans="1:1">
      <c r="A65" s="1806" t="s">
        <v>1361</v>
      </c>
    </row>
    <row r="66" spans="1:1" ht="43.2">
      <c r="A66" s="1808" t="s">
        <v>1384</v>
      </c>
    </row>
    <row r="67" spans="1:1">
      <c r="A67" s="1806" t="s">
        <v>1326</v>
      </c>
    </row>
    <row r="68" spans="1:1">
      <c r="A68" s="1808" t="s">
        <v>1362</v>
      </c>
    </row>
    <row r="69" spans="1:1">
      <c r="A69" s="1806" t="s">
        <v>1363</v>
      </c>
    </row>
    <row r="70" spans="1:1" ht="15" thickBot="1">
      <c r="A70" s="1813" t="s">
        <v>1364</v>
      </c>
    </row>
    <row r="71" spans="1:1">
      <c r="A71" s="1805"/>
    </row>
    <row r="72" spans="1:1">
      <c r="A72" s="1805"/>
    </row>
    <row r="73" spans="1:1">
      <c r="A73" s="1805"/>
    </row>
    <row r="74" spans="1:1">
      <c r="A74" s="1805"/>
    </row>
    <row r="75" spans="1:1">
      <c r="A75" s="1805"/>
    </row>
    <row r="76" spans="1:1">
      <c r="A76" s="1805"/>
    </row>
    <row r="77" spans="1:1">
      <c r="A77" s="1805"/>
    </row>
    <row r="78" spans="1:1">
      <c r="A78" s="1805"/>
    </row>
    <row r="79" spans="1:1">
      <c r="A79" s="1805"/>
    </row>
    <row r="80" spans="1:1">
      <c r="A80" s="1805"/>
    </row>
    <row r="81" spans="1:1">
      <c r="A81" s="1805"/>
    </row>
    <row r="82" spans="1:1">
      <c r="A82" s="1805"/>
    </row>
    <row r="83" spans="1:1">
      <c r="A83" s="1805"/>
    </row>
    <row r="84" spans="1:1">
      <c r="A84" s="1805"/>
    </row>
    <row r="85" spans="1:1">
      <c r="A85" s="1805"/>
    </row>
    <row r="86" spans="1:1">
      <c r="A86" s="1805"/>
    </row>
    <row r="87" spans="1:1">
      <c r="A87" s="1805"/>
    </row>
    <row r="88" spans="1:1">
      <c r="A88" s="1805"/>
    </row>
    <row r="89" spans="1:1">
      <c r="A89" s="1805"/>
    </row>
    <row r="90" spans="1:1">
      <c r="A90" s="1805"/>
    </row>
    <row r="91" spans="1:1">
      <c r="A91" s="1805"/>
    </row>
    <row r="92" spans="1:1">
      <c r="A92" s="1805"/>
    </row>
    <row r="93" spans="1:1">
      <c r="A93" s="1805"/>
    </row>
    <row r="94" spans="1:1">
      <c r="A94" s="1805"/>
    </row>
    <row r="95" spans="1:1">
      <c r="A95" s="1805"/>
    </row>
    <row r="96" spans="1:1">
      <c r="A96" s="1805"/>
    </row>
    <row r="97" spans="1:1">
      <c r="A97" s="1805"/>
    </row>
    <row r="98" spans="1:1">
      <c r="A98" s="1805"/>
    </row>
    <row r="99" spans="1:1">
      <c r="A99" s="1805"/>
    </row>
    <row r="100" spans="1:1">
      <c r="A100" s="1805"/>
    </row>
    <row r="101" spans="1:1">
      <c r="A101" s="1805"/>
    </row>
    <row r="102" spans="1:1">
      <c r="A102" s="1805"/>
    </row>
    <row r="103" spans="1:1">
      <c r="A103" s="1805"/>
    </row>
    <row r="104" spans="1:1">
      <c r="A104" s="1805"/>
    </row>
    <row r="105" spans="1:1">
      <c r="A105" s="1805"/>
    </row>
    <row r="106" spans="1:1">
      <c r="A106" s="1805"/>
    </row>
    <row r="107" spans="1:1">
      <c r="A107" s="1805"/>
    </row>
    <row r="108" spans="1:1">
      <c r="A108" s="1805"/>
    </row>
    <row r="109" spans="1:1">
      <c r="A109" s="1805"/>
    </row>
    <row r="110" spans="1:1">
      <c r="A110" s="1805"/>
    </row>
  </sheetData>
  <hyperlinks>
    <hyperlink ref="A49" r:id="rId1" xr:uid="{557D521A-1727-480B-BC6C-081F5F6B00FD}"/>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28433-3DBF-4F1F-BAC6-C55D93C5DE87}">
  <sheetPr codeName="Sheet13">
    <tabColor rgb="FFFFFF99"/>
  </sheetPr>
  <dimension ref="A1:Z104"/>
  <sheetViews>
    <sheetView zoomScaleNormal="100" workbookViewId="0">
      <pane ySplit="9" topLeftCell="A10" activePane="bottomLeft" state="frozen"/>
      <selection pane="bottomLeft" activeCell="F10" sqref="F10:L43"/>
    </sheetView>
  </sheetViews>
  <sheetFormatPr defaultColWidth="8.6640625" defaultRowHeight="13.8" outlineLevelRow="1"/>
  <cols>
    <col min="1" max="1" width="6.33203125" style="32" customWidth="1"/>
    <col min="2" max="2" width="40.44140625" style="32" customWidth="1"/>
    <col min="3" max="3" width="19.33203125" style="32" customWidth="1"/>
    <col min="4" max="4" width="11.44140625" style="32" customWidth="1"/>
    <col min="5" max="5" width="17.6640625" style="32" customWidth="1"/>
    <col min="6" max="6" width="15.33203125" style="32" bestFit="1" customWidth="1"/>
    <col min="7" max="10" width="16" style="32" bestFit="1" customWidth="1"/>
    <col min="11" max="11" width="13.6640625" style="32" bestFit="1" customWidth="1"/>
    <col min="12" max="12" width="15.6640625" style="32" bestFit="1" customWidth="1"/>
    <col min="13" max="13" width="7.33203125" style="32" customWidth="1"/>
    <col min="14" max="14" width="59.6640625" style="257" customWidth="1"/>
    <col min="15" max="15" width="8.6640625" style="32"/>
    <col min="16" max="16" width="9.44140625" style="32" customWidth="1"/>
    <col min="17" max="16384" width="8.6640625" style="32"/>
  </cols>
  <sheetData>
    <row r="1" spans="1:26" ht="15.6">
      <c r="A1" s="1702" t="s">
        <v>45</v>
      </c>
      <c r="B1" s="1703"/>
      <c r="D1" s="347"/>
      <c r="G1" s="1308" t="s">
        <v>1273</v>
      </c>
      <c r="H1" s="1308"/>
      <c r="I1" s="1308"/>
      <c r="J1" s="58"/>
      <c r="K1" s="58"/>
      <c r="Z1" s="1445"/>
    </row>
    <row r="2" spans="1:26" ht="15.6">
      <c r="A2" s="35" t="str">
        <f>SchoolName</f>
        <v>Pahrump Valley Academy</v>
      </c>
      <c r="B2" s="36"/>
      <c r="G2" s="1854">
        <f>+'Cover &amp; Loc'!C14</f>
        <v>0</v>
      </c>
      <c r="H2" s="1854"/>
      <c r="I2" s="1854"/>
      <c r="J2" s="1854"/>
      <c r="K2" s="1854"/>
      <c r="Z2" s="1445"/>
    </row>
    <row r="3" spans="1:26">
      <c r="A3" s="37"/>
      <c r="G3" s="1855">
        <f>+'Cover &amp; Loc'!C15</f>
        <v>0</v>
      </c>
      <c r="H3" s="1855"/>
      <c r="I3" s="1855"/>
      <c r="J3" s="1855"/>
      <c r="K3" s="1855"/>
      <c r="Z3" s="1445"/>
    </row>
    <row r="4" spans="1:26">
      <c r="A4" s="29"/>
      <c r="Z4" s="1445"/>
    </row>
    <row r="5" spans="1:26">
      <c r="Z5" s="1445"/>
    </row>
    <row r="6" spans="1:26" s="30" customFormat="1" outlineLevel="1">
      <c r="F6" s="1511">
        <f>' Enrol &amp; Rev'!F9</f>
        <v>0</v>
      </c>
      <c r="G6" s="1512">
        <f>' Enrol &amp; Rev'!G9</f>
        <v>1</v>
      </c>
      <c r="H6" s="1512">
        <f>' Enrol &amp; Rev'!H9</f>
        <v>2</v>
      </c>
      <c r="I6" s="1512">
        <f>' Enrol &amp; Rev'!I9</f>
        <v>3</v>
      </c>
      <c r="J6" s="1512">
        <f>' Enrol &amp; Rev'!J9</f>
        <v>4</v>
      </c>
      <c r="K6" s="1512">
        <f>' Enrol &amp; Rev'!K9</f>
        <v>5</v>
      </c>
      <c r="L6" s="1513">
        <f>' Enrol &amp; Rev'!L9</f>
        <v>6</v>
      </c>
      <c r="N6" s="1426" t="s">
        <v>1253</v>
      </c>
      <c r="Z6" s="1445"/>
    </row>
    <row r="7" spans="1:26" outlineLevel="1">
      <c r="B7" s="60" t="s">
        <v>1306</v>
      </c>
      <c r="C7" s="1689" t="s">
        <v>1411</v>
      </c>
      <c r="D7" s="30"/>
      <c r="F7" s="1514">
        <f>+G7-1</f>
        <v>2025</v>
      </c>
      <c r="G7" s="1515">
        <f>' Enrol &amp; Rev'!G10</f>
        <v>2026</v>
      </c>
      <c r="H7" s="1515">
        <f>' Enrol &amp; Rev'!H10</f>
        <v>2027</v>
      </c>
      <c r="I7" s="1515">
        <f>' Enrol &amp; Rev'!I10</f>
        <v>2028</v>
      </c>
      <c r="J7" s="1515">
        <f>' Enrol &amp; Rev'!J10</f>
        <v>2029</v>
      </c>
      <c r="K7" s="1515">
        <f>' Enrol &amp; Rev'!K10</f>
        <v>2030</v>
      </c>
      <c r="L7" s="1516">
        <f>' Enrol &amp; Rev'!L10</f>
        <v>2031</v>
      </c>
      <c r="M7" s="39"/>
      <c r="N7" s="394"/>
    </row>
    <row r="8" spans="1:26" outlineLevel="1">
      <c r="C8" s="30"/>
      <c r="F8" s="1690">
        <f>+G8-1</f>
        <v>2026</v>
      </c>
      <c r="G8" s="1517">
        <f>' Enrol &amp; Rev'!G11</f>
        <v>2027</v>
      </c>
      <c r="H8" s="1517">
        <f>' Enrol &amp; Rev'!H11</f>
        <v>2028</v>
      </c>
      <c r="I8" s="1517">
        <f>' Enrol &amp; Rev'!I11</f>
        <v>2029</v>
      </c>
      <c r="J8" s="1517">
        <f>' Enrol &amp; Rev'!J11</f>
        <v>2030</v>
      </c>
      <c r="K8" s="1517">
        <f>' Enrol &amp; Rev'!K11</f>
        <v>2031</v>
      </c>
      <c r="L8" s="1518">
        <f>' Enrol &amp; Rev'!L11</f>
        <v>2032</v>
      </c>
      <c r="M8" s="39"/>
      <c r="N8" s="287"/>
    </row>
    <row r="9" spans="1:26" outlineLevel="1">
      <c r="A9" s="290">
        <f>ROW()</f>
        <v>9</v>
      </c>
      <c r="B9" s="1691" t="s">
        <v>531</v>
      </c>
      <c r="C9" s="1692"/>
      <c r="D9" s="1692"/>
      <c r="E9" s="58"/>
      <c r="F9" s="1312" t="s">
        <v>437</v>
      </c>
      <c r="G9" s="558">
        <f>' Enrol &amp; Rev'!G36</f>
        <v>275</v>
      </c>
      <c r="H9" s="558">
        <f>' Enrol &amp; Rev'!H36</f>
        <v>350</v>
      </c>
      <c r="I9" s="558">
        <f>' Enrol &amp; Rev'!I36</f>
        <v>400</v>
      </c>
      <c r="J9" s="558">
        <f>' Enrol &amp; Rev'!J36</f>
        <v>450</v>
      </c>
      <c r="K9" s="558">
        <f>' Enrol &amp; Rev'!K36</f>
        <v>450</v>
      </c>
      <c r="L9" s="972">
        <f>' Enrol &amp; Rev'!L36</f>
        <v>450</v>
      </c>
      <c r="M9" s="39"/>
      <c r="N9" s="287"/>
    </row>
    <row r="10" spans="1:26" outlineLevel="1">
      <c r="A10" s="290">
        <f>ROW()</f>
        <v>10</v>
      </c>
      <c r="B10" s="32" t="s">
        <v>1367</v>
      </c>
      <c r="C10" s="30"/>
      <c r="G10" s="436">
        <f>IFERROR(+G11/' Enrol &amp; Rev'!G36,0)</f>
        <v>50</v>
      </c>
      <c r="H10" s="436">
        <f>IFERROR(+H11/' Enrol &amp; Rev'!H36,0)</f>
        <v>50</v>
      </c>
      <c r="I10" s="436">
        <f>IFERROR(+I11/' Enrol &amp; Rev'!I36,0)</f>
        <v>50</v>
      </c>
      <c r="J10" s="436">
        <f>IFERROR(+J11/' Enrol &amp; Rev'!J36,0)</f>
        <v>50</v>
      </c>
      <c r="K10" s="436">
        <f>IFERROR(+K11/' Enrol &amp; Rev'!K36,0)</f>
        <v>50</v>
      </c>
      <c r="L10" s="436">
        <f>IFERROR(+L11/' Enrol &amp; Rev'!L36,0)</f>
        <v>50</v>
      </c>
      <c r="M10" s="39"/>
      <c r="N10" s="287"/>
    </row>
    <row r="11" spans="1:26" outlineLevel="1">
      <c r="A11" s="290">
        <f>ROW()</f>
        <v>11</v>
      </c>
      <c r="B11" s="32" t="s">
        <v>532</v>
      </c>
      <c r="F11" s="437">
        <v>0</v>
      </c>
      <c r="G11" s="437">
        <f>50*G9</f>
        <v>13750</v>
      </c>
      <c r="H11" s="437">
        <f t="shared" ref="H11:L11" si="0">50*H9</f>
        <v>17500</v>
      </c>
      <c r="I11" s="437">
        <f t="shared" si="0"/>
        <v>20000</v>
      </c>
      <c r="J11" s="437">
        <f t="shared" si="0"/>
        <v>22500</v>
      </c>
      <c r="K11" s="437">
        <f t="shared" si="0"/>
        <v>22500</v>
      </c>
      <c r="L11" s="437">
        <f t="shared" si="0"/>
        <v>22500</v>
      </c>
      <c r="M11" s="39"/>
      <c r="N11" s="287"/>
    </row>
    <row r="12" spans="1:26" outlineLevel="1">
      <c r="A12" s="290"/>
      <c r="M12" s="39"/>
      <c r="N12" s="287"/>
    </row>
    <row r="13" spans="1:26" outlineLevel="1">
      <c r="A13" s="290">
        <f>ROW()</f>
        <v>13</v>
      </c>
      <c r="B13" s="32" t="s">
        <v>533</v>
      </c>
      <c r="F13" s="1064">
        <v>0</v>
      </c>
      <c r="G13" s="1064">
        <v>1.5</v>
      </c>
      <c r="H13" s="1064">
        <v>1.5</v>
      </c>
      <c r="I13" s="1064">
        <v>1.5</v>
      </c>
      <c r="J13" s="1064">
        <v>1.5</v>
      </c>
      <c r="K13" s="1064">
        <v>1.5</v>
      </c>
      <c r="L13" s="1064">
        <v>1.5</v>
      </c>
      <c r="M13" s="39"/>
      <c r="N13" s="287"/>
    </row>
    <row r="14" spans="1:26" outlineLevel="1">
      <c r="A14" s="290">
        <f>ROW()</f>
        <v>14</v>
      </c>
      <c r="B14" s="32" t="s">
        <v>534</v>
      </c>
      <c r="F14" s="1239">
        <f>+F13*12</f>
        <v>0</v>
      </c>
      <c r="G14" s="1239">
        <f>+G13*12</f>
        <v>18</v>
      </c>
      <c r="H14" s="1239">
        <f t="shared" ref="H14:L17" si="1">+H13*12</f>
        <v>18</v>
      </c>
      <c r="I14" s="1239">
        <f t="shared" si="1"/>
        <v>18</v>
      </c>
      <c r="J14" s="1239">
        <f t="shared" si="1"/>
        <v>18</v>
      </c>
      <c r="K14" s="1239">
        <f t="shared" si="1"/>
        <v>18</v>
      </c>
      <c r="L14" s="1239">
        <f t="shared" si="1"/>
        <v>18</v>
      </c>
      <c r="M14" s="39"/>
      <c r="N14" s="287"/>
    </row>
    <row r="15" spans="1:26" outlineLevel="1">
      <c r="A15" s="290"/>
      <c r="F15" s="438"/>
      <c r="G15" s="438"/>
      <c r="H15" s="438"/>
      <c r="I15" s="438"/>
      <c r="J15" s="438"/>
      <c r="K15" s="438"/>
      <c r="L15" s="438"/>
      <c r="M15" s="39"/>
      <c r="N15" s="287"/>
    </row>
    <row r="16" spans="1:26" outlineLevel="1">
      <c r="A16" s="290">
        <f>ROW()</f>
        <v>16</v>
      </c>
      <c r="B16" s="32" t="s">
        <v>1217</v>
      </c>
      <c r="C16" s="31"/>
      <c r="F16" s="1064">
        <v>0</v>
      </c>
      <c r="G16" s="1064">
        <v>1.5</v>
      </c>
      <c r="H16" s="1064">
        <v>1.5</v>
      </c>
      <c r="I16" s="1064">
        <v>1.5</v>
      </c>
      <c r="J16" s="1064">
        <v>1.5</v>
      </c>
      <c r="K16" s="1064">
        <v>1.5</v>
      </c>
      <c r="L16" s="1064">
        <v>1.5</v>
      </c>
      <c r="M16" s="39"/>
      <c r="N16" s="287"/>
    </row>
    <row r="17" spans="1:14" outlineLevel="1">
      <c r="A17" s="290">
        <f>ROW()</f>
        <v>17</v>
      </c>
      <c r="B17" s="32" t="s">
        <v>1218</v>
      </c>
      <c r="C17" s="31"/>
      <c r="F17" s="1239">
        <f>+F16*12</f>
        <v>0</v>
      </c>
      <c r="G17" s="1239">
        <f>+G16*12</f>
        <v>18</v>
      </c>
      <c r="H17" s="1239">
        <f t="shared" si="1"/>
        <v>18</v>
      </c>
      <c r="I17" s="1239">
        <f t="shared" si="1"/>
        <v>18</v>
      </c>
      <c r="J17" s="1239">
        <f t="shared" si="1"/>
        <v>18</v>
      </c>
      <c r="K17" s="1239">
        <f t="shared" si="1"/>
        <v>18</v>
      </c>
      <c r="L17" s="1239">
        <f t="shared" si="1"/>
        <v>18</v>
      </c>
      <c r="M17" s="39"/>
      <c r="N17" s="287"/>
    </row>
    <row r="18" spans="1:14" outlineLevel="1">
      <c r="A18" s="290">
        <f>ROW()</f>
        <v>18</v>
      </c>
      <c r="F18" s="438"/>
      <c r="G18" s="438"/>
      <c r="H18" s="438"/>
      <c r="I18" s="438"/>
      <c r="J18" s="438"/>
      <c r="K18" s="438"/>
      <c r="L18" s="438"/>
      <c r="M18" s="39"/>
      <c r="N18" s="287"/>
    </row>
    <row r="19" spans="1:14" outlineLevel="1">
      <c r="A19" s="290">
        <f>ROW()</f>
        <v>19</v>
      </c>
      <c r="B19" s="41" t="s">
        <v>535</v>
      </c>
      <c r="F19" s="766"/>
      <c r="G19" s="766"/>
      <c r="H19" s="439">
        <v>0.03</v>
      </c>
      <c r="I19" s="439">
        <v>0.03</v>
      </c>
      <c r="J19" s="439">
        <v>0.03</v>
      </c>
      <c r="K19" s="439">
        <v>0.03</v>
      </c>
      <c r="L19" s="439">
        <v>0.03</v>
      </c>
      <c r="M19" s="39"/>
      <c r="N19" s="287"/>
    </row>
    <row r="20" spans="1:14" outlineLevel="1">
      <c r="A20" s="290">
        <f>ROW()</f>
        <v>20</v>
      </c>
      <c r="B20" s="41" t="s">
        <v>536</v>
      </c>
      <c r="F20" s="440">
        <f t="shared" ref="F20:L20" si="2">+F21/12</f>
        <v>0</v>
      </c>
      <c r="G20" s="440">
        <f t="shared" si="2"/>
        <v>1.5</v>
      </c>
      <c r="H20" s="440">
        <f t="shared" si="2"/>
        <v>1.5449999999999999</v>
      </c>
      <c r="I20" s="440">
        <f t="shared" si="2"/>
        <v>1.59135</v>
      </c>
      <c r="J20" s="440">
        <f t="shared" si="2"/>
        <v>1.6390905</v>
      </c>
      <c r="K20" s="440">
        <f t="shared" si="2"/>
        <v>1.6882632150000001</v>
      </c>
      <c r="L20" s="440">
        <f t="shared" si="2"/>
        <v>1.7389111114500002</v>
      </c>
      <c r="M20" s="39"/>
      <c r="N20" s="287"/>
    </row>
    <row r="21" spans="1:14" outlineLevel="1">
      <c r="A21" s="290">
        <f>ROW()</f>
        <v>21</v>
      </c>
      <c r="B21" s="41" t="s">
        <v>537</v>
      </c>
      <c r="F21" s="438">
        <f>+F17*(1+F19)</f>
        <v>0</v>
      </c>
      <c r="G21" s="438">
        <f>+G17*(1+G19)</f>
        <v>18</v>
      </c>
      <c r="H21" s="438">
        <f>+G21*(1+H19)</f>
        <v>18.54</v>
      </c>
      <c r="I21" s="438">
        <f>+H21*(1+I19)</f>
        <v>19.0962</v>
      </c>
      <c r="J21" s="438">
        <f>+I21*(1+J19)</f>
        <v>19.669086</v>
      </c>
      <c r="K21" s="438">
        <f>+J21*(1+K19)</f>
        <v>20.259158580000001</v>
      </c>
      <c r="L21" s="438">
        <f>+K21*(1+L19)</f>
        <v>20.866933337400003</v>
      </c>
      <c r="M21" s="39"/>
      <c r="N21" s="287"/>
    </row>
    <row r="22" spans="1:14" outlineLevel="1">
      <c r="A22" s="290">
        <f>ROW()</f>
        <v>22</v>
      </c>
      <c r="B22" s="30"/>
      <c r="G22" s="429"/>
      <c r="H22" s="429"/>
      <c r="I22" s="429"/>
      <c r="J22" s="429"/>
      <c r="K22" s="429"/>
      <c r="L22" s="429"/>
      <c r="M22" s="39"/>
      <c r="N22" s="287"/>
    </row>
    <row r="23" spans="1:14" outlineLevel="1">
      <c r="A23" s="290">
        <f>ROW()</f>
        <v>23</v>
      </c>
      <c r="B23" s="742" t="s">
        <v>538</v>
      </c>
      <c r="C23" s="138"/>
      <c r="D23" s="104"/>
      <c r="E23" s="293">
        <f t="shared" ref="E23:E41" si="3">SUM(F23:L23)</f>
        <v>2321765.5031415001</v>
      </c>
      <c r="F23" s="767">
        <f t="shared" ref="F23:L23" si="4">F11*(F21)</f>
        <v>0</v>
      </c>
      <c r="G23" s="294">
        <f t="shared" si="4"/>
        <v>247500</v>
      </c>
      <c r="H23" s="295">
        <f t="shared" si="4"/>
        <v>324450</v>
      </c>
      <c r="I23" s="295">
        <f t="shared" si="4"/>
        <v>381924</v>
      </c>
      <c r="J23" s="295">
        <f t="shared" si="4"/>
        <v>442554.435</v>
      </c>
      <c r="K23" s="295">
        <f t="shared" si="4"/>
        <v>455831.06805</v>
      </c>
      <c r="L23" s="295">
        <f t="shared" si="4"/>
        <v>469506.00009150006</v>
      </c>
      <c r="M23" s="39"/>
      <c r="N23" s="287"/>
    </row>
    <row r="24" spans="1:14" outlineLevel="1">
      <c r="A24" s="290">
        <f>ROW()</f>
        <v>24</v>
      </c>
      <c r="B24" s="42"/>
      <c r="C24" s="31" t="s">
        <v>539</v>
      </c>
      <c r="E24" s="560"/>
      <c r="F24" s="560"/>
      <c r="G24" s="109"/>
      <c r="H24" s="117"/>
      <c r="I24" s="117"/>
      <c r="J24" s="117"/>
      <c r="K24" s="117"/>
      <c r="L24" s="117"/>
      <c r="M24" s="39"/>
      <c r="N24" s="287"/>
    </row>
    <row r="25" spans="1:14" outlineLevel="1">
      <c r="A25" s="290">
        <f>ROW()</f>
        <v>25</v>
      </c>
      <c r="B25" s="32" t="s">
        <v>540</v>
      </c>
      <c r="C25" s="671">
        <v>1.25</v>
      </c>
      <c r="D25" s="1159" t="s">
        <v>541</v>
      </c>
      <c r="E25" s="1160">
        <f t="shared" si="3"/>
        <v>148437.5</v>
      </c>
      <c r="F25" s="241"/>
      <c r="G25" s="565">
        <f>G$11*$C25</f>
        <v>17187.5</v>
      </c>
      <c r="H25" s="565">
        <f t="shared" ref="H25:L25" si="5">H$11*$C25</f>
        <v>21875</v>
      </c>
      <c r="I25" s="565">
        <f t="shared" si="5"/>
        <v>25000</v>
      </c>
      <c r="J25" s="565">
        <f t="shared" si="5"/>
        <v>28125</v>
      </c>
      <c r="K25" s="565">
        <f t="shared" si="5"/>
        <v>28125</v>
      </c>
      <c r="L25" s="565">
        <f t="shared" si="5"/>
        <v>28125</v>
      </c>
      <c r="M25" s="39"/>
      <c r="N25" s="287"/>
    </row>
    <row r="26" spans="1:14" outlineLevel="1">
      <c r="A26" s="290">
        <f>ROW()</f>
        <v>26</v>
      </c>
      <c r="B26" s="32" t="s">
        <v>542</v>
      </c>
      <c r="C26" s="672">
        <v>1.25</v>
      </c>
      <c r="D26" s="1159" t="s">
        <v>541</v>
      </c>
      <c r="E26" s="1160">
        <f t="shared" si="3"/>
        <v>148437.5</v>
      </c>
      <c r="F26" s="241">
        <v>0</v>
      </c>
      <c r="G26" s="566">
        <f>G11*$C$26</f>
        <v>17187.5</v>
      </c>
      <c r="H26" s="566">
        <f t="shared" ref="H26:L26" si="6">H11*$C$26</f>
        <v>21875</v>
      </c>
      <c r="I26" s="566">
        <f t="shared" si="6"/>
        <v>25000</v>
      </c>
      <c r="J26" s="566">
        <f t="shared" si="6"/>
        <v>28125</v>
      </c>
      <c r="K26" s="566">
        <f t="shared" si="6"/>
        <v>28125</v>
      </c>
      <c r="L26" s="566">
        <f t="shared" si="6"/>
        <v>28125</v>
      </c>
      <c r="M26" s="43"/>
      <c r="N26" s="287"/>
    </row>
    <row r="27" spans="1:14" outlineLevel="1">
      <c r="A27" s="290">
        <f>ROW()</f>
        <v>27</v>
      </c>
      <c r="B27" s="32" t="s">
        <v>543</v>
      </c>
      <c r="C27" s="671">
        <v>0.5</v>
      </c>
      <c r="D27" s="1159" t="s">
        <v>541</v>
      </c>
      <c r="E27" s="1160">
        <f t="shared" si="3"/>
        <v>59375</v>
      </c>
      <c r="F27" s="241"/>
      <c r="G27" s="566">
        <f t="shared" ref="G27:L27" si="7">G11*$C27</f>
        <v>6875</v>
      </c>
      <c r="H27" s="566">
        <f t="shared" si="7"/>
        <v>8750</v>
      </c>
      <c r="I27" s="566">
        <f t="shared" si="7"/>
        <v>10000</v>
      </c>
      <c r="J27" s="566">
        <f t="shared" si="7"/>
        <v>11250</v>
      </c>
      <c r="K27" s="566">
        <f t="shared" si="7"/>
        <v>11250</v>
      </c>
      <c r="L27" s="566">
        <f t="shared" si="7"/>
        <v>11250</v>
      </c>
      <c r="M27" s="39"/>
      <c r="N27" s="287"/>
    </row>
    <row r="28" spans="1:14" outlineLevel="1">
      <c r="A28" s="290">
        <f>ROW()</f>
        <v>28</v>
      </c>
      <c r="B28" s="32" t="s">
        <v>544</v>
      </c>
      <c r="C28" s="671">
        <v>0</v>
      </c>
      <c r="D28" s="1159" t="s">
        <v>545</v>
      </c>
      <c r="E28" s="1160">
        <f t="shared" si="3"/>
        <v>0</v>
      </c>
      <c r="F28" s="241"/>
      <c r="G28" s="566">
        <f t="shared" ref="G28" si="8">+C28</f>
        <v>0</v>
      </c>
      <c r="H28" s="566">
        <f t="shared" ref="H28:L29" si="9">+G28</f>
        <v>0</v>
      </c>
      <c r="I28" s="566">
        <f t="shared" si="9"/>
        <v>0</v>
      </c>
      <c r="J28" s="566">
        <f t="shared" si="9"/>
        <v>0</v>
      </c>
      <c r="K28" s="566">
        <f t="shared" si="9"/>
        <v>0</v>
      </c>
      <c r="L28" s="566">
        <f t="shared" si="9"/>
        <v>0</v>
      </c>
      <c r="M28" s="39"/>
      <c r="N28" s="287"/>
    </row>
    <row r="29" spans="1:14" outlineLevel="1">
      <c r="A29" s="290">
        <f>ROW()</f>
        <v>29</v>
      </c>
      <c r="B29" s="32" t="s">
        <v>546</v>
      </c>
      <c r="C29" s="671">
        <v>0</v>
      </c>
      <c r="D29" s="1159" t="s">
        <v>545</v>
      </c>
      <c r="E29" s="1160">
        <f t="shared" si="3"/>
        <v>0</v>
      </c>
      <c r="F29" s="241"/>
      <c r="G29" s="566">
        <f t="shared" ref="G29" si="10">+C29</f>
        <v>0</v>
      </c>
      <c r="H29" s="566">
        <f t="shared" si="9"/>
        <v>0</v>
      </c>
      <c r="I29" s="566">
        <f t="shared" si="9"/>
        <v>0</v>
      </c>
      <c r="J29" s="566">
        <f t="shared" si="9"/>
        <v>0</v>
      </c>
      <c r="K29" s="566">
        <f t="shared" si="9"/>
        <v>0</v>
      </c>
      <c r="L29" s="566">
        <f t="shared" si="9"/>
        <v>0</v>
      </c>
      <c r="M29" s="39"/>
      <c r="N29" s="287"/>
    </row>
    <row r="30" spans="1:14" outlineLevel="1">
      <c r="A30" s="290">
        <f>ROW()</f>
        <v>30</v>
      </c>
      <c r="B30" s="32" t="s">
        <v>547</v>
      </c>
      <c r="C30" s="671">
        <v>0.75</v>
      </c>
      <c r="D30" s="1159" t="s">
        <v>541</v>
      </c>
      <c r="E30" s="1160">
        <f t="shared" ref="E30" si="11">SUM(F30:L30)</f>
        <v>89062.5</v>
      </c>
      <c r="F30" s="241"/>
      <c r="G30" s="566">
        <f>G$11*$C30</f>
        <v>10312.5</v>
      </c>
      <c r="H30" s="566">
        <f t="shared" ref="H30:L32" si="12">H$11*$C30</f>
        <v>13125</v>
      </c>
      <c r="I30" s="566">
        <f t="shared" si="12"/>
        <v>15000</v>
      </c>
      <c r="J30" s="566">
        <f t="shared" si="12"/>
        <v>16875</v>
      </c>
      <c r="K30" s="566">
        <f t="shared" si="12"/>
        <v>16875</v>
      </c>
      <c r="L30" s="566">
        <f t="shared" si="12"/>
        <v>16875</v>
      </c>
      <c r="M30" s="39"/>
      <c r="N30" s="287"/>
    </row>
    <row r="31" spans="1:14" outlineLevel="1">
      <c r="A31" s="290">
        <f>ROW()</f>
        <v>31</v>
      </c>
      <c r="B31" s="32" t="s">
        <v>548</v>
      </c>
      <c r="C31" s="671">
        <v>0.75</v>
      </c>
      <c r="D31" s="1159" t="s">
        <v>541</v>
      </c>
      <c r="E31" s="1160">
        <f t="shared" ref="E31" si="13">SUM(F31:L31)</f>
        <v>89062.5</v>
      </c>
      <c r="F31" s="241"/>
      <c r="G31" s="566">
        <f>G$11*$C31</f>
        <v>10312.5</v>
      </c>
      <c r="H31" s="566">
        <f t="shared" si="12"/>
        <v>13125</v>
      </c>
      <c r="I31" s="566">
        <f t="shared" si="12"/>
        <v>15000</v>
      </c>
      <c r="J31" s="566">
        <f t="shared" si="12"/>
        <v>16875</v>
      </c>
      <c r="K31" s="566">
        <f t="shared" si="12"/>
        <v>16875</v>
      </c>
      <c r="L31" s="566">
        <f t="shared" si="12"/>
        <v>16875</v>
      </c>
      <c r="M31" s="39"/>
      <c r="N31" s="287"/>
    </row>
    <row r="32" spans="1:14" outlineLevel="1">
      <c r="A32" s="290">
        <f>ROW()</f>
        <v>32</v>
      </c>
      <c r="B32" s="32" t="s">
        <v>549</v>
      </c>
      <c r="C32" s="671">
        <v>0</v>
      </c>
      <c r="D32" s="1159" t="s">
        <v>541</v>
      </c>
      <c r="E32" s="1160">
        <f t="shared" ref="E32" si="14">SUM(F32:L32)</f>
        <v>0</v>
      </c>
      <c r="F32" s="561"/>
      <c r="G32" s="567">
        <f>G$11*$C32</f>
        <v>0</v>
      </c>
      <c r="H32" s="567">
        <f t="shared" si="12"/>
        <v>0</v>
      </c>
      <c r="I32" s="567">
        <f t="shared" si="12"/>
        <v>0</v>
      </c>
      <c r="J32" s="567">
        <f t="shared" si="12"/>
        <v>0</v>
      </c>
      <c r="K32" s="567">
        <f t="shared" si="12"/>
        <v>0</v>
      </c>
      <c r="L32" s="567">
        <f t="shared" si="12"/>
        <v>0</v>
      </c>
      <c r="M32" s="39"/>
      <c r="N32" s="287"/>
    </row>
    <row r="33" spans="1:14" outlineLevel="1">
      <c r="A33" s="290">
        <f>ROW()</f>
        <v>33</v>
      </c>
      <c r="B33" s="104" t="s">
        <v>550</v>
      </c>
      <c r="C33" s="562">
        <v>0.02</v>
      </c>
      <c r="D33" s="1161" t="s">
        <v>551</v>
      </c>
      <c r="E33" s="1162">
        <f t="shared" si="3"/>
        <v>575961.10247447994</v>
      </c>
      <c r="F33" s="563"/>
      <c r="G33" s="559">
        <f>SUM(G25:G32)*((1+$C$33)^G6)</f>
        <v>63112.5</v>
      </c>
      <c r="H33" s="600">
        <f t="shared" ref="H33:L33" si="15">SUM(H25:H32)*((1+$C$33)^H6)</f>
        <v>81931.5</v>
      </c>
      <c r="I33" s="600">
        <f t="shared" si="15"/>
        <v>95508.719999999987</v>
      </c>
      <c r="J33" s="600">
        <f t="shared" si="15"/>
        <v>109596.2562</v>
      </c>
      <c r="K33" s="600">
        <f t="shared" si="15"/>
        <v>111788.181324</v>
      </c>
      <c r="L33" s="600">
        <f t="shared" si="15"/>
        <v>114023.94495048001</v>
      </c>
      <c r="M33" s="39"/>
      <c r="N33" s="287"/>
    </row>
    <row r="34" spans="1:14" outlineLevel="1">
      <c r="A34" s="290">
        <f>ROW()</f>
        <v>34</v>
      </c>
      <c r="B34" s="30" t="s">
        <v>552</v>
      </c>
      <c r="C34" s="671">
        <f>G23/12</f>
        <v>20625</v>
      </c>
      <c r="D34" s="257" t="s">
        <v>553</v>
      </c>
      <c r="E34" s="1160">
        <f t="shared" si="3"/>
        <v>0</v>
      </c>
      <c r="F34" s="241">
        <v>0</v>
      </c>
      <c r="G34" s="241">
        <v>0</v>
      </c>
      <c r="H34" s="566"/>
      <c r="I34" s="566"/>
      <c r="J34" s="566"/>
      <c r="K34" s="566"/>
      <c r="L34" s="566"/>
      <c r="M34" s="39"/>
      <c r="N34" s="287"/>
    </row>
    <row r="35" spans="1:14" outlineLevel="1">
      <c r="A35" s="290">
        <f>ROW()</f>
        <v>35</v>
      </c>
      <c r="B35" s="1163" t="s">
        <v>554</v>
      </c>
      <c r="C35" s="432"/>
      <c r="D35" s="257"/>
      <c r="E35" s="1160">
        <f t="shared" si="3"/>
        <v>0</v>
      </c>
      <c r="F35" s="1821"/>
      <c r="G35" s="1821"/>
      <c r="H35" s="1822"/>
      <c r="I35" s="1822"/>
      <c r="J35" s="1822"/>
      <c r="K35" s="1822"/>
      <c r="L35" s="1822"/>
      <c r="M35" s="39"/>
      <c r="N35" s="287"/>
    </row>
    <row r="36" spans="1:14" outlineLevel="1">
      <c r="A36" s="290">
        <f>ROW()</f>
        <v>36</v>
      </c>
      <c r="B36" s="84" t="s">
        <v>555</v>
      </c>
      <c r="C36" s="432"/>
      <c r="D36" s="257"/>
      <c r="E36" s="1160"/>
      <c r="F36" s="241">
        <v>0</v>
      </c>
      <c r="G36" s="241">
        <v>0</v>
      </c>
      <c r="H36" s="566">
        <v>0</v>
      </c>
      <c r="I36" s="566">
        <v>0</v>
      </c>
      <c r="J36" s="566">
        <v>0</v>
      </c>
      <c r="K36" s="566">
        <v>0</v>
      </c>
      <c r="L36" s="566">
        <v>0</v>
      </c>
      <c r="M36" s="39"/>
      <c r="N36" s="287" t="s">
        <v>1443</v>
      </c>
    </row>
    <row r="37" spans="1:14" outlineLevel="1">
      <c r="A37" s="290">
        <f>ROW()</f>
        <v>37</v>
      </c>
      <c r="B37" s="84" t="s">
        <v>556</v>
      </c>
      <c r="C37" s="432"/>
      <c r="D37" s="257"/>
      <c r="E37" s="1160"/>
      <c r="F37" s="241">
        <v>0</v>
      </c>
      <c r="G37" s="241">
        <v>0</v>
      </c>
      <c r="H37" s="566">
        <v>0</v>
      </c>
      <c r="I37" s="566">
        <v>0</v>
      </c>
      <c r="J37" s="566">
        <v>0</v>
      </c>
      <c r="K37" s="566">
        <v>0</v>
      </c>
      <c r="L37" s="566">
        <v>0</v>
      </c>
      <c r="M37" s="39"/>
      <c r="N37" s="287" t="s">
        <v>1443</v>
      </c>
    </row>
    <row r="38" spans="1:14" hidden="1" outlineLevel="1">
      <c r="A38" s="290">
        <f>ROW()</f>
        <v>38</v>
      </c>
      <c r="B38" s="84"/>
      <c r="C38" s="432"/>
      <c r="D38" s="257"/>
      <c r="E38" s="1160"/>
      <c r="F38" s="241"/>
      <c r="G38" s="241"/>
      <c r="H38" s="566"/>
      <c r="I38" s="566"/>
      <c r="J38" s="566"/>
      <c r="K38" s="566"/>
      <c r="L38" s="566"/>
      <c r="M38" s="39"/>
      <c r="N38" s="287" t="s">
        <v>1443</v>
      </c>
    </row>
    <row r="39" spans="1:14" outlineLevel="1">
      <c r="A39" s="290">
        <f>ROW()</f>
        <v>39</v>
      </c>
      <c r="B39" s="84" t="s">
        <v>557</v>
      </c>
      <c r="C39" s="432"/>
      <c r="D39" s="257"/>
      <c r="E39" s="1160"/>
      <c r="F39" s="241">
        <v>0</v>
      </c>
      <c r="G39" s="241">
        <v>0</v>
      </c>
      <c r="H39" s="566">
        <v>0</v>
      </c>
      <c r="I39" s="566">
        <v>0</v>
      </c>
      <c r="J39" s="566">
        <v>0</v>
      </c>
      <c r="K39" s="566">
        <v>0</v>
      </c>
      <c r="L39" s="566">
        <v>0</v>
      </c>
      <c r="M39" s="39"/>
      <c r="N39" s="287" t="s">
        <v>1443</v>
      </c>
    </row>
    <row r="40" spans="1:14" outlineLevel="1">
      <c r="A40" s="290">
        <f>ROW()</f>
        <v>40</v>
      </c>
      <c r="B40" s="84" t="s">
        <v>558</v>
      </c>
      <c r="C40" s="257"/>
      <c r="D40" s="257"/>
      <c r="E40" s="1160">
        <f t="shared" si="3"/>
        <v>0</v>
      </c>
      <c r="F40" s="242">
        <f>F35/15</f>
        <v>0</v>
      </c>
      <c r="G40" s="242">
        <f t="shared" ref="G40:L40" si="16">F40+(G35/15)</f>
        <v>0</v>
      </c>
      <c r="H40" s="243">
        <f t="shared" si="16"/>
        <v>0</v>
      </c>
      <c r="I40" s="243">
        <f t="shared" si="16"/>
        <v>0</v>
      </c>
      <c r="J40" s="243">
        <f t="shared" si="16"/>
        <v>0</v>
      </c>
      <c r="K40" s="243">
        <f t="shared" si="16"/>
        <v>0</v>
      </c>
      <c r="L40" s="243">
        <f t="shared" si="16"/>
        <v>0</v>
      </c>
      <c r="M40" s="39"/>
      <c r="N40" s="287"/>
    </row>
    <row r="41" spans="1:14" outlineLevel="1">
      <c r="A41" s="290">
        <f>ROW()</f>
        <v>41</v>
      </c>
      <c r="B41" s="106" t="s">
        <v>559</v>
      </c>
      <c r="C41" s="104"/>
      <c r="D41" s="104"/>
      <c r="E41" s="564">
        <f t="shared" si="3"/>
        <v>2897726.60561598</v>
      </c>
      <c r="F41" s="1164">
        <f>SUM(F23,F33,F34,F35:F39)</f>
        <v>0</v>
      </c>
      <c r="G41" s="1164">
        <f>SUM(G23,G33,G34,G35:G39)</f>
        <v>310612.5</v>
      </c>
      <c r="H41" s="1164">
        <f t="shared" ref="H41:L41" si="17">SUM(H23,H33,H34,H35:H39)</f>
        <v>406381.5</v>
      </c>
      <c r="I41" s="1164">
        <f t="shared" si="17"/>
        <v>477432.72</v>
      </c>
      <c r="J41" s="1164">
        <f t="shared" si="17"/>
        <v>552150.6912</v>
      </c>
      <c r="K41" s="1164">
        <f t="shared" si="17"/>
        <v>567619.24937400001</v>
      </c>
      <c r="L41" s="1164">
        <f t="shared" si="17"/>
        <v>583529.94504198013</v>
      </c>
      <c r="M41" s="39"/>
      <c r="N41" s="287"/>
    </row>
    <row r="42" spans="1:14" outlineLevel="1">
      <c r="A42" s="290">
        <f>ROW()</f>
        <v>42</v>
      </c>
      <c r="B42" s="30" t="s">
        <v>560</v>
      </c>
      <c r="E42" s="30"/>
      <c r="F42" s="627">
        <f t="shared" ref="F42" si="18">SUM(F23,F33)+F40</f>
        <v>0</v>
      </c>
      <c r="G42" s="627">
        <f>SUM(G23,G33)+G40</f>
        <v>310612.5</v>
      </c>
      <c r="H42" s="627">
        <f t="shared" ref="H42:L42" si="19">SUM(H23,H33)+H40</f>
        <v>406381.5</v>
      </c>
      <c r="I42" s="627">
        <f t="shared" si="19"/>
        <v>477432.72</v>
      </c>
      <c r="J42" s="627">
        <f t="shared" si="19"/>
        <v>552150.6912</v>
      </c>
      <c r="K42" s="627">
        <f t="shared" si="19"/>
        <v>567619.24937400001</v>
      </c>
      <c r="L42" s="627">
        <f t="shared" si="19"/>
        <v>583529.94504198013</v>
      </c>
      <c r="M42" s="39"/>
      <c r="N42" s="287"/>
    </row>
    <row r="43" spans="1:14" s="30" customFormat="1" ht="14.4" outlineLevel="1">
      <c r="A43" s="290">
        <f>ROW()</f>
        <v>43</v>
      </c>
      <c r="B43" s="154" t="s">
        <v>561</v>
      </c>
      <c r="F43" s="109">
        <f>+F42-F41</f>
        <v>0</v>
      </c>
      <c r="G43" s="109">
        <f>+G42-G41</f>
        <v>0</v>
      </c>
      <c r="H43" s="109">
        <f t="shared" ref="H43:L43" si="20">+H42-H41</f>
        <v>0</v>
      </c>
      <c r="I43" s="109">
        <f t="shared" si="20"/>
        <v>0</v>
      </c>
      <c r="J43" s="109">
        <f t="shared" si="20"/>
        <v>0</v>
      </c>
      <c r="K43" s="109">
        <f t="shared" si="20"/>
        <v>0</v>
      </c>
      <c r="L43" s="109">
        <f t="shared" si="20"/>
        <v>0</v>
      </c>
      <c r="M43" s="44"/>
      <c r="N43" s="287"/>
    </row>
    <row r="44" spans="1:14" s="30" customFormat="1" outlineLevel="1">
      <c r="A44" s="290">
        <f>ROW()</f>
        <v>44</v>
      </c>
      <c r="F44" s="109"/>
      <c r="G44" s="109"/>
      <c r="H44" s="109"/>
      <c r="I44" s="109"/>
      <c r="J44" s="109"/>
      <c r="K44" s="109"/>
      <c r="L44" s="109"/>
      <c r="M44" s="44"/>
      <c r="N44" s="287"/>
    </row>
    <row r="45" spans="1:14" s="30" customFormat="1" outlineLevel="1">
      <c r="A45" s="290">
        <f>ROW()</f>
        <v>45</v>
      </c>
      <c r="B45" s="392" t="s">
        <v>562</v>
      </c>
      <c r="C45" s="32"/>
      <c r="D45" s="32"/>
      <c r="E45" s="32"/>
      <c r="F45" s="32"/>
      <c r="G45" s="52">
        <f t="shared" ref="G45:L45" si="21">+G23/12</f>
        <v>20625</v>
      </c>
      <c r="H45" s="52">
        <f t="shared" si="21"/>
        <v>27037.5</v>
      </c>
      <c r="I45" s="52">
        <f t="shared" si="21"/>
        <v>31827</v>
      </c>
      <c r="J45" s="52">
        <f t="shared" si="21"/>
        <v>36879.536249999997</v>
      </c>
      <c r="K45" s="52">
        <f t="shared" si="21"/>
        <v>37985.9223375</v>
      </c>
      <c r="L45" s="52">
        <f t="shared" si="21"/>
        <v>39125.500007625007</v>
      </c>
      <c r="M45" s="44"/>
      <c r="N45" s="287"/>
    </row>
    <row r="46" spans="1:14" s="30" customFormat="1" outlineLevel="1">
      <c r="A46" s="290">
        <f>ROW()</f>
        <v>46</v>
      </c>
      <c r="B46" s="42" t="s">
        <v>563</v>
      </c>
      <c r="C46" s="32"/>
      <c r="D46" s="32"/>
      <c r="E46" s="32"/>
      <c r="F46" s="32"/>
      <c r="G46" s="48">
        <f t="shared" ref="G46:L48" si="22">+G25/12</f>
        <v>1432.2916666666667</v>
      </c>
      <c r="H46" s="48">
        <f t="shared" si="22"/>
        <v>1822.9166666666667</v>
      </c>
      <c r="I46" s="48">
        <f t="shared" si="22"/>
        <v>2083.3333333333335</v>
      </c>
      <c r="J46" s="48">
        <f t="shared" si="22"/>
        <v>2343.75</v>
      </c>
      <c r="K46" s="48">
        <f t="shared" si="22"/>
        <v>2343.75</v>
      </c>
      <c r="L46" s="48">
        <f t="shared" si="22"/>
        <v>2343.75</v>
      </c>
      <c r="M46" s="44"/>
      <c r="N46" s="287"/>
    </row>
    <row r="47" spans="1:14" s="30" customFormat="1" outlineLevel="1">
      <c r="A47" s="290">
        <f>ROW()</f>
        <v>47</v>
      </c>
      <c r="B47" s="42" t="s">
        <v>564</v>
      </c>
      <c r="C47" s="32"/>
      <c r="D47" s="32"/>
      <c r="E47" s="32"/>
      <c r="F47" s="32"/>
      <c r="G47" s="48">
        <f t="shared" si="22"/>
        <v>1432.2916666666667</v>
      </c>
      <c r="H47" s="48">
        <f t="shared" si="22"/>
        <v>1822.9166666666667</v>
      </c>
      <c r="I47" s="48">
        <f t="shared" si="22"/>
        <v>2083.3333333333335</v>
      </c>
      <c r="J47" s="48">
        <f t="shared" si="22"/>
        <v>2343.75</v>
      </c>
      <c r="K47" s="48">
        <f t="shared" si="22"/>
        <v>2343.75</v>
      </c>
      <c r="L47" s="48">
        <f t="shared" si="22"/>
        <v>2343.75</v>
      </c>
      <c r="M47" s="44"/>
      <c r="N47" s="287"/>
    </row>
    <row r="48" spans="1:14" s="30" customFormat="1" outlineLevel="1">
      <c r="A48" s="290">
        <f>ROW()</f>
        <v>48</v>
      </c>
      <c r="B48" s="42" t="s">
        <v>565</v>
      </c>
      <c r="C48" s="32"/>
      <c r="D48" s="32"/>
      <c r="E48" s="32"/>
      <c r="F48" s="32"/>
      <c r="G48" s="48">
        <f t="shared" si="22"/>
        <v>572.91666666666663</v>
      </c>
      <c r="H48" s="48">
        <f t="shared" si="22"/>
        <v>729.16666666666663</v>
      </c>
      <c r="I48" s="48">
        <f t="shared" si="22"/>
        <v>833.33333333333337</v>
      </c>
      <c r="J48" s="48">
        <f t="shared" si="22"/>
        <v>937.5</v>
      </c>
      <c r="K48" s="48">
        <f t="shared" si="22"/>
        <v>937.5</v>
      </c>
      <c r="L48" s="48">
        <f t="shared" si="22"/>
        <v>937.5</v>
      </c>
      <c r="M48" s="44"/>
      <c r="N48" s="287"/>
    </row>
    <row r="49" spans="1:14" s="30" customFormat="1" outlineLevel="1">
      <c r="A49" s="290">
        <f>ROW()</f>
        <v>49</v>
      </c>
      <c r="B49" s="42" t="s">
        <v>544</v>
      </c>
      <c r="C49" s="32"/>
      <c r="D49" s="32"/>
      <c r="E49" s="32"/>
      <c r="F49" s="32"/>
      <c r="G49" s="48">
        <f t="shared" ref="G49:L49" si="23">+G29/12</f>
        <v>0</v>
      </c>
      <c r="H49" s="48">
        <f t="shared" si="23"/>
        <v>0</v>
      </c>
      <c r="I49" s="48">
        <f t="shared" si="23"/>
        <v>0</v>
      </c>
      <c r="J49" s="48">
        <f t="shared" si="23"/>
        <v>0</v>
      </c>
      <c r="K49" s="48">
        <f t="shared" si="23"/>
        <v>0</v>
      </c>
      <c r="L49" s="48">
        <f t="shared" si="23"/>
        <v>0</v>
      </c>
      <c r="M49" s="44"/>
      <c r="N49" s="287"/>
    </row>
    <row r="50" spans="1:14" s="30" customFormat="1" outlineLevel="1">
      <c r="A50" s="290">
        <f>ROW()</f>
        <v>50</v>
      </c>
      <c r="M50" s="44"/>
      <c r="N50" s="287"/>
    </row>
    <row r="51" spans="1:14" s="30" customFormat="1" outlineLevel="1">
      <c r="A51" s="290">
        <f>ROW()</f>
        <v>51</v>
      </c>
      <c r="B51" s="32" t="s">
        <v>1274</v>
      </c>
      <c r="C51" s="1823"/>
      <c r="D51" s="1823"/>
      <c r="E51" s="1823"/>
      <c r="G51" s="45"/>
      <c r="H51" s="45"/>
      <c r="I51" s="45"/>
      <c r="J51" s="45"/>
      <c r="K51" s="45"/>
      <c r="L51" s="45"/>
      <c r="M51" s="44"/>
      <c r="N51" s="287"/>
    </row>
    <row r="52" spans="1:14" s="30" customFormat="1" outlineLevel="1">
      <c r="A52" s="290">
        <f>ROW()</f>
        <v>52</v>
      </c>
      <c r="B52" s="30" t="s">
        <v>566</v>
      </c>
      <c r="G52" s="45"/>
      <c r="H52" s="45"/>
      <c r="I52" s="45"/>
      <c r="J52" s="45"/>
      <c r="K52" s="45"/>
      <c r="L52" s="45"/>
      <c r="M52" s="44"/>
      <c r="N52" s="287"/>
    </row>
    <row r="53" spans="1:14" s="30" customFormat="1" outlineLevel="1">
      <c r="A53" s="290">
        <f>ROW()</f>
        <v>53</v>
      </c>
      <c r="G53" s="45"/>
      <c r="H53" s="45"/>
      <c r="I53" s="45"/>
      <c r="J53" s="45"/>
      <c r="K53" s="45"/>
      <c r="L53" s="45"/>
      <c r="M53" s="44"/>
      <c r="N53" s="287"/>
    </row>
    <row r="54" spans="1:14" ht="15" customHeight="1" outlineLevel="1">
      <c r="A54" s="290">
        <f>ROW()</f>
        <v>54</v>
      </c>
      <c r="B54" s="1691" t="s">
        <v>567</v>
      </c>
      <c r="C54" s="1693"/>
      <c r="D54" s="1692"/>
      <c r="E54" s="30"/>
      <c r="G54" s="46"/>
      <c r="H54" s="31"/>
      <c r="I54" s="31"/>
      <c r="J54" s="31"/>
      <c r="K54" s="31"/>
      <c r="L54" s="31"/>
      <c r="M54" s="39"/>
      <c r="N54" s="287"/>
    </row>
    <row r="55" spans="1:14" ht="15" customHeight="1" outlineLevel="1">
      <c r="A55" s="290">
        <f>ROW()</f>
        <v>55</v>
      </c>
      <c r="B55" s="32" t="s">
        <v>568</v>
      </c>
      <c r="C55" s="676">
        <v>0</v>
      </c>
      <c r="D55" s="257"/>
      <c r="E55" s="257" t="s">
        <v>569</v>
      </c>
      <c r="F55" s="257"/>
      <c r="G55" s="673">
        <v>0</v>
      </c>
      <c r="H55" s="32" t="s">
        <v>570</v>
      </c>
      <c r="M55" s="39"/>
      <c r="N55" s="287"/>
    </row>
    <row r="56" spans="1:14" ht="15" customHeight="1" outlineLevel="1">
      <c r="A56" s="290">
        <f>ROW()</f>
        <v>56</v>
      </c>
      <c r="B56" s="32" t="s">
        <v>571</v>
      </c>
      <c r="C56" s="671">
        <v>0</v>
      </c>
      <c r="D56" s="257" t="s">
        <v>539</v>
      </c>
      <c r="E56" s="257" t="s">
        <v>572</v>
      </c>
      <c r="F56" s="257"/>
      <c r="G56" s="1152">
        <f>C60*(1-G55)</f>
        <v>0</v>
      </c>
      <c r="I56" s="47"/>
      <c r="J56" s="47"/>
      <c r="K56" s="47"/>
      <c r="L56" s="47"/>
      <c r="M56" s="39"/>
      <c r="N56" s="287"/>
    </row>
    <row r="57" spans="1:14" ht="15" customHeight="1" outlineLevel="1">
      <c r="A57" s="290">
        <f>ROW()</f>
        <v>57</v>
      </c>
      <c r="B57" s="32" t="s">
        <v>573</v>
      </c>
      <c r="C57" s="1153">
        <f>C55*C56</f>
        <v>0</v>
      </c>
      <c r="D57" s="257"/>
      <c r="E57" s="257" t="s">
        <v>574</v>
      </c>
      <c r="F57" s="257"/>
      <c r="G57" s="675">
        <v>0</v>
      </c>
      <c r="H57" s="40"/>
      <c r="M57" s="39"/>
      <c r="N57" s="287"/>
    </row>
    <row r="58" spans="1:14" ht="15" customHeight="1" outlineLevel="1">
      <c r="A58" s="290">
        <f>ROW()</f>
        <v>58</v>
      </c>
      <c r="B58" s="32" t="s">
        <v>575</v>
      </c>
      <c r="C58" s="671">
        <v>0</v>
      </c>
      <c r="D58" s="257" t="s">
        <v>539</v>
      </c>
      <c r="E58" s="257" t="s">
        <v>576</v>
      </c>
      <c r="F58" s="257"/>
      <c r="G58" s="675">
        <v>0</v>
      </c>
      <c r="H58" s="40"/>
      <c r="M58" s="39"/>
      <c r="N58" s="287"/>
    </row>
    <row r="59" spans="1:14" ht="15" customHeight="1" outlineLevel="1">
      <c r="A59" s="290">
        <f>ROW()</f>
        <v>59</v>
      </c>
      <c r="B59" s="32" t="s">
        <v>577</v>
      </c>
      <c r="C59" s="1154">
        <f>C55*C58</f>
        <v>0</v>
      </c>
      <c r="D59" s="257"/>
      <c r="E59" s="257" t="s">
        <v>578</v>
      </c>
      <c r="F59" s="257"/>
      <c r="G59" s="674">
        <v>0</v>
      </c>
      <c r="M59" s="39"/>
      <c r="N59" s="287"/>
    </row>
    <row r="60" spans="1:14" ht="15" customHeight="1" outlineLevel="1">
      <c r="A60" s="290">
        <f>ROW()</f>
        <v>60</v>
      </c>
      <c r="B60" s="30" t="s">
        <v>579</v>
      </c>
      <c r="C60" s="1152">
        <f>C57+C59</f>
        <v>0</v>
      </c>
      <c r="D60" s="257"/>
      <c r="E60" s="257"/>
      <c r="F60" s="257"/>
      <c r="G60" s="257"/>
      <c r="M60" s="39"/>
      <c r="N60" s="287"/>
    </row>
    <row r="61" spans="1:14" ht="15" customHeight="1" outlineLevel="1">
      <c r="A61" s="290">
        <f>ROW()</f>
        <v>61</v>
      </c>
      <c r="B61" s="32" t="s">
        <v>580</v>
      </c>
      <c r="C61" s="257"/>
      <c r="D61" s="1155">
        <f>IFERROR(-PMT(G59/12,G57*12,G56,0,1),0)</f>
        <v>0</v>
      </c>
      <c r="E61" s="257"/>
      <c r="F61" s="257"/>
      <c r="G61" s="257"/>
      <c r="H61" s="40"/>
      <c r="I61" s="40"/>
      <c r="J61" s="40"/>
      <c r="K61" s="40"/>
      <c r="L61" s="40"/>
      <c r="M61" s="39"/>
      <c r="N61" s="287"/>
    </row>
    <row r="62" spans="1:14" ht="15" customHeight="1" outlineLevel="1">
      <c r="A62" s="290">
        <f>ROW()</f>
        <v>62</v>
      </c>
      <c r="B62" s="32" t="s">
        <v>581</v>
      </c>
      <c r="C62" s="257"/>
      <c r="D62" s="1152">
        <f>D61*12</f>
        <v>0</v>
      </c>
      <c r="E62" s="1156"/>
      <c r="F62" s="1156"/>
      <c r="G62" s="1157">
        <f>+D62</f>
        <v>0</v>
      </c>
      <c r="H62" s="202">
        <f>IF(H7-$G$7&lt;$G$57,$D$62,0)</f>
        <v>0</v>
      </c>
      <c r="I62" s="202">
        <f>IF(I7-$G$7&lt;$G$57,$D$62,0)</f>
        <v>0</v>
      </c>
      <c r="J62" s="202">
        <f>IF(J7-$G$7&lt;$G$57,$D$62,0)</f>
        <v>0</v>
      </c>
      <c r="K62" s="202">
        <f>IF(K7-$G$7&lt;$G$57,$D$62,0)</f>
        <v>0</v>
      </c>
      <c r="L62" s="202">
        <f>IF(L7-$G$7&lt;$G$57,$D$62,0)</f>
        <v>0</v>
      </c>
      <c r="M62" s="39"/>
      <c r="N62" s="287"/>
    </row>
    <row r="63" spans="1:14" ht="15" customHeight="1" outlineLevel="1">
      <c r="A63" s="290">
        <f>ROW()</f>
        <v>63</v>
      </c>
      <c r="B63" s="32" t="s">
        <v>582</v>
      </c>
      <c r="C63" s="257"/>
      <c r="D63" s="1152">
        <f>IFERROR((-PV(0.02,G57,0,((D62*G57)-G56),0))/G57,0)</f>
        <v>0</v>
      </c>
      <c r="E63" s="1156"/>
      <c r="F63" s="1156"/>
      <c r="G63" s="1158">
        <f>$D$63</f>
        <v>0</v>
      </c>
      <c r="H63" s="203">
        <f>IF(H7-$G$7&lt;$G$57,$D$63,0)</f>
        <v>0</v>
      </c>
      <c r="I63" s="203">
        <f>IF(I7-$G$7&lt;$G$57,$D$63,0)</f>
        <v>0</v>
      </c>
      <c r="J63" s="203">
        <f>IF(J7-$G$7&lt;$G$57,$D$63,0)</f>
        <v>0</v>
      </c>
      <c r="K63" s="203">
        <f>IF(K7-$G$7&lt;$G$57,$D$63,0)</f>
        <v>0</v>
      </c>
      <c r="L63" s="203">
        <f>IF(L7-$G$7&lt;$G$57,$D$63,0)</f>
        <v>0</v>
      </c>
      <c r="M63" s="39"/>
      <c r="N63" s="287"/>
    </row>
    <row r="64" spans="1:14" ht="15" customHeight="1" outlineLevel="1">
      <c r="A64" s="290">
        <f>ROW()</f>
        <v>64</v>
      </c>
      <c r="B64" s="32" t="s">
        <v>583</v>
      </c>
      <c r="C64" s="257"/>
      <c r="D64" s="257"/>
      <c r="E64" s="257"/>
      <c r="F64" s="257"/>
      <c r="G64" s="1108"/>
      <c r="H64" s="49"/>
      <c r="I64" s="49"/>
      <c r="J64" s="49"/>
      <c r="K64" s="49"/>
      <c r="L64" s="49"/>
      <c r="M64" s="39"/>
      <c r="N64" s="287"/>
    </row>
    <row r="65" spans="1:14" ht="15" customHeight="1" outlineLevel="1">
      <c r="A65" s="290">
        <f>ROW()</f>
        <v>65</v>
      </c>
      <c r="B65" s="32" t="s">
        <v>584</v>
      </c>
      <c r="C65" s="671">
        <v>0</v>
      </c>
      <c r="D65" s="257" t="s">
        <v>539</v>
      </c>
      <c r="E65" s="257"/>
      <c r="F65" s="257"/>
      <c r="G65" s="1118">
        <f t="shared" ref="G65:L65" si="24">$C$65*$C$55</f>
        <v>0</v>
      </c>
      <c r="H65" s="117">
        <f t="shared" si="24"/>
        <v>0</v>
      </c>
      <c r="I65" s="117">
        <f t="shared" si="24"/>
        <v>0</v>
      </c>
      <c r="J65" s="117">
        <f t="shared" si="24"/>
        <v>0</v>
      </c>
      <c r="K65" s="117">
        <f t="shared" si="24"/>
        <v>0</v>
      </c>
      <c r="L65" s="117">
        <f t="shared" si="24"/>
        <v>0</v>
      </c>
      <c r="M65" s="39"/>
      <c r="N65" s="287"/>
    </row>
    <row r="66" spans="1:14" ht="15" customHeight="1" outlineLevel="1">
      <c r="A66" s="290">
        <f>ROW()</f>
        <v>66</v>
      </c>
      <c r="B66" s="32" t="s">
        <v>412</v>
      </c>
      <c r="C66" s="671">
        <v>0</v>
      </c>
      <c r="D66" s="257" t="s">
        <v>539</v>
      </c>
      <c r="E66" s="257"/>
      <c r="F66" s="257"/>
      <c r="G66" s="1118">
        <f t="shared" ref="G66:L66" si="25">$C$66*$C$55</f>
        <v>0</v>
      </c>
      <c r="H66" s="117">
        <f t="shared" si="25"/>
        <v>0</v>
      </c>
      <c r="I66" s="117">
        <f t="shared" si="25"/>
        <v>0</v>
      </c>
      <c r="J66" s="117">
        <f t="shared" si="25"/>
        <v>0</v>
      </c>
      <c r="K66" s="117">
        <f t="shared" si="25"/>
        <v>0</v>
      </c>
      <c r="L66" s="117">
        <f t="shared" si="25"/>
        <v>0</v>
      </c>
      <c r="M66" s="39"/>
      <c r="N66" s="287"/>
    </row>
    <row r="67" spans="1:14" ht="15" customHeight="1" outlineLevel="1">
      <c r="A67" s="290">
        <f>ROW()</f>
        <v>67</v>
      </c>
      <c r="B67" s="32" t="s">
        <v>548</v>
      </c>
      <c r="C67" s="671">
        <v>0</v>
      </c>
      <c r="D67" s="257" t="s">
        <v>539</v>
      </c>
      <c r="E67" s="257"/>
      <c r="F67" s="257"/>
      <c r="G67" s="1118">
        <f t="shared" ref="G67:L67" si="26">$C$67*$C$55</f>
        <v>0</v>
      </c>
      <c r="H67" s="117">
        <f t="shared" si="26"/>
        <v>0</v>
      </c>
      <c r="I67" s="117">
        <f t="shared" si="26"/>
        <v>0</v>
      </c>
      <c r="J67" s="117">
        <f t="shared" si="26"/>
        <v>0</v>
      </c>
      <c r="K67" s="117">
        <f t="shared" si="26"/>
        <v>0</v>
      </c>
      <c r="L67" s="117">
        <f t="shared" si="26"/>
        <v>0</v>
      </c>
      <c r="M67" s="39"/>
      <c r="N67" s="287"/>
    </row>
    <row r="68" spans="1:14" ht="15" customHeight="1" outlineLevel="1">
      <c r="A68" s="290">
        <f>ROW()</f>
        <v>68</v>
      </c>
      <c r="B68" s="32" t="s">
        <v>544</v>
      </c>
      <c r="C68" s="671">
        <v>0</v>
      </c>
      <c r="D68" s="257" t="s">
        <v>457</v>
      </c>
      <c r="E68" s="257"/>
      <c r="F68" s="257"/>
      <c r="G68" s="1118">
        <f t="shared" ref="G68:L68" si="27">$C$68</f>
        <v>0</v>
      </c>
      <c r="H68" s="117">
        <f t="shared" si="27"/>
        <v>0</v>
      </c>
      <c r="I68" s="117">
        <f t="shared" si="27"/>
        <v>0</v>
      </c>
      <c r="J68" s="117">
        <f t="shared" si="27"/>
        <v>0</v>
      </c>
      <c r="K68" s="117">
        <f t="shared" si="27"/>
        <v>0</v>
      </c>
      <c r="L68" s="117">
        <f t="shared" si="27"/>
        <v>0</v>
      </c>
      <c r="M68" s="39"/>
      <c r="N68" s="287"/>
    </row>
    <row r="69" spans="1:14" ht="15" customHeight="1" outlineLevel="1">
      <c r="A69" s="290">
        <f>ROW()</f>
        <v>69</v>
      </c>
      <c r="B69" s="32" t="s">
        <v>585</v>
      </c>
      <c r="G69" s="117">
        <f>C57*G55</f>
        <v>0</v>
      </c>
      <c r="H69" s="117"/>
      <c r="I69" s="117"/>
      <c r="J69" s="117"/>
      <c r="K69" s="117"/>
      <c r="L69" s="117"/>
      <c r="M69" s="39"/>
      <c r="N69" s="287"/>
    </row>
    <row r="70" spans="1:14" ht="15" customHeight="1" outlineLevel="1">
      <c r="A70" s="290">
        <f>ROW()</f>
        <v>70</v>
      </c>
      <c r="B70" s="32" t="s">
        <v>586</v>
      </c>
      <c r="G70" s="117"/>
      <c r="H70" s="117"/>
      <c r="I70" s="117"/>
      <c r="J70" s="117"/>
      <c r="K70" s="117"/>
      <c r="L70" s="117"/>
      <c r="M70" s="39"/>
      <c r="N70" s="287"/>
    </row>
    <row r="71" spans="1:14" ht="15" customHeight="1" outlineLevel="1">
      <c r="A71" s="290">
        <f>ROW()</f>
        <v>71</v>
      </c>
      <c r="B71" s="106" t="s">
        <v>587</v>
      </c>
      <c r="C71" s="106"/>
      <c r="D71" s="106"/>
      <c r="E71" s="106"/>
      <c r="F71" s="973"/>
      <c r="G71" s="547">
        <f t="shared" ref="G71:L71" si="28">SUM(G62:G70)-G63</f>
        <v>0</v>
      </c>
      <c r="H71" s="547">
        <f t="shared" si="28"/>
        <v>0</v>
      </c>
      <c r="I71" s="547">
        <f t="shared" si="28"/>
        <v>0</v>
      </c>
      <c r="J71" s="547">
        <f t="shared" si="28"/>
        <v>0</v>
      </c>
      <c r="K71" s="547">
        <f t="shared" si="28"/>
        <v>0</v>
      </c>
      <c r="L71" s="547">
        <f t="shared" si="28"/>
        <v>0</v>
      </c>
      <c r="M71" s="39"/>
      <c r="N71" s="287"/>
    </row>
    <row r="72" spans="1:14" ht="15" customHeight="1" outlineLevel="1">
      <c r="A72" s="290">
        <f>ROW()</f>
        <v>72</v>
      </c>
      <c r="B72" s="30" t="s">
        <v>588</v>
      </c>
      <c r="C72" s="30"/>
      <c r="D72" s="30"/>
      <c r="E72" s="30"/>
      <c r="F72" s="134"/>
      <c r="G72" s="433">
        <f t="shared" ref="G72:L72" si="29">(($C$57+$C$59)/50)+G65+G66+G67+G68</f>
        <v>0</v>
      </c>
      <c r="H72" s="433">
        <f t="shared" si="29"/>
        <v>0</v>
      </c>
      <c r="I72" s="433">
        <f t="shared" si="29"/>
        <v>0</v>
      </c>
      <c r="J72" s="433">
        <f t="shared" si="29"/>
        <v>0</v>
      </c>
      <c r="K72" s="433">
        <f t="shared" si="29"/>
        <v>0</v>
      </c>
      <c r="L72" s="433">
        <f t="shared" si="29"/>
        <v>0</v>
      </c>
      <c r="M72" s="39"/>
      <c r="N72" s="287"/>
    </row>
    <row r="73" spans="1:14" outlineLevel="1">
      <c r="A73" s="290">
        <f>ROW()</f>
        <v>73</v>
      </c>
      <c r="G73" s="429"/>
      <c r="H73" s="434"/>
      <c r="I73" s="434"/>
      <c r="J73" s="434"/>
      <c r="K73" s="434"/>
      <c r="L73" s="434"/>
      <c r="M73" s="39"/>
      <c r="N73" s="287"/>
    </row>
    <row r="74" spans="1:14" outlineLevel="1">
      <c r="A74" s="290">
        <f>ROW()</f>
        <v>74</v>
      </c>
      <c r="B74" s="449" t="s">
        <v>589</v>
      </c>
      <c r="C74" s="450"/>
      <c r="D74" s="450"/>
      <c r="E74" s="451">
        <f>SUM(F74:L74)</f>
        <v>2897726.60561598</v>
      </c>
      <c r="F74" s="452">
        <f t="shared" ref="F74:L75" si="30">IF($C$7="Lease",F41,F71)</f>
        <v>0</v>
      </c>
      <c r="G74" s="452">
        <f t="shared" si="30"/>
        <v>310612.5</v>
      </c>
      <c r="H74" s="452">
        <f t="shared" si="30"/>
        <v>406381.5</v>
      </c>
      <c r="I74" s="452">
        <f t="shared" si="30"/>
        <v>477432.72</v>
      </c>
      <c r="J74" s="452">
        <f t="shared" si="30"/>
        <v>552150.6912</v>
      </c>
      <c r="K74" s="452">
        <f t="shared" si="30"/>
        <v>567619.24937400001</v>
      </c>
      <c r="L74" s="452">
        <f t="shared" si="30"/>
        <v>583529.94504198013</v>
      </c>
      <c r="M74" s="39"/>
      <c r="N74" s="287"/>
    </row>
    <row r="75" spans="1:14" outlineLevel="1">
      <c r="A75" s="290">
        <f>ROW()</f>
        <v>75</v>
      </c>
      <c r="B75" s="444" t="s">
        <v>590</v>
      </c>
      <c r="C75" s="445"/>
      <c r="D75" s="445"/>
      <c r="E75" s="446">
        <f>SUM(F75:L75)</f>
        <v>2897726.60561598</v>
      </c>
      <c r="F75" s="448">
        <f t="shared" si="30"/>
        <v>0</v>
      </c>
      <c r="G75" s="448">
        <f t="shared" si="30"/>
        <v>310612.5</v>
      </c>
      <c r="H75" s="447">
        <f t="shared" si="30"/>
        <v>406381.5</v>
      </c>
      <c r="I75" s="447">
        <f t="shared" si="30"/>
        <v>477432.72</v>
      </c>
      <c r="J75" s="447">
        <f t="shared" si="30"/>
        <v>552150.6912</v>
      </c>
      <c r="K75" s="447">
        <f t="shared" si="30"/>
        <v>567619.24937400001</v>
      </c>
      <c r="L75" s="447">
        <f t="shared" si="30"/>
        <v>583529.94504198013</v>
      </c>
      <c r="M75" s="39"/>
      <c r="N75" s="287"/>
    </row>
    <row r="76" spans="1:14">
      <c r="A76" s="290">
        <f>ROW()</f>
        <v>76</v>
      </c>
      <c r="B76" s="449" t="str">
        <f>IF(C7="Lease",$B$42,B75)</f>
        <v>Total lease book expense (shown on Summary tab)</v>
      </c>
      <c r="C76" s="450"/>
      <c r="D76" s="450"/>
      <c r="E76" s="624">
        <f>SUM(F76:L76)</f>
        <v>2897726.60561598</v>
      </c>
      <c r="F76" s="452">
        <f t="shared" ref="F76:L76" si="31">IF($C$7="Lease",F42,F72)</f>
        <v>0</v>
      </c>
      <c r="G76" s="452">
        <f t="shared" si="31"/>
        <v>310612.5</v>
      </c>
      <c r="H76" s="452">
        <f t="shared" si="31"/>
        <v>406381.5</v>
      </c>
      <c r="I76" s="452">
        <f t="shared" si="31"/>
        <v>477432.72</v>
      </c>
      <c r="J76" s="452">
        <f t="shared" si="31"/>
        <v>552150.6912</v>
      </c>
      <c r="K76" s="452">
        <f t="shared" si="31"/>
        <v>567619.24937400001</v>
      </c>
      <c r="L76" s="452">
        <f t="shared" si="31"/>
        <v>583529.94504198013</v>
      </c>
      <c r="M76" s="39"/>
      <c r="N76" s="287"/>
    </row>
    <row r="77" spans="1:14">
      <c r="A77" s="290">
        <f>ROW()</f>
        <v>77</v>
      </c>
      <c r="B77" s="32" t="s">
        <v>591</v>
      </c>
      <c r="E77" s="429"/>
      <c r="F77" s="435">
        <f t="shared" ref="F77:L77" si="32">+F76-F74</f>
        <v>0</v>
      </c>
      <c r="G77" s="435">
        <f t="shared" si="32"/>
        <v>0</v>
      </c>
      <c r="H77" s="435">
        <f t="shared" si="32"/>
        <v>0</v>
      </c>
      <c r="I77" s="435">
        <f t="shared" si="32"/>
        <v>0</v>
      </c>
      <c r="J77" s="435">
        <f t="shared" si="32"/>
        <v>0</v>
      </c>
      <c r="K77" s="435">
        <f t="shared" si="32"/>
        <v>0</v>
      </c>
      <c r="L77" s="435">
        <f t="shared" si="32"/>
        <v>0</v>
      </c>
      <c r="N77" s="287"/>
    </row>
    <row r="78" spans="1:14">
      <c r="A78" s="290">
        <f>ROW()</f>
        <v>78</v>
      </c>
      <c r="F78" s="150"/>
      <c r="G78" s="150"/>
      <c r="H78" s="150"/>
      <c r="I78" s="150"/>
      <c r="J78" s="150"/>
      <c r="K78" s="150"/>
      <c r="L78" s="150"/>
      <c r="N78" s="287"/>
    </row>
    <row r="79" spans="1:14">
      <c r="A79" s="290">
        <f>ROW()</f>
        <v>79</v>
      </c>
      <c r="F79" s="53">
        <f>Levers!C6</f>
        <v>0</v>
      </c>
      <c r="G79" s="442">
        <f>Levers!D6</f>
        <v>1</v>
      </c>
      <c r="H79" s="442">
        <f>Levers!E6</f>
        <v>2</v>
      </c>
      <c r="I79" s="442">
        <f>Levers!F6</f>
        <v>3</v>
      </c>
      <c r="J79" s="442">
        <f>Levers!G6</f>
        <v>4</v>
      </c>
      <c r="K79" s="442">
        <f>Levers!H6</f>
        <v>5</v>
      </c>
      <c r="L79" s="442">
        <f>Levers!I6</f>
        <v>6</v>
      </c>
      <c r="N79" s="287"/>
    </row>
    <row r="80" spans="1:14" ht="15.6">
      <c r="A80" s="290">
        <f>ROW()</f>
        <v>80</v>
      </c>
      <c r="F80" s="1694">
        <f>Levers!C7</f>
        <v>2025</v>
      </c>
      <c r="G80" s="1695">
        <f>Levers!D7</f>
        <v>2026</v>
      </c>
      <c r="H80" s="1696">
        <f>Levers!E7</f>
        <v>2027</v>
      </c>
      <c r="I80" s="1696">
        <f>Levers!F7</f>
        <v>2028</v>
      </c>
      <c r="J80" s="1696">
        <f>Levers!G7</f>
        <v>2029</v>
      </c>
      <c r="K80" s="1696">
        <f>Levers!H7</f>
        <v>2030</v>
      </c>
      <c r="L80" s="1697">
        <f>Levers!I7</f>
        <v>2031</v>
      </c>
      <c r="N80" s="287"/>
    </row>
    <row r="81" spans="1:14" ht="15.6">
      <c r="A81" s="290">
        <f>ROW()</f>
        <v>81</v>
      </c>
      <c r="B81" s="248"/>
      <c r="E81" s="441" t="str">
        <f>Levers!B8</f>
        <v>Totals</v>
      </c>
      <c r="F81" s="1698">
        <f>Levers!C8</f>
        <v>2026</v>
      </c>
      <c r="G81" s="1699">
        <f>Levers!D8</f>
        <v>2027</v>
      </c>
      <c r="H81" s="1700">
        <f>Levers!E8</f>
        <v>2028</v>
      </c>
      <c r="I81" s="1700">
        <f>Levers!F8</f>
        <v>2029</v>
      </c>
      <c r="J81" s="1700">
        <f>Levers!G8</f>
        <v>2030</v>
      </c>
      <c r="K81" s="1700">
        <f>Levers!H8</f>
        <v>2031</v>
      </c>
      <c r="L81" s="1701">
        <f>Levers!I8</f>
        <v>2032</v>
      </c>
      <c r="N81" s="287"/>
    </row>
    <row r="82" spans="1:14" ht="15.6">
      <c r="A82" s="290">
        <f>ROW()</f>
        <v>82</v>
      </c>
      <c r="B82" s="413" t="str">
        <f>Levers!A9</f>
        <v>Total Enrollment</v>
      </c>
      <c r="E82" s="625">
        <f>Levers!B9</f>
        <v>2375</v>
      </c>
      <c r="F82" s="626" t="str">
        <f>Levers!C9</f>
        <v xml:space="preserve"> </v>
      </c>
      <c r="G82" s="625">
        <f>Levers!D9</f>
        <v>275</v>
      </c>
      <c r="H82" s="625">
        <f>Levers!E9</f>
        <v>350</v>
      </c>
      <c r="I82" s="625">
        <f>Levers!F9</f>
        <v>400</v>
      </c>
      <c r="J82" s="625">
        <f>Levers!G9</f>
        <v>450</v>
      </c>
      <c r="K82" s="625">
        <f>Levers!H9</f>
        <v>450</v>
      </c>
      <c r="L82" s="625">
        <f>Levers!I9</f>
        <v>450</v>
      </c>
      <c r="N82" s="287"/>
    </row>
    <row r="83" spans="1:14" ht="15.6">
      <c r="A83" s="290">
        <f>ROW()</f>
        <v>83</v>
      </c>
      <c r="B83" s="414" t="str">
        <f>Levers!A10</f>
        <v>Total Revenue</v>
      </c>
      <c r="E83" s="397">
        <f>Levers!B10</f>
        <v>30850600.329303101</v>
      </c>
      <c r="F83" s="397">
        <f>Levers!C10</f>
        <v>0</v>
      </c>
      <c r="G83" s="397">
        <f>Levers!D10</f>
        <v>3377599.6375000002</v>
      </c>
      <c r="H83" s="397">
        <f>Levers!E10</f>
        <v>4550328.4095433</v>
      </c>
      <c r="I83" s="397">
        <f>Levers!F10</f>
        <v>5222587.0439642007</v>
      </c>
      <c r="J83" s="397">
        <f>Levers!G10</f>
        <v>5879297.4752447996</v>
      </c>
      <c r="K83" s="397">
        <f>Levers!H10</f>
        <v>5910393.8815254001</v>
      </c>
      <c r="L83" s="397">
        <f>Levers!I10</f>
        <v>5910393.8815254001</v>
      </c>
      <c r="N83" s="287"/>
    </row>
    <row r="84" spans="1:14" ht="15.6">
      <c r="A84" s="290">
        <f>ROW()</f>
        <v>84</v>
      </c>
      <c r="B84" s="414" t="str">
        <f>Levers!A11</f>
        <v>Rev per student</v>
      </c>
      <c r="E84" s="397">
        <f>Levers!B11</f>
        <v>12989.726454443411</v>
      </c>
      <c r="F84" s="397"/>
      <c r="G84" s="397">
        <f>Levers!D11</f>
        <v>12282.1805</v>
      </c>
      <c r="H84" s="397">
        <f>Levers!E11</f>
        <v>13000.938312980858</v>
      </c>
      <c r="I84" s="397">
        <f>Levers!F11</f>
        <v>13056.467609910502</v>
      </c>
      <c r="J84" s="397">
        <f>Levers!G11</f>
        <v>13065.105500543999</v>
      </c>
      <c r="K84" s="397">
        <f>Levers!H11</f>
        <v>13134.208625612</v>
      </c>
      <c r="L84" s="397">
        <f>Levers!I11</f>
        <v>13134.208625612</v>
      </c>
      <c r="N84" s="287"/>
    </row>
    <row r="85" spans="1:14" ht="15.6">
      <c r="A85" s="290">
        <f>ROW()</f>
        <v>85</v>
      </c>
      <c r="B85" s="414" t="str">
        <f>Levers!A20</f>
        <v>Total Facilities</v>
      </c>
      <c r="E85" s="397">
        <f>Levers!B20</f>
        <v>2897726.60561598</v>
      </c>
      <c r="F85" s="397">
        <f>Levers!C20</f>
        <v>0</v>
      </c>
      <c r="G85" s="397">
        <f>Levers!D20</f>
        <v>310612.5</v>
      </c>
      <c r="H85" s="397">
        <f>Levers!E20</f>
        <v>406381.5</v>
      </c>
      <c r="I85" s="397">
        <f>Levers!F20</f>
        <v>477432.72</v>
      </c>
      <c r="J85" s="397">
        <f>Levers!G20</f>
        <v>552150.6912</v>
      </c>
      <c r="K85" s="397">
        <f>Levers!H20</f>
        <v>567619.24937400001</v>
      </c>
      <c r="L85" s="397">
        <f>Levers!I20</f>
        <v>583529.94504198013</v>
      </c>
      <c r="N85" s="287"/>
    </row>
    <row r="86" spans="1:14" ht="15.6">
      <c r="A86" s="290">
        <f>ROW()</f>
        <v>86</v>
      </c>
      <c r="B86" s="414" t="str">
        <f>Levers!A21</f>
        <v>Facilities per Student</v>
      </c>
      <c r="E86" s="397">
        <f>Levers!B21</f>
        <v>1220.0954128909389</v>
      </c>
      <c r="F86" s="397"/>
      <c r="G86" s="397">
        <f>Levers!D21</f>
        <v>1129.5</v>
      </c>
      <c r="H86" s="397">
        <f>Levers!E21</f>
        <v>1161.0899999999999</v>
      </c>
      <c r="I86" s="397">
        <f>Levers!F21</f>
        <v>1193.5817999999999</v>
      </c>
      <c r="J86" s="397">
        <f>Levers!G21</f>
        <v>1227.001536</v>
      </c>
      <c r="K86" s="397">
        <f>Levers!H21</f>
        <v>1261.3761097199999</v>
      </c>
      <c r="L86" s="397">
        <f>Levers!I21</f>
        <v>1296.7332112044003</v>
      </c>
      <c r="N86" s="287"/>
    </row>
    <row r="87" spans="1:14" ht="15.6">
      <c r="A87" s="290">
        <f>ROW()</f>
        <v>87</v>
      </c>
      <c r="B87" s="414" t="str">
        <f>Levers!A22</f>
        <v>Net Surplus after Facilities</v>
      </c>
      <c r="E87" s="397">
        <f>Levers!B22</f>
        <v>27952873.72368712</v>
      </c>
      <c r="F87" s="397">
        <f>Levers!C22</f>
        <v>0</v>
      </c>
      <c r="G87" s="397">
        <f>Levers!D22</f>
        <v>3066987.1375000002</v>
      </c>
      <c r="H87" s="397">
        <f>Levers!E22</f>
        <v>4143946.9095433</v>
      </c>
      <c r="I87" s="397">
        <f>Levers!F22</f>
        <v>4745154.3239642009</v>
      </c>
      <c r="J87" s="397">
        <f>Levers!G22</f>
        <v>5327146.7840447994</v>
      </c>
      <c r="K87" s="397">
        <f>Levers!H22</f>
        <v>5342774.6321513997</v>
      </c>
      <c r="L87" s="397">
        <f>Levers!I22</f>
        <v>5326863.9364834204</v>
      </c>
      <c r="N87" s="287"/>
    </row>
    <row r="88" spans="1:14">
      <c r="A88" s="290">
        <f>ROW()</f>
        <v>88</v>
      </c>
      <c r="B88" s="32" t="str">
        <f>Levers!A23</f>
        <v>Net Surplus after Facilities per Student</v>
      </c>
      <c r="E88" s="398">
        <f>Levers!B23</f>
        <v>11769.631041552471</v>
      </c>
      <c r="F88" s="398"/>
      <c r="G88" s="398">
        <f>Levers!D23</f>
        <v>11152.6805</v>
      </c>
      <c r="H88" s="398">
        <f>Levers!E23</f>
        <v>11839.848312980857</v>
      </c>
      <c r="I88" s="398">
        <f>Levers!F23</f>
        <v>11862.885809910502</v>
      </c>
      <c r="J88" s="398">
        <f>Levers!G23</f>
        <v>11838.103964543998</v>
      </c>
      <c r="K88" s="398">
        <f>Levers!H23</f>
        <v>11872.832515892</v>
      </c>
      <c r="L88" s="398">
        <f>Levers!I23</f>
        <v>11837.475414407601</v>
      </c>
      <c r="N88" s="287"/>
    </row>
    <row r="89" spans="1:14">
      <c r="A89" s="290">
        <f>ROW()</f>
        <v>89</v>
      </c>
      <c r="B89" s="32" t="s">
        <v>450</v>
      </c>
      <c r="E89" s="398">
        <f>Levers!B38</f>
        <v>3910630.8727766238</v>
      </c>
      <c r="F89" s="398">
        <f>Levers!C38</f>
        <v>0</v>
      </c>
      <c r="G89" s="398">
        <f>Levers!D38</f>
        <v>296795.20059773355</v>
      </c>
      <c r="H89" s="398">
        <f>Levers!E38</f>
        <v>638547.97084410023</v>
      </c>
      <c r="I89" s="398">
        <f>Levers!F38</f>
        <v>802108.12202633417</v>
      </c>
      <c r="J89" s="398">
        <f>Levers!G38</f>
        <v>760052.28526897286</v>
      </c>
      <c r="K89" s="398">
        <f>Levers!H38</f>
        <v>785061.49731156114</v>
      </c>
      <c r="L89" s="398">
        <f>Levers!I38</f>
        <v>628065.79672792414</v>
      </c>
      <c r="N89" s="287"/>
    </row>
    <row r="90" spans="1:14">
      <c r="A90" s="290">
        <f>ROW()</f>
        <v>90</v>
      </c>
      <c r="B90" s="41" t="s">
        <v>451</v>
      </c>
      <c r="E90" s="398">
        <f>Levers!B39</f>
        <v>1646.5814201164733</v>
      </c>
      <c r="F90" s="398"/>
      <c r="G90" s="398">
        <f>Levers!D39</f>
        <v>1079.2552749008494</v>
      </c>
      <c r="H90" s="398">
        <f>Levers!E39</f>
        <v>1824.4227738402865</v>
      </c>
      <c r="I90" s="398">
        <f>Levers!F39</f>
        <v>2005.2703050658354</v>
      </c>
      <c r="J90" s="398">
        <f>Levers!G39</f>
        <v>1689.0050783754953</v>
      </c>
      <c r="K90" s="398">
        <f>Levers!H39</f>
        <v>1744.5811051368025</v>
      </c>
      <c r="L90" s="398">
        <f>Levers!I39</f>
        <v>1395.7017705064982</v>
      </c>
      <c r="N90" s="287"/>
    </row>
    <row r="91" spans="1:14" hidden="1">
      <c r="A91" s="290">
        <f>ROW()</f>
        <v>91</v>
      </c>
      <c r="N91" s="287"/>
    </row>
    <row r="92" spans="1:14" hidden="1">
      <c r="A92" s="290">
        <f>ROW()</f>
        <v>92</v>
      </c>
      <c r="B92" s="58" t="s">
        <v>592</v>
      </c>
      <c r="C92" s="58"/>
      <c r="D92" s="58"/>
      <c r="E92" s="58"/>
      <c r="F92" s="58" t="s">
        <v>593</v>
      </c>
      <c r="G92" s="443" t="s">
        <v>594</v>
      </c>
      <c r="H92" s="443" t="s">
        <v>595</v>
      </c>
      <c r="I92" s="443" t="s">
        <v>596</v>
      </c>
      <c r="J92" s="443" t="s">
        <v>597</v>
      </c>
      <c r="K92" s="443" t="s">
        <v>598</v>
      </c>
      <c r="L92" s="443" t="s">
        <v>599</v>
      </c>
      <c r="N92" s="287"/>
    </row>
    <row r="93" spans="1:14" hidden="1">
      <c r="A93" s="290">
        <f>ROW()</f>
        <v>93</v>
      </c>
      <c r="B93" s="32" t="s">
        <v>600</v>
      </c>
      <c r="G93" s="48">
        <f t="shared" ref="G93:L93" si="33">IF($C$7="lease",G11,$C$55)</f>
        <v>13750</v>
      </c>
      <c r="H93" s="48">
        <f t="shared" si="33"/>
        <v>17500</v>
      </c>
      <c r="I93" s="48">
        <f t="shared" si="33"/>
        <v>20000</v>
      </c>
      <c r="J93" s="48">
        <f t="shared" si="33"/>
        <v>22500</v>
      </c>
      <c r="K93" s="48">
        <f t="shared" si="33"/>
        <v>22500</v>
      </c>
      <c r="L93" s="48">
        <f t="shared" si="33"/>
        <v>22500</v>
      </c>
      <c r="N93" s="287"/>
    </row>
    <row r="94" spans="1:14" hidden="1">
      <c r="A94" s="290">
        <f>ROW()</f>
        <v>94</v>
      </c>
      <c r="B94" s="11" t="s">
        <v>410</v>
      </c>
      <c r="G94" s="48">
        <f t="shared" ref="G94:L94" si="34">IF($C$7="lease",G23,G62)</f>
        <v>247500</v>
      </c>
      <c r="H94" s="48">
        <f t="shared" si="34"/>
        <v>324450</v>
      </c>
      <c r="I94" s="48">
        <f t="shared" si="34"/>
        <v>381924</v>
      </c>
      <c r="J94" s="48">
        <f t="shared" si="34"/>
        <v>442554.435</v>
      </c>
      <c r="K94" s="48">
        <f t="shared" si="34"/>
        <v>455831.06805</v>
      </c>
      <c r="L94" s="48">
        <f t="shared" si="34"/>
        <v>469506.00009150006</v>
      </c>
      <c r="N94" s="287"/>
    </row>
    <row r="95" spans="1:14" hidden="1">
      <c r="A95" s="290">
        <f>ROW()</f>
        <v>95</v>
      </c>
      <c r="B95" s="11" t="s">
        <v>411</v>
      </c>
      <c r="G95" s="48">
        <f t="shared" ref="G95:L97" si="35">IF($C$7="lease",G25,G65)</f>
        <v>17187.5</v>
      </c>
      <c r="H95" s="48">
        <f t="shared" si="35"/>
        <v>21875</v>
      </c>
      <c r="I95" s="48">
        <f t="shared" si="35"/>
        <v>25000</v>
      </c>
      <c r="J95" s="48">
        <f t="shared" si="35"/>
        <v>28125</v>
      </c>
      <c r="K95" s="48">
        <f t="shared" si="35"/>
        <v>28125</v>
      </c>
      <c r="L95" s="48">
        <f t="shared" si="35"/>
        <v>28125</v>
      </c>
      <c r="N95" s="287"/>
    </row>
    <row r="96" spans="1:14" hidden="1">
      <c r="A96" s="290">
        <f>ROW()</f>
        <v>96</v>
      </c>
      <c r="B96" s="11" t="s">
        <v>412</v>
      </c>
      <c r="G96" s="48">
        <f t="shared" si="35"/>
        <v>17187.5</v>
      </c>
      <c r="H96" s="48">
        <f t="shared" si="35"/>
        <v>21875</v>
      </c>
      <c r="I96" s="48">
        <f t="shared" si="35"/>
        <v>25000</v>
      </c>
      <c r="J96" s="48">
        <f t="shared" si="35"/>
        <v>28125</v>
      </c>
      <c r="K96" s="48">
        <f t="shared" si="35"/>
        <v>28125</v>
      </c>
      <c r="L96" s="48">
        <f t="shared" si="35"/>
        <v>28125</v>
      </c>
      <c r="N96" s="287"/>
    </row>
    <row r="97" spans="1:14" hidden="1">
      <c r="A97" s="290">
        <f>ROW()</f>
        <v>97</v>
      </c>
      <c r="B97" s="97" t="s">
        <v>413</v>
      </c>
      <c r="G97" s="48">
        <f t="shared" si="35"/>
        <v>6875</v>
      </c>
      <c r="H97" s="48">
        <f t="shared" si="35"/>
        <v>8750</v>
      </c>
      <c r="I97" s="48">
        <f t="shared" si="35"/>
        <v>10000</v>
      </c>
      <c r="J97" s="48">
        <f t="shared" si="35"/>
        <v>11250</v>
      </c>
      <c r="K97" s="48">
        <f t="shared" si="35"/>
        <v>11250</v>
      </c>
      <c r="L97" s="48">
        <f t="shared" si="35"/>
        <v>11250</v>
      </c>
      <c r="N97" s="287"/>
    </row>
    <row r="98" spans="1:14" hidden="1">
      <c r="A98" s="290">
        <f>ROW()</f>
        <v>98</v>
      </c>
      <c r="B98" s="97" t="s">
        <v>414</v>
      </c>
      <c r="G98" s="48">
        <f t="shared" ref="G98:L98" si="36">IF($C$7="lease",G29,G68)</f>
        <v>0</v>
      </c>
      <c r="H98" s="48">
        <f t="shared" si="36"/>
        <v>0</v>
      </c>
      <c r="I98" s="48">
        <f t="shared" si="36"/>
        <v>0</v>
      </c>
      <c r="J98" s="48">
        <f t="shared" si="36"/>
        <v>0</v>
      </c>
      <c r="K98" s="48">
        <f t="shared" si="36"/>
        <v>0</v>
      </c>
      <c r="L98" s="48">
        <f t="shared" si="36"/>
        <v>0</v>
      </c>
      <c r="N98" s="287"/>
    </row>
    <row r="99" spans="1:14" hidden="1">
      <c r="A99" s="290">
        <f>ROW()</f>
        <v>99</v>
      </c>
      <c r="B99" s="97" t="s">
        <v>415</v>
      </c>
      <c r="G99" s="48">
        <f t="shared" ref="G99:L99" si="37">IF($C$7="lease",G35,0)</f>
        <v>0</v>
      </c>
      <c r="H99" s="48">
        <f t="shared" si="37"/>
        <v>0</v>
      </c>
      <c r="I99" s="48">
        <f t="shared" si="37"/>
        <v>0</v>
      </c>
      <c r="J99" s="48">
        <f t="shared" si="37"/>
        <v>0</v>
      </c>
      <c r="K99" s="48">
        <f t="shared" si="37"/>
        <v>0</v>
      </c>
      <c r="L99" s="48">
        <f t="shared" si="37"/>
        <v>0</v>
      </c>
      <c r="N99" s="287"/>
    </row>
    <row r="100" spans="1:14" hidden="1">
      <c r="A100" s="290">
        <f>ROW()</f>
        <v>100</v>
      </c>
      <c r="B100" s="97" t="s">
        <v>380</v>
      </c>
      <c r="G100" s="48">
        <f t="shared" ref="G100:L100" si="38">IF($C$7="lease",G34,0)</f>
        <v>0</v>
      </c>
      <c r="H100" s="48">
        <f t="shared" si="38"/>
        <v>0</v>
      </c>
      <c r="I100" s="48">
        <f t="shared" si="38"/>
        <v>0</v>
      </c>
      <c r="J100" s="48">
        <f t="shared" si="38"/>
        <v>0</v>
      </c>
      <c r="K100" s="48">
        <f t="shared" si="38"/>
        <v>0</v>
      </c>
      <c r="L100" s="48">
        <f t="shared" si="38"/>
        <v>0</v>
      </c>
      <c r="N100" s="287"/>
    </row>
    <row r="101" spans="1:14" hidden="1">
      <c r="A101" s="290"/>
      <c r="B101" s="97"/>
      <c r="N101" s="287"/>
    </row>
    <row r="103" spans="1:14">
      <c r="M103" s="932"/>
    </row>
    <row r="104" spans="1:14">
      <c r="M104" s="1268"/>
    </row>
  </sheetData>
  <sheetProtection sheet="1" objects="1" scenarios="1"/>
  <mergeCells count="2">
    <mergeCell ref="G2:K2"/>
    <mergeCell ref="G3:K3"/>
  </mergeCells>
  <conditionalFormatting sqref="D1">
    <cfRule type="expression" dxfId="43" priority="3" stopIfTrue="1">
      <formula>MOD(ROW(),2)=0</formula>
    </cfRule>
  </conditionalFormatting>
  <conditionalFormatting sqref="F71:F72">
    <cfRule type="cellIs" dxfId="42" priority="8" stopIfTrue="1" operator="equal">
      <formula>0</formula>
    </cfRule>
  </conditionalFormatting>
  <conditionalFormatting sqref="G57">
    <cfRule type="expression" dxfId="41" priority="6">
      <formula>"'=or(&lt;0.95*Facilities!$I$16,&gt;1.05*Facilities!$I$16,&lt;0.95*Facilities!$I$51,&gt;1.05*Facilities!$I$51)"</formula>
    </cfRule>
    <cfRule type="expression" priority="7">
      <formula>"'=or(&lt;.95*Facilities!$I$16,&gt;1.05*Facilities!$I$16,&lt;.95*Facilities!$I$51,&gt;1.05*Facilities!$I$51)"</formula>
    </cfRule>
  </conditionalFormatting>
  <conditionalFormatting sqref="Z1:Z6">
    <cfRule type="cellIs" dxfId="40" priority="2" stopIfTrue="1" operator="equal">
      <formula>0</formula>
    </cfRule>
  </conditionalFormatting>
  <pageMargins left="0.25" right="0.25" top="0.5" bottom="0.45" header="0.25" footer="0.25"/>
  <pageSetup scale="65" fitToHeight="2" orientation="landscape" r:id="rId1"/>
  <headerFooter>
    <oddHeader xml:space="preserve">&amp;L &amp;C &amp;R </oddHeader>
    <oddFooter>&amp;L&amp;7&amp;D  at &amp;T Mike 702.486.8879&amp;C&amp;7&amp;F  &amp;A&amp;R&amp;7Page &amp;P of &amp;N</oddFooter>
  </headerFooter>
  <rowBreaks count="1" manualBreakCount="1">
    <brk id="53" max="11"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17996-F215-40F2-8028-B50CD1B7968C}">
  <sheetPr codeName="Sheet18">
    <tabColor rgb="FFFFFF99"/>
    <pageSetUpPr fitToPage="1"/>
  </sheetPr>
  <dimension ref="A1:R204"/>
  <sheetViews>
    <sheetView zoomScaleNormal="100" workbookViewId="0">
      <pane ySplit="11" topLeftCell="A65" activePane="bottomLeft" state="frozen"/>
      <selection pane="bottomLeft" activeCell="C149" sqref="C149:D149"/>
    </sheetView>
  </sheetViews>
  <sheetFormatPr defaultColWidth="8.6640625" defaultRowHeight="13.8"/>
  <cols>
    <col min="1" max="1" width="8.33203125" style="32" customWidth="1"/>
    <col min="2" max="2" width="47.6640625" style="32" customWidth="1"/>
    <col min="3" max="3" width="17.6640625" style="32" customWidth="1"/>
    <col min="4" max="4" width="9" style="32" customWidth="1"/>
    <col min="5" max="5" width="8.6640625" style="32" customWidth="1"/>
    <col min="6" max="6" width="15.33203125" style="32" customWidth="1"/>
    <col min="7" max="7" width="16.33203125" style="32" customWidth="1"/>
    <col min="8" max="9" width="21" style="32" customWidth="1"/>
    <col min="10" max="12" width="17" style="32" customWidth="1"/>
    <col min="13" max="16" width="1.33203125" style="32" customWidth="1"/>
    <col min="17" max="17" width="0.44140625" style="32" customWidth="1"/>
    <col min="18" max="18" width="88.6640625" style="257" customWidth="1"/>
    <col min="19" max="19" width="10.6640625" style="32" customWidth="1"/>
    <col min="20" max="20" width="3.6640625" style="32" customWidth="1"/>
    <col min="21" max="21" width="6.33203125" style="32" customWidth="1"/>
    <col min="22" max="22" width="6" style="32" customWidth="1"/>
    <col min="23" max="23" width="5.33203125" style="32" customWidth="1"/>
    <col min="24" max="24" width="6.5546875" style="32" customWidth="1"/>
    <col min="25" max="25" width="17.33203125" style="32" customWidth="1"/>
    <col min="26" max="16384" width="8.6640625" style="32"/>
  </cols>
  <sheetData>
    <row r="1" spans="1:18" ht="17.399999999999999">
      <c r="A1" s="1494" t="s">
        <v>1370</v>
      </c>
      <c r="B1" s="1495"/>
      <c r="D1" s="347"/>
      <c r="P1" s="34"/>
    </row>
    <row r="2" spans="1:18" ht="15.6">
      <c r="A2" s="35" t="str">
        <f>SchoolName</f>
        <v>Pahrump Valley Academy</v>
      </c>
      <c r="B2" s="36"/>
    </row>
    <row r="3" spans="1:18">
      <c r="A3" s="37"/>
      <c r="K3" s="30"/>
    </row>
    <row r="4" spans="1:18">
      <c r="A4" s="38"/>
    </row>
    <row r="5" spans="1:18">
      <c r="A5" s="29"/>
    </row>
    <row r="6" spans="1:18" ht="15.6">
      <c r="A6" s="59"/>
      <c r="D6" s="60" t="s">
        <v>242</v>
      </c>
      <c r="E6" s="60"/>
      <c r="G6" s="221">
        <f>'Cover &amp; Loc'!C11</f>
        <v>2026</v>
      </c>
      <c r="J6" s="60"/>
    </row>
    <row r="7" spans="1:18">
      <c r="A7" s="59"/>
      <c r="D7" s="31" t="s">
        <v>243</v>
      </c>
      <c r="E7" s="31"/>
      <c r="G7" s="31">
        <f>+G6+1</f>
        <v>2027</v>
      </c>
      <c r="J7" s="31"/>
    </row>
    <row r="8" spans="1:18">
      <c r="A8" s="59"/>
      <c r="F8" s="31"/>
      <c r="G8" s="30"/>
    </row>
    <row r="9" spans="1:18">
      <c r="A9" s="59"/>
      <c r="B9" s="30"/>
      <c r="F9" s="1297">
        <v>0</v>
      </c>
      <c r="G9" s="616">
        <v>1</v>
      </c>
      <c r="H9" s="616">
        <f>1+G9</f>
        <v>2</v>
      </c>
      <c r="I9" s="616">
        <f t="shared" ref="I9:L9" si="0">1+H9</f>
        <v>3</v>
      </c>
      <c r="J9" s="616">
        <f t="shared" si="0"/>
        <v>4</v>
      </c>
      <c r="K9" s="616">
        <f t="shared" si="0"/>
        <v>5</v>
      </c>
      <c r="L9" s="958">
        <f t="shared" si="0"/>
        <v>6</v>
      </c>
    </row>
    <row r="10" spans="1:18">
      <c r="A10" s="59"/>
      <c r="D10" s="1856" t="s">
        <v>601</v>
      </c>
      <c r="E10" s="1857"/>
      <c r="F10" s="617">
        <f>+G10-1</f>
        <v>2025</v>
      </c>
      <c r="G10" s="618">
        <f>+G6</f>
        <v>2026</v>
      </c>
      <c r="H10" s="618">
        <f>+G11</f>
        <v>2027</v>
      </c>
      <c r="I10" s="618">
        <f>+H11</f>
        <v>2028</v>
      </c>
      <c r="J10" s="618">
        <f>+I11</f>
        <v>2029</v>
      </c>
      <c r="K10" s="618">
        <f>+J11</f>
        <v>2030</v>
      </c>
      <c r="L10" s="619">
        <f>+K11</f>
        <v>2031</v>
      </c>
    </row>
    <row r="11" spans="1:18" ht="15.6">
      <c r="A11" s="59"/>
      <c r="B11" s="62"/>
      <c r="C11" s="508" t="s">
        <v>244</v>
      </c>
      <c r="D11" s="509"/>
      <c r="E11" s="509"/>
      <c r="F11" s="620">
        <f>+G11-1</f>
        <v>2026</v>
      </c>
      <c r="G11" s="621">
        <f t="shared" ref="G11:L11" si="1">+G10+1</f>
        <v>2027</v>
      </c>
      <c r="H11" s="621">
        <f t="shared" si="1"/>
        <v>2028</v>
      </c>
      <c r="I11" s="621">
        <f t="shared" si="1"/>
        <v>2029</v>
      </c>
      <c r="J11" s="621">
        <f t="shared" si="1"/>
        <v>2030</v>
      </c>
      <c r="K11" s="621">
        <f t="shared" si="1"/>
        <v>2031</v>
      </c>
      <c r="L11" s="622">
        <f t="shared" si="1"/>
        <v>2032</v>
      </c>
    </row>
    <row r="12" spans="1:18" ht="15.6">
      <c r="A12" s="59"/>
      <c r="B12" s="154" t="s">
        <v>602</v>
      </c>
      <c r="D12" s="244"/>
      <c r="E12" s="244"/>
      <c r="F12" s="969"/>
      <c r="G12" s="970"/>
      <c r="H12" s="970"/>
      <c r="I12" s="970"/>
      <c r="J12" s="970"/>
      <c r="K12" s="970"/>
      <c r="L12" s="970"/>
    </row>
    <row r="13" spans="1:18" ht="15.6">
      <c r="A13" s="290">
        <f>ROW()</f>
        <v>13</v>
      </c>
      <c r="B13" s="1704" t="s">
        <v>192</v>
      </c>
      <c r="C13" s="1705"/>
      <c r="D13" s="1705"/>
      <c r="E13" s="1705"/>
      <c r="F13" s="1706"/>
      <c r="G13" s="1707"/>
      <c r="H13" s="1707"/>
      <c r="I13" s="1707"/>
      <c r="J13" s="1707"/>
      <c r="K13" s="1707"/>
      <c r="L13" s="1707"/>
      <c r="R13" s="1426" t="s">
        <v>1253</v>
      </c>
    </row>
    <row r="14" spans="1:18" ht="15.6">
      <c r="A14" s="290">
        <f>ROW()</f>
        <v>14</v>
      </c>
      <c r="B14" s="30" t="s">
        <v>211</v>
      </c>
      <c r="F14" s="492"/>
      <c r="G14" s="523"/>
      <c r="H14" s="523"/>
      <c r="I14" s="523"/>
      <c r="J14" s="523"/>
      <c r="K14" s="523"/>
      <c r="L14" s="523"/>
      <c r="R14" s="394"/>
    </row>
    <row r="15" spans="1:18">
      <c r="A15" s="290">
        <f>ROW()</f>
        <v>15</v>
      </c>
      <c r="B15" s="122" t="s">
        <v>212</v>
      </c>
      <c r="C15" s="104"/>
      <c r="D15" s="104"/>
      <c r="E15" s="104"/>
      <c r="F15" s="524">
        <f>' Enrol &amp; Rev'!F17</f>
        <v>0</v>
      </c>
      <c r="G15" s="1235">
        <f>' Enrol &amp; Rev'!G17</f>
        <v>6</v>
      </c>
      <c r="H15" s="1235">
        <f>' Enrol &amp; Rev'!H17</f>
        <v>7</v>
      </c>
      <c r="I15" s="1235">
        <f>' Enrol &amp; Rev'!I17</f>
        <v>8</v>
      </c>
      <c r="J15" s="1235">
        <f>' Enrol &amp; Rev'!J17</f>
        <v>9</v>
      </c>
      <c r="K15" s="1235">
        <f>' Enrol &amp; Rev'!K17</f>
        <v>9</v>
      </c>
      <c r="L15" s="1235">
        <f>' Enrol &amp; Rev'!L17</f>
        <v>9</v>
      </c>
      <c r="R15" s="287"/>
    </row>
    <row r="16" spans="1:18">
      <c r="A16" s="290">
        <f>ROW()</f>
        <v>16</v>
      </c>
      <c r="B16" s="1567" t="s">
        <v>213</v>
      </c>
      <c r="C16" s="1565"/>
      <c r="D16" s="1565"/>
      <c r="E16" s="1565"/>
      <c r="F16" s="1708">
        <f>' Enrol &amp; Rev'!F19</f>
        <v>0</v>
      </c>
      <c r="G16" s="1709">
        <f>' Enrol &amp; Rev'!G19</f>
        <v>11</v>
      </c>
      <c r="H16" s="1709">
        <f>' Enrol &amp; Rev'!H19</f>
        <v>14</v>
      </c>
      <c r="I16" s="1709">
        <f>' Enrol &amp; Rev'!I19</f>
        <v>16</v>
      </c>
      <c r="J16" s="1709">
        <f>' Enrol &amp; Rev'!J19</f>
        <v>18</v>
      </c>
      <c r="K16" s="1709">
        <f>' Enrol &amp; Rev'!K19</f>
        <v>18</v>
      </c>
      <c r="L16" s="1709">
        <f>' Enrol &amp; Rev'!L19</f>
        <v>18</v>
      </c>
      <c r="R16" s="287"/>
    </row>
    <row r="17" spans="1:18" ht="14.1" hidden="1" customHeight="1">
      <c r="A17" s="290">
        <f>ROW()</f>
        <v>17</v>
      </c>
      <c r="B17" s="39"/>
      <c r="C17" s="256"/>
      <c r="D17" s="256"/>
      <c r="E17" s="256"/>
      <c r="F17" s="503"/>
      <c r="G17" s="503"/>
      <c r="H17" s="503"/>
      <c r="I17" s="503"/>
      <c r="J17" s="503"/>
      <c r="K17" s="503"/>
      <c r="L17" s="503"/>
      <c r="R17" s="287"/>
    </row>
    <row r="18" spans="1:18" ht="14.1" hidden="1" customHeight="1">
      <c r="A18" s="290">
        <f>ROW()</f>
        <v>18</v>
      </c>
      <c r="B18" s="971" t="s">
        <v>214</v>
      </c>
      <c r="C18" s="306"/>
      <c r="D18" s="306"/>
      <c r="E18" s="306"/>
      <c r="F18" s="493">
        <f>' Enrol &amp; Rev'!F23</f>
        <v>0</v>
      </c>
      <c r="G18" s="493">
        <f>' Enrol &amp; Rev'!G23</f>
        <v>50</v>
      </c>
      <c r="H18" s="493">
        <f>' Enrol &amp; Rev'!H23</f>
        <v>50</v>
      </c>
      <c r="I18" s="493">
        <f>' Enrol &amp; Rev'!I23</f>
        <v>50</v>
      </c>
      <c r="J18" s="493">
        <f>' Enrol &amp; Rev'!J23</f>
        <v>50</v>
      </c>
      <c r="K18" s="493">
        <f>' Enrol &amp; Rev'!K23</f>
        <v>50</v>
      </c>
      <c r="L18" s="493">
        <f>' Enrol &amp; Rev'!L23</f>
        <v>50</v>
      </c>
      <c r="R18" s="287"/>
    </row>
    <row r="19" spans="1:18" ht="14.1" hidden="1" customHeight="1">
      <c r="A19" s="290">
        <f>ROW()</f>
        <v>19</v>
      </c>
      <c r="B19" s="307" t="s">
        <v>215</v>
      </c>
      <c r="C19" s="306"/>
      <c r="D19" s="306"/>
      <c r="E19" s="306"/>
      <c r="F19" s="494">
        <f>' Enrol &amp; Rev'!F24</f>
        <v>0</v>
      </c>
      <c r="G19" s="494">
        <f>' Enrol &amp; Rev'!G24</f>
        <v>50</v>
      </c>
      <c r="H19" s="494">
        <f>' Enrol &amp; Rev'!H24</f>
        <v>50</v>
      </c>
      <c r="I19" s="494">
        <f>' Enrol &amp; Rev'!I24</f>
        <v>50</v>
      </c>
      <c r="J19" s="494">
        <f>' Enrol &amp; Rev'!J24</f>
        <v>50</v>
      </c>
      <c r="K19" s="494">
        <f>' Enrol &amp; Rev'!K24</f>
        <v>50</v>
      </c>
      <c r="L19" s="494">
        <f>' Enrol &amp; Rev'!L24</f>
        <v>50</v>
      </c>
      <c r="R19" s="287"/>
    </row>
    <row r="20" spans="1:18" ht="14.1" hidden="1" customHeight="1">
      <c r="A20" s="290">
        <f>ROW()</f>
        <v>20</v>
      </c>
      <c r="B20" s="307" t="s">
        <v>216</v>
      </c>
      <c r="C20" s="306"/>
      <c r="D20" s="306"/>
      <c r="E20" s="306"/>
      <c r="F20" s="494">
        <f>' Enrol &amp; Rev'!F25</f>
        <v>0</v>
      </c>
      <c r="G20" s="495">
        <f>' Enrol &amp; Rev'!G25</f>
        <v>50</v>
      </c>
      <c r="H20" s="495">
        <f>' Enrol &amp; Rev'!H25</f>
        <v>50</v>
      </c>
      <c r="I20" s="495">
        <f>' Enrol &amp; Rev'!I25</f>
        <v>50</v>
      </c>
      <c r="J20" s="495">
        <f>' Enrol &amp; Rev'!J25</f>
        <v>50</v>
      </c>
      <c r="K20" s="495">
        <f>' Enrol &amp; Rev'!K25</f>
        <v>50</v>
      </c>
      <c r="L20" s="495">
        <f>' Enrol &amp; Rev'!L25</f>
        <v>50</v>
      </c>
      <c r="R20" s="287"/>
    </row>
    <row r="21" spans="1:18" ht="14.1" hidden="1" customHeight="1">
      <c r="A21" s="290">
        <f>ROW()</f>
        <v>21</v>
      </c>
      <c r="B21" s="307" t="s">
        <v>217</v>
      </c>
      <c r="C21" s="306"/>
      <c r="D21" s="306"/>
      <c r="E21" s="306"/>
      <c r="F21" s="496">
        <f>' Enrol &amp; Rev'!F26</f>
        <v>0</v>
      </c>
      <c r="G21" s="497">
        <f>' Enrol &amp; Rev'!G26</f>
        <v>50</v>
      </c>
      <c r="H21" s="497">
        <f>' Enrol &amp; Rev'!H26</f>
        <v>50</v>
      </c>
      <c r="I21" s="497">
        <f>' Enrol &amp; Rev'!I26</f>
        <v>50</v>
      </c>
      <c r="J21" s="497">
        <f>' Enrol &amp; Rev'!J26</f>
        <v>50</v>
      </c>
      <c r="K21" s="497">
        <f>' Enrol &amp; Rev'!K26</f>
        <v>50</v>
      </c>
      <c r="L21" s="497">
        <f>' Enrol &amp; Rev'!L26</f>
        <v>50</v>
      </c>
      <c r="R21" s="287"/>
    </row>
    <row r="22" spans="1:18" ht="14.1" hidden="1" customHeight="1">
      <c r="A22" s="290">
        <f>ROW()</f>
        <v>22</v>
      </c>
      <c r="B22" s="307" t="s">
        <v>218</v>
      </c>
      <c r="C22" s="306"/>
      <c r="D22" s="306"/>
      <c r="E22" s="306"/>
      <c r="F22" s="496">
        <f>' Enrol &amp; Rev'!F27</f>
        <v>0</v>
      </c>
      <c r="G22" s="497">
        <f>' Enrol &amp; Rev'!G27</f>
        <v>50</v>
      </c>
      <c r="H22" s="497">
        <f>' Enrol &amp; Rev'!H27</f>
        <v>50</v>
      </c>
      <c r="I22" s="497">
        <f>' Enrol &amp; Rev'!I27</f>
        <v>50</v>
      </c>
      <c r="J22" s="497">
        <f>' Enrol &amp; Rev'!J27</f>
        <v>50</v>
      </c>
      <c r="K22" s="497">
        <f>' Enrol &amp; Rev'!K27</f>
        <v>50</v>
      </c>
      <c r="L22" s="497">
        <f>' Enrol &amp; Rev'!L27</f>
        <v>50</v>
      </c>
    </row>
    <row r="23" spans="1:18" hidden="1">
      <c r="A23" s="290">
        <f>ROW()</f>
        <v>23</v>
      </c>
      <c r="B23" s="307" t="s">
        <v>219</v>
      </c>
      <c r="C23" s="306"/>
      <c r="D23" s="306"/>
      <c r="E23" s="306"/>
      <c r="F23" s="496">
        <f>' Enrol &amp; Rev'!F28</f>
        <v>0</v>
      </c>
      <c r="G23" s="496">
        <f>' Enrol &amp; Rev'!G28</f>
        <v>25</v>
      </c>
      <c r="H23" s="496">
        <f>' Enrol &amp; Rev'!H28</f>
        <v>50</v>
      </c>
      <c r="I23" s="496">
        <f>' Enrol &amp; Rev'!I28</f>
        <v>50</v>
      </c>
      <c r="J23" s="496">
        <f>' Enrol &amp; Rev'!J28</f>
        <v>50</v>
      </c>
      <c r="K23" s="496">
        <f>' Enrol &amp; Rev'!K28</f>
        <v>50</v>
      </c>
      <c r="L23" s="496">
        <f>' Enrol &amp; Rev'!L28</f>
        <v>50</v>
      </c>
    </row>
    <row r="24" spans="1:18" hidden="1">
      <c r="A24" s="290">
        <f>ROW()</f>
        <v>24</v>
      </c>
      <c r="B24" s="307" t="s">
        <v>220</v>
      </c>
      <c r="C24" s="306"/>
      <c r="D24" s="306"/>
      <c r="E24" s="306"/>
      <c r="F24" s="496">
        <f>' Enrol &amp; Rev'!F29</f>
        <v>0</v>
      </c>
      <c r="G24" s="496">
        <f>' Enrol &amp; Rev'!G29</f>
        <v>0</v>
      </c>
      <c r="H24" s="498">
        <f>' Enrol &amp; Rev'!H29</f>
        <v>50</v>
      </c>
      <c r="I24" s="498">
        <f>' Enrol &amp; Rev'!I29</f>
        <v>50</v>
      </c>
      <c r="J24" s="498">
        <f>' Enrol &amp; Rev'!J29</f>
        <v>50</v>
      </c>
      <c r="K24" s="498">
        <f>' Enrol &amp; Rev'!K29</f>
        <v>50</v>
      </c>
      <c r="L24" s="498">
        <f>' Enrol &amp; Rev'!L29</f>
        <v>50</v>
      </c>
    </row>
    <row r="25" spans="1:18" hidden="1">
      <c r="A25" s="290">
        <f>ROW()</f>
        <v>25</v>
      </c>
      <c r="B25" s="307" t="s">
        <v>221</v>
      </c>
      <c r="C25" s="306"/>
      <c r="D25" s="306"/>
      <c r="E25" s="306"/>
      <c r="F25" s="496">
        <f>' Enrol &amp; Rev'!F30</f>
        <v>0</v>
      </c>
      <c r="G25" s="496">
        <f>' Enrol &amp; Rev'!G30</f>
        <v>0</v>
      </c>
      <c r="H25" s="498">
        <f>' Enrol &amp; Rev'!H30</f>
        <v>0</v>
      </c>
      <c r="I25" s="498">
        <f>' Enrol &amp; Rev'!I30</f>
        <v>50</v>
      </c>
      <c r="J25" s="498">
        <f>' Enrol &amp; Rev'!J30</f>
        <v>50</v>
      </c>
      <c r="K25" s="498">
        <f>' Enrol &amp; Rev'!K30</f>
        <v>50</v>
      </c>
      <c r="L25" s="498">
        <f>' Enrol &amp; Rev'!L30</f>
        <v>50</v>
      </c>
    </row>
    <row r="26" spans="1:18" hidden="1">
      <c r="A26" s="290">
        <f>ROW()</f>
        <v>26</v>
      </c>
      <c r="B26" s="307" t="s">
        <v>222</v>
      </c>
      <c r="C26" s="306"/>
      <c r="D26" s="306"/>
      <c r="E26" s="306"/>
      <c r="F26" s="496">
        <f>' Enrol &amp; Rev'!F31</f>
        <v>0</v>
      </c>
      <c r="G26" s="496">
        <f>' Enrol &amp; Rev'!G31</f>
        <v>0</v>
      </c>
      <c r="H26" s="498">
        <f>' Enrol &amp; Rev'!H31</f>
        <v>0</v>
      </c>
      <c r="I26" s="498">
        <f>' Enrol &amp; Rev'!I31</f>
        <v>0</v>
      </c>
      <c r="J26" s="498">
        <f>' Enrol &amp; Rev'!J31</f>
        <v>50</v>
      </c>
      <c r="K26" s="498">
        <f>' Enrol &amp; Rev'!K31</f>
        <v>50</v>
      </c>
      <c r="L26" s="498">
        <f>' Enrol &amp; Rev'!L31</f>
        <v>50</v>
      </c>
    </row>
    <row r="27" spans="1:18" hidden="1">
      <c r="A27" s="290">
        <f>ROW()</f>
        <v>27</v>
      </c>
      <c r="B27" s="307" t="s">
        <v>223</v>
      </c>
      <c r="C27" s="306"/>
      <c r="D27" s="306"/>
      <c r="E27" s="306"/>
      <c r="F27" s="496">
        <f>' Enrol &amp; Rev'!F32</f>
        <v>0</v>
      </c>
      <c r="G27" s="496">
        <f>' Enrol &amp; Rev'!G32</f>
        <v>0</v>
      </c>
      <c r="H27" s="498">
        <f>' Enrol &amp; Rev'!H32</f>
        <v>0</v>
      </c>
      <c r="I27" s="498">
        <f>' Enrol &amp; Rev'!I32</f>
        <v>0</v>
      </c>
      <c r="J27" s="498">
        <f>' Enrol &amp; Rev'!J32</f>
        <v>0</v>
      </c>
      <c r="K27" s="498">
        <f>' Enrol &amp; Rev'!K32</f>
        <v>0</v>
      </c>
      <c r="L27" s="498">
        <f>' Enrol &amp; Rev'!L32</f>
        <v>0</v>
      </c>
    </row>
    <row r="28" spans="1:18" hidden="1">
      <c r="A28" s="290">
        <f>ROW()</f>
        <v>28</v>
      </c>
      <c r="B28" s="307" t="s">
        <v>224</v>
      </c>
      <c r="C28" s="306"/>
      <c r="D28" s="306"/>
      <c r="E28" s="306"/>
      <c r="F28" s="496">
        <f>' Enrol &amp; Rev'!F33</f>
        <v>0</v>
      </c>
      <c r="G28" s="496">
        <f>' Enrol &amp; Rev'!G33</f>
        <v>0</v>
      </c>
      <c r="H28" s="498">
        <f>' Enrol &amp; Rev'!H33</f>
        <v>0</v>
      </c>
      <c r="I28" s="498">
        <f>' Enrol &amp; Rev'!I33</f>
        <v>0</v>
      </c>
      <c r="J28" s="498">
        <f>' Enrol &amp; Rev'!J33</f>
        <v>0</v>
      </c>
      <c r="K28" s="498">
        <f>' Enrol &amp; Rev'!K33</f>
        <v>0</v>
      </c>
      <c r="L28" s="498">
        <f>' Enrol &amp; Rev'!L33</f>
        <v>0</v>
      </c>
    </row>
    <row r="29" spans="1:18" hidden="1">
      <c r="A29" s="290">
        <f>ROW()</f>
        <v>29</v>
      </c>
      <c r="B29" s="307" t="s">
        <v>225</v>
      </c>
      <c r="C29" s="306"/>
      <c r="D29" s="306"/>
      <c r="E29" s="306"/>
      <c r="F29" s="496">
        <f>' Enrol &amp; Rev'!F34</f>
        <v>0</v>
      </c>
      <c r="G29" s="496">
        <f>' Enrol &amp; Rev'!G34</f>
        <v>0</v>
      </c>
      <c r="H29" s="498">
        <f>' Enrol &amp; Rev'!H34</f>
        <v>0</v>
      </c>
      <c r="I29" s="498">
        <f>' Enrol &amp; Rev'!I34</f>
        <v>0</v>
      </c>
      <c r="J29" s="498">
        <f>' Enrol &amp; Rev'!J34</f>
        <v>0</v>
      </c>
      <c r="K29" s="498">
        <f>' Enrol &amp; Rev'!K34</f>
        <v>0</v>
      </c>
      <c r="L29" s="498">
        <f>' Enrol &amp; Rev'!L34</f>
        <v>0</v>
      </c>
    </row>
    <row r="30" spans="1:18" hidden="1">
      <c r="A30" s="290">
        <f>ROW()</f>
        <v>30</v>
      </c>
      <c r="B30" s="307" t="s">
        <v>226</v>
      </c>
      <c r="C30" s="306"/>
      <c r="D30" s="306"/>
      <c r="E30" s="306"/>
      <c r="F30" s="499">
        <f>' Enrol &amp; Rev'!F35</f>
        <v>0</v>
      </c>
      <c r="G30" s="499">
        <f>' Enrol &amp; Rev'!G35</f>
        <v>0</v>
      </c>
      <c r="H30" s="500">
        <f>' Enrol &amp; Rev'!H35</f>
        <v>0</v>
      </c>
      <c r="I30" s="500">
        <f>' Enrol &amp; Rev'!I35</f>
        <v>0</v>
      </c>
      <c r="J30" s="500">
        <f>' Enrol &amp; Rev'!J35</f>
        <v>0</v>
      </c>
      <c r="K30" s="500">
        <f>' Enrol &amp; Rev'!K35</f>
        <v>0</v>
      </c>
      <c r="L30" s="500">
        <f>' Enrol &amp; Rev'!L35</f>
        <v>0</v>
      </c>
    </row>
    <row r="31" spans="1:18" ht="15.6">
      <c r="A31" s="290">
        <f>ROW()</f>
        <v>31</v>
      </c>
      <c r="B31" s="525" t="s">
        <v>227</v>
      </c>
      <c r="C31" s="395"/>
      <c r="D31" s="395"/>
      <c r="E31" s="395"/>
      <c r="F31" s="380"/>
      <c r="G31" s="1234">
        <f t="shared" ref="G31:L31" si="2">SUM(G18:G30)</f>
        <v>275</v>
      </c>
      <c r="H31" s="1234">
        <f t="shared" si="2"/>
        <v>350</v>
      </c>
      <c r="I31" s="1234">
        <f t="shared" si="2"/>
        <v>400</v>
      </c>
      <c r="J31" s="1234">
        <f t="shared" si="2"/>
        <v>450</v>
      </c>
      <c r="K31" s="1234">
        <f t="shared" si="2"/>
        <v>450</v>
      </c>
      <c r="L31" s="1234">
        <f t="shared" si="2"/>
        <v>450</v>
      </c>
      <c r="R31" s="287"/>
    </row>
    <row r="32" spans="1:18">
      <c r="A32" s="290">
        <f>ROW()</f>
        <v>32</v>
      </c>
      <c r="B32" s="66" t="s">
        <v>603</v>
      </c>
      <c r="C32" s="66"/>
      <c r="D32" s="66"/>
      <c r="E32" s="66"/>
      <c r="F32" s="381"/>
      <c r="G32" s="1248">
        <f>IFERROR(G31/G16,0)</f>
        <v>25</v>
      </c>
      <c r="H32" s="1248">
        <f t="shared" ref="H32:L32" si="3">IFERROR(H31/H16,0)</f>
        <v>25</v>
      </c>
      <c r="I32" s="1248">
        <f t="shared" si="3"/>
        <v>25</v>
      </c>
      <c r="J32" s="1248">
        <f t="shared" si="3"/>
        <v>25</v>
      </c>
      <c r="K32" s="1248">
        <f t="shared" si="3"/>
        <v>25</v>
      </c>
      <c r="L32" s="1248">
        <f t="shared" si="3"/>
        <v>25</v>
      </c>
      <c r="R32" s="287"/>
    </row>
    <row r="33" spans="1:18">
      <c r="A33" s="290">
        <f>ROW()</f>
        <v>33</v>
      </c>
      <c r="B33" s="378" t="s">
        <v>252</v>
      </c>
      <c r="C33" s="66"/>
      <c r="D33" s="66"/>
      <c r="E33" s="66"/>
      <c r="F33" s="1245">
        <f>' Enrol &amp; Rev'!F44</f>
        <v>0</v>
      </c>
      <c r="G33" s="1250">
        <f>' Enrol &amp; Rev'!G44</f>
        <v>0.85</v>
      </c>
      <c r="H33" s="1250">
        <f>' Enrol &amp; Rev'!H44</f>
        <v>0.85</v>
      </c>
      <c r="I33" s="1250">
        <f>' Enrol &amp; Rev'!I44</f>
        <v>0.85</v>
      </c>
      <c r="J33" s="1250">
        <f>' Enrol &amp; Rev'!J44</f>
        <v>0.85</v>
      </c>
      <c r="K33" s="1250">
        <f>' Enrol &amp; Rev'!K44</f>
        <v>0.85</v>
      </c>
      <c r="L33" s="1250">
        <f>' Enrol &amp; Rev'!L44</f>
        <v>0.85</v>
      </c>
      <c r="R33" s="287"/>
    </row>
    <row r="34" spans="1:18">
      <c r="A34" s="290">
        <f>ROW()</f>
        <v>34</v>
      </c>
      <c r="B34" s="378" t="s">
        <v>604</v>
      </c>
      <c r="C34" s="66"/>
      <c r="D34" s="66"/>
      <c r="E34" s="66"/>
      <c r="F34" s="382"/>
      <c r="G34" s="501">
        <f t="shared" ref="G34:L34" si="4">+G31*(1-G33)</f>
        <v>41.250000000000007</v>
      </c>
      <c r="H34" s="501">
        <f t="shared" si="4"/>
        <v>52.500000000000007</v>
      </c>
      <c r="I34" s="501">
        <f t="shared" si="4"/>
        <v>60.000000000000007</v>
      </c>
      <c r="J34" s="501">
        <f t="shared" si="4"/>
        <v>67.500000000000014</v>
      </c>
      <c r="K34" s="501">
        <f t="shared" si="4"/>
        <v>67.500000000000014</v>
      </c>
      <c r="L34" s="501">
        <f t="shared" si="4"/>
        <v>67.500000000000014</v>
      </c>
      <c r="R34" s="287"/>
    </row>
    <row r="35" spans="1:18">
      <c r="A35" s="290">
        <f>ROW()</f>
        <v>35</v>
      </c>
      <c r="B35" s="378"/>
      <c r="C35" s="66"/>
      <c r="D35" s="66"/>
      <c r="E35" s="66"/>
      <c r="F35" s="382"/>
      <c r="G35" s="501"/>
      <c r="H35" s="501"/>
      <c r="I35" s="501"/>
      <c r="J35" s="501"/>
      <c r="K35" s="501"/>
      <c r="L35" s="501"/>
      <c r="R35" s="287"/>
    </row>
    <row r="36" spans="1:18">
      <c r="A36" s="290">
        <f>ROW()</f>
        <v>36</v>
      </c>
      <c r="B36" s="66" t="s">
        <v>1227</v>
      </c>
      <c r="C36" s="66"/>
      <c r="D36" s="66"/>
      <c r="E36" s="66"/>
      <c r="F36" s="1245">
        <f>' Enrol &amp; Rev'!F92</f>
        <v>0</v>
      </c>
      <c r="G36" s="1250">
        <f>' Enrol &amp; Rev'!G92</f>
        <v>0.24</v>
      </c>
      <c r="H36" s="1250">
        <f>' Enrol &amp; Rev'!H92</f>
        <v>0.24</v>
      </c>
      <c r="I36" s="1250">
        <f>' Enrol &amp; Rev'!I92</f>
        <v>0.24</v>
      </c>
      <c r="J36" s="1250">
        <f>' Enrol &amp; Rev'!J92</f>
        <v>0.24</v>
      </c>
      <c r="K36" s="1250">
        <f>' Enrol &amp; Rev'!K92</f>
        <v>0.24</v>
      </c>
      <c r="L36" s="1250">
        <f>' Enrol &amp; Rev'!L92</f>
        <v>0.24</v>
      </c>
      <c r="R36" s="287"/>
    </row>
    <row r="37" spans="1:18">
      <c r="A37" s="290">
        <f>ROW()</f>
        <v>37</v>
      </c>
      <c r="B37" s="66" t="s">
        <v>1228</v>
      </c>
      <c r="C37" s="66"/>
      <c r="D37" s="66"/>
      <c r="E37" s="66"/>
      <c r="F37" s="1246"/>
      <c r="G37" s="502">
        <f t="shared" ref="G37:L37" si="5">+G$31*G36</f>
        <v>66</v>
      </c>
      <c r="H37" s="502">
        <f t="shared" si="5"/>
        <v>84</v>
      </c>
      <c r="I37" s="502">
        <f t="shared" si="5"/>
        <v>96</v>
      </c>
      <c r="J37" s="502">
        <f t="shared" si="5"/>
        <v>108</v>
      </c>
      <c r="K37" s="502">
        <f t="shared" si="5"/>
        <v>108</v>
      </c>
      <c r="L37" s="502">
        <f t="shared" si="5"/>
        <v>108</v>
      </c>
      <c r="R37" s="287"/>
    </row>
    <row r="38" spans="1:18">
      <c r="A38" s="290">
        <f>ROW()</f>
        <v>38</v>
      </c>
      <c r="B38" s="66" t="s">
        <v>286</v>
      </c>
      <c r="C38" s="66"/>
      <c r="D38" s="66"/>
      <c r="E38" s="66"/>
      <c r="F38" s="1245">
        <f>' Enrol &amp; Rev'!F93</f>
        <v>0</v>
      </c>
      <c r="G38" s="1250">
        <f>' Enrol &amp; Rev'!G93</f>
        <v>7.3999999999999996E-2</v>
      </c>
      <c r="H38" s="1250">
        <f>' Enrol &amp; Rev'!H93</f>
        <v>7.3999999999999996E-2</v>
      </c>
      <c r="I38" s="1250">
        <f>' Enrol &amp; Rev'!I93</f>
        <v>7.3999999999999996E-2</v>
      </c>
      <c r="J38" s="1250">
        <f>' Enrol &amp; Rev'!J93</f>
        <v>7.3999999999999996E-2</v>
      </c>
      <c r="K38" s="1250">
        <f>' Enrol &amp; Rev'!K93</f>
        <v>7.3999999999999996E-2</v>
      </c>
      <c r="L38" s="1250">
        <f>' Enrol &amp; Rev'!L93</f>
        <v>7.3999999999999996E-2</v>
      </c>
      <c r="R38" s="287"/>
    </row>
    <row r="39" spans="1:18">
      <c r="A39" s="290">
        <f>ROW()</f>
        <v>39</v>
      </c>
      <c r="B39" s="66" t="s">
        <v>605</v>
      </c>
      <c r="C39" s="66"/>
      <c r="D39" s="66"/>
      <c r="E39" s="66"/>
      <c r="F39" s="1246"/>
      <c r="G39" s="502">
        <f t="shared" ref="G39:L39" si="6">+G$31*G38</f>
        <v>20.349999999999998</v>
      </c>
      <c r="H39" s="502">
        <f t="shared" si="6"/>
        <v>25.9</v>
      </c>
      <c r="I39" s="502">
        <f t="shared" si="6"/>
        <v>29.599999999999998</v>
      </c>
      <c r="J39" s="502">
        <f t="shared" si="6"/>
        <v>33.299999999999997</v>
      </c>
      <c r="K39" s="502">
        <f t="shared" si="6"/>
        <v>33.299999999999997</v>
      </c>
      <c r="L39" s="502">
        <f t="shared" si="6"/>
        <v>33.299999999999997</v>
      </c>
      <c r="R39" s="287"/>
    </row>
    <row r="40" spans="1:18">
      <c r="A40" s="290">
        <f>ROW()</f>
        <v>40</v>
      </c>
      <c r="B40" s="66" t="s">
        <v>287</v>
      </c>
      <c r="C40" s="66"/>
      <c r="D40" s="66"/>
      <c r="E40" s="66"/>
      <c r="F40" s="1245">
        <f>' Enrol &amp; Rev'!F94</f>
        <v>0</v>
      </c>
      <c r="G40" s="1250">
        <f>' Enrol &amp; Rev'!G94</f>
        <v>0.126</v>
      </c>
      <c r="H40" s="1250">
        <f>' Enrol &amp; Rev'!H94</f>
        <v>0.126</v>
      </c>
      <c r="I40" s="1250">
        <f>' Enrol &amp; Rev'!I94</f>
        <v>0.126</v>
      </c>
      <c r="J40" s="1250">
        <f>' Enrol &amp; Rev'!J94</f>
        <v>0.126</v>
      </c>
      <c r="K40" s="1250">
        <f>' Enrol &amp; Rev'!K94</f>
        <v>0.126</v>
      </c>
      <c r="L40" s="1250">
        <f>' Enrol &amp; Rev'!L94</f>
        <v>0.126</v>
      </c>
      <c r="R40" s="287"/>
    </row>
    <row r="41" spans="1:18">
      <c r="A41" s="290">
        <f>ROW()</f>
        <v>41</v>
      </c>
      <c r="B41" s="66" t="s">
        <v>288</v>
      </c>
      <c r="C41" s="66"/>
      <c r="D41" s="66"/>
      <c r="E41" s="66"/>
      <c r="F41" s="1246"/>
      <c r="G41" s="502">
        <f t="shared" ref="G41:L41" si="7">+G$31*G40</f>
        <v>34.65</v>
      </c>
      <c r="H41" s="502">
        <f t="shared" si="7"/>
        <v>44.1</v>
      </c>
      <c r="I41" s="502">
        <f t="shared" si="7"/>
        <v>50.4</v>
      </c>
      <c r="J41" s="502">
        <f t="shared" si="7"/>
        <v>56.7</v>
      </c>
      <c r="K41" s="502">
        <f t="shared" si="7"/>
        <v>56.7</v>
      </c>
      <c r="L41" s="502">
        <f t="shared" si="7"/>
        <v>56.7</v>
      </c>
      <c r="R41" s="287"/>
    </row>
    <row r="42" spans="1:18">
      <c r="A42" s="290">
        <f>ROW()</f>
        <v>42</v>
      </c>
      <c r="B42" s="66"/>
      <c r="C42" s="66"/>
      <c r="D42" s="66"/>
      <c r="E42" s="66"/>
      <c r="F42" s="1247"/>
      <c r="G42" s="1251"/>
      <c r="H42" s="1251"/>
      <c r="I42" s="1251"/>
      <c r="J42" s="1251"/>
      <c r="K42" s="1251"/>
      <c r="L42" s="1251"/>
      <c r="R42" s="287"/>
    </row>
    <row r="43" spans="1:18" hidden="1">
      <c r="A43" s="290">
        <f>ROW()</f>
        <v>43</v>
      </c>
      <c r="B43" s="66"/>
      <c r="C43" s="66"/>
      <c r="D43" s="66"/>
      <c r="E43" s="66"/>
      <c r="F43" s="383"/>
      <c r="G43" s="1249"/>
      <c r="H43" s="1249"/>
      <c r="I43" s="1249"/>
      <c r="J43" s="1249"/>
      <c r="K43" s="1249"/>
      <c r="L43" s="1249"/>
      <c r="R43" s="287"/>
    </row>
    <row r="44" spans="1:18" hidden="1">
      <c r="A44" s="290">
        <f>ROW()</f>
        <v>44</v>
      </c>
      <c r="B44" s="445"/>
      <c r="C44" s="445"/>
      <c r="D44" s="445"/>
      <c r="E44" s="445"/>
      <c r="F44" s="446"/>
      <c r="G44" s="526"/>
      <c r="H44" s="526"/>
      <c r="I44" s="526"/>
      <c r="J44" s="527"/>
      <c r="K44" s="527"/>
      <c r="L44" s="527"/>
      <c r="M44" s="70"/>
      <c r="N44" s="70"/>
      <c r="O44" s="70"/>
      <c r="P44" s="70"/>
      <c r="Q44" s="70"/>
      <c r="R44" s="287"/>
    </row>
    <row r="45" spans="1:18" ht="15.6">
      <c r="A45" s="290">
        <f>ROW()</f>
        <v>45</v>
      </c>
      <c r="B45" s="449" t="s">
        <v>102</v>
      </c>
      <c r="C45" s="395">
        <f t="shared" ref="C45" si="8">SUM(G45:L45)</f>
        <v>30850600.329303101</v>
      </c>
      <c r="D45" s="395"/>
      <c r="E45" s="395"/>
      <c r="F45" s="528">
        <f>' Enrol &amp; Rev'!F145</f>
        <v>0</v>
      </c>
      <c r="G45" s="529">
        <f>' Enrol &amp; Rev'!G145</f>
        <v>3377599.6375000002</v>
      </c>
      <c r="H45" s="529">
        <f>' Enrol &amp; Rev'!H145</f>
        <v>4550328.4095433</v>
      </c>
      <c r="I45" s="529">
        <f>' Enrol &amp; Rev'!I145</f>
        <v>5222587.0439642007</v>
      </c>
      <c r="J45" s="529">
        <f>' Enrol &amp; Rev'!J145</f>
        <v>5879297.4752447996</v>
      </c>
      <c r="K45" s="529">
        <f>' Enrol &amp; Rev'!K145</f>
        <v>5910393.8815254001</v>
      </c>
      <c r="L45" s="529">
        <f>' Enrol &amp; Rev'!L145</f>
        <v>5910393.8815254001</v>
      </c>
      <c r="R45" s="287"/>
    </row>
    <row r="46" spans="1:18" ht="15.6">
      <c r="A46" s="290">
        <f>ROW()</f>
        <v>46</v>
      </c>
      <c r="B46" s="66" t="s">
        <v>606</v>
      </c>
      <c r="C46" s="377"/>
      <c r="D46" s="377"/>
      <c r="E46" s="377"/>
      <c r="F46" s="380"/>
      <c r="G46" s="379">
        <f t="shared" ref="G46:L46" si="9">IFERROR(G45/G31,0)</f>
        <v>12282.1805</v>
      </c>
      <c r="H46" s="379">
        <f t="shared" si="9"/>
        <v>13000.938312980858</v>
      </c>
      <c r="I46" s="379">
        <f t="shared" si="9"/>
        <v>13056.467609910502</v>
      </c>
      <c r="J46" s="379">
        <f t="shared" si="9"/>
        <v>13065.105500543999</v>
      </c>
      <c r="K46" s="379">
        <f t="shared" si="9"/>
        <v>13134.208625612</v>
      </c>
      <c r="L46" s="379">
        <f t="shared" si="9"/>
        <v>13134.208625612</v>
      </c>
      <c r="R46" s="287"/>
    </row>
    <row r="47" spans="1:18" ht="15.6">
      <c r="A47" s="290">
        <f>ROW()</f>
        <v>47</v>
      </c>
      <c r="B47" s="66" t="s">
        <v>607</v>
      </c>
      <c r="C47" s="377">
        <f>SUM(G47:L47)</f>
        <v>3403271.5092225429</v>
      </c>
      <c r="D47" s="377"/>
      <c r="E47" s="377"/>
      <c r="F47" s="380">
        <f>Levers!C16</f>
        <v>0</v>
      </c>
      <c r="G47" s="379">
        <f>Levers!D16</f>
        <v>392656.52250000002</v>
      </c>
      <c r="H47" s="379">
        <f>Levers!E16</f>
        <v>479286.0099</v>
      </c>
      <c r="I47" s="379">
        <f>Levers!F16</f>
        <v>552702.59539199993</v>
      </c>
      <c r="J47" s="379">
        <f>Levers!G16</f>
        <v>635190.94587492</v>
      </c>
      <c r="K47" s="379">
        <f>Levers!H16</f>
        <v>647784.35671209847</v>
      </c>
      <c r="L47" s="379">
        <f>Levers!I16</f>
        <v>695651.07884352445</v>
      </c>
      <c r="R47" s="287"/>
    </row>
    <row r="48" spans="1:18" ht="15.6">
      <c r="A48" s="290">
        <f>ROW()</f>
        <v>48</v>
      </c>
      <c r="B48" s="66" t="s">
        <v>608</v>
      </c>
      <c r="C48" s="377">
        <f>Levers!$B$17</f>
        <v>1432.9564249358075</v>
      </c>
      <c r="D48" s="377"/>
      <c r="E48" s="377"/>
      <c r="F48" s="380"/>
      <c r="G48" s="379">
        <f>Levers!D17</f>
        <v>1427.8419000000001</v>
      </c>
      <c r="H48" s="379">
        <f>Levers!E17</f>
        <v>1369.3885997142856</v>
      </c>
      <c r="I48" s="379">
        <f>Levers!F17</f>
        <v>1381.7564884799999</v>
      </c>
      <c r="J48" s="379">
        <f>Levers!G17</f>
        <v>1411.5354352776001</v>
      </c>
      <c r="K48" s="379">
        <f>Levers!H17</f>
        <v>1439.520792693552</v>
      </c>
      <c r="L48" s="379">
        <f>Levers!I17</f>
        <v>1545.8912863189432</v>
      </c>
      <c r="R48" s="287"/>
    </row>
    <row r="49" spans="1:18" ht="15.6">
      <c r="A49" s="290">
        <f>ROW()</f>
        <v>49</v>
      </c>
      <c r="B49" s="66" t="s">
        <v>609</v>
      </c>
      <c r="C49" s="377">
        <f>SUM(G49:L49)</f>
        <v>27447328.820080556</v>
      </c>
      <c r="D49" s="377"/>
      <c r="E49" s="377"/>
      <c r="F49" s="380">
        <f>Levers!C18</f>
        <v>0</v>
      </c>
      <c r="G49" s="379">
        <f>Levers!D18</f>
        <v>2984943.1150000002</v>
      </c>
      <c r="H49" s="379">
        <f>Levers!E18</f>
        <v>4071042.3996433001</v>
      </c>
      <c r="I49" s="379">
        <f>Levers!F18</f>
        <v>4669884.4485722007</v>
      </c>
      <c r="J49" s="379">
        <f>Levers!G18</f>
        <v>5244106.5293698795</v>
      </c>
      <c r="K49" s="379">
        <f>Levers!H18</f>
        <v>5262609.5248133019</v>
      </c>
      <c r="L49" s="379">
        <f>Levers!I18</f>
        <v>5214742.8026818754</v>
      </c>
      <c r="R49" s="287"/>
    </row>
    <row r="50" spans="1:18" ht="15.6">
      <c r="A50" s="290">
        <f>ROW()</f>
        <v>50</v>
      </c>
      <c r="B50" s="66" t="s">
        <v>610</v>
      </c>
      <c r="C50" s="377">
        <f>Levers!$B$19</f>
        <v>11556.770029507603</v>
      </c>
      <c r="D50" s="377"/>
      <c r="E50" s="377"/>
      <c r="F50" s="380"/>
      <c r="G50" s="379">
        <f>Levers!D19</f>
        <v>10854.338600000001</v>
      </c>
      <c r="H50" s="379">
        <f>Levers!E19</f>
        <v>11631.549713266571</v>
      </c>
      <c r="I50" s="379">
        <f>Levers!F19</f>
        <v>11674.711121430502</v>
      </c>
      <c r="J50" s="379">
        <f>Levers!G19</f>
        <v>11653.570065266398</v>
      </c>
      <c r="K50" s="379">
        <f>Levers!H19</f>
        <v>11694.687832918449</v>
      </c>
      <c r="L50" s="379">
        <f>Levers!I19</f>
        <v>11588.317339293057</v>
      </c>
      <c r="R50" s="287"/>
    </row>
    <row r="51" spans="1:18" ht="15.6">
      <c r="A51" s="290">
        <f>ROW()</f>
        <v>51</v>
      </c>
      <c r="B51" s="66" t="s">
        <v>450</v>
      </c>
      <c r="C51" s="377">
        <f>Levers!B38</f>
        <v>3910630.8727766238</v>
      </c>
      <c r="D51" s="377"/>
      <c r="E51" s="377"/>
      <c r="F51" s="380">
        <f>Levers!C38</f>
        <v>0</v>
      </c>
      <c r="G51" s="379">
        <f>Levers!D38</f>
        <v>296795.20059773355</v>
      </c>
      <c r="H51" s="379">
        <f>Levers!E38</f>
        <v>638547.97084410023</v>
      </c>
      <c r="I51" s="379">
        <f>Levers!F38</f>
        <v>802108.12202633417</v>
      </c>
      <c r="J51" s="379">
        <f>Levers!G38</f>
        <v>760052.28526897286</v>
      </c>
      <c r="K51" s="379">
        <f>Levers!H38</f>
        <v>785061.49731156114</v>
      </c>
      <c r="L51" s="379">
        <f>Levers!I38</f>
        <v>628065.79672792414</v>
      </c>
      <c r="R51" s="287"/>
    </row>
    <row r="52" spans="1:18" ht="15.6">
      <c r="A52" s="290">
        <f>ROW()</f>
        <v>52</v>
      </c>
      <c r="B52" s="66" t="s">
        <v>451</v>
      </c>
      <c r="C52" s="377">
        <f>Levers!B39</f>
        <v>1646.5814201164733</v>
      </c>
      <c r="D52" s="377"/>
      <c r="E52" s="377"/>
      <c r="F52" s="380">
        <f>Levers!C39</f>
        <v>0</v>
      </c>
      <c r="G52" s="379">
        <f>Levers!D39</f>
        <v>1079.2552749008494</v>
      </c>
      <c r="H52" s="379">
        <f>Levers!E39</f>
        <v>1824.4227738402865</v>
      </c>
      <c r="I52" s="379">
        <f>Levers!F39</f>
        <v>2005.2703050658354</v>
      </c>
      <c r="J52" s="379">
        <f>Levers!G39</f>
        <v>1689.0050783754953</v>
      </c>
      <c r="K52" s="379">
        <f>Levers!H39</f>
        <v>1744.5811051368025</v>
      </c>
      <c r="L52" s="379">
        <f>Levers!I39</f>
        <v>1395.7017705064982</v>
      </c>
      <c r="R52" s="287"/>
    </row>
    <row r="53" spans="1:18" hidden="1">
      <c r="A53" s="290">
        <f>ROW()</f>
        <v>53</v>
      </c>
      <c r="B53" s="30"/>
      <c r="C53" s="30"/>
      <c r="D53" s="30"/>
      <c r="E53" s="30"/>
      <c r="F53" s="429"/>
      <c r="G53" s="429"/>
      <c r="H53" s="429"/>
      <c r="I53" s="429"/>
      <c r="J53" s="429"/>
      <c r="K53" s="429"/>
      <c r="L53" s="429"/>
      <c r="R53" s="287"/>
    </row>
    <row r="54" spans="1:18">
      <c r="A54" s="290">
        <f>ROW()</f>
        <v>54</v>
      </c>
      <c r="B54" s="1308" t="s">
        <v>611</v>
      </c>
      <c r="C54" s="1308"/>
      <c r="D54" s="1308"/>
      <c r="E54" s="396"/>
      <c r="F54" s="503"/>
      <c r="G54" s="504"/>
      <c r="H54" s="504"/>
      <c r="I54" s="504"/>
      <c r="J54" s="504"/>
      <c r="K54" s="504"/>
      <c r="L54" s="504"/>
      <c r="M54" s="83"/>
      <c r="N54" s="39"/>
      <c r="O54" s="39"/>
      <c r="R54" s="287"/>
    </row>
    <row r="55" spans="1:18">
      <c r="A55" s="290">
        <f>ROW()</f>
        <v>55</v>
      </c>
      <c r="B55" s="32" t="s">
        <v>427</v>
      </c>
      <c r="E55" s="44"/>
      <c r="F55" s="87">
        <f>+Staff!G17</f>
        <v>0</v>
      </c>
      <c r="G55" s="505">
        <f>+Staff!H17</f>
        <v>2</v>
      </c>
      <c r="H55" s="505">
        <f>+Staff!I17</f>
        <v>2</v>
      </c>
      <c r="I55" s="505">
        <f>+Staff!J17</f>
        <v>3</v>
      </c>
      <c r="J55" s="505">
        <f>+Staff!K17</f>
        <v>3</v>
      </c>
      <c r="K55" s="505">
        <f>+Staff!L17</f>
        <v>3</v>
      </c>
      <c r="L55" s="505">
        <f>+Staff!M17</f>
        <v>3</v>
      </c>
      <c r="M55" s="83"/>
      <c r="N55" s="39"/>
      <c r="O55" s="39"/>
      <c r="R55" s="287"/>
    </row>
    <row r="56" spans="1:18">
      <c r="A56" s="290">
        <f>ROW()</f>
        <v>56</v>
      </c>
      <c r="B56" s="66" t="s">
        <v>428</v>
      </c>
      <c r="C56" s="66"/>
      <c r="D56" s="66"/>
      <c r="E56" s="1236"/>
      <c r="F56" s="379">
        <f>+Staff!G18</f>
        <v>0</v>
      </c>
      <c r="G56" s="1237">
        <f>+Staff!H18</f>
        <v>2</v>
      </c>
      <c r="H56" s="1237">
        <f>+Staff!I18</f>
        <v>4</v>
      </c>
      <c r="I56" s="1237">
        <f>+Staff!J18</f>
        <v>4</v>
      </c>
      <c r="J56" s="1237">
        <f>+Staff!K18</f>
        <v>4</v>
      </c>
      <c r="K56" s="1237">
        <f>+Staff!L18</f>
        <v>4</v>
      </c>
      <c r="L56" s="1237">
        <f>+Staff!M18</f>
        <v>4</v>
      </c>
      <c r="M56" s="83"/>
      <c r="N56" s="39"/>
      <c r="O56" s="39"/>
      <c r="R56" s="287"/>
    </row>
    <row r="57" spans="1:18">
      <c r="A57" s="290">
        <f>ROW()</f>
        <v>57</v>
      </c>
      <c r="B57" s="66" t="s">
        <v>429</v>
      </c>
      <c r="C57" s="66"/>
      <c r="D57" s="66"/>
      <c r="E57" s="1236"/>
      <c r="F57" s="379">
        <f>+Staff!G19</f>
        <v>0</v>
      </c>
      <c r="G57" s="1237">
        <f>+Staff!H19</f>
        <v>2</v>
      </c>
      <c r="H57" s="1237">
        <f>+Staff!I19</f>
        <v>2</v>
      </c>
      <c r="I57" s="1237">
        <f>+Staff!J19</f>
        <v>3</v>
      </c>
      <c r="J57" s="1237">
        <f>+Staff!K19</f>
        <v>3</v>
      </c>
      <c r="K57" s="1237">
        <f>+Staff!L19</f>
        <v>3</v>
      </c>
      <c r="L57" s="1237">
        <f>+Staff!M19</f>
        <v>3</v>
      </c>
      <c r="M57" s="83"/>
      <c r="N57" s="39"/>
      <c r="O57" s="39"/>
      <c r="R57" s="287"/>
    </row>
    <row r="58" spans="1:18">
      <c r="A58" s="290">
        <f>ROW()</f>
        <v>58</v>
      </c>
      <c r="B58" s="66" t="s">
        <v>430</v>
      </c>
      <c r="C58" s="66"/>
      <c r="D58" s="66"/>
      <c r="E58" s="1236"/>
      <c r="F58" s="379">
        <f>+Staff!G20</f>
        <v>0</v>
      </c>
      <c r="G58" s="1237">
        <f>+Staff!H20</f>
        <v>2</v>
      </c>
      <c r="H58" s="1237">
        <f>+Staff!I20</f>
        <v>2</v>
      </c>
      <c r="I58" s="1237">
        <f>+Staff!J20</f>
        <v>2</v>
      </c>
      <c r="J58" s="1237">
        <f>+Staff!K20</f>
        <v>2</v>
      </c>
      <c r="K58" s="1237">
        <f>+Staff!L20</f>
        <v>2</v>
      </c>
      <c r="L58" s="1237">
        <f>+Staff!M20</f>
        <v>2</v>
      </c>
      <c r="M58" s="83"/>
      <c r="N58" s="39"/>
      <c r="O58" s="39"/>
      <c r="R58" s="287"/>
    </row>
    <row r="59" spans="1:18">
      <c r="A59" s="290">
        <f>ROW()</f>
        <v>59</v>
      </c>
      <c r="B59" s="66" t="s">
        <v>431</v>
      </c>
      <c r="C59" s="66"/>
      <c r="D59" s="66"/>
      <c r="E59" s="1236"/>
      <c r="F59" s="379">
        <f>+Staff!G21</f>
        <v>0</v>
      </c>
      <c r="G59" s="1237">
        <f>+Staff!H21</f>
        <v>4</v>
      </c>
      <c r="H59" s="1237">
        <f>+Staff!I21</f>
        <v>11</v>
      </c>
      <c r="I59" s="1237">
        <f>+Staff!J21</f>
        <v>12</v>
      </c>
      <c r="J59" s="1237">
        <f>+Staff!K21</f>
        <v>13</v>
      </c>
      <c r="K59" s="1237">
        <f>+Staff!L21</f>
        <v>13</v>
      </c>
      <c r="L59" s="1237">
        <f>+Staff!M21</f>
        <v>13</v>
      </c>
      <c r="M59" s="83"/>
      <c r="N59" s="39"/>
      <c r="O59" s="39"/>
      <c r="R59" s="287"/>
    </row>
    <row r="60" spans="1:18">
      <c r="A60" s="290">
        <f>ROW()</f>
        <v>60</v>
      </c>
      <c r="B60" s="32" t="s">
        <v>432</v>
      </c>
      <c r="E60" s="396"/>
      <c r="F60" s="87">
        <f>+Staff!G22</f>
        <v>0</v>
      </c>
      <c r="G60" s="505">
        <f>+Staff!H22</f>
        <v>15</v>
      </c>
      <c r="H60" s="505">
        <f>+Staff!I22</f>
        <v>18</v>
      </c>
      <c r="I60" s="505">
        <f>+Staff!J22</f>
        <v>20</v>
      </c>
      <c r="J60" s="505">
        <f>+Staff!K22</f>
        <v>26</v>
      </c>
      <c r="K60" s="505">
        <f>+Staff!L22</f>
        <v>26</v>
      </c>
      <c r="L60" s="505">
        <f>+Staff!M22</f>
        <v>26</v>
      </c>
      <c r="M60" s="83"/>
      <c r="N60" s="39"/>
      <c r="O60" s="39"/>
      <c r="R60" s="287"/>
    </row>
    <row r="61" spans="1:18">
      <c r="A61" s="290">
        <f>ROW()</f>
        <v>61</v>
      </c>
      <c r="B61" s="106" t="s">
        <v>612</v>
      </c>
      <c r="C61" s="106"/>
      <c r="D61" s="106"/>
      <c r="E61" s="44"/>
      <c r="F61" s="1238">
        <f>SUM(F55:F60)</f>
        <v>0</v>
      </c>
      <c r="G61" s="1238">
        <f t="shared" ref="G61:L61" si="10">SUM(G55:G60)</f>
        <v>27</v>
      </c>
      <c r="H61" s="1238">
        <f t="shared" si="10"/>
        <v>39</v>
      </c>
      <c r="I61" s="1238">
        <f t="shared" si="10"/>
        <v>44</v>
      </c>
      <c r="J61" s="1238">
        <f t="shared" si="10"/>
        <v>51</v>
      </c>
      <c r="K61" s="1238">
        <f t="shared" si="10"/>
        <v>51</v>
      </c>
      <c r="L61" s="1238">
        <f t="shared" si="10"/>
        <v>51</v>
      </c>
      <c r="M61" s="83"/>
      <c r="N61" s="39"/>
      <c r="O61" s="39"/>
      <c r="R61" s="287"/>
    </row>
    <row r="62" spans="1:18">
      <c r="A62" s="290">
        <f>ROW()</f>
        <v>62</v>
      </c>
      <c r="M62" s="83"/>
      <c r="N62" s="39"/>
      <c r="O62" s="39"/>
      <c r="P62" s="85"/>
      <c r="Q62" s="85"/>
      <c r="R62" s="287"/>
    </row>
    <row r="63" spans="1:18">
      <c r="A63" s="290">
        <f>ROW()</f>
        <v>63</v>
      </c>
      <c r="B63" s="1710" t="s">
        <v>613</v>
      </c>
      <c r="C63" s="1711"/>
      <c r="D63" s="1710"/>
      <c r="E63" s="1710"/>
      <c r="F63" s="1712"/>
      <c r="G63" s="1712"/>
      <c r="H63" s="1712"/>
      <c r="I63" s="1712"/>
      <c r="J63" s="1712"/>
      <c r="K63" s="1712"/>
      <c r="L63" s="1712"/>
      <c r="R63" s="287"/>
    </row>
    <row r="64" spans="1:18">
      <c r="A64" s="290">
        <f>ROW()</f>
        <v>64</v>
      </c>
      <c r="B64" s="1510" t="s">
        <v>1187</v>
      </c>
      <c r="C64" s="1504"/>
      <c r="D64" s="1504"/>
      <c r="E64" s="1504"/>
      <c r="F64" s="1504"/>
      <c r="G64" s="1504"/>
      <c r="H64" s="1504"/>
      <c r="I64" s="1504"/>
      <c r="J64" s="1504"/>
      <c r="K64" s="1504"/>
      <c r="L64" s="1504"/>
      <c r="R64" s="287"/>
    </row>
    <row r="65" spans="1:18">
      <c r="A65" s="290">
        <f>ROW()</f>
        <v>65</v>
      </c>
      <c r="B65" s="1503" t="s">
        <v>1207</v>
      </c>
      <c r="C65" s="1713" t="s">
        <v>614</v>
      </c>
      <c r="D65" s="1649"/>
      <c r="E65" s="1649"/>
      <c r="F65" s="1714" t="s">
        <v>615</v>
      </c>
      <c r="G65" s="1503" t="s">
        <v>1368</v>
      </c>
      <c r="H65" s="1504"/>
      <c r="I65" s="1504"/>
      <c r="J65" s="1504"/>
      <c r="K65" s="1504"/>
      <c r="L65" s="1504"/>
      <c r="R65" s="287"/>
    </row>
    <row r="66" spans="1:18">
      <c r="A66" s="290">
        <f>ROW()</f>
        <v>66</v>
      </c>
      <c r="B66" s="66" t="s">
        <v>616</v>
      </c>
      <c r="C66" s="670">
        <v>1000</v>
      </c>
      <c r="D66" s="84" t="s">
        <v>617</v>
      </c>
      <c r="E66" s="84"/>
      <c r="F66" s="1396">
        <v>0</v>
      </c>
      <c r="G66" s="663">
        <f>$C$66*Staff!H24</f>
        <v>27000</v>
      </c>
      <c r="H66" s="663">
        <f>$C$66*Staff!I24</f>
        <v>39000</v>
      </c>
      <c r="I66" s="663">
        <f>$C$66*Staff!J24</f>
        <v>44000</v>
      </c>
      <c r="J66" s="663">
        <f>$C$66*Staff!K24</f>
        <v>51000</v>
      </c>
      <c r="K66" s="663">
        <f>$C$66*Staff!L24</f>
        <v>51000</v>
      </c>
      <c r="L66" s="663">
        <f>$C$66*Staff!M24</f>
        <v>51000</v>
      </c>
      <c r="R66" s="287"/>
    </row>
    <row r="67" spans="1:18">
      <c r="A67" s="290">
        <f>ROW()</f>
        <v>67</v>
      </c>
      <c r="B67" s="66" t="s">
        <v>618</v>
      </c>
      <c r="C67" s="670">
        <v>7000</v>
      </c>
      <c r="D67" s="84" t="s">
        <v>619</v>
      </c>
      <c r="E67" s="84"/>
      <c r="F67" s="1397">
        <v>0</v>
      </c>
      <c r="G67" s="599">
        <f t="shared" ref="G67:L67" si="11">$C67</f>
        <v>7000</v>
      </c>
      <c r="H67" s="599">
        <f t="shared" si="11"/>
        <v>7000</v>
      </c>
      <c r="I67" s="599">
        <f t="shared" si="11"/>
        <v>7000</v>
      </c>
      <c r="J67" s="599">
        <f t="shared" si="11"/>
        <v>7000</v>
      </c>
      <c r="K67" s="599">
        <f t="shared" si="11"/>
        <v>7000</v>
      </c>
      <c r="L67" s="599">
        <f t="shared" si="11"/>
        <v>7000</v>
      </c>
      <c r="R67" s="287"/>
    </row>
    <row r="68" spans="1:18">
      <c r="A68" s="290">
        <f>ROW()</f>
        <v>68</v>
      </c>
      <c r="B68" s="66" t="s">
        <v>620</v>
      </c>
      <c r="C68" s="670">
        <v>20000</v>
      </c>
      <c r="D68" s="84" t="s">
        <v>621</v>
      </c>
      <c r="E68" s="84"/>
      <c r="F68" s="1397">
        <v>0</v>
      </c>
      <c r="G68" s="599">
        <f>$C$82*' Enrol &amp; Rev'!G36*' Enrol &amp; Rev'!G94</f>
        <v>13860</v>
      </c>
      <c r="H68" s="599">
        <f>$C$82*' Enrol &amp; Rev'!H36*' Enrol &amp; Rev'!H94</f>
        <v>17640</v>
      </c>
      <c r="I68" s="599">
        <f>$C$82*' Enrol &amp; Rev'!I36*' Enrol &amp; Rev'!I94</f>
        <v>20160</v>
      </c>
      <c r="J68" s="599">
        <f>$C$82*' Enrol &amp; Rev'!J36*' Enrol &amp; Rev'!J94</f>
        <v>22680</v>
      </c>
      <c r="K68" s="599">
        <f>$C$82*' Enrol &amp; Rev'!K36*' Enrol &amp; Rev'!K94</f>
        <v>22680</v>
      </c>
      <c r="L68" s="599">
        <f>$C$82*' Enrol &amp; Rev'!L36*' Enrol &amp; Rev'!L94</f>
        <v>22680</v>
      </c>
      <c r="R68" s="287"/>
    </row>
    <row r="69" spans="1:18">
      <c r="A69" s="290">
        <f>ROW()</f>
        <v>69</v>
      </c>
      <c r="B69" s="66" t="s">
        <v>1276</v>
      </c>
      <c r="C69" s="670">
        <v>0</v>
      </c>
      <c r="D69" s="84"/>
      <c r="E69" s="84"/>
      <c r="F69" s="1397">
        <v>0</v>
      </c>
      <c r="G69" s="1715">
        <v>0</v>
      </c>
      <c r="H69" s="1715">
        <v>0</v>
      </c>
      <c r="I69" s="1715">
        <v>0</v>
      </c>
      <c r="J69" s="1715">
        <v>0</v>
      </c>
      <c r="K69" s="1715">
        <v>0</v>
      </c>
      <c r="L69" s="1715">
        <v>0</v>
      </c>
      <c r="R69" s="287"/>
    </row>
    <row r="70" spans="1:18">
      <c r="A70" s="290">
        <f>ROW()</f>
        <v>70</v>
      </c>
      <c r="B70" s="66" t="s">
        <v>622</v>
      </c>
      <c r="C70" s="670">
        <v>100</v>
      </c>
      <c r="D70" s="84" t="s">
        <v>305</v>
      </c>
      <c r="E70" s="84"/>
      <c r="F70" s="1397">
        <v>0</v>
      </c>
      <c r="G70" s="599">
        <f>$C$70*(' Enrol &amp; Rev'!G36-' Enrol &amp; Rev'!F36)</f>
        <v>27500</v>
      </c>
      <c r="H70" s="599">
        <f>$C$70*(' Enrol &amp; Rev'!H36-' Enrol &amp; Rev'!G36)</f>
        <v>7500</v>
      </c>
      <c r="I70" s="599">
        <f>$C$70*(' Enrol &amp; Rev'!I36-' Enrol &amp; Rev'!H36)</f>
        <v>5000</v>
      </c>
      <c r="J70" s="599">
        <f>$C$70*(' Enrol &amp; Rev'!J36-' Enrol &amp; Rev'!I36)</f>
        <v>5000</v>
      </c>
      <c r="K70" s="599">
        <f>$C$70*(' Enrol &amp; Rev'!K36-' Enrol &amp; Rev'!J36)</f>
        <v>0</v>
      </c>
      <c r="L70" s="599">
        <f>$C$70*(' Enrol &amp; Rev'!L36-' Enrol &amp; Rev'!K36)</f>
        <v>0</v>
      </c>
      <c r="R70" s="287" t="s">
        <v>1444</v>
      </c>
    </row>
    <row r="71" spans="1:18">
      <c r="A71" s="290">
        <f>ROW()</f>
        <v>71</v>
      </c>
      <c r="B71" s="66" t="s">
        <v>623</v>
      </c>
      <c r="C71" s="670">
        <v>100</v>
      </c>
      <c r="D71" s="84" t="s">
        <v>624</v>
      </c>
      <c r="E71" s="84"/>
      <c r="F71" s="1397">
        <v>0</v>
      </c>
      <c r="G71" s="599">
        <v>0</v>
      </c>
      <c r="H71" s="599">
        <v>0</v>
      </c>
      <c r="I71" s="599">
        <v>0</v>
      </c>
      <c r="J71" s="599">
        <v>0</v>
      </c>
      <c r="K71" s="599">
        <v>0</v>
      </c>
      <c r="L71" s="599">
        <f>$C$70*(' Enrol &amp; Rev'!G37-' Enrol &amp; Rev'!F37)</f>
        <v>27500</v>
      </c>
      <c r="R71" s="287"/>
    </row>
    <row r="72" spans="1:18">
      <c r="A72" s="290">
        <f>ROW()</f>
        <v>72</v>
      </c>
      <c r="B72" s="66" t="s">
        <v>625</v>
      </c>
      <c r="C72" s="670">
        <v>7.5</v>
      </c>
      <c r="D72" s="84" t="s">
        <v>626</v>
      </c>
      <c r="E72" s="84"/>
      <c r="F72" s="1397">
        <v>0</v>
      </c>
      <c r="G72" s="599">
        <f>$C$72*' Enrol &amp; Rev'!G36</f>
        <v>2062.5</v>
      </c>
      <c r="H72" s="599">
        <f>$C$72*' Enrol &amp; Rev'!H36</f>
        <v>2625</v>
      </c>
      <c r="I72" s="599">
        <f>$C$72*' Enrol &amp; Rev'!I36</f>
        <v>3000</v>
      </c>
      <c r="J72" s="599">
        <f>$C$72*' Enrol &amp; Rev'!J36</f>
        <v>3375</v>
      </c>
      <c r="K72" s="599">
        <f>$C$72*' Enrol &amp; Rev'!K36</f>
        <v>3375</v>
      </c>
      <c r="L72" s="599">
        <f>$C$72*' Enrol &amp; Rev'!L36</f>
        <v>3375</v>
      </c>
      <c r="R72" s="287"/>
    </row>
    <row r="73" spans="1:18">
      <c r="A73" s="290">
        <f>ROW()</f>
        <v>73</v>
      </c>
      <c r="B73" s="66" t="s">
        <v>627</v>
      </c>
      <c r="C73" s="201">
        <f>(4.35*180)*0.97</f>
        <v>759.50999999999988</v>
      </c>
      <c r="D73" s="84" t="s">
        <v>305</v>
      </c>
      <c r="E73" s="84"/>
      <c r="F73" s="1397">
        <v>0</v>
      </c>
      <c r="G73" s="599">
        <f>(((G31*0.9)*' Enrol &amp; Rev'!$C$107)*' Enrol &amp; Rev'!$C$71)*Staff!$C$71</f>
        <v>183657.375</v>
      </c>
      <c r="H73" s="599">
        <f>(((H31*0.9)*' Enrol &amp; Rev'!$C$107)*' Enrol &amp; Rev'!$C$71)*Staff!$C$71</f>
        <v>233745.74999999997</v>
      </c>
      <c r="I73" s="599">
        <f>(((I31*0.9)*' Enrol &amp; Rev'!$C$107)*' Enrol &amp; Rev'!$C$71)*Staff!$C$71</f>
        <v>267138</v>
      </c>
      <c r="J73" s="599">
        <f>(((J31*0.9)*' Enrol &amp; Rev'!$C$107)*' Enrol &amp; Rev'!$C$71)*Staff!$C$71</f>
        <v>300530.25</v>
      </c>
      <c r="K73" s="599">
        <f>(((K31*0.9)*' Enrol &amp; Rev'!$C$107)*' Enrol &amp; Rev'!$C$71)*Staff!$C$71</f>
        <v>300530.25</v>
      </c>
      <c r="L73" s="599">
        <f>(((L31*0.9)*' Enrol &amp; Rev'!$C$107)*' Enrol &amp; Rev'!$C$71)*Staff!$C$71</f>
        <v>300530.25</v>
      </c>
      <c r="R73" s="287" t="s">
        <v>1445</v>
      </c>
    </row>
    <row r="74" spans="1:18">
      <c r="A74" s="290">
        <f>ROW()</f>
        <v>74</v>
      </c>
      <c r="B74" s="66" t="s">
        <v>628</v>
      </c>
      <c r="C74" s="201">
        <v>10</v>
      </c>
      <c r="D74" s="84" t="s">
        <v>629</v>
      </c>
      <c r="E74" s="84"/>
      <c r="F74" s="1397">
        <v>0</v>
      </c>
      <c r="G74" s="762">
        <f>$C$74*' Enrol &amp; Rev'!G36</f>
        <v>2750</v>
      </c>
      <c r="H74" s="762">
        <f>$C$74*' Enrol &amp; Rev'!H36</f>
        <v>3500</v>
      </c>
      <c r="I74" s="762">
        <f>$C$74*' Enrol &amp; Rev'!I36</f>
        <v>4000</v>
      </c>
      <c r="J74" s="762">
        <f>$C$74*' Enrol &amp; Rev'!J36</f>
        <v>4500</v>
      </c>
      <c r="K74" s="762">
        <f>$C$74*' Enrol &amp; Rev'!K36</f>
        <v>4500</v>
      </c>
      <c r="L74" s="762">
        <f>$C$74*' Enrol &amp; Rev'!L36</f>
        <v>4500</v>
      </c>
      <c r="R74" s="287"/>
    </row>
    <row r="75" spans="1:18">
      <c r="A75" s="290">
        <f>ROW()</f>
        <v>75</v>
      </c>
      <c r="B75" s="66" t="s">
        <v>1277</v>
      </c>
      <c r="C75" s="670">
        <v>0</v>
      </c>
      <c r="D75" s="84" t="s">
        <v>630</v>
      </c>
      <c r="E75" s="84"/>
      <c r="F75" s="1397">
        <v>0</v>
      </c>
      <c r="G75" s="599">
        <f>(' Enrol &amp; Rev'!G119+' Enrol &amp; Rev'!G135)*$C$75</f>
        <v>0</v>
      </c>
      <c r="H75" s="599">
        <f>(' Enrol &amp; Rev'!H119+' Enrol &amp; Rev'!H135)*$C$75</f>
        <v>0</v>
      </c>
      <c r="I75" s="599">
        <f>(' Enrol &amp; Rev'!I119+' Enrol &amp; Rev'!I135)*$C$75</f>
        <v>0</v>
      </c>
      <c r="J75" s="599">
        <f>(' Enrol &amp; Rev'!J119+' Enrol &amp; Rev'!J135)*$C$75</f>
        <v>0</v>
      </c>
      <c r="K75" s="599">
        <f>(' Enrol &amp; Rev'!K119+' Enrol &amp; Rev'!K135)*$C$75</f>
        <v>0</v>
      </c>
      <c r="L75" s="599">
        <f>(' Enrol &amp; Rev'!L119+' Enrol &amp; Rev'!L135)*$C$75</f>
        <v>0</v>
      </c>
      <c r="R75" s="287"/>
    </row>
    <row r="76" spans="1:18">
      <c r="A76" s="290">
        <f>ROW()</f>
        <v>76</v>
      </c>
      <c r="B76" s="66" t="s">
        <v>631</v>
      </c>
      <c r="C76" s="670">
        <v>0</v>
      </c>
      <c r="D76" s="84" t="s">
        <v>630</v>
      </c>
      <c r="E76" s="84"/>
      <c r="F76" s="1397">
        <v>0</v>
      </c>
      <c r="G76" s="599">
        <f>(' Enrol &amp; Rev'!G119+' Enrol &amp; Rev'!G135)*$C$76</f>
        <v>0</v>
      </c>
      <c r="H76" s="599">
        <f>(' Enrol &amp; Rev'!H119+' Enrol &amp; Rev'!H135)*$C$76</f>
        <v>0</v>
      </c>
      <c r="I76" s="599">
        <f>(' Enrol &amp; Rev'!I119+' Enrol &amp; Rev'!I135)*$C$76</f>
        <v>0</v>
      </c>
      <c r="J76" s="599">
        <f>(' Enrol &amp; Rev'!J119+' Enrol &amp; Rev'!J135)*$C$76</f>
        <v>0</v>
      </c>
      <c r="K76" s="599">
        <f>(' Enrol &amp; Rev'!K119+' Enrol &amp; Rev'!K135)*$C$76</f>
        <v>0</v>
      </c>
      <c r="L76" s="599">
        <f>(' Enrol &amp; Rev'!L119+' Enrol &amp; Rev'!L135)*$C$76</f>
        <v>0</v>
      </c>
      <c r="R76" s="287"/>
    </row>
    <row r="77" spans="1:18">
      <c r="A77" s="290">
        <f>ROW()</f>
        <v>77</v>
      </c>
      <c r="B77" s="66" t="s">
        <v>632</v>
      </c>
      <c r="C77" s="670">
        <v>15</v>
      </c>
      <c r="D77" s="84" t="s">
        <v>305</v>
      </c>
      <c r="E77" s="84"/>
      <c r="F77" s="1397">
        <v>0</v>
      </c>
      <c r="G77" s="597">
        <f>$C$77*' Enrol &amp; Rev'!G36</f>
        <v>4125</v>
      </c>
      <c r="H77" s="597">
        <f>$C$77*' Enrol &amp; Rev'!H36</f>
        <v>5250</v>
      </c>
      <c r="I77" s="597">
        <f>$C$77*' Enrol &amp; Rev'!I36</f>
        <v>6000</v>
      </c>
      <c r="J77" s="597">
        <f>$C$77*' Enrol &amp; Rev'!J36</f>
        <v>6750</v>
      </c>
      <c r="K77" s="597">
        <f>$C$77*' Enrol &amp; Rev'!K36</f>
        <v>6750</v>
      </c>
      <c r="L77" s="597">
        <f>$C$77*' Enrol &amp; Rev'!L36</f>
        <v>6750</v>
      </c>
      <c r="R77" s="287"/>
    </row>
    <row r="78" spans="1:18">
      <c r="A78" s="290">
        <f>ROW()</f>
        <v>78</v>
      </c>
      <c r="B78" s="66" t="s">
        <v>633</v>
      </c>
      <c r="C78" s="670">
        <v>15</v>
      </c>
      <c r="D78" s="84" t="s">
        <v>305</v>
      </c>
      <c r="E78" s="84"/>
      <c r="F78" s="1397">
        <v>0</v>
      </c>
      <c r="G78" s="597">
        <f>$C$78*' Enrol &amp; Rev'!G36</f>
        <v>4125</v>
      </c>
      <c r="H78" s="597">
        <f>$C$78*' Enrol &amp; Rev'!H36</f>
        <v>5250</v>
      </c>
      <c r="I78" s="597">
        <f>$C$78*' Enrol &amp; Rev'!I36</f>
        <v>6000</v>
      </c>
      <c r="J78" s="597">
        <f>$C$78*' Enrol &amp; Rev'!J36</f>
        <v>6750</v>
      </c>
      <c r="K78" s="597">
        <f>$C$78*' Enrol &amp; Rev'!K36</f>
        <v>6750</v>
      </c>
      <c r="L78" s="597">
        <f>$C$78*' Enrol &amp; Rev'!L36</f>
        <v>6750</v>
      </c>
      <c r="R78" s="287"/>
    </row>
    <row r="79" spans="1:18">
      <c r="A79" s="290">
        <f>ROW()</f>
        <v>79</v>
      </c>
      <c r="B79" s="66" t="s">
        <v>634</v>
      </c>
      <c r="C79" s="670">
        <v>10</v>
      </c>
      <c r="D79" s="84" t="s">
        <v>305</v>
      </c>
      <c r="E79" s="84"/>
      <c r="F79" s="1397">
        <v>0</v>
      </c>
      <c r="G79" s="597">
        <f>$C$79*' Enrol &amp; Rev'!G$36</f>
        <v>2750</v>
      </c>
      <c r="H79" s="597">
        <f>$C$79*' Enrol &amp; Rev'!H$36</f>
        <v>3500</v>
      </c>
      <c r="I79" s="597">
        <f>$C$79*' Enrol &amp; Rev'!I$36</f>
        <v>4000</v>
      </c>
      <c r="J79" s="597">
        <f>$C$79*' Enrol &amp; Rev'!J$36</f>
        <v>4500</v>
      </c>
      <c r="K79" s="597">
        <f>$C$79*' Enrol &amp; Rev'!K$36</f>
        <v>4500</v>
      </c>
      <c r="L79" s="597">
        <f>$C$79*' Enrol &amp; Rev'!L$36</f>
        <v>4500</v>
      </c>
      <c r="R79" s="287"/>
    </row>
    <row r="80" spans="1:18">
      <c r="A80" s="290">
        <f>ROW()</f>
        <v>80</v>
      </c>
      <c r="B80" s="66" t="s">
        <v>635</v>
      </c>
      <c r="C80" s="670">
        <v>0</v>
      </c>
      <c r="D80" s="84" t="s">
        <v>305</v>
      </c>
      <c r="E80" s="84"/>
      <c r="F80" s="1397">
        <v>0</v>
      </c>
      <c r="G80" s="597">
        <f>$C$80*' Enrol &amp; Rev'!G36</f>
        <v>0</v>
      </c>
      <c r="H80" s="597">
        <f>$C$80*' Enrol &amp; Rev'!H36</f>
        <v>0</v>
      </c>
      <c r="I80" s="597">
        <f>$C$80*' Enrol &amp; Rev'!I36</f>
        <v>0</v>
      </c>
      <c r="J80" s="597">
        <f>$C$80*' Enrol &amp; Rev'!J36</f>
        <v>0</v>
      </c>
      <c r="K80" s="597">
        <f>$C$80*' Enrol &amp; Rev'!K36</f>
        <v>0</v>
      </c>
      <c r="L80" s="597">
        <f>$C$80*' Enrol &amp; Rev'!L36</f>
        <v>0</v>
      </c>
      <c r="R80" s="287"/>
    </row>
    <row r="81" spans="1:18">
      <c r="A81" s="290">
        <f>ROW()</f>
        <v>81</v>
      </c>
      <c r="B81" s="66" t="s">
        <v>636</v>
      </c>
      <c r="C81" s="670">
        <v>0</v>
      </c>
      <c r="D81" s="84" t="s">
        <v>305</v>
      </c>
      <c r="E81" s="84"/>
      <c r="F81" s="1397">
        <v>0</v>
      </c>
      <c r="G81" s="597">
        <f>$C$81*' Enrol &amp; Rev'!G36</f>
        <v>0</v>
      </c>
      <c r="H81" s="597">
        <f>$C$81*' Enrol &amp; Rev'!H36</f>
        <v>0</v>
      </c>
      <c r="I81" s="597">
        <f>$C$81*' Enrol &amp; Rev'!I36</f>
        <v>0</v>
      </c>
      <c r="J81" s="597">
        <f>$C$81*' Enrol &amp; Rev'!J36</f>
        <v>0</v>
      </c>
      <c r="K81" s="597">
        <f>$C$81*' Enrol &amp; Rev'!K36</f>
        <v>0</v>
      </c>
      <c r="L81" s="597">
        <f>$C$81*' Enrol &amp; Rev'!L36</f>
        <v>0</v>
      </c>
      <c r="R81" s="287"/>
    </row>
    <row r="82" spans="1:18">
      <c r="A82" s="290">
        <f>ROW()</f>
        <v>82</v>
      </c>
      <c r="B82" s="66" t="s">
        <v>637</v>
      </c>
      <c r="C82" s="670">
        <v>400</v>
      </c>
      <c r="D82" s="84" t="s">
        <v>300</v>
      </c>
      <c r="E82" s="84"/>
      <c r="F82" s="1397">
        <v>0</v>
      </c>
      <c r="G82" s="597">
        <f>$C$82*' Enrol &amp; Rev'!G36*' Enrol &amp; Rev'!G94</f>
        <v>13860</v>
      </c>
      <c r="H82" s="597">
        <f>$C$82*' Enrol &amp; Rev'!H36*' Enrol &amp; Rev'!H94</f>
        <v>17640</v>
      </c>
      <c r="I82" s="597">
        <f>$C$82*' Enrol &amp; Rev'!I36*' Enrol &amp; Rev'!I94</f>
        <v>20160</v>
      </c>
      <c r="J82" s="597">
        <f>$C$82*' Enrol &amp; Rev'!J36*' Enrol &amp; Rev'!J94</f>
        <v>22680</v>
      </c>
      <c r="K82" s="597">
        <f>$C$82*' Enrol &amp; Rev'!K36*' Enrol &amp; Rev'!K94</f>
        <v>22680</v>
      </c>
      <c r="L82" s="597">
        <f>$C$82*' Enrol &amp; Rev'!L36*' Enrol &amp; Rev'!L94</f>
        <v>22680</v>
      </c>
      <c r="R82" s="287"/>
    </row>
    <row r="83" spans="1:18">
      <c r="A83" s="290">
        <f>ROW()</f>
        <v>83</v>
      </c>
      <c r="B83" s="66" t="s">
        <v>1275</v>
      </c>
      <c r="C83" s="670">
        <v>150</v>
      </c>
      <c r="D83" s="84" t="s">
        <v>638</v>
      </c>
      <c r="E83" s="84"/>
      <c r="F83" s="1397">
        <v>0</v>
      </c>
      <c r="G83" s="597">
        <f>$C$83*(Staff!H19+Staff!H20+Staff!H22)</f>
        <v>2850</v>
      </c>
      <c r="H83" s="597">
        <f>$C$83*(Staff!I19+Staff!I20+Staff!I22)</f>
        <v>3300</v>
      </c>
      <c r="I83" s="597">
        <f>$C$83*(Staff!J19+Staff!J20+Staff!J22)</f>
        <v>3750</v>
      </c>
      <c r="J83" s="597">
        <f>$C$83*(Staff!K19+Staff!K20+Staff!K22)</f>
        <v>4650</v>
      </c>
      <c r="K83" s="597">
        <f>$C$83*(Staff!L19+Staff!L20+Staff!L22)</f>
        <v>4650</v>
      </c>
      <c r="L83" s="597">
        <f>$C$83*(Staff!M19+Staff!M20+Staff!M22)</f>
        <v>4650</v>
      </c>
      <c r="R83" s="287"/>
    </row>
    <row r="84" spans="1:18">
      <c r="A84" s="290">
        <f>ROW()</f>
        <v>84</v>
      </c>
      <c r="B84" s="66" t="s">
        <v>639</v>
      </c>
      <c r="C84" s="670">
        <v>300</v>
      </c>
      <c r="D84" s="84" t="s">
        <v>640</v>
      </c>
      <c r="E84" s="84"/>
      <c r="F84" s="1397">
        <v>0</v>
      </c>
      <c r="G84" s="597">
        <f t="shared" ref="G84:L84" si="12">$C$84*12</f>
        <v>3600</v>
      </c>
      <c r="H84" s="597">
        <f t="shared" si="12"/>
        <v>3600</v>
      </c>
      <c r="I84" s="597">
        <f t="shared" si="12"/>
        <v>3600</v>
      </c>
      <c r="J84" s="597">
        <f t="shared" si="12"/>
        <v>3600</v>
      </c>
      <c r="K84" s="597">
        <f t="shared" si="12"/>
        <v>3600</v>
      </c>
      <c r="L84" s="597">
        <f t="shared" si="12"/>
        <v>3600</v>
      </c>
      <c r="R84" s="287"/>
    </row>
    <row r="85" spans="1:18">
      <c r="A85" s="290">
        <f>ROW()</f>
        <v>85</v>
      </c>
      <c r="B85" s="66" t="s">
        <v>641</v>
      </c>
      <c r="C85" s="670">
        <v>0</v>
      </c>
      <c r="D85" s="84" t="s">
        <v>642</v>
      </c>
      <c r="E85" s="84"/>
      <c r="F85" s="1397">
        <v>0</v>
      </c>
      <c r="G85" s="597">
        <f>$C$85*(' Enrol &amp; Rev'!G36-' Enrol &amp; Rev'!F36)</f>
        <v>0</v>
      </c>
      <c r="H85" s="597">
        <f>$C$85*(' Enrol &amp; Rev'!H36-' Enrol &amp; Rev'!G36)</f>
        <v>0</v>
      </c>
      <c r="I85" s="597">
        <f>$C$85*(' Enrol &amp; Rev'!I36-' Enrol &amp; Rev'!H36)</f>
        <v>0</v>
      </c>
      <c r="J85" s="597">
        <f>$C$85*(' Enrol &amp; Rev'!J36-' Enrol &amp; Rev'!I36)</f>
        <v>0</v>
      </c>
      <c r="K85" s="597">
        <f>$C$85*(' Enrol &amp; Rev'!K36-' Enrol &amp; Rev'!J36)</f>
        <v>0</v>
      </c>
      <c r="L85" s="597">
        <f>$C$85*(' Enrol &amp; Rev'!L36-' Enrol &amp; Rev'!K36)</f>
        <v>0</v>
      </c>
      <c r="R85" s="287"/>
    </row>
    <row r="86" spans="1:18">
      <c r="A86" s="290">
        <f>ROW()</f>
        <v>86</v>
      </c>
      <c r="B86" s="66" t="s">
        <v>1279</v>
      </c>
      <c r="C86" s="670">
        <v>0</v>
      </c>
      <c r="D86" s="84" t="s">
        <v>1278</v>
      </c>
      <c r="E86" s="84"/>
      <c r="F86" s="1397">
        <v>0</v>
      </c>
      <c r="G86" s="597">
        <v>0</v>
      </c>
      <c r="H86" s="597">
        <v>0</v>
      </c>
      <c r="I86" s="597">
        <v>0</v>
      </c>
      <c r="J86" s="597">
        <v>0</v>
      </c>
      <c r="K86" s="597">
        <v>0</v>
      </c>
      <c r="L86" s="597">
        <v>0</v>
      </c>
      <c r="R86" s="287"/>
    </row>
    <row r="87" spans="1:18">
      <c r="A87" s="290">
        <f>ROW()</f>
        <v>87</v>
      </c>
      <c r="B87" s="66" t="s">
        <v>1280</v>
      </c>
      <c r="C87" s="670">
        <v>2000</v>
      </c>
      <c r="D87" s="84" t="s">
        <v>643</v>
      </c>
      <c r="E87" s="84"/>
      <c r="F87" s="1397">
        <v>0</v>
      </c>
      <c r="G87" s="597">
        <f t="shared" ref="G87:L87" si="13">$C$87</f>
        <v>2000</v>
      </c>
      <c r="H87" s="597">
        <f t="shared" si="13"/>
        <v>2000</v>
      </c>
      <c r="I87" s="597">
        <f t="shared" si="13"/>
        <v>2000</v>
      </c>
      <c r="J87" s="597">
        <f t="shared" si="13"/>
        <v>2000</v>
      </c>
      <c r="K87" s="597">
        <f t="shared" si="13"/>
        <v>2000</v>
      </c>
      <c r="L87" s="597">
        <f t="shared" si="13"/>
        <v>2000</v>
      </c>
      <c r="R87" s="287"/>
    </row>
    <row r="88" spans="1:18">
      <c r="A88" s="290">
        <f>ROW()</f>
        <v>88</v>
      </c>
      <c r="B88" s="66" t="s">
        <v>644</v>
      </c>
      <c r="C88" s="670">
        <v>5</v>
      </c>
      <c r="D88" s="84" t="s">
        <v>645</v>
      </c>
      <c r="E88" s="84"/>
      <c r="F88" s="1397">
        <v>0</v>
      </c>
      <c r="G88" s="597">
        <f>$C$88*' Enrol &amp; Rev'!G36</f>
        <v>1375</v>
      </c>
      <c r="H88" s="597">
        <f>$C$88*' Enrol &amp; Rev'!H36</f>
        <v>1750</v>
      </c>
      <c r="I88" s="597">
        <f>$C$88*' Enrol &amp; Rev'!I36</f>
        <v>2000</v>
      </c>
      <c r="J88" s="597">
        <f>$C$88*' Enrol &amp; Rev'!J36</f>
        <v>2250</v>
      </c>
      <c r="K88" s="597">
        <f>$C$88*' Enrol &amp; Rev'!K36</f>
        <v>2250</v>
      </c>
      <c r="L88" s="597">
        <f>$C$88*' Enrol &amp; Rev'!L36</f>
        <v>2250</v>
      </c>
      <c r="R88" s="287"/>
    </row>
    <row r="89" spans="1:18">
      <c r="A89" s="290">
        <f>ROW()</f>
        <v>89</v>
      </c>
      <c r="B89" s="66" t="s">
        <v>646</v>
      </c>
      <c r="C89" s="670">
        <v>0</v>
      </c>
      <c r="D89" s="84" t="s">
        <v>643</v>
      </c>
      <c r="E89" s="84"/>
      <c r="F89" s="1397">
        <v>0</v>
      </c>
      <c r="G89" s="597">
        <f t="shared" ref="G89:L89" si="14">$C$89</f>
        <v>0</v>
      </c>
      <c r="H89" s="597">
        <f t="shared" si="14"/>
        <v>0</v>
      </c>
      <c r="I89" s="597">
        <f t="shared" si="14"/>
        <v>0</v>
      </c>
      <c r="J89" s="597">
        <f t="shared" si="14"/>
        <v>0</v>
      </c>
      <c r="K89" s="597">
        <f t="shared" si="14"/>
        <v>0</v>
      </c>
      <c r="L89" s="597">
        <f t="shared" si="14"/>
        <v>0</v>
      </c>
      <c r="R89" s="287"/>
    </row>
    <row r="90" spans="1:18">
      <c r="A90" s="290">
        <f>ROW()</f>
        <v>90</v>
      </c>
      <c r="B90" s="66" t="s">
        <v>647</v>
      </c>
      <c r="C90" s="670">
        <v>0</v>
      </c>
      <c r="D90" s="84" t="s">
        <v>629</v>
      </c>
      <c r="E90" s="84"/>
      <c r="F90" s="1397">
        <v>0</v>
      </c>
      <c r="G90" s="597">
        <f>+G197</f>
        <v>0</v>
      </c>
      <c r="H90" s="597">
        <f t="shared" ref="H90:L90" si="15">+H197</f>
        <v>0</v>
      </c>
      <c r="I90" s="597">
        <f t="shared" si="15"/>
        <v>0</v>
      </c>
      <c r="J90" s="597">
        <f t="shared" si="15"/>
        <v>0</v>
      </c>
      <c r="K90" s="597">
        <f t="shared" si="15"/>
        <v>0</v>
      </c>
      <c r="L90" s="597">
        <f t="shared" si="15"/>
        <v>0</v>
      </c>
      <c r="R90" s="287"/>
    </row>
    <row r="91" spans="1:18">
      <c r="A91" s="290">
        <f>ROW()</f>
        <v>91</v>
      </c>
      <c r="B91" s="66" t="s">
        <v>648</v>
      </c>
      <c r="C91" s="670">
        <v>2.5</v>
      </c>
      <c r="D91" s="84" t="s">
        <v>305</v>
      </c>
      <c r="E91" s="84"/>
      <c r="F91" s="1397">
        <v>0</v>
      </c>
      <c r="G91" s="597">
        <f>$C$91*' Enrol &amp; Rev'!G36</f>
        <v>687.5</v>
      </c>
      <c r="H91" s="597">
        <f>$C$91*' Enrol &amp; Rev'!H36</f>
        <v>875</v>
      </c>
      <c r="I91" s="597">
        <f>$C$91*' Enrol &amp; Rev'!I36</f>
        <v>1000</v>
      </c>
      <c r="J91" s="597">
        <f>$C$91*' Enrol &amp; Rev'!J36</f>
        <v>1125</v>
      </c>
      <c r="K91" s="597">
        <f>$C$91*' Enrol &amp; Rev'!K36</f>
        <v>1125</v>
      </c>
      <c r="L91" s="597">
        <f>$C$91*' Enrol &amp; Rev'!L36</f>
        <v>1125</v>
      </c>
      <c r="R91" s="287"/>
    </row>
    <row r="92" spans="1:18">
      <c r="A92" s="290">
        <f>ROW()</f>
        <v>92</v>
      </c>
      <c r="B92" s="66" t="s">
        <v>649</v>
      </c>
      <c r="C92" s="670">
        <v>0</v>
      </c>
      <c r="D92" s="84" t="s">
        <v>305</v>
      </c>
      <c r="E92" s="84"/>
      <c r="F92" s="1397">
        <v>0</v>
      </c>
      <c r="G92" s="597">
        <f>$C$92*' Enrol &amp; Rev'!G36</f>
        <v>0</v>
      </c>
      <c r="H92" s="597">
        <f>$C$92*' Enrol &amp; Rev'!H36</f>
        <v>0</v>
      </c>
      <c r="I92" s="597">
        <f>$C$92*' Enrol &amp; Rev'!I36</f>
        <v>0</v>
      </c>
      <c r="J92" s="597">
        <f>$C$92*' Enrol &amp; Rev'!J36</f>
        <v>0</v>
      </c>
      <c r="K92" s="597">
        <f>$C$92*' Enrol &amp; Rev'!K36</f>
        <v>0</v>
      </c>
      <c r="L92" s="597">
        <f>$C$92*' Enrol &amp; Rev'!L36</f>
        <v>0</v>
      </c>
      <c r="R92" s="287"/>
    </row>
    <row r="93" spans="1:18">
      <c r="A93" s="290">
        <f>ROW()</f>
        <v>93</v>
      </c>
      <c r="B93" s="66" t="s">
        <v>650</v>
      </c>
      <c r="C93" s="670">
        <v>0</v>
      </c>
      <c r="D93" s="84" t="s">
        <v>617</v>
      </c>
      <c r="E93" s="84"/>
      <c r="F93" s="1397">
        <v>0</v>
      </c>
      <c r="G93" s="597">
        <f>$C$93*Staff!H$24</f>
        <v>0</v>
      </c>
      <c r="H93" s="597">
        <f>$C$93*Staff!I$24</f>
        <v>0</v>
      </c>
      <c r="I93" s="597">
        <f>$C$93*Staff!J$24</f>
        <v>0</v>
      </c>
      <c r="J93" s="597">
        <f>$C$93*Staff!K$24</f>
        <v>0</v>
      </c>
      <c r="K93" s="597">
        <f>$C$93*Staff!L$24</f>
        <v>0</v>
      </c>
      <c r="L93" s="597">
        <f>$C$93*Staff!M$24</f>
        <v>0</v>
      </c>
      <c r="R93" s="287"/>
    </row>
    <row r="94" spans="1:18">
      <c r="A94" s="290">
        <f>ROW()</f>
        <v>94</v>
      </c>
      <c r="B94" s="66" t="s">
        <v>651</v>
      </c>
      <c r="C94" s="670">
        <v>100</v>
      </c>
      <c r="D94" s="84" t="s">
        <v>617</v>
      </c>
      <c r="E94" s="84"/>
      <c r="F94" s="1397">
        <v>0</v>
      </c>
      <c r="G94" s="597">
        <f>$C$94*Staff!H$24</f>
        <v>2700</v>
      </c>
      <c r="H94" s="597">
        <f>$C$94*Staff!I$24</f>
        <v>3900</v>
      </c>
      <c r="I94" s="597">
        <f>$C$94*Staff!J$24</f>
        <v>4400</v>
      </c>
      <c r="J94" s="597">
        <f>$C$94*Staff!K$24</f>
        <v>5100</v>
      </c>
      <c r="K94" s="597">
        <f>$C$94*Staff!L$24</f>
        <v>5100</v>
      </c>
      <c r="L94" s="597">
        <f>$C$94*Staff!M$24</f>
        <v>5100</v>
      </c>
      <c r="R94" s="287"/>
    </row>
    <row r="95" spans="1:18">
      <c r="A95" s="290">
        <f>ROW()</f>
        <v>95</v>
      </c>
      <c r="B95" s="66" t="s">
        <v>652</v>
      </c>
      <c r="C95" s="670">
        <v>100</v>
      </c>
      <c r="D95" s="84" t="s">
        <v>617</v>
      </c>
      <c r="E95" s="84"/>
      <c r="F95" s="1397">
        <v>0</v>
      </c>
      <c r="G95" s="597">
        <f>$C$95*Staff!H$24</f>
        <v>2700</v>
      </c>
      <c r="H95" s="597">
        <f>$C$95*Staff!I$24</f>
        <v>3900</v>
      </c>
      <c r="I95" s="597">
        <f>$C$95*Staff!J$24</f>
        <v>4400</v>
      </c>
      <c r="J95" s="597">
        <f>$C$95*Staff!K$24</f>
        <v>5100</v>
      </c>
      <c r="K95" s="597">
        <f>$C$95*Staff!L$24</f>
        <v>5100</v>
      </c>
      <c r="L95" s="597">
        <f>$C$95*Staff!M$24</f>
        <v>5100</v>
      </c>
      <c r="R95" s="287"/>
    </row>
    <row r="96" spans="1:18">
      <c r="A96" s="290">
        <f>ROW()</f>
        <v>96</v>
      </c>
      <c r="B96" s="66" t="s">
        <v>653</v>
      </c>
      <c r="C96" s="670">
        <v>81</v>
      </c>
      <c r="D96" s="84" t="s">
        <v>654</v>
      </c>
      <c r="E96" s="84"/>
      <c r="F96" s="1397">
        <v>0</v>
      </c>
      <c r="G96" s="597">
        <f>IF($C$96*(Staff!H24-Staff!G24)&gt;0,$C$96*(Staff!H24-Staff!G24),0)</f>
        <v>2187</v>
      </c>
      <c r="H96" s="597">
        <f>IF($C$96*(Staff!I24-Staff!H24)&gt;0,$C$96*(Staff!I24-Staff!H24),0)</f>
        <v>972</v>
      </c>
      <c r="I96" s="597">
        <f>IF($C$96*(Staff!J24-Staff!I24)&gt;0,$C$96*(Staff!J24-Staff!I24),0)</f>
        <v>405</v>
      </c>
      <c r="J96" s="597">
        <f>IF($C$96*(Staff!K24-Staff!J24)&gt;0,$C$96*(Staff!K24-Staff!J24),0)</f>
        <v>567</v>
      </c>
      <c r="K96" s="597">
        <f>IF($C$96*(Staff!L24-Staff!K24)&gt;0,$C$96*(Staff!L24-Staff!K24),0)</f>
        <v>0</v>
      </c>
      <c r="L96" s="597">
        <f>IF($C$96*(Staff!M24-Staff!L24)&gt;0,$C$96*(Staff!M24-Staff!L24),0)</f>
        <v>0</v>
      </c>
      <c r="R96" s="287"/>
    </row>
    <row r="97" spans="1:18">
      <c r="A97" s="290">
        <f>ROW()</f>
        <v>97</v>
      </c>
      <c r="B97" s="66" t="s">
        <v>1188</v>
      </c>
      <c r="C97" s="670">
        <v>0</v>
      </c>
      <c r="D97" s="84" t="s">
        <v>643</v>
      </c>
      <c r="E97" s="84"/>
      <c r="F97" s="1397">
        <v>0</v>
      </c>
      <c r="G97" s="597">
        <f t="shared" ref="G97:L97" si="16">$C$97</f>
        <v>0</v>
      </c>
      <c r="H97" s="597">
        <f t="shared" si="16"/>
        <v>0</v>
      </c>
      <c r="I97" s="597">
        <f t="shared" si="16"/>
        <v>0</v>
      </c>
      <c r="J97" s="597">
        <f t="shared" si="16"/>
        <v>0</v>
      </c>
      <c r="K97" s="597">
        <f t="shared" si="16"/>
        <v>0</v>
      </c>
      <c r="L97" s="597">
        <f t="shared" si="16"/>
        <v>0</v>
      </c>
      <c r="R97" s="287"/>
    </row>
    <row r="98" spans="1:18">
      <c r="A98" s="290">
        <f>ROW()</f>
        <v>98</v>
      </c>
      <c r="B98" s="66" t="s">
        <v>655</v>
      </c>
      <c r="C98" s="670">
        <v>0</v>
      </c>
      <c r="D98" s="84" t="s">
        <v>656</v>
      </c>
      <c r="E98" s="84"/>
      <c r="F98" s="1397">
        <v>0</v>
      </c>
      <c r="G98" s="597">
        <f>$C$98*' Enrol &amp; Rev'!G17</f>
        <v>0</v>
      </c>
      <c r="H98" s="597">
        <f>$C$98*' Enrol &amp; Rev'!H17</f>
        <v>0</v>
      </c>
      <c r="I98" s="597">
        <f>$C$98*' Enrol &amp; Rev'!I17</f>
        <v>0</v>
      </c>
      <c r="J98" s="597">
        <f>$C$98*' Enrol &amp; Rev'!J17</f>
        <v>0</v>
      </c>
      <c r="K98" s="597">
        <f>$C$98*' Enrol &amp; Rev'!K17</f>
        <v>0</v>
      </c>
      <c r="L98" s="597">
        <f>$C$98*' Enrol &amp; Rev'!L17</f>
        <v>0</v>
      </c>
      <c r="R98" s="287"/>
    </row>
    <row r="99" spans="1:18">
      <c r="A99" s="290">
        <f>ROW()</f>
        <v>99</v>
      </c>
      <c r="B99" s="66" t="s">
        <v>657</v>
      </c>
      <c r="C99" s="670">
        <v>0</v>
      </c>
      <c r="D99" s="84" t="s">
        <v>656</v>
      </c>
      <c r="E99" s="84"/>
      <c r="F99" s="1397">
        <v>0</v>
      </c>
      <c r="G99" s="597">
        <v>0</v>
      </c>
      <c r="H99" s="597">
        <f>$C$99*' Enrol &amp; Rev'!H17</f>
        <v>0</v>
      </c>
      <c r="I99" s="597">
        <f>$C$99*' Enrol &amp; Rev'!I17</f>
        <v>0</v>
      </c>
      <c r="J99" s="597">
        <f>$C$99*' Enrol &amp; Rev'!J17</f>
        <v>0</v>
      </c>
      <c r="K99" s="597">
        <f>$C$99*' Enrol &amp; Rev'!K17</f>
        <v>0</v>
      </c>
      <c r="L99" s="597">
        <f>$C$99*' Enrol &amp; Rev'!L17</f>
        <v>0</v>
      </c>
      <c r="R99" s="287"/>
    </row>
    <row r="100" spans="1:18">
      <c r="A100" s="290">
        <f>ROW()</f>
        <v>100</v>
      </c>
      <c r="B100" s="66" t="s">
        <v>658</v>
      </c>
      <c r="C100" s="201">
        <v>172</v>
      </c>
      <c r="D100" s="84" t="s">
        <v>457</v>
      </c>
      <c r="E100" s="84"/>
      <c r="F100" s="1397">
        <v>0</v>
      </c>
      <c r="G100" s="597">
        <f>+$C100*7</f>
        <v>1204</v>
      </c>
      <c r="H100" s="597">
        <f t="shared" ref="G100:L101" si="17">+$C100</f>
        <v>172</v>
      </c>
      <c r="I100" s="597">
        <f t="shared" si="17"/>
        <v>172</v>
      </c>
      <c r="J100" s="597">
        <f t="shared" si="17"/>
        <v>172</v>
      </c>
      <c r="K100" s="597">
        <f t="shared" si="17"/>
        <v>172</v>
      </c>
      <c r="L100" s="597">
        <f t="shared" si="17"/>
        <v>172</v>
      </c>
      <c r="R100" s="287"/>
    </row>
    <row r="101" spans="1:18">
      <c r="A101" s="290">
        <f>ROW()</f>
        <v>101</v>
      </c>
      <c r="B101" s="66" t="s">
        <v>659</v>
      </c>
      <c r="C101" s="201">
        <v>2000</v>
      </c>
      <c r="D101" s="84" t="s">
        <v>457</v>
      </c>
      <c r="E101" s="84"/>
      <c r="F101" s="1397">
        <v>0</v>
      </c>
      <c r="G101" s="597">
        <f t="shared" si="17"/>
        <v>2000</v>
      </c>
      <c r="H101" s="597">
        <f t="shared" si="17"/>
        <v>2000</v>
      </c>
      <c r="I101" s="597">
        <f t="shared" si="17"/>
        <v>2000</v>
      </c>
      <c r="J101" s="597">
        <f t="shared" si="17"/>
        <v>2000</v>
      </c>
      <c r="K101" s="597">
        <f t="shared" si="17"/>
        <v>2000</v>
      </c>
      <c r="L101" s="597">
        <f t="shared" si="17"/>
        <v>2000</v>
      </c>
      <c r="R101" s="287"/>
    </row>
    <row r="102" spans="1:18">
      <c r="A102" s="290">
        <f>ROW()</f>
        <v>102</v>
      </c>
      <c r="B102" s="66" t="s">
        <v>660</v>
      </c>
      <c r="C102" s="201">
        <v>1000</v>
      </c>
      <c r="D102" s="84" t="s">
        <v>457</v>
      </c>
      <c r="E102" s="84"/>
      <c r="F102" s="1397">
        <v>0</v>
      </c>
      <c r="G102" s="597">
        <v>0</v>
      </c>
      <c r="H102" s="597">
        <v>0</v>
      </c>
      <c r="I102" s="597">
        <v>0</v>
      </c>
      <c r="J102" s="597">
        <v>0</v>
      </c>
      <c r="K102" s="597">
        <v>0</v>
      </c>
      <c r="L102" s="597">
        <v>0</v>
      </c>
      <c r="R102" s="287"/>
    </row>
    <row r="103" spans="1:18">
      <c r="A103" s="290">
        <f>ROW()</f>
        <v>103</v>
      </c>
      <c r="B103" s="66" t="s">
        <v>661</v>
      </c>
      <c r="C103" s="670">
        <v>800</v>
      </c>
      <c r="D103" s="84" t="s">
        <v>643</v>
      </c>
      <c r="E103" s="84"/>
      <c r="F103" s="1397">
        <v>0</v>
      </c>
      <c r="G103" s="597">
        <f t="shared" ref="G103:L103" si="18">$C$103</f>
        <v>800</v>
      </c>
      <c r="H103" s="597">
        <f t="shared" si="18"/>
        <v>800</v>
      </c>
      <c r="I103" s="597">
        <f t="shared" si="18"/>
        <v>800</v>
      </c>
      <c r="J103" s="597">
        <f t="shared" si="18"/>
        <v>800</v>
      </c>
      <c r="K103" s="597">
        <f t="shared" si="18"/>
        <v>800</v>
      </c>
      <c r="L103" s="597">
        <f t="shared" si="18"/>
        <v>800</v>
      </c>
      <c r="R103" s="287"/>
    </row>
    <row r="104" spans="1:18">
      <c r="A104" s="290">
        <f>ROW()</f>
        <v>104</v>
      </c>
      <c r="B104" s="66" t="s">
        <v>662</v>
      </c>
      <c r="C104" s="201" t="s">
        <v>891</v>
      </c>
      <c r="D104" s="84" t="s">
        <v>663</v>
      </c>
      <c r="E104" s="84"/>
      <c r="F104" s="1397">
        <v>0</v>
      </c>
      <c r="G104" s="597">
        <v>0</v>
      </c>
      <c r="H104" s="597">
        <f>IF($C$104="yes",Staff!$C$74*Staff!$C$73*Staff!$C$72,0)</f>
        <v>0</v>
      </c>
      <c r="I104" s="597">
        <f>IF($C$104="yes",Staff!$C$74*Staff!$C$73*Staff!$C$72,0)</f>
        <v>0</v>
      </c>
      <c r="J104" s="597">
        <f>IF($C$104="yes",Staff!$C$74*Staff!$C$73*Staff!$C$72,0)</f>
        <v>0</v>
      </c>
      <c r="K104" s="597">
        <f>IF($C$104="yes",Staff!$C$74*Staff!$C$73*Staff!$C$72,0)</f>
        <v>0</v>
      </c>
      <c r="L104" s="597">
        <f>IF($C$104="yes",Staff!$C$74*Staff!$C$73*Staff!$C$72,0)</f>
        <v>0</v>
      </c>
      <c r="R104" s="287"/>
    </row>
    <row r="105" spans="1:18">
      <c r="A105" s="290">
        <f>ROW()</f>
        <v>105</v>
      </c>
      <c r="C105" s="109"/>
      <c r="D105" s="54"/>
      <c r="E105" s="54"/>
      <c r="F105" s="260"/>
      <c r="G105" s="260"/>
      <c r="H105" s="260"/>
      <c r="I105" s="260"/>
      <c r="J105" s="260"/>
      <c r="K105" s="260"/>
      <c r="L105" s="260"/>
      <c r="R105" s="287"/>
    </row>
    <row r="106" spans="1:18" ht="14.4" thickBot="1">
      <c r="A106" s="290">
        <f>ROW()</f>
        <v>106</v>
      </c>
      <c r="B106" s="1716" t="s">
        <v>1208</v>
      </c>
      <c r="C106" s="1717"/>
      <c r="D106" s="1716"/>
      <c r="E106" s="1716"/>
      <c r="F106" s="1718">
        <f t="shared" ref="F106:L106" si="19">SUM(F66:F105)</f>
        <v>0</v>
      </c>
      <c r="G106" s="1718">
        <f t="shared" si="19"/>
        <v>310793.375</v>
      </c>
      <c r="H106" s="1718">
        <f t="shared" si="19"/>
        <v>365919.75</v>
      </c>
      <c r="I106" s="1718">
        <f t="shared" si="19"/>
        <v>410985</v>
      </c>
      <c r="J106" s="1718">
        <f t="shared" si="19"/>
        <v>462129.25</v>
      </c>
      <c r="K106" s="1718">
        <f t="shared" si="19"/>
        <v>456562.25</v>
      </c>
      <c r="L106" s="1718">
        <f t="shared" si="19"/>
        <v>484062.25</v>
      </c>
      <c r="R106" s="287"/>
    </row>
    <row r="107" spans="1:18" ht="14.4" thickTop="1">
      <c r="A107" s="290">
        <f>ROW()</f>
        <v>107</v>
      </c>
      <c r="B107" s="74" t="s">
        <v>305</v>
      </c>
      <c r="C107" s="113"/>
      <c r="D107" s="74"/>
      <c r="E107" s="74"/>
      <c r="F107" s="507">
        <f>IFERROR(F106/' Enrol &amp; Rev'!F36,0)</f>
        <v>0</v>
      </c>
      <c r="G107" s="507">
        <f>IFERROR(G106/' Enrol &amp; Rev'!G36,0)</f>
        <v>1130.1577272727272</v>
      </c>
      <c r="H107" s="507">
        <f>IFERROR(H106/' Enrol &amp; Rev'!H36,0)</f>
        <v>1045.4849999999999</v>
      </c>
      <c r="I107" s="507">
        <f>IFERROR(I106/' Enrol &amp; Rev'!I36,0)</f>
        <v>1027.4625000000001</v>
      </c>
      <c r="J107" s="507">
        <f>IFERROR(J106/' Enrol &amp; Rev'!J36,0)</f>
        <v>1026.953888888889</v>
      </c>
      <c r="K107" s="507">
        <f>IFERROR(K106/' Enrol &amp; Rev'!K36,0)</f>
        <v>1014.5827777777778</v>
      </c>
      <c r="L107" s="507">
        <f>IFERROR(L106/' Enrol &amp; Rev'!L36,0)</f>
        <v>1075.693888888889</v>
      </c>
      <c r="M107" s="74"/>
      <c r="N107" s="74"/>
      <c r="O107" s="74"/>
      <c r="P107" s="74"/>
      <c r="Q107" s="74"/>
      <c r="R107" s="287"/>
    </row>
    <row r="108" spans="1:18">
      <c r="A108" s="290">
        <f>ROW()</f>
        <v>108</v>
      </c>
      <c r="B108" s="30"/>
      <c r="C108" s="112"/>
      <c r="D108" s="30"/>
      <c r="E108" s="74"/>
      <c r="F108" s="109"/>
      <c r="G108" s="491"/>
      <c r="H108" s="491"/>
      <c r="I108" s="491"/>
      <c r="J108" s="491"/>
      <c r="K108" s="491"/>
      <c r="L108" s="491"/>
      <c r="M108" s="55"/>
      <c r="R108" s="287"/>
    </row>
    <row r="109" spans="1:18">
      <c r="A109" s="290">
        <f>ROW()</f>
        <v>109</v>
      </c>
      <c r="B109" s="1510" t="s">
        <v>1186</v>
      </c>
      <c r="C109" s="1719"/>
      <c r="D109" s="1510"/>
      <c r="E109" s="1720"/>
      <c r="F109" s="1721"/>
      <c r="G109" s="1722"/>
      <c r="H109" s="1722"/>
      <c r="I109" s="1722"/>
      <c r="J109" s="1722"/>
      <c r="K109" s="1722"/>
      <c r="L109" s="1722"/>
      <c r="R109" s="287"/>
    </row>
    <row r="110" spans="1:18">
      <c r="A110" s="290">
        <f>ROW()</f>
        <v>110</v>
      </c>
      <c r="B110" s="32" t="s">
        <v>329</v>
      </c>
      <c r="C110" s="112"/>
      <c r="D110" s="30"/>
      <c r="E110" s="74"/>
      <c r="F110" s="1395">
        <v>0</v>
      </c>
      <c r="G110" s="1088">
        <v>0</v>
      </c>
      <c r="H110" s="1088">
        <v>0</v>
      </c>
      <c r="I110" s="1088">
        <v>0</v>
      </c>
      <c r="J110" s="1088">
        <v>0</v>
      </c>
      <c r="K110" s="1088">
        <v>0</v>
      </c>
      <c r="L110" s="1088">
        <v>1000</v>
      </c>
      <c r="R110" s="287"/>
    </row>
    <row r="111" spans="1:18">
      <c r="A111" s="290">
        <f>ROW()</f>
        <v>111</v>
      </c>
      <c r="B111" s="66" t="s">
        <v>1189</v>
      </c>
      <c r="C111" s="112"/>
      <c r="D111" s="30"/>
      <c r="E111" s="74"/>
      <c r="F111" s="1395">
        <v>0</v>
      </c>
      <c r="G111" s="1088">
        <f>ROUND(' Enrol &amp; Rev'!G145*0.015,0)</f>
        <v>50664</v>
      </c>
      <c r="H111" s="1088">
        <f>ROUND(' Enrol &amp; Rev'!H145*0.015,0)</f>
        <v>68255</v>
      </c>
      <c r="I111" s="1088">
        <f>ROUND(' Enrol &amp; Rev'!I145*0.015,0)</f>
        <v>78339</v>
      </c>
      <c r="J111" s="1088">
        <f>ROUND(' Enrol &amp; Rev'!J145*0.015,0)</f>
        <v>88189</v>
      </c>
      <c r="K111" s="1088">
        <f>ROUND(' Enrol &amp; Rev'!K145*0.015,0)</f>
        <v>88656</v>
      </c>
      <c r="L111" s="1088">
        <f>ROUND(' Enrol &amp; Rev'!L145*0.015,0)</f>
        <v>88656</v>
      </c>
      <c r="R111" s="287"/>
    </row>
    <row r="112" spans="1:18">
      <c r="A112" s="290">
        <f>ROW()</f>
        <v>112</v>
      </c>
      <c r="B112" s="32" t="s">
        <v>664</v>
      </c>
      <c r="C112" s="112"/>
      <c r="D112" s="30"/>
      <c r="E112" s="74"/>
      <c r="F112" s="1088">
        <v>0</v>
      </c>
      <c r="G112" s="1088">
        <v>15000</v>
      </c>
      <c r="H112" s="1088">
        <v>20000</v>
      </c>
      <c r="I112" s="1088">
        <v>25000</v>
      </c>
      <c r="J112" s="1088">
        <v>30000</v>
      </c>
      <c r="K112" s="1088">
        <v>35000</v>
      </c>
      <c r="L112" s="1088">
        <v>35000</v>
      </c>
      <c r="R112" s="287"/>
    </row>
    <row r="113" spans="1:18">
      <c r="A113" s="290">
        <f>ROW()</f>
        <v>113</v>
      </c>
      <c r="B113" s="32" t="s">
        <v>1283</v>
      </c>
      <c r="C113" s="112"/>
      <c r="D113" s="30"/>
      <c r="E113" s="74"/>
      <c r="F113" s="1088">
        <v>0</v>
      </c>
      <c r="G113" s="1088">
        <v>0</v>
      </c>
      <c r="H113" s="1088">
        <v>0</v>
      </c>
      <c r="I113" s="1088">
        <v>0</v>
      </c>
      <c r="J113" s="1088">
        <v>0</v>
      </c>
      <c r="K113" s="1088">
        <v>0</v>
      </c>
      <c r="L113" s="1088">
        <v>0</v>
      </c>
      <c r="R113" s="287"/>
    </row>
    <row r="114" spans="1:18">
      <c r="A114" s="290">
        <f>ROW()</f>
        <v>114</v>
      </c>
      <c r="B114" s="32" t="s">
        <v>331</v>
      </c>
      <c r="C114" s="112"/>
      <c r="D114" s="30"/>
      <c r="E114" s="74"/>
      <c r="F114" s="1088">
        <v>0</v>
      </c>
      <c r="G114" s="1088">
        <v>1000</v>
      </c>
      <c r="H114" s="1088">
        <v>500</v>
      </c>
      <c r="I114" s="1088">
        <v>500</v>
      </c>
      <c r="J114" s="1088">
        <v>500</v>
      </c>
      <c r="K114" s="1088">
        <v>500</v>
      </c>
      <c r="L114" s="1088">
        <v>500</v>
      </c>
      <c r="R114" s="287"/>
    </row>
    <row r="115" spans="1:18">
      <c r="A115" s="290">
        <f>ROW()</f>
        <v>115</v>
      </c>
      <c r="B115" s="32" t="s">
        <v>665</v>
      </c>
      <c r="C115" s="112"/>
      <c r="D115" s="30"/>
      <c r="E115" s="74"/>
      <c r="F115" s="1088">
        <v>0</v>
      </c>
      <c r="G115" s="1088">
        <v>2500</v>
      </c>
      <c r="H115" s="1088">
        <v>1000</v>
      </c>
      <c r="I115" s="1088">
        <v>1000</v>
      </c>
      <c r="J115" s="1088">
        <v>1000</v>
      </c>
      <c r="K115" s="1088">
        <v>1000</v>
      </c>
      <c r="L115" s="1088">
        <v>1000</v>
      </c>
      <c r="R115" s="287"/>
    </row>
    <row r="116" spans="1:18">
      <c r="A116" s="290">
        <f>ROW()</f>
        <v>116</v>
      </c>
      <c r="B116" s="32" t="s">
        <v>333</v>
      </c>
      <c r="C116" s="112"/>
      <c r="D116" s="30"/>
      <c r="E116" s="74"/>
      <c r="F116" s="1088">
        <v>0</v>
      </c>
      <c r="G116" s="1088">
        <v>0</v>
      </c>
      <c r="H116" s="1088">
        <v>0</v>
      </c>
      <c r="I116" s="1088">
        <v>0</v>
      </c>
      <c r="J116" s="1088">
        <v>0</v>
      </c>
      <c r="K116" s="1088">
        <v>0</v>
      </c>
      <c r="L116" s="1088">
        <v>2500</v>
      </c>
      <c r="R116" s="287"/>
    </row>
    <row r="117" spans="1:18">
      <c r="A117" s="290">
        <f>ROW()</f>
        <v>117</v>
      </c>
      <c r="B117" s="32" t="s">
        <v>666</v>
      </c>
      <c r="C117" s="112"/>
      <c r="D117" s="30"/>
      <c r="E117" s="74"/>
      <c r="F117" s="1088">
        <v>0</v>
      </c>
      <c r="G117" s="1088">
        <v>0</v>
      </c>
      <c r="H117" s="1088">
        <v>0</v>
      </c>
      <c r="I117" s="1088">
        <v>0</v>
      </c>
      <c r="J117" s="1088">
        <v>0</v>
      </c>
      <c r="K117" s="1088">
        <v>0</v>
      </c>
      <c r="L117" s="1088">
        <v>0</v>
      </c>
      <c r="R117" s="287"/>
    </row>
    <row r="118" spans="1:18">
      <c r="A118" s="290">
        <f>ROW()</f>
        <v>118</v>
      </c>
      <c r="B118" s="32" t="s">
        <v>334</v>
      </c>
      <c r="C118" s="112"/>
      <c r="D118" s="30"/>
      <c r="E118" s="74"/>
      <c r="F118" s="1088">
        <v>0</v>
      </c>
      <c r="G118" s="1088">
        <v>0</v>
      </c>
      <c r="H118" s="1088">
        <v>0</v>
      </c>
      <c r="I118" s="1088">
        <v>0</v>
      </c>
      <c r="J118" s="1088">
        <v>0</v>
      </c>
      <c r="K118" s="1088">
        <v>0</v>
      </c>
      <c r="L118" s="1088">
        <v>0</v>
      </c>
      <c r="R118" s="287"/>
    </row>
    <row r="119" spans="1:18">
      <c r="A119" s="290">
        <f>ROW()</f>
        <v>119</v>
      </c>
      <c r="B119" s="32" t="s">
        <v>667</v>
      </c>
      <c r="C119" s="112"/>
      <c r="D119" s="30"/>
      <c r="E119" s="74"/>
      <c r="F119" s="1088">
        <v>0</v>
      </c>
      <c r="G119" s="1088">
        <v>0</v>
      </c>
      <c r="H119" s="1088">
        <v>0</v>
      </c>
      <c r="I119" s="1088">
        <v>0</v>
      </c>
      <c r="J119" s="1088">
        <v>0</v>
      </c>
      <c r="K119" s="1088">
        <v>0</v>
      </c>
      <c r="L119" s="1088">
        <v>0</v>
      </c>
      <c r="R119" s="287"/>
    </row>
    <row r="120" spans="1:18">
      <c r="A120" s="290">
        <f>ROW()</f>
        <v>120</v>
      </c>
      <c r="B120" s="32" t="s">
        <v>336</v>
      </c>
      <c r="C120" s="112"/>
      <c r="D120" s="30"/>
      <c r="E120" s="74"/>
      <c r="F120" s="1088">
        <v>0</v>
      </c>
      <c r="G120" s="1088">
        <v>0</v>
      </c>
      <c r="H120" s="1088">
        <v>0</v>
      </c>
      <c r="I120" s="1088">
        <v>0</v>
      </c>
      <c r="J120" s="1088">
        <v>0</v>
      </c>
      <c r="K120" s="1088">
        <v>0</v>
      </c>
      <c r="L120" s="1088">
        <v>0</v>
      </c>
      <c r="R120" s="287"/>
    </row>
    <row r="121" spans="1:18" hidden="1">
      <c r="A121" s="290">
        <f>ROW()</f>
        <v>121</v>
      </c>
      <c r="B121" s="32" t="s">
        <v>668</v>
      </c>
      <c r="C121" s="112"/>
      <c r="D121" s="30"/>
      <c r="E121" s="74"/>
      <c r="F121" s="1088"/>
      <c r="G121" s="1088">
        <v>0</v>
      </c>
      <c r="H121" s="1088">
        <v>0</v>
      </c>
      <c r="I121" s="1088">
        <v>0</v>
      </c>
      <c r="J121" s="1088">
        <v>0</v>
      </c>
      <c r="K121" s="1088">
        <v>0</v>
      </c>
      <c r="L121" s="1088">
        <v>0</v>
      </c>
      <c r="R121" s="287"/>
    </row>
    <row r="122" spans="1:18">
      <c r="A122" s="290">
        <f>ROW()</f>
        <v>122</v>
      </c>
      <c r="B122" s="32" t="s">
        <v>1284</v>
      </c>
      <c r="C122" s="112"/>
      <c r="D122" s="30"/>
      <c r="E122" s="74"/>
      <c r="F122" s="1088">
        <v>0</v>
      </c>
      <c r="G122" s="1088">
        <v>0</v>
      </c>
      <c r="H122" s="1088">
        <v>0</v>
      </c>
      <c r="I122" s="1088">
        <v>0</v>
      </c>
      <c r="J122" s="1088">
        <v>0</v>
      </c>
      <c r="K122" s="1088">
        <v>0</v>
      </c>
      <c r="L122" s="1088">
        <v>0</v>
      </c>
      <c r="R122" s="287"/>
    </row>
    <row r="123" spans="1:18">
      <c r="A123" s="290">
        <f>ROW()</f>
        <v>123</v>
      </c>
      <c r="B123" s="32" t="s">
        <v>669</v>
      </c>
      <c r="C123" s="112"/>
      <c r="D123" s="30"/>
      <c r="E123" s="74"/>
      <c r="F123" s="1088">
        <v>0</v>
      </c>
      <c r="G123" s="1088">
        <v>5000</v>
      </c>
      <c r="H123" s="1780"/>
      <c r="I123" s="1780"/>
      <c r="J123" s="1780"/>
      <c r="K123" s="1780"/>
      <c r="L123" s="1780"/>
      <c r="R123" s="287"/>
    </row>
    <row r="124" spans="1:18">
      <c r="A124" s="290">
        <f>ROW()</f>
        <v>124</v>
      </c>
      <c r="B124" s="32" t="s">
        <v>670</v>
      </c>
      <c r="C124" s="112"/>
      <c r="D124" s="30"/>
      <c r="E124" s="74"/>
      <c r="F124" s="1780"/>
      <c r="G124" s="1780"/>
      <c r="H124" s="1088">
        <v>5000</v>
      </c>
      <c r="I124" s="1088">
        <v>5000</v>
      </c>
      <c r="J124" s="1088">
        <v>5000</v>
      </c>
      <c r="K124" s="1088">
        <v>5000</v>
      </c>
      <c r="L124" s="1088">
        <v>5000</v>
      </c>
      <c r="R124" s="287"/>
    </row>
    <row r="125" spans="1:18">
      <c r="A125" s="290">
        <f>ROW()</f>
        <v>125</v>
      </c>
      <c r="B125" s="32" t="s">
        <v>1281</v>
      </c>
      <c r="C125" s="112"/>
      <c r="D125" s="30"/>
      <c r="E125" s="74"/>
      <c r="F125" s="1088">
        <v>0</v>
      </c>
      <c r="G125" s="1088">
        <v>0</v>
      </c>
      <c r="H125" s="1088">
        <v>0</v>
      </c>
      <c r="I125" s="1088">
        <v>0</v>
      </c>
      <c r="J125" s="1088">
        <v>0</v>
      </c>
      <c r="K125" s="1088">
        <v>0</v>
      </c>
      <c r="L125" s="1088">
        <v>0</v>
      </c>
      <c r="R125" s="287"/>
    </row>
    <row r="126" spans="1:18">
      <c r="A126" s="290">
        <f>ROW()</f>
        <v>126</v>
      </c>
      <c r="B126" s="32" t="s">
        <v>1282</v>
      </c>
      <c r="C126" s="112"/>
      <c r="D126" s="30"/>
      <c r="E126" s="74"/>
      <c r="F126" s="1088">
        <v>0</v>
      </c>
      <c r="G126" s="1088">
        <v>0</v>
      </c>
      <c r="H126" s="1088">
        <v>0</v>
      </c>
      <c r="I126" s="1088">
        <v>0</v>
      </c>
      <c r="J126" s="1088">
        <v>0</v>
      </c>
      <c r="K126" s="1088">
        <v>0</v>
      </c>
      <c r="L126" s="1088">
        <v>0</v>
      </c>
      <c r="R126" s="287"/>
    </row>
    <row r="127" spans="1:18">
      <c r="A127" s="290">
        <f>ROW()</f>
        <v>127</v>
      </c>
      <c r="B127" s="32" t="s">
        <v>671</v>
      </c>
      <c r="C127" s="112"/>
      <c r="D127" s="30"/>
      <c r="E127" s="74"/>
      <c r="F127" s="1088">
        <v>0</v>
      </c>
      <c r="G127" s="1088">
        <v>0</v>
      </c>
      <c r="H127" s="1088">
        <v>0</v>
      </c>
      <c r="I127" s="1088">
        <v>0</v>
      </c>
      <c r="J127" s="1088">
        <v>0</v>
      </c>
      <c r="K127" s="1088">
        <v>0</v>
      </c>
      <c r="L127" s="1088">
        <v>0</v>
      </c>
      <c r="R127" s="287"/>
    </row>
    <row r="128" spans="1:18">
      <c r="A128" s="290">
        <f>ROW()</f>
        <v>128</v>
      </c>
      <c r="B128" s="32" t="s">
        <v>1285</v>
      </c>
      <c r="C128" s="112"/>
      <c r="D128" s="30"/>
      <c r="E128" s="74"/>
      <c r="F128" s="1088">
        <v>0</v>
      </c>
      <c r="G128" s="1088">
        <v>0</v>
      </c>
      <c r="H128" s="1088">
        <v>0</v>
      </c>
      <c r="I128" s="1088">
        <v>0</v>
      </c>
      <c r="J128" s="1088">
        <v>0</v>
      </c>
      <c r="K128" s="1088">
        <v>0</v>
      </c>
      <c r="L128" s="1088">
        <v>0</v>
      </c>
      <c r="R128" s="287"/>
    </row>
    <row r="129" spans="1:18">
      <c r="A129" s="290">
        <f>ROW()</f>
        <v>129</v>
      </c>
      <c r="B129" s="32" t="s">
        <v>346</v>
      </c>
      <c r="C129" s="112"/>
      <c r="D129" s="30"/>
      <c r="E129" s="74"/>
      <c r="F129" s="1088">
        <v>0</v>
      </c>
      <c r="G129" s="1088">
        <v>0</v>
      </c>
      <c r="H129" s="1088">
        <v>0</v>
      </c>
      <c r="I129" s="1088">
        <v>0</v>
      </c>
      <c r="J129" s="1088">
        <v>0</v>
      </c>
      <c r="K129" s="1088">
        <v>0</v>
      </c>
      <c r="L129" s="1088">
        <v>0</v>
      </c>
      <c r="R129" s="287"/>
    </row>
    <row r="130" spans="1:18">
      <c r="A130" s="290">
        <f>ROW()</f>
        <v>130</v>
      </c>
      <c r="B130" s="1723"/>
      <c r="C130" s="112"/>
      <c r="D130" s="30"/>
      <c r="E130" s="74"/>
      <c r="F130" s="1088">
        <v>0</v>
      </c>
      <c r="G130" s="1088">
        <v>0</v>
      </c>
      <c r="H130" s="1088">
        <v>0</v>
      </c>
      <c r="I130" s="1088">
        <v>0</v>
      </c>
      <c r="J130" s="1088">
        <v>0</v>
      </c>
      <c r="K130" s="1088">
        <v>0</v>
      </c>
      <c r="L130" s="1088">
        <v>0</v>
      </c>
      <c r="R130" s="287"/>
    </row>
    <row r="131" spans="1:18">
      <c r="A131" s="290">
        <f>ROW()</f>
        <v>131</v>
      </c>
      <c r="B131" s="1165"/>
      <c r="C131" s="112"/>
      <c r="D131" s="30"/>
      <c r="E131" s="74"/>
      <c r="F131" s="1088">
        <v>0</v>
      </c>
      <c r="G131" s="1088">
        <v>0</v>
      </c>
      <c r="H131" s="1088">
        <v>0</v>
      </c>
      <c r="I131" s="1088">
        <v>0</v>
      </c>
      <c r="J131" s="1088">
        <v>0</v>
      </c>
      <c r="K131" s="1088">
        <v>0</v>
      </c>
      <c r="L131" s="1088">
        <v>0</v>
      </c>
      <c r="R131" s="287"/>
    </row>
    <row r="132" spans="1:18">
      <c r="A132" s="290">
        <f>ROW()</f>
        <v>132</v>
      </c>
      <c r="B132" s="1165"/>
      <c r="C132" s="112"/>
      <c r="D132" s="30"/>
      <c r="E132" s="74"/>
      <c r="F132" s="1088">
        <v>0</v>
      </c>
      <c r="G132" s="1088">
        <v>0</v>
      </c>
      <c r="H132" s="1088">
        <v>0</v>
      </c>
      <c r="I132" s="1088">
        <v>0</v>
      </c>
      <c r="J132" s="1088">
        <v>0</v>
      </c>
      <c r="K132" s="1088">
        <v>0</v>
      </c>
      <c r="L132" s="1088">
        <v>0</v>
      </c>
      <c r="R132" s="287"/>
    </row>
    <row r="133" spans="1:18">
      <c r="A133" s="290">
        <f>ROW()</f>
        <v>133</v>
      </c>
      <c r="B133" s="1165"/>
      <c r="C133" s="112"/>
      <c r="D133" s="30"/>
      <c r="E133" s="74"/>
      <c r="F133" s="1088">
        <v>0</v>
      </c>
      <c r="G133" s="1088">
        <v>0</v>
      </c>
      <c r="H133" s="1088">
        <v>0</v>
      </c>
      <c r="I133" s="1088">
        <v>0</v>
      </c>
      <c r="J133" s="1088">
        <v>0</v>
      </c>
      <c r="K133" s="1088">
        <v>0</v>
      </c>
      <c r="L133" s="1088">
        <v>0</v>
      </c>
      <c r="R133" s="287"/>
    </row>
    <row r="134" spans="1:18">
      <c r="A134" s="290">
        <f>ROW()</f>
        <v>134</v>
      </c>
      <c r="B134" s="1165"/>
      <c r="C134" s="112"/>
      <c r="D134" s="30"/>
      <c r="E134" s="74"/>
      <c r="F134" s="1088">
        <v>0</v>
      </c>
      <c r="G134" s="1088">
        <v>0</v>
      </c>
      <c r="H134" s="1088">
        <v>0</v>
      </c>
      <c r="I134" s="1088">
        <v>0</v>
      </c>
      <c r="J134" s="1088">
        <v>0</v>
      </c>
      <c r="K134" s="1088">
        <v>0</v>
      </c>
      <c r="L134" s="1088">
        <v>0</v>
      </c>
      <c r="R134" s="287"/>
    </row>
    <row r="135" spans="1:18">
      <c r="A135" s="290">
        <f>ROW()</f>
        <v>135</v>
      </c>
      <c r="B135" s="1165"/>
      <c r="C135" s="112"/>
      <c r="D135" s="30"/>
      <c r="E135" s="74"/>
      <c r="F135" s="1088">
        <v>0</v>
      </c>
      <c r="G135" s="1088">
        <v>0</v>
      </c>
      <c r="H135" s="1088">
        <v>0</v>
      </c>
      <c r="I135" s="1088">
        <v>0</v>
      </c>
      <c r="J135" s="1088">
        <v>0</v>
      </c>
      <c r="K135" s="1088">
        <v>0</v>
      </c>
      <c r="L135" s="1088">
        <v>0</v>
      </c>
      <c r="R135" s="287"/>
    </row>
    <row r="136" spans="1:18">
      <c r="A136" s="290">
        <f>ROW()</f>
        <v>136</v>
      </c>
      <c r="B136" s="1165"/>
      <c r="C136" s="112"/>
      <c r="D136" s="30"/>
      <c r="E136" s="74"/>
      <c r="F136" s="1088">
        <v>0</v>
      </c>
      <c r="G136" s="1088">
        <v>0</v>
      </c>
      <c r="H136" s="1088">
        <v>0</v>
      </c>
      <c r="I136" s="1088">
        <v>0</v>
      </c>
      <c r="J136" s="1088">
        <v>0</v>
      </c>
      <c r="K136" s="1088">
        <v>0</v>
      </c>
      <c r="L136" s="1088">
        <v>0</v>
      </c>
      <c r="R136" s="287"/>
    </row>
    <row r="137" spans="1:18">
      <c r="A137" s="290">
        <f>ROW()</f>
        <v>137</v>
      </c>
      <c r="B137" s="1165"/>
      <c r="C137" s="112"/>
      <c r="D137" s="30"/>
      <c r="E137" s="74"/>
      <c r="F137" s="1088">
        <v>0</v>
      </c>
      <c r="G137" s="1088">
        <v>0</v>
      </c>
      <c r="H137" s="1088">
        <v>0</v>
      </c>
      <c r="I137" s="1088">
        <v>0</v>
      </c>
      <c r="J137" s="1088">
        <v>0</v>
      </c>
      <c r="K137" s="1088">
        <v>0</v>
      </c>
      <c r="L137" s="1088">
        <v>0</v>
      </c>
      <c r="R137" s="287"/>
    </row>
    <row r="138" spans="1:18">
      <c r="A138" s="290">
        <f>ROW()</f>
        <v>138</v>
      </c>
      <c r="B138" s="1165"/>
      <c r="C138" s="112"/>
      <c r="D138" s="30"/>
      <c r="E138" s="74"/>
      <c r="F138" s="1088">
        <v>0</v>
      </c>
      <c r="G138" s="1088">
        <v>0</v>
      </c>
      <c r="H138" s="1088">
        <v>0</v>
      </c>
      <c r="I138" s="1088">
        <v>0</v>
      </c>
      <c r="J138" s="1088">
        <v>0</v>
      </c>
      <c r="K138" s="1088">
        <v>0</v>
      </c>
      <c r="L138" s="1088">
        <v>0</v>
      </c>
      <c r="R138" s="287"/>
    </row>
    <row r="139" spans="1:18">
      <c r="A139" s="290">
        <f>ROW()</f>
        <v>139</v>
      </c>
      <c r="B139" s="1165"/>
      <c r="C139" s="112"/>
      <c r="D139" s="30"/>
      <c r="E139" s="74"/>
      <c r="F139" s="1088">
        <v>0</v>
      </c>
      <c r="G139" s="1088">
        <v>0</v>
      </c>
      <c r="H139" s="1088">
        <v>0</v>
      </c>
      <c r="I139" s="1088">
        <v>0</v>
      </c>
      <c r="J139" s="1088">
        <v>0</v>
      </c>
      <c r="K139" s="1088">
        <v>0</v>
      </c>
      <c r="L139" s="1088">
        <v>0</v>
      </c>
      <c r="R139" s="287"/>
    </row>
    <row r="140" spans="1:18">
      <c r="A140" s="290">
        <f>ROW()</f>
        <v>140</v>
      </c>
      <c r="B140" s="1165"/>
      <c r="C140" s="112"/>
      <c r="D140" s="30"/>
      <c r="E140" s="74"/>
      <c r="F140" s="1088">
        <v>0</v>
      </c>
      <c r="G140" s="1088">
        <v>0</v>
      </c>
      <c r="H140" s="1088">
        <v>0</v>
      </c>
      <c r="I140" s="1088">
        <v>0</v>
      </c>
      <c r="J140" s="1088">
        <v>0</v>
      </c>
      <c r="K140" s="1088">
        <v>0</v>
      </c>
      <c r="L140" s="1088">
        <v>0</v>
      </c>
      <c r="R140" s="287"/>
    </row>
    <row r="141" spans="1:18">
      <c r="A141" s="290">
        <f>ROW()</f>
        <v>141</v>
      </c>
      <c r="B141" s="1165"/>
      <c r="C141" s="112"/>
      <c r="D141" s="30"/>
      <c r="E141" s="74"/>
      <c r="F141" s="1088">
        <v>0</v>
      </c>
      <c r="G141" s="1088">
        <v>0</v>
      </c>
      <c r="H141" s="1088">
        <v>0</v>
      </c>
      <c r="I141" s="1088">
        <v>0</v>
      </c>
      <c r="J141" s="1088">
        <v>0</v>
      </c>
      <c r="K141" s="1088">
        <v>0</v>
      </c>
      <c r="L141" s="1088">
        <v>0</v>
      </c>
      <c r="R141" s="287"/>
    </row>
    <row r="142" spans="1:18">
      <c r="A142" s="290">
        <f>ROW()</f>
        <v>142</v>
      </c>
      <c r="B142" s="287"/>
      <c r="C142" s="112"/>
      <c r="D142" s="30"/>
      <c r="E142" s="74"/>
      <c r="F142" s="1088">
        <v>0</v>
      </c>
      <c r="G142" s="1088">
        <v>0</v>
      </c>
      <c r="H142" s="1088">
        <v>0</v>
      </c>
      <c r="I142" s="1088">
        <v>0</v>
      </c>
      <c r="J142" s="1088">
        <v>0</v>
      </c>
      <c r="K142" s="1088">
        <v>0</v>
      </c>
      <c r="L142" s="1088">
        <v>0</v>
      </c>
      <c r="R142" s="287"/>
    </row>
    <row r="143" spans="1:18">
      <c r="A143" s="290">
        <f>ROW()</f>
        <v>143</v>
      </c>
      <c r="B143" s="287"/>
      <c r="C143" s="112"/>
      <c r="D143" s="30"/>
      <c r="E143" s="74"/>
      <c r="F143" s="1088">
        <v>0</v>
      </c>
      <c r="G143" s="1088">
        <v>0</v>
      </c>
      <c r="H143" s="1088">
        <v>0</v>
      </c>
      <c r="I143" s="1088">
        <v>0</v>
      </c>
      <c r="J143" s="1088">
        <v>0</v>
      </c>
      <c r="K143" s="1088">
        <v>0</v>
      </c>
      <c r="L143" s="1088">
        <v>0</v>
      </c>
      <c r="R143" s="287"/>
    </row>
    <row r="144" spans="1:18">
      <c r="A144" s="290">
        <f>ROW()</f>
        <v>144</v>
      </c>
      <c r="B144" s="30"/>
      <c r="C144" s="109"/>
      <c r="D144" s="54"/>
      <c r="E144" s="74"/>
      <c r="F144" s="659"/>
      <c r="G144" s="659"/>
      <c r="H144" s="659"/>
      <c r="I144" s="659"/>
      <c r="J144" s="659"/>
      <c r="K144" s="659"/>
      <c r="L144" s="659"/>
      <c r="R144" s="287"/>
    </row>
    <row r="145" spans="1:18" ht="14.4" thickBot="1">
      <c r="A145" s="290">
        <f>ROW()</f>
        <v>145</v>
      </c>
      <c r="B145" s="1716" t="s">
        <v>672</v>
      </c>
      <c r="C145" s="1717"/>
      <c r="D145" s="1716"/>
      <c r="E145" s="1716"/>
      <c r="F145" s="1718">
        <f t="shared" ref="F145:L145" si="20">SUM(F110:F143)</f>
        <v>0</v>
      </c>
      <c r="G145" s="1718">
        <f t="shared" si="20"/>
        <v>74164</v>
      </c>
      <c r="H145" s="1718">
        <f t="shared" si="20"/>
        <v>94755</v>
      </c>
      <c r="I145" s="1718">
        <f t="shared" si="20"/>
        <v>109839</v>
      </c>
      <c r="J145" s="1718">
        <f t="shared" si="20"/>
        <v>124689</v>
      </c>
      <c r="K145" s="1718">
        <f t="shared" si="20"/>
        <v>130156</v>
      </c>
      <c r="L145" s="1718">
        <f t="shared" si="20"/>
        <v>133656</v>
      </c>
      <c r="R145" s="287"/>
    </row>
    <row r="146" spans="1:18" ht="14.4" thickTop="1">
      <c r="A146" s="290">
        <f>ROW()</f>
        <v>146</v>
      </c>
      <c r="B146" s="30"/>
      <c r="C146" s="112"/>
      <c r="D146" s="30"/>
      <c r="E146" s="74"/>
      <c r="F146" s="109"/>
      <c r="G146" s="109"/>
      <c r="H146" s="109"/>
      <c r="I146" s="491"/>
      <c r="J146" s="491"/>
      <c r="K146" s="491"/>
      <c r="L146" s="491"/>
      <c r="N146" s="55"/>
      <c r="O146" s="55"/>
      <c r="P146" s="55"/>
      <c r="Q146" s="55"/>
      <c r="R146" s="287"/>
    </row>
    <row r="147" spans="1:18">
      <c r="A147" s="290">
        <f>ROW()</f>
        <v>147</v>
      </c>
      <c r="B147" s="1503" t="s">
        <v>1261</v>
      </c>
      <c r="C147" s="1713" t="s">
        <v>673</v>
      </c>
      <c r="D147" s="1503" t="s">
        <v>1302</v>
      </c>
      <c r="E147" s="1503"/>
      <c r="F147" s="1724"/>
      <c r="G147" s="1724"/>
      <c r="H147" s="1724"/>
      <c r="I147" s="1722"/>
      <c r="J147" s="1722"/>
      <c r="K147" s="1722"/>
      <c r="L147" s="1722"/>
      <c r="N147" s="55"/>
      <c r="O147" s="55"/>
      <c r="P147" s="55"/>
      <c r="Q147" s="55"/>
      <c r="R147" s="287"/>
    </row>
    <row r="148" spans="1:18">
      <c r="A148" s="290">
        <f>ROW()</f>
        <v>148</v>
      </c>
      <c r="B148" s="32" t="s">
        <v>674</v>
      </c>
      <c r="C148" s="269" t="s">
        <v>891</v>
      </c>
      <c r="D148" s="292">
        <v>0</v>
      </c>
      <c r="E148" s="510"/>
      <c r="F148" s="491"/>
      <c r="G148" s="491">
        <f>IF($C$148="yes",' Enrol &amp; Rev'!G36*Staff!$C$71*$D$148,(' Enrol &amp; Rev'!G36*' Enrol &amp; Rev'!G92)*Staff!$C$71*$D$148)</f>
        <v>0</v>
      </c>
      <c r="H148" s="491">
        <f>IF($C$148="yes",' Enrol &amp; Rev'!H36*Staff!$C$71*$D$148,(' Enrol &amp; Rev'!H36*' Enrol &amp; Rev'!H92)*Staff!$C$71*$D$148)</f>
        <v>0</v>
      </c>
      <c r="I148" s="491">
        <f>IF($C$148="yes",' Enrol &amp; Rev'!I36*Staff!$C$71*$D$148,(' Enrol &amp; Rev'!I36*' Enrol &amp; Rev'!I92)*Staff!$C$71*$D$148)</f>
        <v>0</v>
      </c>
      <c r="J148" s="491">
        <f>IF($C$148="yes",' Enrol &amp; Rev'!J36*Staff!$C$71*$D$148,(' Enrol &amp; Rev'!J36*' Enrol &amp; Rev'!J92)*Staff!$C$71*$D$148)</f>
        <v>0</v>
      </c>
      <c r="K148" s="491">
        <f>IF($C$148="yes",' Enrol &amp; Rev'!K36*Staff!$C$71*$D$148,(' Enrol &amp; Rev'!K36*' Enrol &amp; Rev'!K92)*Staff!$C$71*$D$148)</f>
        <v>0</v>
      </c>
      <c r="L148" s="491">
        <f>IF($C$148="yes",' Enrol &amp; Rev'!L36*Staff!$C$71*$D$148,(' Enrol &amp; Rev'!L36*' Enrol &amp; Rev'!L92)*Staff!$C$71*$D$148)</f>
        <v>0</v>
      </c>
      <c r="R148" s="287"/>
    </row>
    <row r="149" spans="1:18">
      <c r="A149" s="290">
        <f>ROW()</f>
        <v>149</v>
      </c>
      <c r="B149" s="41" t="s">
        <v>1260</v>
      </c>
      <c r="C149" s="269" t="s">
        <v>891</v>
      </c>
      <c r="D149" s="512">
        <v>0</v>
      </c>
      <c r="E149" s="511"/>
      <c r="F149" s="660"/>
      <c r="G149" s="491">
        <f>IF($C$149="yes",' Enrol &amp; Rev'!G36*Staff!$C$71*$D$149,(' Enrol &amp; Rev'!G36*' Enrol &amp; Rev'!G92)*Staff!$C$71*$D$149)</f>
        <v>0</v>
      </c>
      <c r="H149" s="491">
        <f>IF($C$149="yes",' Enrol &amp; Rev'!H36*Staff!$C$71*$D$149,(' Enrol &amp; Rev'!H36*' Enrol &amp; Rev'!H92)*Staff!$C$71*$D$149)</f>
        <v>0</v>
      </c>
      <c r="I149" s="491">
        <f>IF($C$149="yes",' Enrol &amp; Rev'!I36*Staff!$C$71*$D$149,(' Enrol &amp; Rev'!I36*' Enrol &amp; Rev'!I92)*Staff!$C$71*$D$149)</f>
        <v>0</v>
      </c>
      <c r="J149" s="491">
        <f>IF($C$149="yes",' Enrol &amp; Rev'!J36*Staff!$C$71*$D$149,(' Enrol &amp; Rev'!J36*' Enrol &amp; Rev'!J92)*Staff!$C$71*$D$149)</f>
        <v>0</v>
      </c>
      <c r="K149" s="491">
        <f>IF($C$149="yes",' Enrol &amp; Rev'!K36*Staff!$C$71*$D$149,(' Enrol &amp; Rev'!K36*' Enrol &amp; Rev'!K92)*Staff!$C$71*$D$149)</f>
        <v>0</v>
      </c>
      <c r="L149" s="491">
        <f>IF($C$149="yes",' Enrol &amp; Rev'!L36*Staff!$C$71*$D$149,(' Enrol &amp; Rev'!L36*' Enrol &amp; Rev'!L92)*Staff!$C$71*$D$149)</f>
        <v>0</v>
      </c>
      <c r="M149" s="41"/>
      <c r="N149" s="41"/>
      <c r="O149" s="41"/>
      <c r="P149" s="41"/>
      <c r="Q149" s="41"/>
      <c r="R149" s="287"/>
    </row>
    <row r="150" spans="1:18">
      <c r="A150" s="290">
        <f>ROW()</f>
        <v>150</v>
      </c>
      <c r="B150" s="32" t="s">
        <v>675</v>
      </c>
      <c r="C150" s="269" t="s">
        <v>891</v>
      </c>
      <c r="D150" s="292">
        <v>0</v>
      </c>
      <c r="E150" s="510"/>
      <c r="F150" s="491"/>
      <c r="G150" s="491">
        <f>IF($C$150="yes",$D$150*' Enrol &amp; Rev'!G36*Staff!$C$71,0)</f>
        <v>0</v>
      </c>
      <c r="H150" s="491">
        <f>IF($C$150="yes",$D$150*' Enrol &amp; Rev'!H36*Staff!$C$71,0)</f>
        <v>0</v>
      </c>
      <c r="I150" s="491">
        <f>IF($C$150="yes",$D$150*' Enrol &amp; Rev'!I36*Staff!$C$71,0)</f>
        <v>0</v>
      </c>
      <c r="J150" s="491">
        <f>IF($C$150="yes",$D$150*' Enrol &amp; Rev'!J36*Staff!$C$71,0)</f>
        <v>0</v>
      </c>
      <c r="K150" s="491">
        <f>IF($C$150="yes",$D$150*' Enrol &amp; Rev'!K36*Staff!$C$71,0)</f>
        <v>0</v>
      </c>
      <c r="L150" s="491">
        <f>IF($C$150="yes",$D$150*' Enrol &amp; Rev'!L36*Staff!$C$71,0)</f>
        <v>0</v>
      </c>
      <c r="R150" s="287"/>
    </row>
    <row r="151" spans="1:18">
      <c r="A151" s="290">
        <f>ROW()</f>
        <v>151</v>
      </c>
      <c r="B151" s="32" t="s">
        <v>676</v>
      </c>
      <c r="C151" s="269" t="s">
        <v>891</v>
      </c>
      <c r="D151" s="292">
        <v>0</v>
      </c>
      <c r="E151" s="510"/>
      <c r="F151" s="491"/>
      <c r="G151" s="491">
        <f>IF($C$151="yes",$D$151*Staff!$C$72*' Enrol &amp; Rev'!G36,0)</f>
        <v>0</v>
      </c>
      <c r="H151" s="491">
        <f>IF($C$151="yes",$D$151*Staff!$C$72*' Enrol &amp; Rev'!H36,0)</f>
        <v>0</v>
      </c>
      <c r="I151" s="491">
        <f>IF($C$151="yes",$D$151*Staff!$C$72*' Enrol &amp; Rev'!I36,0)</f>
        <v>0</v>
      </c>
      <c r="J151" s="491">
        <f>IF($C$151="yes",$D$151*Staff!$C$72*' Enrol &amp; Rev'!J36,0)</f>
        <v>0</v>
      </c>
      <c r="K151" s="491">
        <f>IF($C$151="yes",$D$151*Staff!$C$72*' Enrol &amp; Rev'!K36,0)</f>
        <v>0</v>
      </c>
      <c r="L151" s="491">
        <f>IF($C$151="yes",$D$151*Staff!$C$72*' Enrol &amp; Rev'!L36,0)</f>
        <v>0</v>
      </c>
      <c r="R151" s="287"/>
    </row>
    <row r="152" spans="1:18">
      <c r="A152" s="290">
        <f>ROW()</f>
        <v>152</v>
      </c>
      <c r="C152" s="109"/>
      <c r="F152" s="659"/>
      <c r="G152" s="659"/>
      <c r="H152" s="659"/>
      <c r="I152" s="659"/>
      <c r="J152" s="659"/>
      <c r="K152" s="659"/>
      <c r="L152" s="659"/>
      <c r="R152" s="287"/>
    </row>
    <row r="153" spans="1:18" ht="14.4" thickBot="1">
      <c r="A153" s="290">
        <f>ROW()</f>
        <v>153</v>
      </c>
      <c r="B153" s="1716" t="s">
        <v>677</v>
      </c>
      <c r="C153" s="1717"/>
      <c r="D153" s="1716"/>
      <c r="E153" s="1716"/>
      <c r="F153" s="1718">
        <f t="shared" ref="F153:L153" si="21">SUM(F148:F151)</f>
        <v>0</v>
      </c>
      <c r="G153" s="1718">
        <f t="shared" si="21"/>
        <v>0</v>
      </c>
      <c r="H153" s="1718">
        <f t="shared" si="21"/>
        <v>0</v>
      </c>
      <c r="I153" s="1718">
        <f t="shared" si="21"/>
        <v>0</v>
      </c>
      <c r="J153" s="1718">
        <f t="shared" si="21"/>
        <v>0</v>
      </c>
      <c r="K153" s="1718">
        <f t="shared" si="21"/>
        <v>0</v>
      </c>
      <c r="L153" s="1718">
        <f t="shared" si="21"/>
        <v>0</v>
      </c>
      <c r="R153" s="287"/>
    </row>
    <row r="154" spans="1:18" ht="14.4" thickTop="1">
      <c r="A154" s="290">
        <f>ROW()</f>
        <v>154</v>
      </c>
      <c r="C154" s="109"/>
      <c r="F154" s="491"/>
      <c r="G154" s="491"/>
      <c r="H154" s="491"/>
      <c r="I154" s="491"/>
      <c r="J154" s="491"/>
      <c r="K154" s="491"/>
      <c r="L154" s="491"/>
      <c r="R154" s="287"/>
    </row>
    <row r="155" spans="1:18">
      <c r="A155" s="290">
        <f>ROW()</f>
        <v>155</v>
      </c>
      <c r="B155" s="1503" t="s">
        <v>678</v>
      </c>
      <c r="C155" s="1713"/>
      <c r="D155" s="1503"/>
      <c r="E155" s="1503"/>
      <c r="F155" s="1504"/>
      <c r="G155" s="1728"/>
      <c r="H155" s="1728"/>
      <c r="I155" s="1728"/>
      <c r="J155" s="1728"/>
      <c r="K155" s="1728"/>
      <c r="L155" s="1728"/>
      <c r="R155" s="287"/>
    </row>
    <row r="156" spans="1:18">
      <c r="A156" s="290">
        <f>ROW()</f>
        <v>156</v>
      </c>
      <c r="B156" s="39" t="s">
        <v>679</v>
      </c>
      <c r="C156" s="115"/>
      <c r="F156" s="598">
        <v>0</v>
      </c>
      <c r="G156" s="598">
        <v>0</v>
      </c>
      <c r="H156" s="598">
        <v>0</v>
      </c>
      <c r="I156" s="598">
        <v>0</v>
      </c>
      <c r="J156" s="598">
        <v>0</v>
      </c>
      <c r="K156" s="598">
        <v>0</v>
      </c>
      <c r="L156" s="598">
        <v>0</v>
      </c>
      <c r="R156" s="287" t="s">
        <v>1448</v>
      </c>
    </row>
    <row r="157" spans="1:18">
      <c r="A157" s="290"/>
      <c r="B157" s="74" t="s">
        <v>1172</v>
      </c>
      <c r="C157" s="109"/>
      <c r="G157" s="89"/>
      <c r="H157" s="89"/>
      <c r="I157" s="89"/>
      <c r="J157" s="89"/>
      <c r="K157" s="89"/>
      <c r="L157" s="89"/>
      <c r="R157" s="287"/>
    </row>
    <row r="158" spans="1:18">
      <c r="A158" s="290">
        <f>ROW()</f>
        <v>158</v>
      </c>
      <c r="B158" s="74" t="s">
        <v>1369</v>
      </c>
      <c r="C158" s="109"/>
      <c r="G158" s="89"/>
      <c r="H158" s="89"/>
      <c r="I158" s="89"/>
      <c r="J158" s="89"/>
      <c r="K158" s="89"/>
      <c r="L158" s="89"/>
      <c r="R158" s="287"/>
    </row>
    <row r="159" spans="1:18">
      <c r="A159" s="290"/>
      <c r="B159" s="74"/>
      <c r="C159" s="109"/>
      <c r="G159" s="89"/>
      <c r="H159" s="89"/>
      <c r="I159" s="89"/>
      <c r="J159" s="89"/>
      <c r="K159" s="89"/>
      <c r="L159" s="89"/>
      <c r="R159" s="287"/>
    </row>
    <row r="160" spans="1:18">
      <c r="A160" s="290">
        <f>ROW()</f>
        <v>160</v>
      </c>
      <c r="B160" s="30" t="s">
        <v>680</v>
      </c>
      <c r="C160" s="112"/>
      <c r="D160" s="30"/>
      <c r="E160" s="30"/>
      <c r="M160" s="31"/>
      <c r="N160" s="31"/>
      <c r="O160" s="31"/>
      <c r="P160" s="31"/>
      <c r="Q160" s="31"/>
      <c r="R160" s="287"/>
    </row>
    <row r="161" spans="1:18">
      <c r="A161" s="290">
        <f>ROW()</f>
        <v>161</v>
      </c>
      <c r="B161" s="32" t="s">
        <v>1286</v>
      </c>
      <c r="C161" s="112"/>
      <c r="G161" s="1276">
        <v>0</v>
      </c>
      <c r="H161" s="1276">
        <v>0</v>
      </c>
      <c r="I161" s="1276">
        <v>0</v>
      </c>
      <c r="J161" s="1276">
        <v>0</v>
      </c>
      <c r="K161" s="1276">
        <v>0</v>
      </c>
      <c r="L161" s="1276">
        <v>0</v>
      </c>
      <c r="M161" s="39"/>
      <c r="N161" s="39"/>
      <c r="O161" s="39"/>
      <c r="P161" s="39"/>
      <c r="Q161" s="88"/>
      <c r="R161" s="287"/>
    </row>
    <row r="162" spans="1:18">
      <c r="A162" s="290">
        <f>ROW()</f>
        <v>162</v>
      </c>
      <c r="B162" s="32" t="s">
        <v>681</v>
      </c>
      <c r="C162" s="112"/>
      <c r="G162" s="127">
        <v>0</v>
      </c>
      <c r="H162" s="127">
        <v>0</v>
      </c>
      <c r="I162" s="127">
        <v>0</v>
      </c>
      <c r="J162" s="127">
        <v>0</v>
      </c>
      <c r="K162" s="127">
        <v>0</v>
      </c>
      <c r="L162" s="127">
        <v>0</v>
      </c>
      <c r="M162" s="39"/>
      <c r="N162" s="39"/>
      <c r="O162" s="39"/>
      <c r="P162" s="39"/>
      <c r="Q162" s="39"/>
      <c r="R162" s="287"/>
    </row>
    <row r="163" spans="1:18">
      <c r="A163" s="290">
        <f>ROW()</f>
        <v>163</v>
      </c>
      <c r="B163" s="32" t="s">
        <v>682</v>
      </c>
      <c r="C163" s="261"/>
      <c r="D163" s="1726"/>
      <c r="G163" s="667">
        <v>0</v>
      </c>
      <c r="H163" s="667">
        <v>0</v>
      </c>
      <c r="I163" s="667">
        <v>0</v>
      </c>
      <c r="J163" s="667">
        <v>0</v>
      </c>
      <c r="K163" s="667">
        <v>0</v>
      </c>
      <c r="L163" s="667">
        <v>0</v>
      </c>
      <c r="M163" s="39"/>
      <c r="N163" s="39"/>
      <c r="O163" s="39"/>
      <c r="P163" s="39"/>
      <c r="Q163" s="39"/>
      <c r="R163" s="287"/>
    </row>
    <row r="164" spans="1:18">
      <c r="A164" s="290">
        <f>ROW()</f>
        <v>164</v>
      </c>
      <c r="B164" s="32" t="s">
        <v>683</v>
      </c>
      <c r="C164" s="710">
        <v>0</v>
      </c>
      <c r="D164" s="1725"/>
      <c r="H164" s="1725"/>
      <c r="I164" s="1725"/>
      <c r="M164" s="39"/>
      <c r="N164" s="39"/>
      <c r="O164" s="39"/>
      <c r="P164" s="39"/>
      <c r="Q164" s="39"/>
      <c r="R164" s="287"/>
    </row>
    <row r="165" spans="1:18">
      <c r="A165" s="290">
        <f>ROW()</f>
        <v>165</v>
      </c>
      <c r="B165" s="32" t="s">
        <v>684</v>
      </c>
      <c r="C165" s="1166">
        <f>C164*Staff!C71</f>
        <v>0</v>
      </c>
      <c r="D165" s="1725"/>
      <c r="H165" s="1725"/>
      <c r="I165" s="1725"/>
      <c r="M165" s="39"/>
      <c r="N165" s="39"/>
      <c r="O165" s="39"/>
      <c r="P165" s="39"/>
      <c r="Q165" s="39"/>
      <c r="R165" s="287"/>
    </row>
    <row r="166" spans="1:18">
      <c r="A166" s="290">
        <f>ROW()</f>
        <v>166</v>
      </c>
      <c r="B166" s="32" t="s">
        <v>685</v>
      </c>
      <c r="C166" s="712">
        <v>0</v>
      </c>
      <c r="M166" s="39"/>
      <c r="N166" s="39"/>
      <c r="O166" s="39"/>
      <c r="P166" s="39"/>
      <c r="Q166" s="39"/>
      <c r="R166" s="287"/>
    </row>
    <row r="167" spans="1:18">
      <c r="A167" s="290">
        <f>ROW()</f>
        <v>167</v>
      </c>
      <c r="B167" s="32" t="s">
        <v>686</v>
      </c>
      <c r="C167" s="1166">
        <f>IF(C165&lt;&gt;0,C165/C166,0)</f>
        <v>0</v>
      </c>
      <c r="M167" s="39"/>
      <c r="N167" s="39"/>
      <c r="O167" s="39"/>
      <c r="P167" s="39"/>
      <c r="Q167" s="39"/>
      <c r="R167" s="287"/>
    </row>
    <row r="168" spans="1:18">
      <c r="A168" s="290">
        <f>ROW()</f>
        <v>168</v>
      </c>
      <c r="B168" s="32" t="s">
        <v>687</v>
      </c>
      <c r="C168" s="713">
        <v>0</v>
      </c>
      <c r="M168" s="39"/>
      <c r="N168" s="39"/>
      <c r="O168" s="39"/>
      <c r="P168" s="39"/>
      <c r="Q168" s="39"/>
      <c r="R168" s="287"/>
    </row>
    <row r="169" spans="1:18">
      <c r="A169" s="290">
        <f>ROW()</f>
        <v>169</v>
      </c>
      <c r="B169" s="32" t="s">
        <v>688</v>
      </c>
      <c r="C169" s="1167">
        <f>C167*C168</f>
        <v>0</v>
      </c>
      <c r="M169" s="39"/>
      <c r="N169" s="39"/>
      <c r="O169" s="39"/>
      <c r="P169" s="39"/>
      <c r="Q169" s="39"/>
      <c r="R169" s="287"/>
    </row>
    <row r="170" spans="1:18">
      <c r="A170" s="290">
        <f>ROW()</f>
        <v>170</v>
      </c>
      <c r="B170" s="32" t="s">
        <v>689</v>
      </c>
      <c r="C170" s="714">
        <v>0</v>
      </c>
      <c r="D170" s="32" t="s">
        <v>690</v>
      </c>
      <c r="M170" s="39"/>
      <c r="N170" s="39"/>
      <c r="O170" s="39"/>
      <c r="P170" s="39"/>
      <c r="Q170" s="39"/>
      <c r="R170" s="287"/>
    </row>
    <row r="171" spans="1:18">
      <c r="A171" s="290">
        <f>ROW()</f>
        <v>171</v>
      </c>
      <c r="B171" s="32" t="s">
        <v>691</v>
      </c>
      <c r="C171" s="1168">
        <f>C170*C165</f>
        <v>0</v>
      </c>
      <c r="M171" s="39"/>
      <c r="N171" s="39"/>
      <c r="O171" s="39"/>
      <c r="P171" s="39"/>
      <c r="Q171" s="39"/>
      <c r="R171" s="287"/>
    </row>
    <row r="172" spans="1:18">
      <c r="A172" s="290">
        <f>ROW()</f>
        <v>172</v>
      </c>
      <c r="B172" s="32" t="s">
        <v>692</v>
      </c>
      <c r="C172" s="711">
        <v>0</v>
      </c>
      <c r="D172" s="32" t="s">
        <v>693</v>
      </c>
      <c r="M172" s="39"/>
      <c r="N172" s="39"/>
      <c r="O172" s="39"/>
      <c r="P172" s="39"/>
      <c r="Q172" s="39"/>
      <c r="R172" s="287"/>
    </row>
    <row r="173" spans="1:18">
      <c r="A173" s="290">
        <f>ROW()</f>
        <v>173</v>
      </c>
      <c r="B173" s="32" t="s">
        <v>1287</v>
      </c>
      <c r="C173" s="1117"/>
      <c r="G173" s="429">
        <f>' Enrol &amp; Rev'!G36</f>
        <v>275</v>
      </c>
      <c r="H173" s="429">
        <f>' Enrol &amp; Rev'!H36</f>
        <v>350</v>
      </c>
      <c r="I173" s="429">
        <f>' Enrol &amp; Rev'!I36</f>
        <v>400</v>
      </c>
      <c r="J173" s="429">
        <f>' Enrol &amp; Rev'!J36</f>
        <v>450</v>
      </c>
      <c r="K173" s="429">
        <f>' Enrol &amp; Rev'!K36</f>
        <v>450</v>
      </c>
      <c r="L173" s="429">
        <f>' Enrol &amp; Rev'!L36</f>
        <v>450</v>
      </c>
      <c r="R173" s="287"/>
    </row>
    <row r="174" spans="1:18">
      <c r="A174" s="290">
        <f>ROW()</f>
        <v>174</v>
      </c>
      <c r="B174" s="32" t="s">
        <v>1288</v>
      </c>
      <c r="C174" s="109"/>
      <c r="F174" s="40"/>
      <c r="G174" s="117">
        <f t="shared" ref="G174:L174" si="22">G$161*G173</f>
        <v>0</v>
      </c>
      <c r="H174" s="117">
        <f t="shared" si="22"/>
        <v>0</v>
      </c>
      <c r="I174" s="117">
        <f t="shared" si="22"/>
        <v>0</v>
      </c>
      <c r="J174" s="117">
        <f t="shared" si="22"/>
        <v>0</v>
      </c>
      <c r="K174" s="117">
        <f t="shared" si="22"/>
        <v>0</v>
      </c>
      <c r="L174" s="117">
        <f t="shared" si="22"/>
        <v>0</v>
      </c>
      <c r="R174" s="287"/>
    </row>
    <row r="175" spans="1:18">
      <c r="A175" s="290">
        <f>ROW()</f>
        <v>175</v>
      </c>
      <c r="B175" s="58" t="s">
        <v>694</v>
      </c>
      <c r="C175" s="116"/>
      <c r="D175" s="58"/>
      <c r="E175" s="58"/>
      <c r="F175" s="262"/>
      <c r="G175" s="118">
        <f t="shared" ref="G175:L175" si="23">IF(G174=0,0,IF(G174&gt;(G$162*5),6,IF(G174&gt;(G$162*4),5,IF(G174&gt;(G$162*3),4,IF(G174&gt;(G$162*2),3,IF(G174&gt;G$162,2,IF(G174&gt;0,1)))))))</f>
        <v>0</v>
      </c>
      <c r="H175" s="118">
        <f t="shared" si="23"/>
        <v>0</v>
      </c>
      <c r="I175" s="118">
        <f t="shared" si="23"/>
        <v>0</v>
      </c>
      <c r="J175" s="118">
        <f t="shared" si="23"/>
        <v>0</v>
      </c>
      <c r="K175" s="118">
        <f t="shared" si="23"/>
        <v>0</v>
      </c>
      <c r="L175" s="118">
        <f t="shared" si="23"/>
        <v>0</v>
      </c>
      <c r="R175" s="287"/>
    </row>
    <row r="176" spans="1:18">
      <c r="A176" s="290">
        <f>ROW()</f>
        <v>176</v>
      </c>
      <c r="B176" s="32" t="s">
        <v>695</v>
      </c>
      <c r="C176" s="109"/>
      <c r="F176" s="55"/>
      <c r="G176" s="491">
        <f>G175*G$163</f>
        <v>0</v>
      </c>
      <c r="H176" s="491">
        <f>(H175-G175)*H$163</f>
        <v>0</v>
      </c>
      <c r="I176" s="491">
        <f>(I175-H175)*I$163</f>
        <v>0</v>
      </c>
      <c r="J176" s="491">
        <f>(J175-I175)*J$163</f>
        <v>0</v>
      </c>
      <c r="K176" s="491">
        <f t="shared" ref="K176:L176" si="24">(K175-J175)*K$163</f>
        <v>0</v>
      </c>
      <c r="L176" s="491">
        <f t="shared" si="24"/>
        <v>0</v>
      </c>
      <c r="R176" s="287"/>
    </row>
    <row r="177" spans="1:18">
      <c r="A177" s="290">
        <f>ROW()</f>
        <v>177</v>
      </c>
      <c r="B177" s="32" t="s">
        <v>696</v>
      </c>
      <c r="C177" s="109"/>
      <c r="F177" s="50"/>
      <c r="G177" s="109">
        <f t="shared" ref="G177:L177" si="25">G175*$C$169</f>
        <v>0</v>
      </c>
      <c r="H177" s="109">
        <f t="shared" si="25"/>
        <v>0</v>
      </c>
      <c r="I177" s="109">
        <f t="shared" si="25"/>
        <v>0</v>
      </c>
      <c r="J177" s="109">
        <f t="shared" si="25"/>
        <v>0</v>
      </c>
      <c r="K177" s="109">
        <f t="shared" si="25"/>
        <v>0</v>
      </c>
      <c r="L177" s="109">
        <f t="shared" si="25"/>
        <v>0</v>
      </c>
      <c r="R177" s="287"/>
    </row>
    <row r="178" spans="1:18">
      <c r="A178" s="290">
        <f>ROW()</f>
        <v>178</v>
      </c>
      <c r="B178" s="32" t="s">
        <v>697</v>
      </c>
      <c r="C178" s="109"/>
      <c r="F178" s="50"/>
      <c r="G178" s="109">
        <f t="shared" ref="G178:L178" si="26">G175*$C$171</f>
        <v>0</v>
      </c>
      <c r="H178" s="109">
        <f t="shared" si="26"/>
        <v>0</v>
      </c>
      <c r="I178" s="109">
        <f t="shared" si="26"/>
        <v>0</v>
      </c>
      <c r="J178" s="109">
        <f t="shared" si="26"/>
        <v>0</v>
      </c>
      <c r="K178" s="109">
        <f t="shared" si="26"/>
        <v>0</v>
      </c>
      <c r="L178" s="109">
        <f t="shared" si="26"/>
        <v>0</v>
      </c>
      <c r="R178" s="287"/>
    </row>
    <row r="179" spans="1:18">
      <c r="A179" s="290">
        <f>ROW()</f>
        <v>179</v>
      </c>
      <c r="B179" s="32" t="s">
        <v>692</v>
      </c>
      <c r="C179" s="109"/>
      <c r="F179" s="50"/>
      <c r="G179" s="109">
        <f t="shared" ref="G179:L179" si="27">G175*$C$172</f>
        <v>0</v>
      </c>
      <c r="H179" s="109">
        <f t="shared" si="27"/>
        <v>0</v>
      </c>
      <c r="I179" s="109">
        <f t="shared" si="27"/>
        <v>0</v>
      </c>
      <c r="J179" s="109">
        <f t="shared" si="27"/>
        <v>0</v>
      </c>
      <c r="K179" s="109">
        <f t="shared" si="27"/>
        <v>0</v>
      </c>
      <c r="L179" s="109">
        <f t="shared" si="27"/>
        <v>0</v>
      </c>
      <c r="R179" s="287"/>
    </row>
    <row r="180" spans="1:18" ht="14.4" thickBot="1">
      <c r="A180" s="290">
        <f>ROW()</f>
        <v>180</v>
      </c>
      <c r="C180" s="109"/>
      <c r="F180" s="263"/>
      <c r="G180" s="263"/>
      <c r="H180" s="263"/>
      <c r="I180" s="263"/>
      <c r="J180" s="263"/>
      <c r="K180" s="263"/>
      <c r="L180" s="263"/>
      <c r="R180" s="287"/>
    </row>
    <row r="181" spans="1:18" ht="14.4" thickBot="1">
      <c r="A181" s="290">
        <f>ROW()</f>
        <v>181</v>
      </c>
      <c r="B181" s="1727" t="s">
        <v>698</v>
      </c>
      <c r="C181" s="732">
        <f>SUM(F181:L181)</f>
        <v>0</v>
      </c>
      <c r="D181" s="638"/>
      <c r="E181" s="638"/>
      <c r="F181" s="732">
        <f t="shared" ref="F181" si="28">SUM(F176:F179)</f>
        <v>0</v>
      </c>
      <c r="G181" s="732">
        <f t="shared" ref="G181:L181" si="29">SUM(G176:G179)</f>
        <v>0</v>
      </c>
      <c r="H181" s="732">
        <f>SUM(H176:H179)</f>
        <v>0</v>
      </c>
      <c r="I181" s="732">
        <f t="shared" si="29"/>
        <v>0</v>
      </c>
      <c r="J181" s="732">
        <f t="shared" si="29"/>
        <v>0</v>
      </c>
      <c r="K181" s="732">
        <f t="shared" si="29"/>
        <v>0</v>
      </c>
      <c r="L181" s="732">
        <f t="shared" si="29"/>
        <v>0</v>
      </c>
      <c r="R181" s="287"/>
    </row>
    <row r="182" spans="1:18">
      <c r="A182" s="290">
        <f>ROW()</f>
        <v>182</v>
      </c>
      <c r="B182" s="32" t="s">
        <v>699</v>
      </c>
      <c r="G182" s="519" t="e">
        <f>+G181/G162</f>
        <v>#DIV/0!</v>
      </c>
      <c r="H182" s="519" t="e">
        <f t="shared" ref="H182:L182" si="30">+H181/H162</f>
        <v>#DIV/0!</v>
      </c>
      <c r="I182" s="519" t="e">
        <f t="shared" si="30"/>
        <v>#DIV/0!</v>
      </c>
      <c r="J182" s="519" t="e">
        <f t="shared" si="30"/>
        <v>#DIV/0!</v>
      </c>
      <c r="K182" s="519" t="e">
        <f t="shared" si="30"/>
        <v>#DIV/0!</v>
      </c>
      <c r="L182" s="519" t="e">
        <f t="shared" si="30"/>
        <v>#DIV/0!</v>
      </c>
      <c r="R182" s="287"/>
    </row>
    <row r="183" spans="1:18">
      <c r="A183" s="290">
        <f>ROW()</f>
        <v>183</v>
      </c>
      <c r="R183" s="287"/>
    </row>
    <row r="184" spans="1:18" ht="14.4" thickBot="1">
      <c r="A184" s="290">
        <f>ROW()</f>
        <v>184</v>
      </c>
      <c r="B184" s="1716" t="s">
        <v>700</v>
      </c>
      <c r="C184" s="1717">
        <f>SUM(F184:L184)</f>
        <v>0</v>
      </c>
      <c r="D184" s="1716"/>
      <c r="E184" s="1716"/>
      <c r="F184" s="1718">
        <f t="shared" ref="F184" si="31">F181-F156</f>
        <v>0</v>
      </c>
      <c r="G184" s="1718">
        <f>G181-G156</f>
        <v>0</v>
      </c>
      <c r="H184" s="1718">
        <f t="shared" ref="H184:L184" si="32">H181-H156</f>
        <v>0</v>
      </c>
      <c r="I184" s="1718">
        <f t="shared" si="32"/>
        <v>0</v>
      </c>
      <c r="J184" s="1718">
        <f t="shared" si="32"/>
        <v>0</v>
      </c>
      <c r="K184" s="1718">
        <f t="shared" si="32"/>
        <v>0</v>
      </c>
      <c r="L184" s="1718">
        <f t="shared" si="32"/>
        <v>0</v>
      </c>
      <c r="R184" s="763"/>
    </row>
    <row r="185" spans="1:18" ht="14.4" thickTop="1">
      <c r="A185" s="290">
        <f>ROW()</f>
        <v>185</v>
      </c>
      <c r="C185" s="109"/>
    </row>
    <row r="186" spans="1:18">
      <c r="A186" s="290">
        <f>ROW()</f>
        <v>186</v>
      </c>
      <c r="B186" s="1510" t="s">
        <v>701</v>
      </c>
      <c r="C186" s="1671"/>
      <c r="D186" s="1644"/>
      <c r="E186" s="1644"/>
      <c r="F186" s="1492"/>
      <c r="G186" s="1446"/>
      <c r="H186" s="1510"/>
      <c r="I186" s="1446"/>
      <c r="J186" s="1446"/>
      <c r="K186" s="1446"/>
      <c r="L186" s="1446"/>
    </row>
    <row r="187" spans="1:18">
      <c r="A187" s="290">
        <f>ROW()</f>
        <v>187</v>
      </c>
      <c r="B187" s="213"/>
      <c r="C187" s="1117"/>
      <c r="D187" s="1169"/>
      <c r="E187" s="765"/>
      <c r="F187" s="596">
        <v>0</v>
      </c>
      <c r="G187" s="596">
        <v>0</v>
      </c>
      <c r="H187" s="596">
        <v>0</v>
      </c>
      <c r="I187" s="596">
        <v>0</v>
      </c>
      <c r="J187" s="596">
        <v>0</v>
      </c>
      <c r="K187" s="596">
        <v>0</v>
      </c>
      <c r="L187" s="596">
        <v>0</v>
      </c>
    </row>
    <row r="188" spans="1:18">
      <c r="A188" s="290">
        <f>ROW()</f>
        <v>188</v>
      </c>
      <c r="B188" s="1310"/>
      <c r="C188" s="1117"/>
      <c r="D188" s="1170"/>
      <c r="E188" s="764"/>
      <c r="F188" s="597">
        <v>0</v>
      </c>
      <c r="G188" s="597">
        <v>0</v>
      </c>
      <c r="H188" s="597">
        <v>0</v>
      </c>
      <c r="I188" s="597">
        <v>0</v>
      </c>
      <c r="J188" s="597">
        <v>0</v>
      </c>
      <c r="K188" s="597">
        <v>0</v>
      </c>
      <c r="L188" s="597">
        <v>0</v>
      </c>
    </row>
    <row r="189" spans="1:18">
      <c r="A189" s="290">
        <f>ROW()</f>
        <v>189</v>
      </c>
      <c r="B189" s="1310"/>
      <c r="C189" s="1117"/>
      <c r="D189" s="1170"/>
      <c r="E189" s="764"/>
      <c r="F189" s="597">
        <v>0</v>
      </c>
      <c r="G189" s="597">
        <v>0</v>
      </c>
      <c r="H189" s="597">
        <v>0</v>
      </c>
      <c r="I189" s="597">
        <v>0</v>
      </c>
      <c r="J189" s="597">
        <v>0</v>
      </c>
      <c r="K189" s="597">
        <v>0</v>
      </c>
      <c r="L189" s="597">
        <v>0</v>
      </c>
    </row>
    <row r="190" spans="1:18">
      <c r="A190" s="290">
        <f>ROW()</f>
        <v>190</v>
      </c>
      <c r="B190" s="1310"/>
      <c r="C190" s="1117"/>
      <c r="D190" s="1170"/>
      <c r="E190" s="764"/>
      <c r="F190" s="597">
        <v>0</v>
      </c>
      <c r="G190" s="597">
        <v>0</v>
      </c>
      <c r="H190" s="597">
        <v>0</v>
      </c>
      <c r="I190" s="597">
        <v>0</v>
      </c>
      <c r="J190" s="597">
        <v>0</v>
      </c>
      <c r="K190" s="597">
        <v>0</v>
      </c>
      <c r="L190" s="597">
        <v>0</v>
      </c>
    </row>
    <row r="191" spans="1:18">
      <c r="A191" s="290">
        <f>ROW()</f>
        <v>191</v>
      </c>
      <c r="B191" s="1310"/>
      <c r="C191" s="1117"/>
      <c r="D191" s="1170"/>
      <c r="E191" s="764"/>
      <c r="F191" s="597">
        <v>0</v>
      </c>
      <c r="G191" s="597">
        <v>0</v>
      </c>
      <c r="H191" s="597">
        <v>0</v>
      </c>
      <c r="I191" s="597">
        <v>0</v>
      </c>
      <c r="J191" s="597">
        <v>0</v>
      </c>
      <c r="K191" s="597">
        <v>0</v>
      </c>
      <c r="L191" s="597">
        <v>0</v>
      </c>
    </row>
    <row r="192" spans="1:18">
      <c r="A192" s="290">
        <f>ROW()</f>
        <v>192</v>
      </c>
      <c r="B192" s="1310"/>
      <c r="C192" s="1117"/>
      <c r="D192" s="1170"/>
      <c r="E192" s="764"/>
      <c r="F192" s="597">
        <v>0</v>
      </c>
      <c r="G192" s="597">
        <v>0</v>
      </c>
      <c r="H192" s="597">
        <v>0</v>
      </c>
      <c r="I192" s="597">
        <v>0</v>
      </c>
      <c r="J192" s="597">
        <v>0</v>
      </c>
      <c r="K192" s="597">
        <v>0</v>
      </c>
      <c r="L192" s="597">
        <v>0</v>
      </c>
    </row>
    <row r="193" spans="1:12">
      <c r="A193" s="290">
        <f>ROW()</f>
        <v>193</v>
      </c>
      <c r="B193" s="1310"/>
      <c r="C193" s="1117"/>
      <c r="D193" s="1170"/>
      <c r="E193" s="764"/>
      <c r="F193" s="597">
        <v>0</v>
      </c>
      <c r="G193" s="597">
        <v>0</v>
      </c>
      <c r="H193" s="597">
        <v>0</v>
      </c>
      <c r="I193" s="597">
        <v>0</v>
      </c>
      <c r="J193" s="597">
        <v>0</v>
      </c>
      <c r="K193" s="597">
        <v>0</v>
      </c>
      <c r="L193" s="597">
        <v>0</v>
      </c>
    </row>
    <row r="194" spans="1:12">
      <c r="A194" s="290">
        <f>ROW()</f>
        <v>194</v>
      </c>
      <c r="B194" s="1310"/>
      <c r="C194" s="1117"/>
      <c r="D194" s="1170"/>
      <c r="E194" s="764"/>
      <c r="F194" s="597">
        <v>0</v>
      </c>
      <c r="G194" s="597">
        <v>0</v>
      </c>
      <c r="H194" s="597">
        <v>0</v>
      </c>
      <c r="I194" s="597">
        <v>0</v>
      </c>
      <c r="J194" s="597">
        <v>0</v>
      </c>
      <c r="K194" s="597">
        <v>0</v>
      </c>
      <c r="L194" s="597">
        <v>0</v>
      </c>
    </row>
    <row r="195" spans="1:12">
      <c r="A195" s="290">
        <f>ROW()</f>
        <v>195</v>
      </c>
      <c r="B195" s="1310"/>
      <c r="C195" s="1117"/>
      <c r="D195" s="1170"/>
      <c r="E195" s="764"/>
      <c r="F195" s="597">
        <v>0</v>
      </c>
      <c r="G195" s="597">
        <v>0</v>
      </c>
      <c r="H195" s="597">
        <v>0</v>
      </c>
      <c r="I195" s="597">
        <v>0</v>
      </c>
      <c r="J195" s="597">
        <v>0</v>
      </c>
      <c r="K195" s="597">
        <v>0</v>
      </c>
      <c r="L195" s="597">
        <v>0</v>
      </c>
    </row>
    <row r="196" spans="1:12" ht="14.4" thickBot="1">
      <c r="A196" s="290">
        <f>ROW()</f>
        <v>196</v>
      </c>
      <c r="C196" s="109"/>
      <c r="D196" s="52"/>
    </row>
    <row r="197" spans="1:12" ht="14.4" thickBot="1">
      <c r="A197" s="290">
        <f>ROW()</f>
        <v>197</v>
      </c>
      <c r="B197" s="731" t="s">
        <v>702</v>
      </c>
      <c r="C197" s="732">
        <f>SUM(F197:L197)</f>
        <v>0</v>
      </c>
      <c r="D197" s="1041"/>
      <c r="E197" s="1041"/>
      <c r="F197" s="732">
        <f t="shared" ref="F197:L197" si="33">SUM(F187:F195)</f>
        <v>0</v>
      </c>
      <c r="G197" s="732">
        <f t="shared" si="33"/>
        <v>0</v>
      </c>
      <c r="H197" s="732">
        <f t="shared" si="33"/>
        <v>0</v>
      </c>
      <c r="I197" s="732">
        <f t="shared" si="33"/>
        <v>0</v>
      </c>
      <c r="J197" s="732">
        <f t="shared" si="33"/>
        <v>0</v>
      </c>
      <c r="K197" s="732">
        <f t="shared" si="33"/>
        <v>0</v>
      </c>
      <c r="L197" s="732">
        <f t="shared" si="33"/>
        <v>0</v>
      </c>
    </row>
    <row r="198" spans="1:12">
      <c r="A198" s="290">
        <f>ROW()</f>
        <v>198</v>
      </c>
    </row>
    <row r="199" spans="1:12">
      <c r="A199" s="290">
        <f>ROW()</f>
        <v>199</v>
      </c>
      <c r="B199" s="32" t="s">
        <v>703</v>
      </c>
      <c r="C199" s="391">
        <v>0.02</v>
      </c>
      <c r="F199" s="661">
        <f t="shared" ref="F199:L199" si="34">SUM(F153,F145,F106,F184,F197)*((1+$C$199)^(F11-$F11)-1)</f>
        <v>0</v>
      </c>
      <c r="G199" s="491">
        <f>SUM(G153,G145,G106,G184,G197)*((1+$C$199)^(G11-$F11)-1)</f>
        <v>7699.1475000000064</v>
      </c>
      <c r="H199" s="491">
        <f>SUM(H153,H145,H106,H184,H197)*((1+$C$199)^(H11-$F11)-1)</f>
        <v>18611.259899999997</v>
      </c>
      <c r="I199" s="661">
        <f t="shared" si="34"/>
        <v>31878.595391999963</v>
      </c>
      <c r="J199" s="661">
        <f t="shared" si="34"/>
        <v>48372.695874919984</v>
      </c>
      <c r="K199" s="661">
        <f>SUM(K153,K145,K106,K184,K197)*((1+$C$199)^(K11-$F11)-1)</f>
        <v>61066.106712098408</v>
      </c>
      <c r="L199" s="661">
        <f t="shared" si="34"/>
        <v>77932.828843524418</v>
      </c>
    </row>
    <row r="200" spans="1:12" ht="14.4" thickBot="1">
      <c r="A200" s="290">
        <f>ROW()</f>
        <v>200</v>
      </c>
      <c r="C200" s="109"/>
      <c r="F200" s="506"/>
      <c r="G200" s="593"/>
      <c r="H200" s="593"/>
      <c r="I200" s="593"/>
      <c r="J200" s="593"/>
      <c r="K200" s="593"/>
      <c r="L200" s="593"/>
    </row>
    <row r="201" spans="1:12" ht="14.4" thickBot="1">
      <c r="A201" s="290">
        <f>ROW()</f>
        <v>201</v>
      </c>
      <c r="B201" s="731" t="s">
        <v>704</v>
      </c>
      <c r="C201" s="545">
        <f>SUM(F201:L201)</f>
        <v>3403271.5092225429</v>
      </c>
      <c r="D201" s="1041"/>
      <c r="E201" s="1041"/>
      <c r="F201" s="545">
        <f>SUM(F153,F145,F106,F199,F184,F197)</f>
        <v>0</v>
      </c>
      <c r="G201" s="545">
        <f>SUM(G153,G145,G106,G199,G184,G197)</f>
        <v>392656.52250000002</v>
      </c>
      <c r="H201" s="545">
        <f t="shared" ref="H201:L201" si="35">SUM(H153,H145,H106,H199,H184,H197)</f>
        <v>479286.0099</v>
      </c>
      <c r="I201" s="545">
        <f>SUM(I153,I145,I106,I199,I184,I197)</f>
        <v>552702.59539199993</v>
      </c>
      <c r="J201" s="545">
        <f t="shared" si="35"/>
        <v>635190.94587492</v>
      </c>
      <c r="K201" s="545">
        <f t="shared" si="35"/>
        <v>647784.35671209847</v>
      </c>
      <c r="L201" s="545">
        <f t="shared" si="35"/>
        <v>695651.07884352445</v>
      </c>
    </row>
    <row r="202" spans="1:12" ht="14.4" thickBot="1">
      <c r="A202" s="290">
        <f>ROW()</f>
        <v>202</v>
      </c>
    </row>
    <row r="203" spans="1:12" ht="14.4" thickBot="1">
      <c r="A203" s="290">
        <f>ROW()</f>
        <v>203</v>
      </c>
      <c r="B203" s="1292" t="s">
        <v>705</v>
      </c>
      <c r="C203" s="1293">
        <f>SUM(F203:L203)</f>
        <v>3403271.5092225429</v>
      </c>
      <c r="D203" s="1294"/>
      <c r="E203" s="1294"/>
      <c r="F203" s="1293">
        <f>+F201-F184</f>
        <v>0</v>
      </c>
      <c r="G203" s="1293">
        <f>+G201-G184</f>
        <v>392656.52250000002</v>
      </c>
      <c r="H203" s="1293">
        <f t="shared" ref="H203:L203" si="36">+H201-H184</f>
        <v>479286.0099</v>
      </c>
      <c r="I203" s="1293">
        <f t="shared" si="36"/>
        <v>552702.59539199993</v>
      </c>
      <c r="J203" s="1293">
        <f t="shared" si="36"/>
        <v>635190.94587492</v>
      </c>
      <c r="K203" s="1293">
        <f t="shared" si="36"/>
        <v>647784.35671209847</v>
      </c>
      <c r="L203" s="1293">
        <f t="shared" si="36"/>
        <v>695651.07884352445</v>
      </c>
    </row>
    <row r="204" spans="1:12">
      <c r="B204" s="205"/>
    </row>
  </sheetData>
  <sheetProtection sheet="1" objects="1" scenarios="1"/>
  <sortState xmlns:xlrd2="http://schemas.microsoft.com/office/spreadsheetml/2017/richdata2" ref="B112:B129">
    <sortCondition ref="B112:B129"/>
  </sortState>
  <mergeCells count="1">
    <mergeCell ref="D10:E10"/>
  </mergeCells>
  <conditionalFormatting sqref="B43:E43">
    <cfRule type="expression" dxfId="39" priority="19" stopIfTrue="1">
      <formula>MOD(ROW(),2)=0</formula>
    </cfRule>
  </conditionalFormatting>
  <conditionalFormatting sqref="B15:L34">
    <cfRule type="expression" dxfId="38" priority="26" stopIfTrue="1">
      <formula>MOD(ROW(),2)=0</formula>
    </cfRule>
  </conditionalFormatting>
  <conditionalFormatting sqref="B36:L42">
    <cfRule type="expression" dxfId="37" priority="25" stopIfTrue="1">
      <formula>MOD(ROW(),2)=0</formula>
    </cfRule>
  </conditionalFormatting>
  <conditionalFormatting sqref="B46:L52">
    <cfRule type="expression" dxfId="36" priority="27" stopIfTrue="1">
      <formula>MOD(ROW(),2)=0</formula>
    </cfRule>
  </conditionalFormatting>
  <conditionalFormatting sqref="B55:L60">
    <cfRule type="expression" dxfId="35" priority="28" stopIfTrue="1">
      <formula>MOD(ROW(),2)=0</formula>
    </cfRule>
  </conditionalFormatting>
  <conditionalFormatting sqref="C13:E13">
    <cfRule type="expression" dxfId="34" priority="20" stopIfTrue="1">
      <formula>MOD(ROW(),2)=0</formula>
    </cfRule>
  </conditionalFormatting>
  <conditionalFormatting sqref="D1">
    <cfRule type="expression" dxfId="33" priority="10" stopIfTrue="1">
      <formula>MOD(ROW(),2)=0</formula>
    </cfRule>
  </conditionalFormatting>
  <pageMargins left="0.25" right="0.25" top="0.5" bottom="0.45" header="0.25" footer="0.25"/>
  <pageSetup scale="62" fitToHeight="3" orientation="landscape" r:id="rId1"/>
  <headerFooter>
    <oddHeader xml:space="preserve">&amp;L &amp;C &amp;R </oddHeader>
    <oddFooter>&amp;L&amp;7&amp;D  at &amp;T Mike 702.854.0691&amp;C&amp;7&amp;F  &amp;A&amp;R&amp;7Page &amp;P of &amp;N</oddFooter>
  </headerFooter>
  <rowBreaks count="1" manualBreakCount="1">
    <brk id="62" max="11" man="1"/>
  </rowBreaks>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FAF7E-A647-4F3D-8696-C5678D6C7F58}">
  <sheetPr codeName="Sheet14">
    <tabColor rgb="FFFFFF99"/>
  </sheetPr>
  <dimension ref="A1:AM100"/>
  <sheetViews>
    <sheetView topLeftCell="A11" zoomScale="80" zoomScaleNormal="80" workbookViewId="0">
      <selection activeCell="B49" sqref="B49:L51"/>
    </sheetView>
  </sheetViews>
  <sheetFormatPr defaultColWidth="8.6640625" defaultRowHeight="13.8"/>
  <cols>
    <col min="1" max="1" width="5.44140625" style="32" customWidth="1"/>
    <col min="2" max="2" width="57.44140625" style="32" customWidth="1"/>
    <col min="3" max="3" width="12.33203125" style="32" customWidth="1"/>
    <col min="4" max="4" width="8.6640625" style="32" customWidth="1"/>
    <col min="5" max="5" width="11.33203125" style="32" customWidth="1"/>
    <col min="6" max="6" width="12.6640625" style="32" customWidth="1"/>
    <col min="7" max="7" width="12.6640625" style="32" bestFit="1" customWidth="1"/>
    <col min="8" max="8" width="12.44140625" style="32" bestFit="1" customWidth="1"/>
    <col min="9" max="12" width="12.6640625" style="32" bestFit="1" customWidth="1"/>
    <col min="13" max="13" width="4.6640625" style="32" customWidth="1"/>
    <col min="14" max="14" width="56.6640625" style="257" customWidth="1"/>
    <col min="15" max="16384" width="8.6640625" style="32"/>
  </cols>
  <sheetData>
    <row r="1" spans="1:39" ht="15.6">
      <c r="A1" s="1634" t="s">
        <v>741</v>
      </c>
      <c r="B1" s="1635"/>
      <c r="C1" s="347"/>
      <c r="D1" s="154"/>
      <c r="K1" s="34"/>
      <c r="Y1" s="1445" cm="1">
        <f t="array" aca="1" ref="Y1" ca="1">CELL("protect",A1)</f>
        <v>1</v>
      </c>
      <c r="Z1" s="1445" cm="1">
        <f t="array" aca="1" ref="Z1" ca="1">CELL("protect",B1)</f>
        <v>1</v>
      </c>
      <c r="AA1" s="1445" cm="1">
        <f t="array" aca="1" ref="AA1" ca="1">CELL("protect",C1)</f>
        <v>1</v>
      </c>
      <c r="AB1" s="1445" cm="1">
        <f t="array" aca="1" ref="AB1" ca="1">CELL("protect",D1)</f>
        <v>1</v>
      </c>
      <c r="AC1" s="1445" cm="1">
        <f t="array" aca="1" ref="AC1" ca="1">CELL("protect",E1)</f>
        <v>1</v>
      </c>
      <c r="AD1" s="1445" cm="1">
        <f t="array" aca="1" ref="AD1" ca="1">CELL("protect",F1)</f>
        <v>1</v>
      </c>
      <c r="AE1" s="1445" cm="1">
        <f t="array" aca="1" ref="AE1" ca="1">CELL("protect",G1)</f>
        <v>1</v>
      </c>
      <c r="AF1" s="1445" cm="1">
        <f t="array" aca="1" ref="AF1" ca="1">CELL("protect",H1)</f>
        <v>1</v>
      </c>
      <c r="AG1" s="1445" cm="1">
        <f t="array" aca="1" ref="AG1" ca="1">CELL("protect",I1)</f>
        <v>1</v>
      </c>
      <c r="AH1" s="1445" cm="1">
        <f t="array" aca="1" ref="AH1" ca="1">CELL("protect",J1)</f>
        <v>1</v>
      </c>
      <c r="AI1" s="1445" cm="1">
        <f t="array" aca="1" ref="AI1" ca="1">CELL("protect",K1)</f>
        <v>1</v>
      </c>
      <c r="AJ1" s="1445" cm="1">
        <f t="array" aca="1" ref="AJ1" ca="1">CELL("protect",L1)</f>
        <v>1</v>
      </c>
      <c r="AK1" s="1445"/>
      <c r="AL1" s="1445"/>
      <c r="AM1" s="1445"/>
    </row>
    <row r="2" spans="1:39" ht="15.6">
      <c r="A2" s="35" t="str">
        <f>SchoolName</f>
        <v>Pahrump Valley Academy</v>
      </c>
      <c r="B2" s="36"/>
      <c r="Y2" s="1445" cm="1">
        <f t="array" aca="1" ref="Y2" ca="1">CELL("protect",A2)</f>
        <v>1</v>
      </c>
      <c r="Z2" s="1445" cm="1">
        <f t="array" aca="1" ref="Z2" ca="1">CELL("protect",B2)</f>
        <v>1</v>
      </c>
      <c r="AA2" s="1445" cm="1">
        <f t="array" aca="1" ref="AA2" ca="1">CELL("protect",C2)</f>
        <v>1</v>
      </c>
      <c r="AB2" s="1445" cm="1">
        <f t="array" aca="1" ref="AB2" ca="1">CELL("protect",D2)</f>
        <v>1</v>
      </c>
      <c r="AC2" s="1445" cm="1">
        <f t="array" aca="1" ref="AC2" ca="1">CELL("protect",E2)</f>
        <v>1</v>
      </c>
      <c r="AD2" s="1445" cm="1">
        <f t="array" aca="1" ref="AD2" ca="1">CELL("protect",F2)</f>
        <v>1</v>
      </c>
      <c r="AE2" s="1445" cm="1">
        <f t="array" aca="1" ref="AE2" ca="1">CELL("protect",G2)</f>
        <v>1</v>
      </c>
      <c r="AF2" s="1445" cm="1">
        <f t="array" aca="1" ref="AF2" ca="1">CELL("protect",H2)</f>
        <v>1</v>
      </c>
      <c r="AG2" s="1445" cm="1">
        <f t="array" aca="1" ref="AG2" ca="1">CELL("protect",I2)</f>
        <v>1</v>
      </c>
      <c r="AH2" s="1445" cm="1">
        <f t="array" aca="1" ref="AH2" ca="1">CELL("protect",J2)</f>
        <v>1</v>
      </c>
      <c r="AI2" s="1445" cm="1">
        <f t="array" aca="1" ref="AI2" ca="1">CELL("protect",K2)</f>
        <v>1</v>
      </c>
      <c r="AJ2" s="1445" cm="1">
        <f t="array" aca="1" ref="AJ2" ca="1">CELL("protect",L2)</f>
        <v>1</v>
      </c>
      <c r="AK2" s="1445"/>
      <c r="AL2" s="1445"/>
      <c r="AM2" s="1445"/>
    </row>
    <row r="3" spans="1:39">
      <c r="A3" s="37"/>
      <c r="Y3" s="1445" cm="1">
        <f t="array" aca="1" ref="Y3" ca="1">CELL("protect",A3)</f>
        <v>1</v>
      </c>
      <c r="Z3" s="1445" cm="1">
        <f t="array" aca="1" ref="Z3" ca="1">CELL("protect",B3)</f>
        <v>1</v>
      </c>
      <c r="AA3" s="1445" cm="1">
        <f t="array" aca="1" ref="AA3" ca="1">CELL("protect",C3)</f>
        <v>1</v>
      </c>
      <c r="AB3" s="1445" cm="1">
        <f t="array" aca="1" ref="AB3" ca="1">CELL("protect",D3)</f>
        <v>1</v>
      </c>
      <c r="AC3" s="1445" cm="1">
        <f t="array" aca="1" ref="AC3" ca="1">CELL("protect",E3)</f>
        <v>1</v>
      </c>
      <c r="AD3" s="1445" cm="1">
        <f t="array" aca="1" ref="AD3" ca="1">CELL("protect",F3)</f>
        <v>1</v>
      </c>
      <c r="AE3" s="1445" cm="1">
        <f t="array" aca="1" ref="AE3" ca="1">CELL("protect",G3)</f>
        <v>1</v>
      </c>
      <c r="AF3" s="1445" cm="1">
        <f t="array" aca="1" ref="AF3" ca="1">CELL("protect",H3)</f>
        <v>1</v>
      </c>
      <c r="AG3" s="1445" cm="1">
        <f t="array" aca="1" ref="AG3" ca="1">CELL("protect",I3)</f>
        <v>1</v>
      </c>
      <c r="AH3" s="1445" cm="1">
        <f t="array" aca="1" ref="AH3" ca="1">CELL("protect",J3)</f>
        <v>1</v>
      </c>
      <c r="AI3" s="1445" cm="1">
        <f t="array" aca="1" ref="AI3" ca="1">CELL("protect",K3)</f>
        <v>1</v>
      </c>
      <c r="AJ3" s="1445" cm="1">
        <f t="array" aca="1" ref="AJ3" ca="1">CELL("protect",L3)</f>
        <v>1</v>
      </c>
      <c r="AK3" s="1445"/>
      <c r="AL3" s="1445"/>
      <c r="AM3" s="1445"/>
    </row>
    <row r="4" spans="1:39">
      <c r="A4" s="38"/>
      <c r="Y4" s="1445" cm="1">
        <f t="array" aca="1" ref="Y4" ca="1">CELL("protect",A4)</f>
        <v>1</v>
      </c>
      <c r="Z4" s="1445" cm="1">
        <f t="array" aca="1" ref="Z4" ca="1">CELL("protect",B4)</f>
        <v>1</v>
      </c>
      <c r="AA4" s="1445" cm="1">
        <f t="array" aca="1" ref="AA4" ca="1">CELL("protect",C4)</f>
        <v>1</v>
      </c>
      <c r="AB4" s="1445" cm="1">
        <f t="array" aca="1" ref="AB4" ca="1">CELL("protect",D4)</f>
        <v>1</v>
      </c>
      <c r="AC4" s="1445" cm="1">
        <f t="array" aca="1" ref="AC4" ca="1">CELL("protect",E4)</f>
        <v>1</v>
      </c>
      <c r="AD4" s="1445" cm="1">
        <f t="array" aca="1" ref="AD4" ca="1">CELL("protect",F4)</f>
        <v>1</v>
      </c>
      <c r="AE4" s="1445" cm="1">
        <f t="array" aca="1" ref="AE4" ca="1">CELL("protect",G4)</f>
        <v>1</v>
      </c>
      <c r="AF4" s="1445" cm="1">
        <f t="array" aca="1" ref="AF4" ca="1">CELL("protect",H4)</f>
        <v>1</v>
      </c>
      <c r="AG4" s="1445" cm="1">
        <f t="array" aca="1" ref="AG4" ca="1">CELL("protect",I4)</f>
        <v>1</v>
      </c>
      <c r="AH4" s="1445" cm="1">
        <f t="array" aca="1" ref="AH4" ca="1">CELL("protect",J4)</f>
        <v>1</v>
      </c>
      <c r="AI4" s="1445" cm="1">
        <f t="array" aca="1" ref="AI4" ca="1">CELL("protect",K4)</f>
        <v>1</v>
      </c>
      <c r="AJ4" s="1445" cm="1">
        <f t="array" aca="1" ref="AJ4" ca="1">CELL("protect",L4)</f>
        <v>1</v>
      </c>
      <c r="AK4" s="1445"/>
      <c r="AL4" s="1445"/>
      <c r="AM4" s="1445"/>
    </row>
    <row r="5" spans="1:39">
      <c r="A5" s="29"/>
      <c r="Y5" s="1445" cm="1">
        <f t="array" aca="1" ref="Y5" ca="1">CELL("protect",A5)</f>
        <v>1</v>
      </c>
      <c r="Z5" s="1445" cm="1">
        <f t="array" aca="1" ref="Z5" ca="1">CELL("protect",B5)</f>
        <v>1</v>
      </c>
      <c r="AA5" s="1445" cm="1">
        <f t="array" aca="1" ref="AA5" ca="1">CELL("protect",C5)</f>
        <v>1</v>
      </c>
      <c r="AB5" s="1445" cm="1">
        <f t="array" aca="1" ref="AB5" ca="1">CELL("protect",D5)</f>
        <v>1</v>
      </c>
      <c r="AC5" s="1445" cm="1">
        <f t="array" aca="1" ref="AC5" ca="1">CELL("protect",E5)</f>
        <v>1</v>
      </c>
      <c r="AD5" s="1445" cm="1">
        <f t="array" aca="1" ref="AD5" ca="1">CELL("protect",F5)</f>
        <v>1</v>
      </c>
      <c r="AE5" s="1445" cm="1">
        <f t="array" aca="1" ref="AE5" ca="1">CELL("protect",G5)</f>
        <v>1</v>
      </c>
      <c r="AF5" s="1445" cm="1">
        <f t="array" aca="1" ref="AF5" ca="1">CELL("protect",H5)</f>
        <v>1</v>
      </c>
      <c r="AG5" s="1445" cm="1">
        <f t="array" aca="1" ref="AG5" ca="1">CELL("protect",I5)</f>
        <v>1</v>
      </c>
      <c r="AH5" s="1445" cm="1">
        <f t="array" aca="1" ref="AH5" ca="1">CELL("protect",J5)</f>
        <v>1</v>
      </c>
      <c r="AI5" s="1445" cm="1">
        <f t="array" aca="1" ref="AI5" ca="1">CELL("protect",K5)</f>
        <v>1</v>
      </c>
      <c r="AJ5" s="1445" cm="1">
        <f t="array" aca="1" ref="AJ5" ca="1">CELL("protect",L5)</f>
        <v>1</v>
      </c>
      <c r="AK5" s="1445"/>
      <c r="AL5" s="1445"/>
      <c r="AM5" s="1445"/>
    </row>
    <row r="6" spans="1:39" ht="14.4">
      <c r="F6" s="30" t="s">
        <v>742</v>
      </c>
      <c r="G6" s="154" t="s">
        <v>743</v>
      </c>
      <c r="Y6" s="1445" cm="1">
        <f t="array" aca="1" ref="Y6" ca="1">CELL("protect",A6)</f>
        <v>1</v>
      </c>
      <c r="Z6" s="1445" cm="1">
        <f t="array" aca="1" ref="Z6" ca="1">CELL("protect",B6)</f>
        <v>1</v>
      </c>
      <c r="AA6" s="1445" cm="1">
        <f t="array" aca="1" ref="AA6" ca="1">CELL("protect",C6)</f>
        <v>1</v>
      </c>
      <c r="AB6" s="1445" cm="1">
        <f t="array" aca="1" ref="AB6" ca="1">CELL("protect",D6)</f>
        <v>1</v>
      </c>
      <c r="AC6" s="1445" cm="1">
        <f t="array" aca="1" ref="AC6" ca="1">CELL("protect",E6)</f>
        <v>1</v>
      </c>
      <c r="AD6" s="1445" cm="1">
        <f t="array" aca="1" ref="AD6" ca="1">CELL("protect",F6)</f>
        <v>1</v>
      </c>
      <c r="AE6" s="1445" cm="1">
        <f t="array" aca="1" ref="AE6" ca="1">CELL("protect",G6)</f>
        <v>1</v>
      </c>
      <c r="AF6" s="1445" cm="1">
        <f t="array" aca="1" ref="AF6" ca="1">CELL("protect",H6)</f>
        <v>1</v>
      </c>
      <c r="AG6" s="1445" cm="1">
        <f t="array" aca="1" ref="AG6" ca="1">CELL("protect",I6)</f>
        <v>1</v>
      </c>
      <c r="AH6" s="1445" cm="1">
        <f t="array" aca="1" ref="AH6" ca="1">CELL("protect",J6)</f>
        <v>1</v>
      </c>
      <c r="AI6" s="1445" cm="1">
        <f t="array" aca="1" ref="AI6" ca="1">CELL("protect",K6)</f>
        <v>1</v>
      </c>
      <c r="AJ6" s="1445" cm="1">
        <f t="array" aca="1" ref="AJ6" ca="1">CELL("protect",L6)</f>
        <v>1</v>
      </c>
      <c r="AK6" s="1445"/>
      <c r="AL6" s="1445"/>
      <c r="AM6" s="1445"/>
    </row>
    <row r="7" spans="1:39" ht="15.6">
      <c r="B7" s="1729" t="s">
        <v>744</v>
      </c>
      <c r="C7" s="1730" t="s">
        <v>745</v>
      </c>
      <c r="D7" s="1731" t="s">
        <v>746</v>
      </c>
      <c r="E7" s="1732" t="s">
        <v>244</v>
      </c>
      <c r="F7" s="1511">
        <v>0</v>
      </c>
      <c r="G7" s="1733">
        <v>1</v>
      </c>
      <c r="H7" s="1733">
        <f>+G7+1</f>
        <v>2</v>
      </c>
      <c r="I7" s="1733">
        <f>+H7+1</f>
        <v>3</v>
      </c>
      <c r="J7" s="1733">
        <f>+I7+1</f>
        <v>4</v>
      </c>
      <c r="K7" s="1733">
        <f>+J7+1</f>
        <v>5</v>
      </c>
      <c r="L7" s="1734">
        <f>+K7+1</f>
        <v>6</v>
      </c>
      <c r="N7" s="1100"/>
      <c r="Y7" s="1445" cm="1">
        <f t="array" aca="1" ref="Y7" ca="1">CELL("protect",A7)</f>
        <v>1</v>
      </c>
      <c r="Z7" s="1445" cm="1">
        <f t="array" aca="1" ref="Z7" ca="1">CELL("protect",B7)</f>
        <v>1</v>
      </c>
      <c r="AA7" s="1445" cm="1">
        <f t="array" aca="1" ref="AA7" ca="1">CELL("protect",C7)</f>
        <v>1</v>
      </c>
      <c r="AB7" s="1445" cm="1">
        <f t="array" aca="1" ref="AB7" ca="1">CELL("protect",D7)</f>
        <v>1</v>
      </c>
      <c r="AC7" s="1445" cm="1">
        <f t="array" aca="1" ref="AC7" ca="1">CELL("protect",E7)</f>
        <v>1</v>
      </c>
      <c r="AD7" s="1445" cm="1">
        <f t="array" aca="1" ref="AD7" ca="1">CELL("protect",F7)</f>
        <v>1</v>
      </c>
      <c r="AE7" s="1445" cm="1">
        <f t="array" aca="1" ref="AE7" ca="1">CELL("protect",G7)</f>
        <v>1</v>
      </c>
      <c r="AF7" s="1445" cm="1">
        <f t="array" aca="1" ref="AF7" ca="1">CELL("protect",H7)</f>
        <v>1</v>
      </c>
      <c r="AG7" s="1445" cm="1">
        <f t="array" aca="1" ref="AG7" ca="1">CELL("protect",I7)</f>
        <v>1</v>
      </c>
      <c r="AH7" s="1445" cm="1">
        <f t="array" aca="1" ref="AH7" ca="1">CELL("protect",J7)</f>
        <v>1</v>
      </c>
      <c r="AI7" s="1445" cm="1">
        <f t="array" aca="1" ref="AI7" ca="1">CELL("protect",K7)</f>
        <v>1</v>
      </c>
      <c r="AJ7" s="1445" cm="1">
        <f t="array" aca="1" ref="AJ7" ca="1">CELL("protect",L7)</f>
        <v>1</v>
      </c>
      <c r="AK7" s="1445"/>
      <c r="AL7" s="1445"/>
      <c r="AM7" s="1445"/>
    </row>
    <row r="8" spans="1:39" ht="15.6">
      <c r="B8" s="1735"/>
      <c r="C8" s="1736"/>
      <c r="D8" s="1731"/>
      <c r="E8" s="1737"/>
      <c r="F8" s="1738">
        <f>+'FFE&amp;T'!F7</f>
        <v>2025</v>
      </c>
      <c r="G8" s="1738">
        <f>+'FFE&amp;T'!G7</f>
        <v>2026</v>
      </c>
      <c r="H8" s="1739">
        <f>+'FFE&amp;T'!H7</f>
        <v>2027</v>
      </c>
      <c r="I8" s="1739">
        <f>+'FFE&amp;T'!I7</f>
        <v>2028</v>
      </c>
      <c r="J8" s="1739">
        <f>+'FFE&amp;T'!J7</f>
        <v>2029</v>
      </c>
      <c r="K8" s="1739">
        <f>+'FFE&amp;T'!K7</f>
        <v>2030</v>
      </c>
      <c r="L8" s="1740">
        <f>+'FFE&amp;T'!L7</f>
        <v>2031</v>
      </c>
      <c r="N8" s="1426" t="s">
        <v>1253</v>
      </c>
      <c r="Y8" s="1445"/>
      <c r="Z8" s="1445"/>
      <c r="AA8" s="1445"/>
      <c r="AB8" s="1445"/>
      <c r="AC8" s="1445"/>
      <c r="AD8" s="1445"/>
      <c r="AE8" s="1445"/>
      <c r="AF8" s="1445"/>
      <c r="AG8" s="1445"/>
      <c r="AH8" s="1445"/>
      <c r="AI8" s="1445"/>
      <c r="AJ8" s="1445"/>
      <c r="AK8" s="1445"/>
      <c r="AL8" s="1445"/>
      <c r="AM8" s="1445"/>
    </row>
    <row r="9" spans="1:39" s="30" customFormat="1" ht="15.6">
      <c r="B9" s="1741" t="s">
        <v>747</v>
      </c>
      <c r="C9" s="1742" t="s">
        <v>748</v>
      </c>
      <c r="D9" s="1731" t="s">
        <v>749</v>
      </c>
      <c r="E9" s="1743" t="s">
        <v>750</v>
      </c>
      <c r="F9" s="1744">
        <f>' Enrol &amp; Rev'!F11</f>
        <v>2026</v>
      </c>
      <c r="G9" s="1744">
        <f>' Enrol &amp; Rev'!G11</f>
        <v>2027</v>
      </c>
      <c r="H9" s="1742">
        <f>' Enrol &amp; Rev'!H11</f>
        <v>2028</v>
      </c>
      <c r="I9" s="1742">
        <f>' Enrol &amp; Rev'!I11</f>
        <v>2029</v>
      </c>
      <c r="J9" s="1742">
        <f>' Enrol &amp; Rev'!J11</f>
        <v>2030</v>
      </c>
      <c r="K9" s="1742">
        <f>' Enrol &amp; Rev'!K11</f>
        <v>2031</v>
      </c>
      <c r="L9" s="1745">
        <f>' Enrol &amp; Rev'!L11</f>
        <v>2032</v>
      </c>
      <c r="N9" s="394"/>
      <c r="Y9" s="1445" cm="1">
        <f t="array" aca="1" ref="Y9" ca="1">CELL("protect",A9)</f>
        <v>1</v>
      </c>
      <c r="Z9" s="1445" cm="1">
        <f t="array" aca="1" ref="Z9" ca="1">CELL("protect",B9)</f>
        <v>1</v>
      </c>
      <c r="AA9" s="1445" cm="1">
        <f t="array" aca="1" ref="AA9" ca="1">CELL("protect",C9)</f>
        <v>1</v>
      </c>
      <c r="AB9" s="1445" cm="1">
        <f t="array" aca="1" ref="AB9" ca="1">CELL("protect",D9)</f>
        <v>1</v>
      </c>
      <c r="AC9" s="1445" cm="1">
        <f t="array" aca="1" ref="AC9" ca="1">CELL("protect",E9)</f>
        <v>1</v>
      </c>
      <c r="AD9" s="1445" cm="1">
        <f t="array" aca="1" ref="AD9" ca="1">CELL("protect",F9)</f>
        <v>1</v>
      </c>
      <c r="AE9" s="1445" cm="1">
        <f t="array" aca="1" ref="AE9" ca="1">CELL("protect",G9)</f>
        <v>1</v>
      </c>
      <c r="AF9" s="1445" cm="1">
        <f t="array" aca="1" ref="AF9" ca="1">CELL("protect",H9)</f>
        <v>1</v>
      </c>
      <c r="AG9" s="1445" cm="1">
        <f t="array" aca="1" ref="AG9" ca="1">CELL("protect",I9)</f>
        <v>1</v>
      </c>
      <c r="AH9" s="1445" cm="1">
        <f t="array" aca="1" ref="AH9" ca="1">CELL("protect",J9)</f>
        <v>1</v>
      </c>
      <c r="AI9" s="1445" cm="1">
        <f t="array" aca="1" ref="AI9" ca="1">CELL("protect",K9)</f>
        <v>1</v>
      </c>
      <c r="AJ9" s="1445" cm="1">
        <f t="array" aca="1" ref="AJ9" ca="1">CELL("protect",L9)</f>
        <v>1</v>
      </c>
      <c r="AK9" s="1445"/>
      <c r="AL9" s="1445"/>
      <c r="AM9" s="1445"/>
    </row>
    <row r="10" spans="1:39">
      <c r="A10" s="108"/>
      <c r="B10" s="334"/>
      <c r="C10" s="335"/>
      <c r="D10" s="335"/>
      <c r="E10" s="52"/>
      <c r="F10" s="702"/>
      <c r="G10" s="702"/>
      <c r="H10" s="338"/>
      <c r="I10" s="338"/>
      <c r="J10" s="338"/>
      <c r="K10" s="338"/>
      <c r="L10" s="338"/>
      <c r="N10" s="287"/>
      <c r="Y10" s="1445" cm="1">
        <f t="array" aca="1" ref="Y10" ca="1">CELL("protect",A10)</f>
        <v>1</v>
      </c>
      <c r="Z10" s="1445" cm="1">
        <f t="array" aca="1" ref="Z10" ca="1">CELL("protect",B10)</f>
        <v>0</v>
      </c>
      <c r="AA10" s="1445" cm="1">
        <f t="array" aca="1" ref="AA10" ca="1">CELL("protect",C10)</f>
        <v>0</v>
      </c>
      <c r="AB10" s="1445" cm="1">
        <f t="array" aca="1" ref="AB10" ca="1">CELL("protect",D10)</f>
        <v>0</v>
      </c>
      <c r="AC10" s="1445" cm="1">
        <f t="array" aca="1" ref="AC10" ca="1">CELL("protect",E10)</f>
        <v>1</v>
      </c>
      <c r="AD10" s="1445" cm="1">
        <f t="array" aca="1" ref="AD10" ca="1">CELL("protect",F10)</f>
        <v>1</v>
      </c>
      <c r="AE10" s="1445" cm="1">
        <f t="array" aca="1" ref="AE10" ca="1">CELL("protect",G10)</f>
        <v>1</v>
      </c>
      <c r="AF10" s="1445" cm="1">
        <f t="array" aca="1" ref="AF10" ca="1">CELL("protect",H10)</f>
        <v>1</v>
      </c>
      <c r="AG10" s="1445" cm="1">
        <f t="array" aca="1" ref="AG10" ca="1">CELL("protect",I10)</f>
        <v>1</v>
      </c>
      <c r="AH10" s="1445" cm="1">
        <f t="array" aca="1" ref="AH10" ca="1">CELL("protect",J10)</f>
        <v>1</v>
      </c>
      <c r="AI10" s="1445" cm="1">
        <f t="array" aca="1" ref="AI10" ca="1">CELL("protect",K10)</f>
        <v>1</v>
      </c>
      <c r="AJ10" s="1445" cm="1">
        <f t="array" aca="1" ref="AJ10" ca="1">CELL("protect",L10)</f>
        <v>1</v>
      </c>
      <c r="AK10" s="1445"/>
      <c r="AL10" s="1445"/>
      <c r="AM10" s="1445"/>
    </row>
    <row r="11" spans="1:39">
      <c r="A11" s="108">
        <f>ROW()</f>
        <v>11</v>
      </c>
      <c r="B11" s="399" t="s">
        <v>751</v>
      </c>
      <c r="C11" s="400"/>
      <c r="D11" s="333"/>
      <c r="E11" s="48"/>
      <c r="F11" s="719"/>
      <c r="G11" s="719"/>
      <c r="H11" s="720"/>
      <c r="I11" s="720"/>
      <c r="J11" s="720"/>
      <c r="K11" s="720"/>
      <c r="L11" s="720"/>
      <c r="N11" s="287"/>
      <c r="Y11" s="1445" cm="1">
        <f t="array" aca="1" ref="Y11" ca="1">CELL("protect",A11)</f>
        <v>1</v>
      </c>
      <c r="Z11" s="1445" cm="1">
        <f t="array" aca="1" ref="Z11" ca="1">CELL("protect",B11)</f>
        <v>1</v>
      </c>
      <c r="AA11" s="1445" cm="1">
        <f t="array" aca="1" ref="AA11" ca="1">CELL("protect",C11)</f>
        <v>1</v>
      </c>
      <c r="AB11" s="1445" cm="1">
        <f t="array" aca="1" ref="AB11" ca="1">CELL("protect",D11)</f>
        <v>0</v>
      </c>
      <c r="AC11" s="1445" cm="1">
        <f t="array" aca="1" ref="AC11" ca="1">CELL("protect",E11)</f>
        <v>1</v>
      </c>
      <c r="AD11" s="1445" cm="1">
        <f t="array" aca="1" ref="AD11" ca="1">CELL("protect",F11)</f>
        <v>0</v>
      </c>
      <c r="AE11" s="1445" cm="1">
        <f t="array" aca="1" ref="AE11" ca="1">CELL("protect",G11)</f>
        <v>0</v>
      </c>
      <c r="AF11" s="1445" cm="1">
        <f t="array" aca="1" ref="AF11" ca="1">CELL("protect",H11)</f>
        <v>0</v>
      </c>
      <c r="AG11" s="1445" cm="1">
        <f t="array" aca="1" ref="AG11" ca="1">CELL("protect",I11)</f>
        <v>0</v>
      </c>
      <c r="AH11" s="1445" cm="1">
        <f t="array" aca="1" ref="AH11" ca="1">CELL("protect",J11)</f>
        <v>0</v>
      </c>
      <c r="AI11" s="1445" cm="1">
        <f t="array" aca="1" ref="AI11" ca="1">CELL("protect",K11)</f>
        <v>0</v>
      </c>
      <c r="AJ11" s="1445" cm="1">
        <f t="array" aca="1" ref="AJ11" ca="1">CELL("protect",L11)</f>
        <v>0</v>
      </c>
      <c r="AK11" s="1445"/>
      <c r="AL11" s="1445"/>
      <c r="AM11" s="1445"/>
    </row>
    <row r="12" spans="1:39">
      <c r="A12" s="108">
        <f>ROW()</f>
        <v>12</v>
      </c>
      <c r="B12" s="401" t="s">
        <v>752</v>
      </c>
      <c r="C12" s="453">
        <v>0</v>
      </c>
      <c r="D12" s="454">
        <v>0</v>
      </c>
      <c r="E12" s="1177">
        <f t="shared" ref="E12:E48" si="0">SUM(F12:L12)</f>
        <v>0</v>
      </c>
      <c r="F12" s="736">
        <v>0</v>
      </c>
      <c r="G12" s="721">
        <v>0</v>
      </c>
      <c r="H12" s="696">
        <v>0</v>
      </c>
      <c r="I12" s="696">
        <v>0</v>
      </c>
      <c r="J12" s="696">
        <v>0</v>
      </c>
      <c r="K12" s="696">
        <v>0</v>
      </c>
      <c r="L12" s="696">
        <v>0</v>
      </c>
      <c r="N12" s="287"/>
      <c r="Y12" s="1445" cm="1">
        <f t="array" aca="1" ref="Y12" ca="1">CELL("protect",A12)</f>
        <v>1</v>
      </c>
      <c r="Z12" s="1445" cm="1">
        <f t="array" aca="1" ref="Z12" ca="1">CELL("protect",B12)</f>
        <v>1</v>
      </c>
      <c r="AA12" s="1445" cm="1">
        <f t="array" aca="1" ref="AA12" ca="1">CELL("protect",C12)</f>
        <v>1</v>
      </c>
      <c r="AB12" s="1445" cm="1">
        <f t="array" aca="1" ref="AB12" ca="1">CELL("protect",D12)</f>
        <v>0</v>
      </c>
      <c r="AC12" s="1445" cm="1">
        <f t="array" aca="1" ref="AC12" ca="1">CELL("protect",E12)</f>
        <v>0</v>
      </c>
      <c r="AD12" s="1445" cm="1">
        <f t="array" aca="1" ref="AD12" ca="1">CELL("protect",F12)</f>
        <v>0</v>
      </c>
      <c r="AE12" s="1445" cm="1">
        <f t="array" aca="1" ref="AE12" ca="1">CELL("protect",G12)</f>
        <v>0</v>
      </c>
      <c r="AF12" s="1445" cm="1">
        <f t="array" aca="1" ref="AF12" ca="1">CELL("protect",H12)</f>
        <v>0</v>
      </c>
      <c r="AG12" s="1445" cm="1">
        <f t="array" aca="1" ref="AG12" ca="1">CELL("protect",I12)</f>
        <v>0</v>
      </c>
      <c r="AH12" s="1445" cm="1">
        <f t="array" aca="1" ref="AH12" ca="1">CELL("protect",J12)</f>
        <v>0</v>
      </c>
      <c r="AI12" s="1445" cm="1">
        <f t="array" aca="1" ref="AI12" ca="1">CELL("protect",K12)</f>
        <v>0</v>
      </c>
      <c r="AJ12" s="1445" cm="1">
        <f t="array" aca="1" ref="AJ12" ca="1">CELL("protect",L12)</f>
        <v>0</v>
      </c>
      <c r="AK12" s="1445"/>
      <c r="AL12" s="1445"/>
      <c r="AM12" s="1445"/>
    </row>
    <row r="13" spans="1:39" ht="41.4">
      <c r="A13" s="724">
        <f>ROW()</f>
        <v>13</v>
      </c>
      <c r="B13" s="402" t="s">
        <v>753</v>
      </c>
      <c r="C13" s="403">
        <v>1000000</v>
      </c>
      <c r="D13" s="217">
        <v>0</v>
      </c>
      <c r="E13" s="1176">
        <f t="shared" si="0"/>
        <v>24000</v>
      </c>
      <c r="F13" s="737">
        <v>0</v>
      </c>
      <c r="G13" s="703">
        <v>4000</v>
      </c>
      <c r="H13" s="393">
        <v>4000</v>
      </c>
      <c r="I13" s="393">
        <v>4000</v>
      </c>
      <c r="J13" s="393">
        <v>4000</v>
      </c>
      <c r="K13" s="393">
        <v>4000</v>
      </c>
      <c r="L13" s="393">
        <v>4000</v>
      </c>
      <c r="N13" s="287"/>
      <c r="Y13" s="1445" cm="1">
        <f t="array" aca="1" ref="Y13" ca="1">CELL("protect",A13)</f>
        <v>1</v>
      </c>
      <c r="Z13" s="1445" cm="1">
        <f t="array" aca="1" ref="Z13" ca="1">CELL("protect",B13)</f>
        <v>1</v>
      </c>
      <c r="AA13" s="1445" cm="1">
        <f t="array" aca="1" ref="AA13" ca="1">CELL("protect",C13)</f>
        <v>1</v>
      </c>
      <c r="AB13" s="1445" cm="1">
        <f t="array" aca="1" ref="AB13" ca="1">CELL("protect",D13)</f>
        <v>0</v>
      </c>
      <c r="AC13" s="1445" cm="1">
        <f t="array" aca="1" ref="AC13" ca="1">CELL("protect",E13)</f>
        <v>0</v>
      </c>
      <c r="AD13" s="1445" cm="1">
        <f t="array" aca="1" ref="AD13" ca="1">CELL("protect",F13)</f>
        <v>0</v>
      </c>
      <c r="AE13" s="1445" cm="1">
        <f t="array" aca="1" ref="AE13" ca="1">CELL("protect",G13)</f>
        <v>0</v>
      </c>
      <c r="AF13" s="1445" cm="1">
        <f t="array" aca="1" ref="AF13" ca="1">CELL("protect",H13)</f>
        <v>0</v>
      </c>
      <c r="AG13" s="1445" cm="1">
        <f t="array" aca="1" ref="AG13" ca="1">CELL("protect",I13)</f>
        <v>0</v>
      </c>
      <c r="AH13" s="1445" cm="1">
        <f t="array" aca="1" ref="AH13" ca="1">CELL("protect",J13)</f>
        <v>0</v>
      </c>
      <c r="AI13" s="1445" cm="1">
        <f t="array" aca="1" ref="AI13" ca="1">CELL("protect",K13)</f>
        <v>0</v>
      </c>
      <c r="AJ13" s="1445" cm="1">
        <f t="array" aca="1" ref="AJ13" ca="1">CELL("protect",L13)</f>
        <v>0</v>
      </c>
      <c r="AK13" s="1445"/>
      <c r="AL13" s="1445"/>
      <c r="AM13" s="1445"/>
    </row>
    <row r="14" spans="1:39">
      <c r="A14" s="108">
        <f>ROW()</f>
        <v>14</v>
      </c>
      <c r="B14" s="404" t="s">
        <v>754</v>
      </c>
      <c r="C14" s="405">
        <v>3000000</v>
      </c>
      <c r="D14" s="217">
        <v>0</v>
      </c>
      <c r="E14" s="1176">
        <f t="shared" si="0"/>
        <v>30000</v>
      </c>
      <c r="F14" s="737">
        <v>0</v>
      </c>
      <c r="G14" s="703">
        <v>5000</v>
      </c>
      <c r="H14" s="393">
        <v>5000</v>
      </c>
      <c r="I14" s="393">
        <v>5000</v>
      </c>
      <c r="J14" s="393">
        <v>5000</v>
      </c>
      <c r="K14" s="393">
        <v>5000</v>
      </c>
      <c r="L14" s="393">
        <v>5000</v>
      </c>
      <c r="N14" s="287"/>
      <c r="Y14" s="1445" cm="1">
        <f t="array" aca="1" ref="Y14" ca="1">CELL("protect",A14)</f>
        <v>1</v>
      </c>
      <c r="Z14" s="1445" cm="1">
        <f t="array" aca="1" ref="Z14" ca="1">CELL("protect",B14)</f>
        <v>1</v>
      </c>
      <c r="AA14" s="1445" cm="1">
        <f t="array" aca="1" ref="AA14" ca="1">CELL("protect",C14)</f>
        <v>1</v>
      </c>
      <c r="AB14" s="1445" cm="1">
        <f t="array" aca="1" ref="AB14" ca="1">CELL("protect",D14)</f>
        <v>0</v>
      </c>
      <c r="AC14" s="1445" cm="1">
        <f t="array" aca="1" ref="AC14" ca="1">CELL("protect",E14)</f>
        <v>0</v>
      </c>
      <c r="AD14" s="1445" cm="1">
        <f t="array" aca="1" ref="AD14" ca="1">CELL("protect",F14)</f>
        <v>0</v>
      </c>
      <c r="AE14" s="1445" cm="1">
        <f t="array" aca="1" ref="AE14" ca="1">CELL("protect",G14)</f>
        <v>0</v>
      </c>
      <c r="AF14" s="1445" cm="1">
        <f t="array" aca="1" ref="AF14" ca="1">CELL("protect",H14)</f>
        <v>0</v>
      </c>
      <c r="AG14" s="1445" cm="1">
        <f t="array" aca="1" ref="AG14" ca="1">CELL("protect",I14)</f>
        <v>0</v>
      </c>
      <c r="AH14" s="1445" cm="1">
        <f t="array" aca="1" ref="AH14" ca="1">CELL("protect",J14)</f>
        <v>0</v>
      </c>
      <c r="AI14" s="1445" cm="1">
        <f t="array" aca="1" ref="AI14" ca="1">CELL("protect",K14)</f>
        <v>0</v>
      </c>
      <c r="AJ14" s="1445" cm="1">
        <f t="array" aca="1" ref="AJ14" ca="1">CELL("protect",L14)</f>
        <v>0</v>
      </c>
      <c r="AK14" s="1445"/>
      <c r="AL14" s="1445"/>
      <c r="AM14" s="1445"/>
    </row>
    <row r="15" spans="1:39">
      <c r="A15" s="108">
        <f>ROW()</f>
        <v>15</v>
      </c>
      <c r="B15" s="404" t="s">
        <v>755</v>
      </c>
      <c r="C15" s="405">
        <v>1000000</v>
      </c>
      <c r="D15" s="217">
        <v>0</v>
      </c>
      <c r="E15" s="1176">
        <f t="shared" si="0"/>
        <v>0</v>
      </c>
      <c r="F15" s="737">
        <v>0</v>
      </c>
      <c r="G15" s="703">
        <v>0</v>
      </c>
      <c r="H15" s="393">
        <v>0</v>
      </c>
      <c r="I15" s="393">
        <v>0</v>
      </c>
      <c r="J15" s="393">
        <v>0</v>
      </c>
      <c r="K15" s="393">
        <v>0</v>
      </c>
      <c r="L15" s="393">
        <v>0</v>
      </c>
      <c r="N15" s="287"/>
      <c r="Y15" s="1445" cm="1">
        <f t="array" aca="1" ref="Y15" ca="1">CELL("protect",A15)</f>
        <v>1</v>
      </c>
      <c r="Z15" s="1445" cm="1">
        <f t="array" aca="1" ref="Z15" ca="1">CELL("protect",B15)</f>
        <v>1</v>
      </c>
      <c r="AA15" s="1445" cm="1">
        <f t="array" aca="1" ref="AA15" ca="1">CELL("protect",C15)</f>
        <v>1</v>
      </c>
      <c r="AB15" s="1445" cm="1">
        <f t="array" aca="1" ref="AB15" ca="1">CELL("protect",D15)</f>
        <v>0</v>
      </c>
      <c r="AC15" s="1445" cm="1">
        <f t="array" aca="1" ref="AC15" ca="1">CELL("protect",E15)</f>
        <v>0</v>
      </c>
      <c r="AD15" s="1445" cm="1">
        <f t="array" aca="1" ref="AD15" ca="1">CELL("protect",F15)</f>
        <v>0</v>
      </c>
      <c r="AE15" s="1445" cm="1">
        <f t="array" aca="1" ref="AE15" ca="1">CELL("protect",G15)</f>
        <v>0</v>
      </c>
      <c r="AF15" s="1445" cm="1">
        <f t="array" aca="1" ref="AF15" ca="1">CELL("protect",H15)</f>
        <v>0</v>
      </c>
      <c r="AG15" s="1445" cm="1">
        <f t="array" aca="1" ref="AG15" ca="1">CELL("protect",I15)</f>
        <v>0</v>
      </c>
      <c r="AH15" s="1445" cm="1">
        <f t="array" aca="1" ref="AH15" ca="1">CELL("protect",J15)</f>
        <v>0</v>
      </c>
      <c r="AI15" s="1445" cm="1">
        <f t="array" aca="1" ref="AI15" ca="1">CELL("protect",K15)</f>
        <v>0</v>
      </c>
      <c r="AJ15" s="1445" cm="1">
        <f t="array" aca="1" ref="AJ15" ca="1">CELL("protect",L15)</f>
        <v>0</v>
      </c>
      <c r="AK15" s="1445"/>
      <c r="AL15" s="1445"/>
      <c r="AM15" s="1445"/>
    </row>
    <row r="16" spans="1:39">
      <c r="A16" s="108">
        <f>ROW()</f>
        <v>16</v>
      </c>
      <c r="B16" s="404" t="s">
        <v>756</v>
      </c>
      <c r="C16" s="405">
        <v>1000000</v>
      </c>
      <c r="D16" s="217">
        <v>0</v>
      </c>
      <c r="E16" s="1176">
        <f t="shared" si="0"/>
        <v>6000</v>
      </c>
      <c r="F16" s="737">
        <v>0</v>
      </c>
      <c r="G16" s="703">
        <v>1000</v>
      </c>
      <c r="H16" s="393">
        <v>1000</v>
      </c>
      <c r="I16" s="393">
        <v>1000</v>
      </c>
      <c r="J16" s="393">
        <v>1000</v>
      </c>
      <c r="K16" s="393">
        <v>1000</v>
      </c>
      <c r="L16" s="393">
        <v>1000</v>
      </c>
      <c r="N16" s="287"/>
      <c r="Y16" s="1445" cm="1">
        <f t="array" aca="1" ref="Y16" ca="1">CELL("protect",A16)</f>
        <v>1</v>
      </c>
      <c r="Z16" s="1445" cm="1">
        <f t="array" aca="1" ref="Z16" ca="1">CELL("protect",B16)</f>
        <v>1</v>
      </c>
      <c r="AA16" s="1445" cm="1">
        <f t="array" aca="1" ref="AA16" ca="1">CELL("protect",C16)</f>
        <v>1</v>
      </c>
      <c r="AB16" s="1445" cm="1">
        <f t="array" aca="1" ref="AB16" ca="1">CELL("protect",D16)</f>
        <v>0</v>
      </c>
      <c r="AC16" s="1445" cm="1">
        <f t="array" aca="1" ref="AC16" ca="1">CELL("protect",E16)</f>
        <v>0</v>
      </c>
      <c r="AD16" s="1445" cm="1">
        <f t="array" aca="1" ref="AD16" ca="1">CELL("protect",F16)</f>
        <v>0</v>
      </c>
      <c r="AE16" s="1445" cm="1">
        <f t="array" aca="1" ref="AE16" ca="1">CELL("protect",G16)</f>
        <v>0</v>
      </c>
      <c r="AF16" s="1445" cm="1">
        <f t="array" aca="1" ref="AF16" ca="1">CELL("protect",H16)</f>
        <v>0</v>
      </c>
      <c r="AG16" s="1445" cm="1">
        <f t="array" aca="1" ref="AG16" ca="1">CELL("protect",I16)</f>
        <v>0</v>
      </c>
      <c r="AH16" s="1445" cm="1">
        <f t="array" aca="1" ref="AH16" ca="1">CELL("protect",J16)</f>
        <v>0</v>
      </c>
      <c r="AI16" s="1445" cm="1">
        <f t="array" aca="1" ref="AI16" ca="1">CELL("protect",K16)</f>
        <v>0</v>
      </c>
      <c r="AJ16" s="1445" cm="1">
        <f t="array" aca="1" ref="AJ16" ca="1">CELL("protect",L16)</f>
        <v>0</v>
      </c>
      <c r="AK16" s="1445"/>
      <c r="AL16" s="1445"/>
      <c r="AM16" s="1445"/>
    </row>
    <row r="17" spans="1:39">
      <c r="A17" s="108">
        <f>ROW()</f>
        <v>17</v>
      </c>
      <c r="B17" s="406" t="s">
        <v>757</v>
      </c>
      <c r="C17" s="405">
        <v>1000000</v>
      </c>
      <c r="D17" s="217">
        <v>0</v>
      </c>
      <c r="E17" s="1176">
        <f t="shared" si="0"/>
        <v>0</v>
      </c>
      <c r="F17" s="737">
        <v>0</v>
      </c>
      <c r="G17" s="703">
        <v>0</v>
      </c>
      <c r="H17" s="393">
        <v>0</v>
      </c>
      <c r="I17" s="393">
        <v>0</v>
      </c>
      <c r="J17" s="393">
        <v>0</v>
      </c>
      <c r="K17" s="393">
        <v>0</v>
      </c>
      <c r="L17" s="393">
        <v>0</v>
      </c>
      <c r="N17" s="287"/>
      <c r="Y17" s="1445" cm="1">
        <f t="array" aca="1" ref="Y17" ca="1">CELL("protect",A17)</f>
        <v>1</v>
      </c>
      <c r="Z17" s="1445" cm="1">
        <f t="array" aca="1" ref="Z17" ca="1">CELL("protect",B17)</f>
        <v>1</v>
      </c>
      <c r="AA17" s="1445" cm="1">
        <f t="array" aca="1" ref="AA17" ca="1">CELL("protect",C17)</f>
        <v>1</v>
      </c>
      <c r="AB17" s="1445" cm="1">
        <f t="array" aca="1" ref="AB17" ca="1">CELL("protect",D17)</f>
        <v>0</v>
      </c>
      <c r="AC17" s="1445" cm="1">
        <f t="array" aca="1" ref="AC17" ca="1">CELL("protect",E17)</f>
        <v>0</v>
      </c>
      <c r="AD17" s="1445" cm="1">
        <f t="array" aca="1" ref="AD17" ca="1">CELL("protect",F17)</f>
        <v>0</v>
      </c>
      <c r="AE17" s="1445" cm="1">
        <f t="array" aca="1" ref="AE17" ca="1">CELL("protect",G17)</f>
        <v>0</v>
      </c>
      <c r="AF17" s="1445" cm="1">
        <f t="array" aca="1" ref="AF17" ca="1">CELL("protect",H17)</f>
        <v>0</v>
      </c>
      <c r="AG17" s="1445" cm="1">
        <f t="array" aca="1" ref="AG17" ca="1">CELL("protect",I17)</f>
        <v>0</v>
      </c>
      <c r="AH17" s="1445" cm="1">
        <f t="array" aca="1" ref="AH17" ca="1">CELL("protect",J17)</f>
        <v>0</v>
      </c>
      <c r="AI17" s="1445" cm="1">
        <f t="array" aca="1" ref="AI17" ca="1">CELL("protect",K17)</f>
        <v>0</v>
      </c>
      <c r="AJ17" s="1445" cm="1">
        <f t="array" aca="1" ref="AJ17" ca="1">CELL("protect",L17)</f>
        <v>0</v>
      </c>
      <c r="AK17" s="1445"/>
      <c r="AL17" s="1445"/>
      <c r="AM17" s="1445"/>
    </row>
    <row r="18" spans="1:39" ht="30" customHeight="1">
      <c r="A18" s="724">
        <f>ROW()</f>
        <v>18</v>
      </c>
      <c r="B18" s="402" t="s">
        <v>758</v>
      </c>
      <c r="C18" s="405">
        <v>1000000</v>
      </c>
      <c r="D18" s="217">
        <v>0</v>
      </c>
      <c r="E18" s="1176">
        <f t="shared" si="0"/>
        <v>0</v>
      </c>
      <c r="F18" s="737">
        <v>0</v>
      </c>
      <c r="G18" s="703">
        <v>0</v>
      </c>
      <c r="H18" s="393">
        <v>0</v>
      </c>
      <c r="I18" s="393">
        <v>0</v>
      </c>
      <c r="J18" s="393">
        <v>0</v>
      </c>
      <c r="K18" s="393">
        <v>0</v>
      </c>
      <c r="L18" s="393">
        <v>0</v>
      </c>
      <c r="N18" s="287"/>
      <c r="Y18" s="1445" cm="1">
        <f t="array" aca="1" ref="Y18" ca="1">CELL("protect",A18)</f>
        <v>1</v>
      </c>
      <c r="Z18" s="1445" cm="1">
        <f t="array" aca="1" ref="Z18" ca="1">CELL("protect",B18)</f>
        <v>1</v>
      </c>
      <c r="AA18" s="1445" cm="1">
        <f t="array" aca="1" ref="AA18" ca="1">CELL("protect",C18)</f>
        <v>1</v>
      </c>
      <c r="AB18" s="1445" cm="1">
        <f t="array" aca="1" ref="AB18" ca="1">CELL("protect",D18)</f>
        <v>0</v>
      </c>
      <c r="AC18" s="1445" cm="1">
        <f t="array" aca="1" ref="AC18" ca="1">CELL("protect",E18)</f>
        <v>0</v>
      </c>
      <c r="AD18" s="1445" cm="1">
        <f t="array" aca="1" ref="AD18" ca="1">CELL("protect",F18)</f>
        <v>0</v>
      </c>
      <c r="AE18" s="1445" cm="1">
        <f t="array" aca="1" ref="AE18" ca="1">CELL("protect",G18)</f>
        <v>0</v>
      </c>
      <c r="AF18" s="1445" cm="1">
        <f t="array" aca="1" ref="AF18" ca="1">CELL("protect",H18)</f>
        <v>0</v>
      </c>
      <c r="AG18" s="1445" cm="1">
        <f t="array" aca="1" ref="AG18" ca="1">CELL("protect",I18)</f>
        <v>0</v>
      </c>
      <c r="AH18" s="1445" cm="1">
        <f t="array" aca="1" ref="AH18" ca="1">CELL("protect",J18)</f>
        <v>0</v>
      </c>
      <c r="AI18" s="1445" cm="1">
        <f t="array" aca="1" ref="AI18" ca="1">CELL("protect",K18)</f>
        <v>0</v>
      </c>
      <c r="AJ18" s="1445" cm="1">
        <f t="array" aca="1" ref="AJ18" ca="1">CELL("protect",L18)</f>
        <v>0</v>
      </c>
      <c r="AK18" s="1445"/>
      <c r="AL18" s="1445"/>
      <c r="AM18" s="1445"/>
    </row>
    <row r="19" spans="1:39">
      <c r="A19" s="108">
        <f>ROW()</f>
        <v>19</v>
      </c>
      <c r="B19" s="404" t="s">
        <v>759</v>
      </c>
      <c r="C19" s="405">
        <v>1000000</v>
      </c>
      <c r="D19" s="217">
        <v>0</v>
      </c>
      <c r="E19" s="1176">
        <f t="shared" si="0"/>
        <v>9000</v>
      </c>
      <c r="F19" s="737">
        <v>0</v>
      </c>
      <c r="G19" s="703">
        <v>1500</v>
      </c>
      <c r="H19" s="393">
        <v>1500</v>
      </c>
      <c r="I19" s="393">
        <v>1500</v>
      </c>
      <c r="J19" s="393">
        <v>1500</v>
      </c>
      <c r="K19" s="393">
        <v>1500</v>
      </c>
      <c r="L19" s="393">
        <v>1500</v>
      </c>
      <c r="N19" s="287"/>
      <c r="Y19" s="1445" cm="1">
        <f t="array" aca="1" ref="Y19" ca="1">CELL("protect",A19)</f>
        <v>1</v>
      </c>
      <c r="Z19" s="1445" cm="1">
        <f t="array" aca="1" ref="Z19" ca="1">CELL("protect",B19)</f>
        <v>1</v>
      </c>
      <c r="AA19" s="1445" cm="1">
        <f t="array" aca="1" ref="AA19" ca="1">CELL("protect",C19)</f>
        <v>1</v>
      </c>
      <c r="AB19" s="1445" cm="1">
        <f t="array" aca="1" ref="AB19" ca="1">CELL("protect",D19)</f>
        <v>0</v>
      </c>
      <c r="AC19" s="1445" cm="1">
        <f t="array" aca="1" ref="AC19" ca="1">CELL("protect",E19)</f>
        <v>0</v>
      </c>
      <c r="AD19" s="1445" cm="1">
        <f t="array" aca="1" ref="AD19" ca="1">CELL("protect",F19)</f>
        <v>0</v>
      </c>
      <c r="AE19" s="1445" cm="1">
        <f t="array" aca="1" ref="AE19" ca="1">CELL("protect",G19)</f>
        <v>0</v>
      </c>
      <c r="AF19" s="1445" cm="1">
        <f t="array" aca="1" ref="AF19" ca="1">CELL("protect",H19)</f>
        <v>0</v>
      </c>
      <c r="AG19" s="1445" cm="1">
        <f t="array" aca="1" ref="AG19" ca="1">CELL("protect",I19)</f>
        <v>0</v>
      </c>
      <c r="AH19" s="1445" cm="1">
        <f t="array" aca="1" ref="AH19" ca="1">CELL("protect",J19)</f>
        <v>0</v>
      </c>
      <c r="AI19" s="1445" cm="1">
        <f t="array" aca="1" ref="AI19" ca="1">CELL("protect",K19)</f>
        <v>0</v>
      </c>
      <c r="AJ19" s="1445" cm="1">
        <f t="array" aca="1" ref="AJ19" ca="1">CELL("protect",L19)</f>
        <v>0</v>
      </c>
      <c r="AK19" s="1445"/>
      <c r="AL19" s="1445"/>
      <c r="AM19" s="1445"/>
    </row>
    <row r="20" spans="1:39">
      <c r="A20" s="108">
        <f>ROW()</f>
        <v>20</v>
      </c>
      <c r="B20" s="404" t="s">
        <v>760</v>
      </c>
      <c r="C20" s="405">
        <v>1000000</v>
      </c>
      <c r="D20" s="217">
        <v>0</v>
      </c>
      <c r="E20" s="1176">
        <f t="shared" si="0"/>
        <v>0</v>
      </c>
      <c r="F20" s="737">
        <v>0</v>
      </c>
      <c r="G20" s="703">
        <v>0</v>
      </c>
      <c r="H20" s="393">
        <v>0</v>
      </c>
      <c r="I20" s="393">
        <v>0</v>
      </c>
      <c r="J20" s="393">
        <v>0</v>
      </c>
      <c r="K20" s="393">
        <v>0</v>
      </c>
      <c r="L20" s="393">
        <v>0</v>
      </c>
      <c r="N20" s="287"/>
      <c r="Y20" s="1445" cm="1">
        <f t="array" aca="1" ref="Y20" ca="1">CELL("protect",A20)</f>
        <v>1</v>
      </c>
      <c r="Z20" s="1445" cm="1">
        <f t="array" aca="1" ref="Z20" ca="1">CELL("protect",B20)</f>
        <v>1</v>
      </c>
      <c r="AA20" s="1445" cm="1">
        <f t="array" aca="1" ref="AA20" ca="1">CELL("protect",C20)</f>
        <v>1</v>
      </c>
      <c r="AB20" s="1445" cm="1">
        <f t="array" aca="1" ref="AB20" ca="1">CELL("protect",D20)</f>
        <v>0</v>
      </c>
      <c r="AC20" s="1445" cm="1">
        <f t="array" aca="1" ref="AC20" ca="1">CELL("protect",E20)</f>
        <v>0</v>
      </c>
      <c r="AD20" s="1445" cm="1">
        <f t="array" aca="1" ref="AD20" ca="1">CELL("protect",F20)</f>
        <v>0</v>
      </c>
      <c r="AE20" s="1445" cm="1">
        <f t="array" aca="1" ref="AE20" ca="1">CELL("protect",G20)</f>
        <v>0</v>
      </c>
      <c r="AF20" s="1445" cm="1">
        <f t="array" aca="1" ref="AF20" ca="1">CELL("protect",H20)</f>
        <v>0</v>
      </c>
      <c r="AG20" s="1445" cm="1">
        <f t="array" aca="1" ref="AG20" ca="1">CELL("protect",I20)</f>
        <v>0</v>
      </c>
      <c r="AH20" s="1445" cm="1">
        <f t="array" aca="1" ref="AH20" ca="1">CELL("protect",J20)</f>
        <v>0</v>
      </c>
      <c r="AI20" s="1445" cm="1">
        <f t="array" aca="1" ref="AI20" ca="1">CELL("protect",K20)</f>
        <v>0</v>
      </c>
      <c r="AJ20" s="1445" cm="1">
        <f t="array" aca="1" ref="AJ20" ca="1">CELL("protect",L20)</f>
        <v>0</v>
      </c>
      <c r="AK20" s="1445"/>
      <c r="AL20" s="1445"/>
      <c r="AM20" s="1445"/>
    </row>
    <row r="21" spans="1:39">
      <c r="A21" s="108">
        <f>ROW()</f>
        <v>21</v>
      </c>
      <c r="B21" s="341"/>
      <c r="C21" s="336"/>
      <c r="D21" s="336"/>
      <c r="E21" s="1176"/>
      <c r="F21" s="738"/>
      <c r="G21" s="704"/>
      <c r="H21" s="456"/>
      <c r="I21" s="456"/>
      <c r="J21" s="456"/>
      <c r="K21" s="456"/>
      <c r="L21" s="456"/>
      <c r="N21" s="287"/>
      <c r="Y21" s="1445" cm="1">
        <f t="array" aca="1" ref="Y21" ca="1">CELL("protect",A21)</f>
        <v>1</v>
      </c>
      <c r="Z21" s="1445" cm="1">
        <f t="array" aca="1" ref="Z21" ca="1">CELL("protect",B21)</f>
        <v>0</v>
      </c>
      <c r="AA21" s="1445" cm="1">
        <f t="array" aca="1" ref="AA21" ca="1">CELL("protect",C21)</f>
        <v>0</v>
      </c>
      <c r="AB21" s="1445" cm="1">
        <f t="array" aca="1" ref="AB21" ca="1">CELL("protect",D21)</f>
        <v>0</v>
      </c>
      <c r="AC21" s="1445" cm="1">
        <f t="array" aca="1" ref="AC21" ca="1">CELL("protect",E21)</f>
        <v>0</v>
      </c>
      <c r="AD21" s="1445" cm="1">
        <f t="array" aca="1" ref="AD21" ca="1">CELL("protect",F21)</f>
        <v>0</v>
      </c>
      <c r="AE21" s="1445" cm="1">
        <f t="array" aca="1" ref="AE21" ca="1">CELL("protect",G21)</f>
        <v>0</v>
      </c>
      <c r="AF21" s="1445" cm="1">
        <f t="array" aca="1" ref="AF21" ca="1">CELL("protect",H21)</f>
        <v>0</v>
      </c>
      <c r="AG21" s="1445" cm="1">
        <f t="array" aca="1" ref="AG21" ca="1">CELL("protect",I21)</f>
        <v>0</v>
      </c>
      <c r="AH21" s="1445" cm="1">
        <f t="array" aca="1" ref="AH21" ca="1">CELL("protect",J21)</f>
        <v>0</v>
      </c>
      <c r="AI21" s="1445" cm="1">
        <f t="array" aca="1" ref="AI21" ca="1">CELL("protect",K21)</f>
        <v>0</v>
      </c>
      <c r="AJ21" s="1445" cm="1">
        <f t="array" aca="1" ref="AJ21" ca="1">CELL("protect",L21)</f>
        <v>0</v>
      </c>
      <c r="AK21" s="1445"/>
      <c r="AL21" s="1445"/>
      <c r="AM21" s="1445"/>
    </row>
    <row r="22" spans="1:39">
      <c r="A22" s="108">
        <f>ROW()</f>
        <v>22</v>
      </c>
      <c r="B22" s="399" t="s">
        <v>761</v>
      </c>
      <c r="C22" s="734"/>
      <c r="D22" s="734"/>
      <c r="E22" s="1178"/>
      <c r="F22" s="739"/>
      <c r="G22" s="715"/>
      <c r="H22" s="716"/>
      <c r="I22" s="716"/>
      <c r="J22" s="716"/>
      <c r="K22" s="716"/>
      <c r="L22" s="716"/>
      <c r="N22" s="287"/>
      <c r="Y22" s="1445"/>
      <c r="Z22" s="1445"/>
      <c r="AA22" s="1445"/>
      <c r="AB22" s="1445"/>
      <c r="AC22" s="1445"/>
      <c r="AD22" s="1445"/>
      <c r="AE22" s="1445"/>
      <c r="AF22" s="1445"/>
      <c r="AG22" s="1445"/>
      <c r="AH22" s="1445"/>
      <c r="AI22" s="1445"/>
      <c r="AJ22" s="1445"/>
      <c r="AK22" s="1445"/>
      <c r="AL22" s="1445"/>
      <c r="AM22" s="1445"/>
    </row>
    <row r="23" spans="1:39">
      <c r="A23" s="108">
        <f>ROW()</f>
        <v>23</v>
      </c>
      <c r="B23" s="735" t="s">
        <v>762</v>
      </c>
      <c r="C23" s="405" t="s">
        <v>763</v>
      </c>
      <c r="D23" s="217">
        <v>0</v>
      </c>
      <c r="E23" s="1179">
        <f t="shared" ref="E23" si="1">SUM(F23:L23)</f>
        <v>0</v>
      </c>
      <c r="F23" s="737">
        <v>0</v>
      </c>
      <c r="G23" s="703">
        <v>0</v>
      </c>
      <c r="H23" s="393">
        <v>0</v>
      </c>
      <c r="I23" s="393">
        <v>0</v>
      </c>
      <c r="J23" s="393">
        <v>0</v>
      </c>
      <c r="K23" s="393">
        <v>0</v>
      </c>
      <c r="L23" s="393">
        <v>0</v>
      </c>
      <c r="N23" s="287"/>
      <c r="Y23" s="1445"/>
      <c r="Z23" s="1445"/>
      <c r="AA23" s="1445"/>
      <c r="AB23" s="1445"/>
      <c r="AC23" s="1445"/>
      <c r="AD23" s="1445"/>
      <c r="AE23" s="1445"/>
      <c r="AF23" s="1445"/>
      <c r="AG23" s="1445"/>
      <c r="AH23" s="1445"/>
      <c r="AI23" s="1445"/>
      <c r="AJ23" s="1445"/>
      <c r="AK23" s="1445"/>
      <c r="AL23" s="1445"/>
      <c r="AM23" s="1445"/>
    </row>
    <row r="24" spans="1:39">
      <c r="A24" s="108">
        <f>ROW()</f>
        <v>24</v>
      </c>
      <c r="B24" s="735" t="s">
        <v>764</v>
      </c>
      <c r="C24" s="734"/>
      <c r="D24" s="734"/>
      <c r="E24" s="701"/>
      <c r="F24" s="739"/>
      <c r="G24" s="715"/>
      <c r="H24" s="716"/>
      <c r="I24" s="716"/>
      <c r="J24" s="716"/>
      <c r="K24" s="716"/>
      <c r="L24" s="716"/>
      <c r="N24" s="287"/>
      <c r="Y24" s="1445"/>
      <c r="Z24" s="1445"/>
      <c r="AA24" s="1445"/>
      <c r="AB24" s="1445"/>
      <c r="AC24" s="1445"/>
      <c r="AD24" s="1445"/>
      <c r="AE24" s="1445"/>
      <c r="AF24" s="1445"/>
      <c r="AG24" s="1445"/>
      <c r="AH24" s="1445"/>
      <c r="AI24" s="1445"/>
      <c r="AJ24" s="1445"/>
      <c r="AK24" s="1445"/>
      <c r="AL24" s="1445"/>
      <c r="AM24" s="1445"/>
    </row>
    <row r="25" spans="1:39">
      <c r="A25" s="108">
        <f>ROW()</f>
        <v>25</v>
      </c>
      <c r="B25" s="733"/>
      <c r="C25" s="734"/>
      <c r="D25" s="734"/>
      <c r="E25" s="701"/>
      <c r="F25" s="739"/>
      <c r="G25" s="715"/>
      <c r="H25" s="716"/>
      <c r="I25" s="716"/>
      <c r="J25" s="716"/>
      <c r="K25" s="716"/>
      <c r="L25" s="716"/>
      <c r="N25" s="287"/>
      <c r="Y25" s="1445"/>
      <c r="Z25" s="1445"/>
      <c r="AA25" s="1445"/>
      <c r="AB25" s="1445"/>
      <c r="AC25" s="1445"/>
      <c r="AD25" s="1445"/>
      <c r="AE25" s="1445"/>
      <c r="AF25" s="1445"/>
      <c r="AG25" s="1445"/>
      <c r="AH25" s="1445"/>
      <c r="AI25" s="1445"/>
      <c r="AJ25" s="1445"/>
      <c r="AK25" s="1445"/>
      <c r="AL25" s="1445"/>
      <c r="AM25" s="1445"/>
    </row>
    <row r="26" spans="1:39">
      <c r="A26" s="108">
        <f>ROW()</f>
        <v>26</v>
      </c>
      <c r="B26" s="337" t="s">
        <v>1303</v>
      </c>
      <c r="C26" s="333"/>
      <c r="D26" s="333"/>
      <c r="E26" s="701"/>
      <c r="F26" s="739"/>
      <c r="G26" s="715"/>
      <c r="H26" s="716"/>
      <c r="I26" s="716"/>
      <c r="J26" s="716"/>
      <c r="K26" s="716"/>
      <c r="L26" s="716"/>
      <c r="N26" s="287"/>
      <c r="Y26" s="1445" cm="1">
        <f t="array" aca="1" ref="Y26" ca="1">CELL("protect",A26)</f>
        <v>1</v>
      </c>
      <c r="Z26" s="1445" cm="1">
        <f t="array" aca="1" ref="Z26" ca="1">CELL("protect",B26)</f>
        <v>0</v>
      </c>
      <c r="AA26" s="1445" cm="1">
        <f t="array" aca="1" ref="AA26" ca="1">CELL("protect",C26)</f>
        <v>0</v>
      </c>
      <c r="AB26" s="1445" cm="1">
        <f t="array" aca="1" ref="AB26" ca="1">CELL("protect",D26)</f>
        <v>0</v>
      </c>
      <c r="AC26" s="1445" cm="1">
        <f t="array" aca="1" ref="AC26" ca="1">CELL("protect",E26)</f>
        <v>1</v>
      </c>
      <c r="AD26" s="1445" cm="1">
        <f t="array" aca="1" ref="AD26" ca="1">CELL("protect",F26)</f>
        <v>0</v>
      </c>
      <c r="AE26" s="1445" cm="1">
        <f t="array" aca="1" ref="AE26" ca="1">CELL("protect",G26)</f>
        <v>0</v>
      </c>
      <c r="AF26" s="1445" cm="1">
        <f t="array" aca="1" ref="AF26" ca="1">CELL("protect",H26)</f>
        <v>0</v>
      </c>
      <c r="AG26" s="1445" cm="1">
        <f t="array" aca="1" ref="AG26" ca="1">CELL("protect",I26)</f>
        <v>0</v>
      </c>
      <c r="AH26" s="1445" cm="1">
        <f t="array" aca="1" ref="AH26" ca="1">CELL("protect",J26)</f>
        <v>0</v>
      </c>
      <c r="AI26" s="1445" cm="1">
        <f t="array" aca="1" ref="AI26" ca="1">CELL("protect",K26)</f>
        <v>0</v>
      </c>
      <c r="AJ26" s="1445" cm="1">
        <f t="array" aca="1" ref="AJ26" ca="1">CELL("protect",L26)</f>
        <v>0</v>
      </c>
      <c r="AK26" s="1445"/>
      <c r="AL26" s="1445"/>
      <c r="AM26" s="1445"/>
    </row>
    <row r="27" spans="1:39">
      <c r="A27" s="108">
        <f>ROW()</f>
        <v>27</v>
      </c>
      <c r="B27" s="213" t="s">
        <v>1402</v>
      </c>
      <c r="C27" s="332"/>
      <c r="D27" s="332"/>
      <c r="E27" s="1175">
        <f t="shared" si="0"/>
        <v>0</v>
      </c>
      <c r="F27" s="740">
        <v>0</v>
      </c>
      <c r="G27" s="717">
        <v>0</v>
      </c>
      <c r="H27" s="718">
        <v>0</v>
      </c>
      <c r="I27" s="718">
        <v>0</v>
      </c>
      <c r="J27" s="718">
        <v>0</v>
      </c>
      <c r="K27" s="718">
        <v>0</v>
      </c>
      <c r="L27" s="718">
        <v>0</v>
      </c>
      <c r="N27" s="287"/>
      <c r="Y27" s="1445" cm="1">
        <f t="array" aca="1" ref="Y27" ca="1">CELL("protect",A27)</f>
        <v>1</v>
      </c>
      <c r="Z27" s="1445" cm="1">
        <f t="array" aca="1" ref="Z27" ca="1">CELL("protect",B27)</f>
        <v>0</v>
      </c>
      <c r="AA27" s="1445" cm="1">
        <f t="array" aca="1" ref="AA27" ca="1">CELL("protect",C27)</f>
        <v>0</v>
      </c>
      <c r="AB27" s="1445" cm="1">
        <f t="array" aca="1" ref="AB27" ca="1">CELL("protect",D27)</f>
        <v>0</v>
      </c>
      <c r="AC27" s="1445" cm="1">
        <f t="array" aca="1" ref="AC27" ca="1">CELL("protect",E27)</f>
        <v>0</v>
      </c>
      <c r="AD27" s="1445" cm="1">
        <f t="array" aca="1" ref="AD27" ca="1">CELL("protect",F27)</f>
        <v>0</v>
      </c>
      <c r="AE27" s="1445" cm="1">
        <f t="array" aca="1" ref="AE27" ca="1">CELL("protect",G27)</f>
        <v>0</v>
      </c>
      <c r="AF27" s="1445" cm="1">
        <f t="array" aca="1" ref="AF27" ca="1">CELL("protect",H27)</f>
        <v>0</v>
      </c>
      <c r="AG27" s="1445" cm="1">
        <f t="array" aca="1" ref="AG27" ca="1">CELL("protect",I27)</f>
        <v>0</v>
      </c>
      <c r="AH27" s="1445" cm="1">
        <f t="array" aca="1" ref="AH27" ca="1">CELL("protect",J27)</f>
        <v>0</v>
      </c>
      <c r="AI27" s="1445" cm="1">
        <f t="array" aca="1" ref="AI27" ca="1">CELL("protect",K27)</f>
        <v>0</v>
      </c>
      <c r="AJ27" s="1445" cm="1">
        <f t="array" aca="1" ref="AJ27" ca="1">CELL("protect",L27)</f>
        <v>0</v>
      </c>
      <c r="AK27" s="1445"/>
      <c r="AL27" s="1445"/>
      <c r="AM27" s="1445"/>
    </row>
    <row r="28" spans="1:39">
      <c r="A28" s="108">
        <f>ROW()</f>
        <v>28</v>
      </c>
      <c r="B28" s="218" t="s">
        <v>1403</v>
      </c>
      <c r="C28" s="217">
        <v>0</v>
      </c>
      <c r="D28" s="217"/>
      <c r="E28" s="1176">
        <f t="shared" si="0"/>
        <v>0</v>
      </c>
      <c r="F28" s="737">
        <v>0</v>
      </c>
      <c r="G28" s="703">
        <v>0</v>
      </c>
      <c r="H28" s="393">
        <v>0</v>
      </c>
      <c r="I28" s="393">
        <v>0</v>
      </c>
      <c r="J28" s="393">
        <v>0</v>
      </c>
      <c r="K28" s="393">
        <v>0</v>
      </c>
      <c r="L28" s="393">
        <v>0</v>
      </c>
      <c r="N28" s="287"/>
      <c r="Y28" s="1445" cm="1">
        <f t="array" aca="1" ref="Y28" ca="1">CELL("protect",A28)</f>
        <v>1</v>
      </c>
      <c r="Z28" s="1445" cm="1">
        <f t="array" aca="1" ref="Z28" ca="1">CELL("protect",B28)</f>
        <v>0</v>
      </c>
      <c r="AA28" s="1445" cm="1">
        <f t="array" aca="1" ref="AA28" ca="1">CELL("protect",C28)</f>
        <v>0</v>
      </c>
      <c r="AB28" s="1445" cm="1">
        <f t="array" aca="1" ref="AB28" ca="1">CELL("protect",D28)</f>
        <v>0</v>
      </c>
      <c r="AC28" s="1445" cm="1">
        <f t="array" aca="1" ref="AC28" ca="1">CELL("protect",E28)</f>
        <v>0</v>
      </c>
      <c r="AD28" s="1445" cm="1">
        <f t="array" aca="1" ref="AD28" ca="1">CELL("protect",F28)</f>
        <v>0</v>
      </c>
      <c r="AE28" s="1445" cm="1">
        <f t="array" aca="1" ref="AE28" ca="1">CELL("protect",G28)</f>
        <v>0</v>
      </c>
      <c r="AF28" s="1445" cm="1">
        <f t="array" aca="1" ref="AF28" ca="1">CELL("protect",H28)</f>
        <v>0</v>
      </c>
      <c r="AG28" s="1445" cm="1">
        <f t="array" aca="1" ref="AG28" ca="1">CELL("protect",I28)</f>
        <v>0</v>
      </c>
      <c r="AH28" s="1445" cm="1">
        <f t="array" aca="1" ref="AH28" ca="1">CELL("protect",J28)</f>
        <v>0</v>
      </c>
      <c r="AI28" s="1445" cm="1">
        <f t="array" aca="1" ref="AI28" ca="1">CELL("protect",K28)</f>
        <v>0</v>
      </c>
      <c r="AJ28" s="1445" cm="1">
        <f t="array" aca="1" ref="AJ28" ca="1">CELL("protect",L28)</f>
        <v>0</v>
      </c>
      <c r="AK28" s="1445"/>
      <c r="AL28" s="1445"/>
      <c r="AM28" s="1445"/>
    </row>
    <row r="29" spans="1:39">
      <c r="A29" s="108">
        <f>ROW()</f>
        <v>29</v>
      </c>
      <c r="B29" s="1310" t="s">
        <v>1404</v>
      </c>
      <c r="C29" s="217">
        <v>0</v>
      </c>
      <c r="D29" s="217"/>
      <c r="E29" s="1176">
        <f t="shared" si="0"/>
        <v>18000</v>
      </c>
      <c r="F29" s="737">
        <v>0</v>
      </c>
      <c r="G29" s="703">
        <v>3000</v>
      </c>
      <c r="H29" s="393">
        <v>3000</v>
      </c>
      <c r="I29" s="393">
        <v>3000</v>
      </c>
      <c r="J29" s="393">
        <v>3000</v>
      </c>
      <c r="K29" s="393">
        <v>3000</v>
      </c>
      <c r="L29" s="393">
        <v>3000</v>
      </c>
      <c r="N29" s="287"/>
      <c r="Y29" s="1445" cm="1">
        <f t="array" aca="1" ref="Y29" ca="1">CELL("protect",A29)</f>
        <v>1</v>
      </c>
      <c r="Z29" s="1445" cm="1">
        <f t="array" aca="1" ref="Z29" ca="1">CELL("protect",B29)</f>
        <v>0</v>
      </c>
      <c r="AA29" s="1445" cm="1">
        <f t="array" aca="1" ref="AA29" ca="1">CELL("protect",C29)</f>
        <v>0</v>
      </c>
      <c r="AB29" s="1445" cm="1">
        <f t="array" aca="1" ref="AB29" ca="1">CELL("protect",D29)</f>
        <v>0</v>
      </c>
      <c r="AC29" s="1445" cm="1">
        <f t="array" aca="1" ref="AC29" ca="1">CELL("protect",E29)</f>
        <v>0</v>
      </c>
      <c r="AD29" s="1445" cm="1">
        <f t="array" aca="1" ref="AD29" ca="1">CELL("protect",F29)</f>
        <v>0</v>
      </c>
      <c r="AE29" s="1445" cm="1">
        <f t="array" aca="1" ref="AE29" ca="1">CELL("protect",G29)</f>
        <v>0</v>
      </c>
      <c r="AF29" s="1445" cm="1">
        <f t="array" aca="1" ref="AF29" ca="1">CELL("protect",H29)</f>
        <v>0</v>
      </c>
      <c r="AG29" s="1445" cm="1">
        <f t="array" aca="1" ref="AG29" ca="1">CELL("protect",I29)</f>
        <v>0</v>
      </c>
      <c r="AH29" s="1445" cm="1">
        <f t="array" aca="1" ref="AH29" ca="1">CELL("protect",J29)</f>
        <v>0</v>
      </c>
      <c r="AI29" s="1445" cm="1">
        <f t="array" aca="1" ref="AI29" ca="1">CELL("protect",K29)</f>
        <v>0</v>
      </c>
      <c r="AJ29" s="1445" cm="1">
        <f t="array" aca="1" ref="AJ29" ca="1">CELL("protect",L29)</f>
        <v>0</v>
      </c>
      <c r="AK29" s="1445"/>
      <c r="AL29" s="1445"/>
      <c r="AM29" s="1445"/>
    </row>
    <row r="30" spans="1:39">
      <c r="A30" s="108">
        <f>ROW()</f>
        <v>30</v>
      </c>
      <c r="B30" s="1310" t="s">
        <v>1405</v>
      </c>
      <c r="C30" s="217">
        <v>0</v>
      </c>
      <c r="D30" s="217"/>
      <c r="E30" s="1176">
        <f t="shared" si="0"/>
        <v>0</v>
      </c>
      <c r="F30" s="737">
        <v>0</v>
      </c>
      <c r="G30" s="703">
        <v>0</v>
      </c>
      <c r="H30" s="393">
        <v>0</v>
      </c>
      <c r="I30" s="393">
        <v>0</v>
      </c>
      <c r="J30" s="393">
        <v>0</v>
      </c>
      <c r="K30" s="393">
        <v>0</v>
      </c>
      <c r="L30" s="393">
        <v>0</v>
      </c>
      <c r="N30" s="287"/>
      <c r="Y30" s="1445" cm="1">
        <f t="array" aca="1" ref="Y30" ca="1">CELL("protect",A30)</f>
        <v>1</v>
      </c>
      <c r="Z30" s="1445" cm="1">
        <f t="array" aca="1" ref="Z30" ca="1">CELL("protect",B30)</f>
        <v>0</v>
      </c>
      <c r="AA30" s="1445" cm="1">
        <f t="array" aca="1" ref="AA30" ca="1">CELL("protect",C30)</f>
        <v>0</v>
      </c>
      <c r="AB30" s="1445" cm="1">
        <f t="array" aca="1" ref="AB30" ca="1">CELL("protect",D30)</f>
        <v>0</v>
      </c>
      <c r="AC30" s="1445" cm="1">
        <f t="array" aca="1" ref="AC30" ca="1">CELL("protect",E30)</f>
        <v>0</v>
      </c>
      <c r="AD30" s="1445" cm="1">
        <f t="array" aca="1" ref="AD30" ca="1">CELL("protect",F30)</f>
        <v>0</v>
      </c>
      <c r="AE30" s="1445" cm="1">
        <f t="array" aca="1" ref="AE30" ca="1">CELL("protect",G30)</f>
        <v>0</v>
      </c>
      <c r="AF30" s="1445" cm="1">
        <f t="array" aca="1" ref="AF30" ca="1">CELL("protect",H30)</f>
        <v>0</v>
      </c>
      <c r="AG30" s="1445" cm="1">
        <f t="array" aca="1" ref="AG30" ca="1">CELL("protect",I30)</f>
        <v>0</v>
      </c>
      <c r="AH30" s="1445" cm="1">
        <f t="array" aca="1" ref="AH30" ca="1">CELL("protect",J30)</f>
        <v>0</v>
      </c>
      <c r="AI30" s="1445" cm="1">
        <f t="array" aca="1" ref="AI30" ca="1">CELL("protect",K30)</f>
        <v>0</v>
      </c>
      <c r="AJ30" s="1445" cm="1">
        <f t="array" aca="1" ref="AJ30" ca="1">CELL("protect",L30)</f>
        <v>0</v>
      </c>
      <c r="AK30" s="1445"/>
      <c r="AL30" s="1445"/>
      <c r="AM30" s="1445"/>
    </row>
    <row r="31" spans="1:39">
      <c r="A31" s="108">
        <f>ROW()</f>
        <v>31</v>
      </c>
      <c r="B31" s="1310" t="s">
        <v>1406</v>
      </c>
      <c r="C31" s="217">
        <v>0</v>
      </c>
      <c r="D31" s="217"/>
      <c r="E31" s="1176">
        <f t="shared" si="0"/>
        <v>9000</v>
      </c>
      <c r="F31" s="737">
        <v>0</v>
      </c>
      <c r="G31" s="703">
        <v>1500</v>
      </c>
      <c r="H31" s="393">
        <v>1500</v>
      </c>
      <c r="I31" s="393">
        <v>1500</v>
      </c>
      <c r="J31" s="393">
        <v>1500</v>
      </c>
      <c r="K31" s="393">
        <v>1500</v>
      </c>
      <c r="L31" s="393">
        <v>1500</v>
      </c>
      <c r="N31" s="287"/>
      <c r="Y31" s="1445" cm="1">
        <f t="array" aca="1" ref="Y31" ca="1">CELL("protect",A31)</f>
        <v>1</v>
      </c>
      <c r="Z31" s="1445" cm="1">
        <f t="array" aca="1" ref="Z31" ca="1">CELL("protect",B31)</f>
        <v>0</v>
      </c>
      <c r="AA31" s="1445" cm="1">
        <f t="array" aca="1" ref="AA31" ca="1">CELL("protect",C31)</f>
        <v>0</v>
      </c>
      <c r="AB31" s="1445" cm="1">
        <f t="array" aca="1" ref="AB31" ca="1">CELL("protect",D31)</f>
        <v>0</v>
      </c>
      <c r="AC31" s="1445" cm="1">
        <f t="array" aca="1" ref="AC31" ca="1">CELL("protect",E31)</f>
        <v>0</v>
      </c>
      <c r="AD31" s="1445" cm="1">
        <f t="array" aca="1" ref="AD31" ca="1">CELL("protect",F31)</f>
        <v>0</v>
      </c>
      <c r="AE31" s="1445" cm="1">
        <f t="array" aca="1" ref="AE31" ca="1">CELL("protect",G31)</f>
        <v>0</v>
      </c>
      <c r="AF31" s="1445" cm="1">
        <f t="array" aca="1" ref="AF31" ca="1">CELL("protect",H31)</f>
        <v>0</v>
      </c>
      <c r="AG31" s="1445" cm="1">
        <f t="array" aca="1" ref="AG31" ca="1">CELL("protect",I31)</f>
        <v>0</v>
      </c>
      <c r="AH31" s="1445" cm="1">
        <f t="array" aca="1" ref="AH31" ca="1">CELL("protect",J31)</f>
        <v>0</v>
      </c>
      <c r="AI31" s="1445" cm="1">
        <f t="array" aca="1" ref="AI31" ca="1">CELL("protect",K31)</f>
        <v>0</v>
      </c>
      <c r="AJ31" s="1445" cm="1">
        <f t="array" aca="1" ref="AJ31" ca="1">CELL("protect",L31)</f>
        <v>0</v>
      </c>
      <c r="AK31" s="1445"/>
      <c r="AL31" s="1445"/>
      <c r="AM31" s="1445"/>
    </row>
    <row r="32" spans="1:39">
      <c r="A32" s="108">
        <f>ROW()</f>
        <v>32</v>
      </c>
      <c r="B32" s="1310" t="s">
        <v>1407</v>
      </c>
      <c r="C32" s="217">
        <v>0</v>
      </c>
      <c r="D32" s="217"/>
      <c r="E32" s="1176">
        <f t="shared" si="0"/>
        <v>0</v>
      </c>
      <c r="F32" s="737">
        <v>0</v>
      </c>
      <c r="G32" s="703">
        <v>0</v>
      </c>
      <c r="H32" s="393">
        <v>0</v>
      </c>
      <c r="I32" s="393">
        <v>0</v>
      </c>
      <c r="J32" s="393">
        <v>0</v>
      </c>
      <c r="K32" s="393">
        <v>0</v>
      </c>
      <c r="L32" s="393">
        <v>0</v>
      </c>
      <c r="N32" s="287"/>
      <c r="Y32" s="1445" cm="1">
        <f t="array" aca="1" ref="Y32" ca="1">CELL("protect",A32)</f>
        <v>1</v>
      </c>
      <c r="Z32" s="1445" cm="1">
        <f t="array" aca="1" ref="Z32" ca="1">CELL("protect",B32)</f>
        <v>0</v>
      </c>
      <c r="AA32" s="1445" cm="1">
        <f t="array" aca="1" ref="AA32" ca="1">CELL("protect",C32)</f>
        <v>0</v>
      </c>
      <c r="AB32" s="1445" cm="1">
        <f t="array" aca="1" ref="AB32" ca="1">CELL("protect",D32)</f>
        <v>0</v>
      </c>
      <c r="AC32" s="1445" cm="1">
        <f t="array" aca="1" ref="AC32" ca="1">CELL("protect",E32)</f>
        <v>0</v>
      </c>
      <c r="AD32" s="1445" cm="1">
        <f t="array" aca="1" ref="AD32" ca="1">CELL("protect",F32)</f>
        <v>0</v>
      </c>
      <c r="AE32" s="1445" cm="1">
        <f t="array" aca="1" ref="AE32" ca="1">CELL("protect",G32)</f>
        <v>0</v>
      </c>
      <c r="AF32" s="1445" cm="1">
        <f t="array" aca="1" ref="AF32" ca="1">CELL("protect",H32)</f>
        <v>0</v>
      </c>
      <c r="AG32" s="1445" cm="1">
        <f t="array" aca="1" ref="AG32" ca="1">CELL("protect",I32)</f>
        <v>0</v>
      </c>
      <c r="AH32" s="1445" cm="1">
        <f t="array" aca="1" ref="AH32" ca="1">CELL("protect",J32)</f>
        <v>0</v>
      </c>
      <c r="AI32" s="1445" cm="1">
        <f t="array" aca="1" ref="AI32" ca="1">CELL("protect",K32)</f>
        <v>0</v>
      </c>
      <c r="AJ32" s="1445" cm="1">
        <f t="array" aca="1" ref="AJ32" ca="1">CELL("protect",L32)</f>
        <v>0</v>
      </c>
      <c r="AK32" s="1445"/>
      <c r="AL32" s="1445"/>
      <c r="AM32" s="1445"/>
    </row>
    <row r="33" spans="1:39">
      <c r="A33" s="108">
        <f>ROW()</f>
        <v>33</v>
      </c>
      <c r="B33" s="1310" t="s">
        <v>1408</v>
      </c>
      <c r="C33" s="217">
        <v>0</v>
      </c>
      <c r="D33" s="217">
        <v>0</v>
      </c>
      <c r="E33" s="1176">
        <f t="shared" si="0"/>
        <v>0</v>
      </c>
      <c r="F33" s="737">
        <v>0</v>
      </c>
      <c r="G33" s="703">
        <v>0</v>
      </c>
      <c r="H33" s="393">
        <v>0</v>
      </c>
      <c r="I33" s="393">
        <v>0</v>
      </c>
      <c r="J33" s="393">
        <v>0</v>
      </c>
      <c r="K33" s="393">
        <v>0</v>
      </c>
      <c r="L33" s="393">
        <v>0</v>
      </c>
      <c r="N33" s="287"/>
      <c r="Y33" s="1445" cm="1">
        <f t="array" aca="1" ref="Y33" ca="1">CELL("protect",A33)</f>
        <v>1</v>
      </c>
      <c r="Z33" s="1445" cm="1">
        <f t="array" aca="1" ref="Z33" ca="1">CELL("protect",B33)</f>
        <v>0</v>
      </c>
      <c r="AA33" s="1445" cm="1">
        <f t="array" aca="1" ref="AA33" ca="1">CELL("protect",C33)</f>
        <v>0</v>
      </c>
      <c r="AB33" s="1445" cm="1">
        <f t="array" aca="1" ref="AB33" ca="1">CELL("protect",D33)</f>
        <v>0</v>
      </c>
      <c r="AC33" s="1445" cm="1">
        <f t="array" aca="1" ref="AC33" ca="1">CELL("protect",E33)</f>
        <v>0</v>
      </c>
      <c r="AD33" s="1445" cm="1">
        <f t="array" aca="1" ref="AD33" ca="1">CELL("protect",F33)</f>
        <v>0</v>
      </c>
      <c r="AE33" s="1445" cm="1">
        <f t="array" aca="1" ref="AE33" ca="1">CELL("protect",G33)</f>
        <v>0</v>
      </c>
      <c r="AF33" s="1445" cm="1">
        <f t="array" aca="1" ref="AF33" ca="1">CELL("protect",H33)</f>
        <v>0</v>
      </c>
      <c r="AG33" s="1445" cm="1">
        <f t="array" aca="1" ref="AG33" ca="1">CELL("protect",I33)</f>
        <v>0</v>
      </c>
      <c r="AH33" s="1445" cm="1">
        <f t="array" aca="1" ref="AH33" ca="1">CELL("protect",J33)</f>
        <v>0</v>
      </c>
      <c r="AI33" s="1445" cm="1">
        <f t="array" aca="1" ref="AI33" ca="1">CELL("protect",K33)</f>
        <v>0</v>
      </c>
      <c r="AJ33" s="1445" cm="1">
        <f t="array" aca="1" ref="AJ33" ca="1">CELL("protect",L33)</f>
        <v>0</v>
      </c>
      <c r="AK33" s="1445"/>
      <c r="AL33" s="1445"/>
      <c r="AM33" s="1445"/>
    </row>
    <row r="34" spans="1:39">
      <c r="A34" s="108">
        <f>ROW()</f>
        <v>34</v>
      </c>
      <c r="B34" s="1310" t="s">
        <v>1409</v>
      </c>
      <c r="C34" s="217">
        <v>0</v>
      </c>
      <c r="D34" s="217">
        <v>0</v>
      </c>
      <c r="E34" s="1176">
        <f t="shared" si="0"/>
        <v>0</v>
      </c>
      <c r="F34" s="737">
        <v>0</v>
      </c>
      <c r="G34" s="703">
        <v>0</v>
      </c>
      <c r="H34" s="393">
        <v>0</v>
      </c>
      <c r="I34" s="393">
        <v>0</v>
      </c>
      <c r="J34" s="393">
        <v>0</v>
      </c>
      <c r="K34" s="393">
        <v>0</v>
      </c>
      <c r="L34" s="393">
        <v>0</v>
      </c>
      <c r="N34" s="287"/>
      <c r="Y34" s="1445" cm="1">
        <f t="array" aca="1" ref="Y34" ca="1">CELL("protect",A34)</f>
        <v>1</v>
      </c>
      <c r="Z34" s="1445" cm="1">
        <f t="array" aca="1" ref="Z34" ca="1">CELL("protect",B34)</f>
        <v>0</v>
      </c>
      <c r="AA34" s="1445" cm="1">
        <f t="array" aca="1" ref="AA34" ca="1">CELL("protect",C34)</f>
        <v>0</v>
      </c>
      <c r="AB34" s="1445" cm="1">
        <f t="array" aca="1" ref="AB34" ca="1">CELL("protect",D34)</f>
        <v>0</v>
      </c>
      <c r="AC34" s="1445" cm="1">
        <f t="array" aca="1" ref="AC34" ca="1">CELL("protect",E34)</f>
        <v>0</v>
      </c>
      <c r="AD34" s="1445" cm="1">
        <f t="array" aca="1" ref="AD34" ca="1">CELL("protect",F34)</f>
        <v>0</v>
      </c>
      <c r="AE34" s="1445" cm="1">
        <f t="array" aca="1" ref="AE34" ca="1">CELL("protect",G34)</f>
        <v>0</v>
      </c>
      <c r="AF34" s="1445" cm="1">
        <f t="array" aca="1" ref="AF34" ca="1">CELL("protect",H34)</f>
        <v>0</v>
      </c>
      <c r="AG34" s="1445" cm="1">
        <f t="array" aca="1" ref="AG34" ca="1">CELL("protect",I34)</f>
        <v>0</v>
      </c>
      <c r="AH34" s="1445" cm="1">
        <f t="array" aca="1" ref="AH34" ca="1">CELL("protect",J34)</f>
        <v>0</v>
      </c>
      <c r="AI34" s="1445" cm="1">
        <f t="array" aca="1" ref="AI34" ca="1">CELL("protect",K34)</f>
        <v>0</v>
      </c>
      <c r="AJ34" s="1445" cm="1">
        <f t="array" aca="1" ref="AJ34" ca="1">CELL("protect",L34)</f>
        <v>0</v>
      </c>
      <c r="AK34" s="1445"/>
      <c r="AL34" s="1445"/>
      <c r="AM34" s="1445"/>
    </row>
    <row r="35" spans="1:39">
      <c r="A35" s="108">
        <f>ROW()</f>
        <v>35</v>
      </c>
      <c r="B35" s="1310" t="s">
        <v>1431</v>
      </c>
      <c r="C35" s="217">
        <v>0</v>
      </c>
      <c r="D35" s="217">
        <v>0</v>
      </c>
      <c r="E35" s="1176">
        <f t="shared" si="0"/>
        <v>12000</v>
      </c>
      <c r="F35" s="737">
        <v>0</v>
      </c>
      <c r="G35" s="703">
        <v>2000</v>
      </c>
      <c r="H35" s="393">
        <v>2000</v>
      </c>
      <c r="I35" s="393">
        <v>2000</v>
      </c>
      <c r="J35" s="393">
        <v>2000</v>
      </c>
      <c r="K35" s="393">
        <v>2000</v>
      </c>
      <c r="L35" s="393">
        <v>2000</v>
      </c>
      <c r="N35" s="287"/>
      <c r="Y35" s="1445" cm="1">
        <f t="array" aca="1" ref="Y35" ca="1">CELL("protect",A35)</f>
        <v>1</v>
      </c>
      <c r="Z35" s="1445" cm="1">
        <f t="array" aca="1" ref="Z35" ca="1">CELL("protect",B35)</f>
        <v>0</v>
      </c>
      <c r="AA35" s="1445" cm="1">
        <f t="array" aca="1" ref="AA35" ca="1">CELL("protect",C35)</f>
        <v>0</v>
      </c>
      <c r="AB35" s="1445" cm="1">
        <f t="array" aca="1" ref="AB35" ca="1">CELL("protect",D35)</f>
        <v>0</v>
      </c>
      <c r="AC35" s="1445" cm="1">
        <f t="array" aca="1" ref="AC35" ca="1">CELL("protect",E35)</f>
        <v>0</v>
      </c>
      <c r="AD35" s="1445" cm="1">
        <f t="array" aca="1" ref="AD35" ca="1">CELL("protect",F35)</f>
        <v>0</v>
      </c>
      <c r="AE35" s="1445" cm="1">
        <f t="array" aca="1" ref="AE35" ca="1">CELL("protect",G35)</f>
        <v>0</v>
      </c>
      <c r="AF35" s="1445" cm="1">
        <f t="array" aca="1" ref="AF35" ca="1">CELL("protect",H35)</f>
        <v>0</v>
      </c>
      <c r="AG35" s="1445" cm="1">
        <f t="array" aca="1" ref="AG35" ca="1">CELL("protect",I35)</f>
        <v>0</v>
      </c>
      <c r="AH35" s="1445" cm="1">
        <f t="array" aca="1" ref="AH35" ca="1">CELL("protect",J35)</f>
        <v>0</v>
      </c>
      <c r="AI35" s="1445" cm="1">
        <f t="array" aca="1" ref="AI35" ca="1">CELL("protect",K35)</f>
        <v>0</v>
      </c>
      <c r="AJ35" s="1445" cm="1">
        <f t="array" aca="1" ref="AJ35" ca="1">CELL("protect",L35)</f>
        <v>0</v>
      </c>
      <c r="AK35" s="1445"/>
      <c r="AL35" s="1445"/>
      <c r="AM35" s="1445"/>
    </row>
    <row r="36" spans="1:39">
      <c r="A36" s="108">
        <f>ROW()</f>
        <v>36</v>
      </c>
      <c r="B36" s="1310" t="s">
        <v>1432</v>
      </c>
      <c r="C36" s="217">
        <v>0</v>
      </c>
      <c r="D36" s="217">
        <v>0</v>
      </c>
      <c r="E36" s="1176">
        <f t="shared" si="0"/>
        <v>12000</v>
      </c>
      <c r="F36" s="737">
        <v>0</v>
      </c>
      <c r="G36" s="703">
        <v>2000</v>
      </c>
      <c r="H36" s="393">
        <v>2000</v>
      </c>
      <c r="I36" s="393">
        <v>2000</v>
      </c>
      <c r="J36" s="393">
        <v>2000</v>
      </c>
      <c r="K36" s="393">
        <v>2000</v>
      </c>
      <c r="L36" s="393">
        <v>2000</v>
      </c>
      <c r="N36" s="287"/>
      <c r="Y36" s="1445" cm="1">
        <f t="array" aca="1" ref="Y36" ca="1">CELL("protect",A36)</f>
        <v>1</v>
      </c>
      <c r="Z36" s="1445" cm="1">
        <f t="array" aca="1" ref="Z36" ca="1">CELL("protect",B36)</f>
        <v>0</v>
      </c>
      <c r="AA36" s="1445" cm="1">
        <f t="array" aca="1" ref="AA36" ca="1">CELL("protect",C36)</f>
        <v>0</v>
      </c>
      <c r="AB36" s="1445" cm="1">
        <f t="array" aca="1" ref="AB36" ca="1">CELL("protect",D36)</f>
        <v>0</v>
      </c>
      <c r="AC36" s="1445" cm="1">
        <f t="array" aca="1" ref="AC36" ca="1">CELL("protect",E36)</f>
        <v>0</v>
      </c>
      <c r="AD36" s="1445" cm="1">
        <f t="array" aca="1" ref="AD36" ca="1">CELL("protect",F36)</f>
        <v>0</v>
      </c>
      <c r="AE36" s="1445" cm="1">
        <f t="array" aca="1" ref="AE36" ca="1">CELL("protect",G36)</f>
        <v>0</v>
      </c>
      <c r="AF36" s="1445" cm="1">
        <f t="array" aca="1" ref="AF36" ca="1">CELL("protect",H36)</f>
        <v>0</v>
      </c>
      <c r="AG36" s="1445" cm="1">
        <f t="array" aca="1" ref="AG36" ca="1">CELL("protect",I36)</f>
        <v>0</v>
      </c>
      <c r="AH36" s="1445" cm="1">
        <f t="array" aca="1" ref="AH36" ca="1">CELL("protect",J36)</f>
        <v>0</v>
      </c>
      <c r="AI36" s="1445" cm="1">
        <f t="array" aca="1" ref="AI36" ca="1">CELL("protect",K36)</f>
        <v>0</v>
      </c>
      <c r="AJ36" s="1445" cm="1">
        <f t="array" aca="1" ref="AJ36" ca="1">CELL("protect",L36)</f>
        <v>0</v>
      </c>
      <c r="AK36" s="1445"/>
      <c r="AL36" s="1445"/>
      <c r="AM36" s="1445"/>
    </row>
    <row r="37" spans="1:39">
      <c r="A37" s="108">
        <f>ROW()</f>
        <v>37</v>
      </c>
      <c r="B37" s="274"/>
      <c r="C37" s="217">
        <v>0</v>
      </c>
      <c r="D37" s="217">
        <v>0</v>
      </c>
      <c r="E37" s="1176">
        <f t="shared" si="0"/>
        <v>0</v>
      </c>
      <c r="F37" s="737">
        <v>0</v>
      </c>
      <c r="G37" s="703">
        <f t="shared" ref="G37:G45" si="2">+$D37</f>
        <v>0</v>
      </c>
      <c r="H37" s="393">
        <f t="shared" ref="H37:L39" si="3">+$D37</f>
        <v>0</v>
      </c>
      <c r="I37" s="393">
        <f t="shared" si="3"/>
        <v>0</v>
      </c>
      <c r="J37" s="393">
        <f t="shared" si="3"/>
        <v>0</v>
      </c>
      <c r="K37" s="393">
        <f t="shared" si="3"/>
        <v>0</v>
      </c>
      <c r="L37" s="393">
        <f t="shared" si="3"/>
        <v>0</v>
      </c>
      <c r="N37" s="287"/>
      <c r="Y37" s="1445" cm="1">
        <f t="array" aca="1" ref="Y37" ca="1">CELL("protect",A37)</f>
        <v>1</v>
      </c>
      <c r="Z37" s="1445" cm="1">
        <f t="array" aca="1" ref="Z37" ca="1">CELL("protect",B37)</f>
        <v>0</v>
      </c>
      <c r="AA37" s="1445" cm="1">
        <f t="array" aca="1" ref="AA37" ca="1">CELL("protect",C37)</f>
        <v>0</v>
      </c>
      <c r="AB37" s="1445" cm="1">
        <f t="array" aca="1" ref="AB37" ca="1">CELL("protect",D37)</f>
        <v>0</v>
      </c>
      <c r="AC37" s="1445" cm="1">
        <f t="array" aca="1" ref="AC37" ca="1">CELL("protect",E37)</f>
        <v>0</v>
      </c>
      <c r="AD37" s="1445" cm="1">
        <f t="array" aca="1" ref="AD37" ca="1">CELL("protect",F37)</f>
        <v>0</v>
      </c>
      <c r="AE37" s="1445" cm="1">
        <f t="array" aca="1" ref="AE37" ca="1">CELL("protect",G37)</f>
        <v>0</v>
      </c>
      <c r="AF37" s="1445" cm="1">
        <f t="array" aca="1" ref="AF37" ca="1">CELL("protect",H37)</f>
        <v>0</v>
      </c>
      <c r="AG37" s="1445" cm="1">
        <f t="array" aca="1" ref="AG37" ca="1">CELL("protect",I37)</f>
        <v>0</v>
      </c>
      <c r="AH37" s="1445" cm="1">
        <f t="array" aca="1" ref="AH37" ca="1">CELL("protect",J37)</f>
        <v>0</v>
      </c>
      <c r="AI37" s="1445" cm="1">
        <f t="array" aca="1" ref="AI37" ca="1">CELL("protect",K37)</f>
        <v>0</v>
      </c>
      <c r="AJ37" s="1445" cm="1">
        <f t="array" aca="1" ref="AJ37" ca="1">CELL("protect",L37)</f>
        <v>0</v>
      </c>
      <c r="AK37" s="1445"/>
      <c r="AL37" s="1445"/>
      <c r="AM37" s="1445"/>
    </row>
    <row r="38" spans="1:39">
      <c r="A38" s="108">
        <f>ROW()</f>
        <v>38</v>
      </c>
      <c r="B38" s="274"/>
      <c r="C38" s="217">
        <v>0</v>
      </c>
      <c r="D38" s="217">
        <v>0</v>
      </c>
      <c r="E38" s="1176">
        <f t="shared" si="0"/>
        <v>0</v>
      </c>
      <c r="F38" s="737">
        <v>0</v>
      </c>
      <c r="G38" s="703">
        <f t="shared" si="2"/>
        <v>0</v>
      </c>
      <c r="H38" s="393">
        <f t="shared" si="3"/>
        <v>0</v>
      </c>
      <c r="I38" s="393">
        <f t="shared" si="3"/>
        <v>0</v>
      </c>
      <c r="J38" s="393">
        <f t="shared" si="3"/>
        <v>0</v>
      </c>
      <c r="K38" s="393">
        <f t="shared" si="3"/>
        <v>0</v>
      </c>
      <c r="L38" s="393">
        <f t="shared" si="3"/>
        <v>0</v>
      </c>
      <c r="N38" s="287"/>
      <c r="Y38" s="1445" cm="1">
        <f t="array" aca="1" ref="Y38" ca="1">CELL("protect",A38)</f>
        <v>1</v>
      </c>
      <c r="Z38" s="1445" cm="1">
        <f t="array" aca="1" ref="Z38" ca="1">CELL("protect",B38)</f>
        <v>0</v>
      </c>
      <c r="AA38" s="1445" cm="1">
        <f t="array" aca="1" ref="AA38" ca="1">CELL("protect",C38)</f>
        <v>0</v>
      </c>
      <c r="AB38" s="1445" cm="1">
        <f t="array" aca="1" ref="AB38" ca="1">CELL("protect",D38)</f>
        <v>0</v>
      </c>
      <c r="AC38" s="1445" cm="1">
        <f t="array" aca="1" ref="AC38" ca="1">CELL("protect",E38)</f>
        <v>0</v>
      </c>
      <c r="AD38" s="1445" cm="1">
        <f t="array" aca="1" ref="AD38" ca="1">CELL("protect",F38)</f>
        <v>0</v>
      </c>
      <c r="AE38" s="1445" cm="1">
        <f t="array" aca="1" ref="AE38" ca="1">CELL("protect",G38)</f>
        <v>0</v>
      </c>
      <c r="AF38" s="1445" cm="1">
        <f t="array" aca="1" ref="AF38" ca="1">CELL("protect",H38)</f>
        <v>0</v>
      </c>
      <c r="AG38" s="1445" cm="1">
        <f t="array" aca="1" ref="AG38" ca="1">CELL("protect",I38)</f>
        <v>0</v>
      </c>
      <c r="AH38" s="1445" cm="1">
        <f t="array" aca="1" ref="AH38" ca="1">CELL("protect",J38)</f>
        <v>0</v>
      </c>
      <c r="AI38" s="1445" cm="1">
        <f t="array" aca="1" ref="AI38" ca="1">CELL("protect",K38)</f>
        <v>0</v>
      </c>
      <c r="AJ38" s="1445" cm="1">
        <f t="array" aca="1" ref="AJ38" ca="1">CELL("protect",L38)</f>
        <v>0</v>
      </c>
      <c r="AK38" s="1445"/>
      <c r="AL38" s="1445"/>
      <c r="AM38" s="1445"/>
    </row>
    <row r="39" spans="1:39">
      <c r="A39" s="108">
        <f>ROW()</f>
        <v>39</v>
      </c>
      <c r="B39" s="1310"/>
      <c r="C39" s="217">
        <v>0</v>
      </c>
      <c r="D39" s="217">
        <v>0</v>
      </c>
      <c r="E39" s="1176">
        <f t="shared" si="0"/>
        <v>0</v>
      </c>
      <c r="F39" s="737">
        <v>0</v>
      </c>
      <c r="G39" s="703">
        <f t="shared" si="2"/>
        <v>0</v>
      </c>
      <c r="H39" s="393">
        <f t="shared" si="3"/>
        <v>0</v>
      </c>
      <c r="I39" s="393">
        <f t="shared" si="3"/>
        <v>0</v>
      </c>
      <c r="J39" s="393">
        <f t="shared" si="3"/>
        <v>0</v>
      </c>
      <c r="K39" s="393">
        <f t="shared" si="3"/>
        <v>0</v>
      </c>
      <c r="L39" s="393">
        <f t="shared" si="3"/>
        <v>0</v>
      </c>
      <c r="N39" s="287"/>
      <c r="Y39" s="1445" cm="1">
        <f t="array" aca="1" ref="Y39" ca="1">CELL("protect",A39)</f>
        <v>1</v>
      </c>
      <c r="Z39" s="1445" cm="1">
        <f t="array" aca="1" ref="Z39" ca="1">CELL("protect",B39)</f>
        <v>0</v>
      </c>
      <c r="AA39" s="1445" cm="1">
        <f t="array" aca="1" ref="AA39" ca="1">CELL("protect",C39)</f>
        <v>0</v>
      </c>
      <c r="AB39" s="1445" cm="1">
        <f t="array" aca="1" ref="AB39" ca="1">CELL("protect",D39)</f>
        <v>0</v>
      </c>
      <c r="AC39" s="1445" cm="1">
        <f t="array" aca="1" ref="AC39" ca="1">CELL("protect",E39)</f>
        <v>0</v>
      </c>
      <c r="AD39" s="1445" cm="1">
        <f t="array" aca="1" ref="AD39" ca="1">CELL("protect",F39)</f>
        <v>0</v>
      </c>
      <c r="AE39" s="1445" cm="1">
        <f t="array" aca="1" ref="AE39" ca="1">CELL("protect",G39)</f>
        <v>0</v>
      </c>
      <c r="AF39" s="1445" cm="1">
        <f t="array" aca="1" ref="AF39" ca="1">CELL("protect",H39)</f>
        <v>0</v>
      </c>
      <c r="AG39" s="1445" cm="1">
        <f t="array" aca="1" ref="AG39" ca="1">CELL("protect",I39)</f>
        <v>0</v>
      </c>
      <c r="AH39" s="1445" cm="1">
        <f t="array" aca="1" ref="AH39" ca="1">CELL("protect",J39)</f>
        <v>0</v>
      </c>
      <c r="AI39" s="1445" cm="1">
        <f t="array" aca="1" ref="AI39" ca="1">CELL("protect",K39)</f>
        <v>0</v>
      </c>
      <c r="AJ39" s="1445" cm="1">
        <f t="array" aca="1" ref="AJ39" ca="1">CELL("protect",L39)</f>
        <v>0</v>
      </c>
      <c r="AK39" s="1445"/>
      <c r="AL39" s="1445"/>
      <c r="AM39" s="1445"/>
    </row>
    <row r="40" spans="1:39">
      <c r="A40" s="108">
        <f>ROW()</f>
        <v>40</v>
      </c>
      <c r="B40" s="1310"/>
      <c r="C40" s="217">
        <v>0</v>
      </c>
      <c r="D40" s="217">
        <v>0</v>
      </c>
      <c r="E40" s="1176">
        <f t="shared" si="0"/>
        <v>0</v>
      </c>
      <c r="F40" s="737">
        <v>0</v>
      </c>
      <c r="G40" s="703">
        <f t="shared" si="2"/>
        <v>0</v>
      </c>
      <c r="H40" s="393">
        <f t="shared" ref="H40:L45" si="4">+$D40</f>
        <v>0</v>
      </c>
      <c r="I40" s="393">
        <f t="shared" si="4"/>
        <v>0</v>
      </c>
      <c r="J40" s="393">
        <f t="shared" si="4"/>
        <v>0</v>
      </c>
      <c r="K40" s="393">
        <f t="shared" si="4"/>
        <v>0</v>
      </c>
      <c r="L40" s="393">
        <f t="shared" si="4"/>
        <v>0</v>
      </c>
      <c r="N40" s="287"/>
      <c r="Y40" s="1445" cm="1">
        <f t="array" aca="1" ref="Y40" ca="1">CELL("protect",A40)</f>
        <v>1</v>
      </c>
      <c r="Z40" s="1445" cm="1">
        <f t="array" aca="1" ref="Z40" ca="1">CELL("protect",B40)</f>
        <v>0</v>
      </c>
      <c r="AA40" s="1445" cm="1">
        <f t="array" aca="1" ref="AA40" ca="1">CELL("protect",C40)</f>
        <v>0</v>
      </c>
      <c r="AB40" s="1445" cm="1">
        <f t="array" aca="1" ref="AB40" ca="1">CELL("protect",D40)</f>
        <v>0</v>
      </c>
      <c r="AC40" s="1445" cm="1">
        <f t="array" aca="1" ref="AC40" ca="1">CELL("protect",E40)</f>
        <v>0</v>
      </c>
      <c r="AD40" s="1445" cm="1">
        <f t="array" aca="1" ref="AD40" ca="1">CELL("protect",F40)</f>
        <v>0</v>
      </c>
      <c r="AE40" s="1445" cm="1">
        <f t="array" aca="1" ref="AE40" ca="1">CELL("protect",G40)</f>
        <v>0</v>
      </c>
      <c r="AF40" s="1445" cm="1">
        <f t="array" aca="1" ref="AF40" ca="1">CELL("protect",H40)</f>
        <v>0</v>
      </c>
      <c r="AG40" s="1445" cm="1">
        <f t="array" aca="1" ref="AG40" ca="1">CELL("protect",I40)</f>
        <v>0</v>
      </c>
      <c r="AH40" s="1445" cm="1">
        <f t="array" aca="1" ref="AH40" ca="1">CELL("protect",J40)</f>
        <v>0</v>
      </c>
      <c r="AI40" s="1445" cm="1">
        <f t="array" aca="1" ref="AI40" ca="1">CELL("protect",K40)</f>
        <v>0</v>
      </c>
      <c r="AJ40" s="1445" cm="1">
        <f t="array" aca="1" ref="AJ40" ca="1">CELL("protect",L40)</f>
        <v>0</v>
      </c>
      <c r="AK40" s="1445"/>
      <c r="AL40" s="1445"/>
      <c r="AM40" s="1445"/>
    </row>
    <row r="41" spans="1:39">
      <c r="A41" s="108">
        <f>ROW()</f>
        <v>41</v>
      </c>
      <c r="B41" s="1310"/>
      <c r="C41" s="219">
        <v>0</v>
      </c>
      <c r="D41" s="219">
        <v>0</v>
      </c>
      <c r="E41" s="1176">
        <f t="shared" si="0"/>
        <v>0</v>
      </c>
      <c r="F41" s="737">
        <v>0</v>
      </c>
      <c r="G41" s="703">
        <f t="shared" si="2"/>
        <v>0</v>
      </c>
      <c r="H41" s="393">
        <f t="shared" si="4"/>
        <v>0</v>
      </c>
      <c r="I41" s="393">
        <f t="shared" si="4"/>
        <v>0</v>
      </c>
      <c r="J41" s="393">
        <f t="shared" si="4"/>
        <v>0</v>
      </c>
      <c r="K41" s="393">
        <f t="shared" si="4"/>
        <v>0</v>
      </c>
      <c r="L41" s="393">
        <f t="shared" si="4"/>
        <v>0</v>
      </c>
      <c r="N41" s="287"/>
      <c r="Y41" s="1445" cm="1">
        <f t="array" aca="1" ref="Y41" ca="1">CELL("protect",A41)</f>
        <v>1</v>
      </c>
      <c r="Z41" s="1445" cm="1">
        <f t="array" aca="1" ref="Z41" ca="1">CELL("protect",B41)</f>
        <v>0</v>
      </c>
      <c r="AA41" s="1445" cm="1">
        <f t="array" aca="1" ref="AA41" ca="1">CELL("protect",C41)</f>
        <v>0</v>
      </c>
      <c r="AB41" s="1445" cm="1">
        <f t="array" aca="1" ref="AB41" ca="1">CELL("protect",D41)</f>
        <v>0</v>
      </c>
      <c r="AC41" s="1445" cm="1">
        <f t="array" aca="1" ref="AC41" ca="1">CELL("protect",E41)</f>
        <v>0</v>
      </c>
      <c r="AD41" s="1445" cm="1">
        <f t="array" aca="1" ref="AD41" ca="1">CELL("protect",F41)</f>
        <v>0</v>
      </c>
      <c r="AE41" s="1445" cm="1">
        <f t="array" aca="1" ref="AE41" ca="1">CELL("protect",G41)</f>
        <v>0</v>
      </c>
      <c r="AF41" s="1445" cm="1">
        <f t="array" aca="1" ref="AF41" ca="1">CELL("protect",H41)</f>
        <v>0</v>
      </c>
      <c r="AG41" s="1445" cm="1">
        <f t="array" aca="1" ref="AG41" ca="1">CELL("protect",I41)</f>
        <v>0</v>
      </c>
      <c r="AH41" s="1445" cm="1">
        <f t="array" aca="1" ref="AH41" ca="1">CELL("protect",J41)</f>
        <v>0</v>
      </c>
      <c r="AI41" s="1445" cm="1">
        <f t="array" aca="1" ref="AI41" ca="1">CELL("protect",K41)</f>
        <v>0</v>
      </c>
      <c r="AJ41" s="1445" cm="1">
        <f t="array" aca="1" ref="AJ41" ca="1">CELL("protect",L41)</f>
        <v>0</v>
      </c>
      <c r="AK41" s="1445"/>
      <c r="AL41" s="1445"/>
      <c r="AM41" s="1445"/>
    </row>
    <row r="42" spans="1:39">
      <c r="A42" s="108">
        <f>ROW()</f>
        <v>42</v>
      </c>
      <c r="B42" s="1310"/>
      <c r="C42" s="219">
        <v>0</v>
      </c>
      <c r="D42" s="219">
        <v>0</v>
      </c>
      <c r="E42" s="1176">
        <f t="shared" si="0"/>
        <v>0</v>
      </c>
      <c r="F42" s="737">
        <v>0</v>
      </c>
      <c r="G42" s="703">
        <f t="shared" si="2"/>
        <v>0</v>
      </c>
      <c r="H42" s="393">
        <f t="shared" si="4"/>
        <v>0</v>
      </c>
      <c r="I42" s="393">
        <f t="shared" si="4"/>
        <v>0</v>
      </c>
      <c r="J42" s="393">
        <f t="shared" si="4"/>
        <v>0</v>
      </c>
      <c r="K42" s="393">
        <f t="shared" si="4"/>
        <v>0</v>
      </c>
      <c r="L42" s="393">
        <f t="shared" si="4"/>
        <v>0</v>
      </c>
      <c r="N42" s="287"/>
      <c r="Y42" s="1445" cm="1">
        <f t="array" aca="1" ref="Y42" ca="1">CELL("protect",A42)</f>
        <v>1</v>
      </c>
      <c r="Z42" s="1445" cm="1">
        <f t="array" aca="1" ref="Z42" ca="1">CELL("protect",B42)</f>
        <v>0</v>
      </c>
      <c r="AA42" s="1445" cm="1">
        <f t="array" aca="1" ref="AA42" ca="1">CELL("protect",C42)</f>
        <v>0</v>
      </c>
      <c r="AB42" s="1445" cm="1">
        <f t="array" aca="1" ref="AB42" ca="1">CELL("protect",D42)</f>
        <v>0</v>
      </c>
      <c r="AC42" s="1445" cm="1">
        <f t="array" aca="1" ref="AC42" ca="1">CELL("protect",E42)</f>
        <v>0</v>
      </c>
      <c r="AD42" s="1445" cm="1">
        <f t="array" aca="1" ref="AD42" ca="1">CELL("protect",F42)</f>
        <v>0</v>
      </c>
      <c r="AE42" s="1445" cm="1">
        <f t="array" aca="1" ref="AE42" ca="1">CELL("protect",G42)</f>
        <v>0</v>
      </c>
      <c r="AF42" s="1445" cm="1">
        <f t="array" aca="1" ref="AF42" ca="1">CELL("protect",H42)</f>
        <v>0</v>
      </c>
      <c r="AG42" s="1445" cm="1">
        <f t="array" aca="1" ref="AG42" ca="1">CELL("protect",I42)</f>
        <v>0</v>
      </c>
      <c r="AH42" s="1445" cm="1">
        <f t="array" aca="1" ref="AH42" ca="1">CELL("protect",J42)</f>
        <v>0</v>
      </c>
      <c r="AI42" s="1445" cm="1">
        <f t="array" aca="1" ref="AI42" ca="1">CELL("protect",K42)</f>
        <v>0</v>
      </c>
      <c r="AJ42" s="1445" cm="1">
        <f t="array" aca="1" ref="AJ42" ca="1">CELL("protect",L42)</f>
        <v>0</v>
      </c>
      <c r="AK42" s="1445"/>
      <c r="AL42" s="1445"/>
      <c r="AM42" s="1445"/>
    </row>
    <row r="43" spans="1:39">
      <c r="A43" s="108">
        <f>ROW()</f>
        <v>43</v>
      </c>
      <c r="B43" s="1310"/>
      <c r="C43" s="219">
        <v>0</v>
      </c>
      <c r="D43" s="219">
        <v>0</v>
      </c>
      <c r="E43" s="1176">
        <f t="shared" si="0"/>
        <v>0</v>
      </c>
      <c r="F43" s="737">
        <v>0</v>
      </c>
      <c r="G43" s="703">
        <f t="shared" si="2"/>
        <v>0</v>
      </c>
      <c r="H43" s="393">
        <f t="shared" si="4"/>
        <v>0</v>
      </c>
      <c r="I43" s="393">
        <f t="shared" si="4"/>
        <v>0</v>
      </c>
      <c r="J43" s="393">
        <f t="shared" si="4"/>
        <v>0</v>
      </c>
      <c r="K43" s="393">
        <f t="shared" si="4"/>
        <v>0</v>
      </c>
      <c r="L43" s="393">
        <f t="shared" si="4"/>
        <v>0</v>
      </c>
      <c r="N43" s="287"/>
      <c r="Y43" s="1445" cm="1">
        <f t="array" aca="1" ref="Y43" ca="1">CELL("protect",A43)</f>
        <v>1</v>
      </c>
      <c r="Z43" s="1445" cm="1">
        <f t="array" aca="1" ref="Z43" ca="1">CELL("protect",B43)</f>
        <v>0</v>
      </c>
      <c r="AA43" s="1445" cm="1">
        <f t="array" aca="1" ref="AA43" ca="1">CELL("protect",C43)</f>
        <v>0</v>
      </c>
      <c r="AB43" s="1445" cm="1">
        <f t="array" aca="1" ref="AB43" ca="1">CELL("protect",D43)</f>
        <v>0</v>
      </c>
      <c r="AC43" s="1445" cm="1">
        <f t="array" aca="1" ref="AC43" ca="1">CELL("protect",E43)</f>
        <v>0</v>
      </c>
      <c r="AD43" s="1445" cm="1">
        <f t="array" aca="1" ref="AD43" ca="1">CELL("protect",F43)</f>
        <v>0</v>
      </c>
      <c r="AE43" s="1445" cm="1">
        <f t="array" aca="1" ref="AE43" ca="1">CELL("protect",G43)</f>
        <v>0</v>
      </c>
      <c r="AF43" s="1445" cm="1">
        <f t="array" aca="1" ref="AF43" ca="1">CELL("protect",H43)</f>
        <v>0</v>
      </c>
      <c r="AG43" s="1445" cm="1">
        <f t="array" aca="1" ref="AG43" ca="1">CELL("protect",I43)</f>
        <v>0</v>
      </c>
      <c r="AH43" s="1445" cm="1">
        <f t="array" aca="1" ref="AH43" ca="1">CELL("protect",J43)</f>
        <v>0</v>
      </c>
      <c r="AI43" s="1445" cm="1">
        <f t="array" aca="1" ref="AI43" ca="1">CELL("protect",K43)</f>
        <v>0</v>
      </c>
      <c r="AJ43" s="1445" cm="1">
        <f t="array" aca="1" ref="AJ43" ca="1">CELL("protect",L43)</f>
        <v>0</v>
      </c>
      <c r="AK43" s="1445"/>
      <c r="AL43" s="1445"/>
      <c r="AM43" s="1445"/>
    </row>
    <row r="44" spans="1:39">
      <c r="A44" s="108">
        <f>ROW()</f>
        <v>44</v>
      </c>
      <c r="B44" s="1310"/>
      <c r="C44" s="219">
        <v>0</v>
      </c>
      <c r="D44" s="219">
        <v>0</v>
      </c>
      <c r="E44" s="1176">
        <f t="shared" si="0"/>
        <v>0</v>
      </c>
      <c r="F44" s="737">
        <v>0</v>
      </c>
      <c r="G44" s="703">
        <f t="shared" si="2"/>
        <v>0</v>
      </c>
      <c r="H44" s="393">
        <f t="shared" si="4"/>
        <v>0</v>
      </c>
      <c r="I44" s="393">
        <f t="shared" si="4"/>
        <v>0</v>
      </c>
      <c r="J44" s="393">
        <f t="shared" si="4"/>
        <v>0</v>
      </c>
      <c r="K44" s="393">
        <f t="shared" si="4"/>
        <v>0</v>
      </c>
      <c r="L44" s="393">
        <f t="shared" si="4"/>
        <v>0</v>
      </c>
      <c r="N44" s="287"/>
      <c r="Y44" s="1445" cm="1">
        <f t="array" aca="1" ref="Y44" ca="1">CELL("protect",A44)</f>
        <v>1</v>
      </c>
      <c r="Z44" s="1445" cm="1">
        <f t="array" aca="1" ref="Z44" ca="1">CELL("protect",B44)</f>
        <v>0</v>
      </c>
      <c r="AA44" s="1445" cm="1">
        <f t="array" aca="1" ref="AA44" ca="1">CELL("protect",C44)</f>
        <v>0</v>
      </c>
      <c r="AB44" s="1445" cm="1">
        <f t="array" aca="1" ref="AB44" ca="1">CELL("protect",D44)</f>
        <v>0</v>
      </c>
      <c r="AC44" s="1445" cm="1">
        <f t="array" aca="1" ref="AC44" ca="1">CELL("protect",E44)</f>
        <v>0</v>
      </c>
      <c r="AD44" s="1445" cm="1">
        <f t="array" aca="1" ref="AD44" ca="1">CELL("protect",F44)</f>
        <v>0</v>
      </c>
      <c r="AE44" s="1445" cm="1">
        <f t="array" aca="1" ref="AE44" ca="1">CELL("protect",G44)</f>
        <v>0</v>
      </c>
      <c r="AF44" s="1445" cm="1">
        <f t="array" aca="1" ref="AF44" ca="1">CELL("protect",H44)</f>
        <v>0</v>
      </c>
      <c r="AG44" s="1445" cm="1">
        <f t="array" aca="1" ref="AG44" ca="1">CELL("protect",I44)</f>
        <v>0</v>
      </c>
      <c r="AH44" s="1445" cm="1">
        <f t="array" aca="1" ref="AH44" ca="1">CELL("protect",J44)</f>
        <v>0</v>
      </c>
      <c r="AI44" s="1445" cm="1">
        <f t="array" aca="1" ref="AI44" ca="1">CELL("protect",K44)</f>
        <v>0</v>
      </c>
      <c r="AJ44" s="1445" cm="1">
        <f t="array" aca="1" ref="AJ44" ca="1">CELL("protect",L44)</f>
        <v>0</v>
      </c>
      <c r="AK44" s="1445"/>
      <c r="AL44" s="1445"/>
      <c r="AM44" s="1445"/>
    </row>
    <row r="45" spans="1:39">
      <c r="A45" s="108">
        <f>ROW()</f>
        <v>45</v>
      </c>
      <c r="B45" s="1310"/>
      <c r="C45" s="219">
        <v>0</v>
      </c>
      <c r="D45" s="219">
        <v>0</v>
      </c>
      <c r="E45" s="1176">
        <f t="shared" si="0"/>
        <v>0</v>
      </c>
      <c r="F45" s="737">
        <v>0</v>
      </c>
      <c r="G45" s="703">
        <f t="shared" si="2"/>
        <v>0</v>
      </c>
      <c r="H45" s="393">
        <f t="shared" si="4"/>
        <v>0</v>
      </c>
      <c r="I45" s="393">
        <f t="shared" si="4"/>
        <v>0</v>
      </c>
      <c r="J45" s="393">
        <f t="shared" si="4"/>
        <v>0</v>
      </c>
      <c r="K45" s="393">
        <f t="shared" si="4"/>
        <v>0</v>
      </c>
      <c r="L45" s="393">
        <f t="shared" si="4"/>
        <v>0</v>
      </c>
      <c r="N45" s="287"/>
      <c r="Y45" s="1445" cm="1">
        <f t="array" aca="1" ref="Y45" ca="1">CELL("protect",A45)</f>
        <v>1</v>
      </c>
      <c r="Z45" s="1445" cm="1">
        <f t="array" aca="1" ref="Z45" ca="1">CELL("protect",B45)</f>
        <v>0</v>
      </c>
      <c r="AA45" s="1445" cm="1">
        <f t="array" aca="1" ref="AA45" ca="1">CELL("protect",C45)</f>
        <v>0</v>
      </c>
      <c r="AB45" s="1445" cm="1">
        <f t="array" aca="1" ref="AB45" ca="1">CELL("protect",D45)</f>
        <v>0</v>
      </c>
      <c r="AC45" s="1445" cm="1">
        <f t="array" aca="1" ref="AC45" ca="1">CELL("protect",E45)</f>
        <v>0</v>
      </c>
      <c r="AD45" s="1445" cm="1">
        <f t="array" aca="1" ref="AD45" ca="1">CELL("protect",F45)</f>
        <v>0</v>
      </c>
      <c r="AE45" s="1445" cm="1">
        <f t="array" aca="1" ref="AE45" ca="1">CELL("protect",G45)</f>
        <v>0</v>
      </c>
      <c r="AF45" s="1445" cm="1">
        <f t="array" aca="1" ref="AF45" ca="1">CELL("protect",H45)</f>
        <v>0</v>
      </c>
      <c r="AG45" s="1445" cm="1">
        <f t="array" aca="1" ref="AG45" ca="1">CELL("protect",I45)</f>
        <v>0</v>
      </c>
      <c r="AH45" s="1445" cm="1">
        <f t="array" aca="1" ref="AH45" ca="1">CELL("protect",J45)</f>
        <v>0</v>
      </c>
      <c r="AI45" s="1445" cm="1">
        <f t="array" aca="1" ref="AI45" ca="1">CELL("protect",K45)</f>
        <v>0</v>
      </c>
      <c r="AJ45" s="1445" cm="1">
        <f t="array" aca="1" ref="AJ45" ca="1">CELL("protect",L45)</f>
        <v>0</v>
      </c>
      <c r="AK45" s="1445"/>
      <c r="AL45" s="1445"/>
      <c r="AM45" s="1445"/>
    </row>
    <row r="46" spans="1:39">
      <c r="A46" s="108">
        <f>ROW()</f>
        <v>46</v>
      </c>
      <c r="B46" s="1310"/>
      <c r="C46" s="219">
        <v>0</v>
      </c>
      <c r="D46" s="219">
        <v>0</v>
      </c>
      <c r="E46" s="1176">
        <f t="shared" si="0"/>
        <v>0</v>
      </c>
      <c r="F46" s="737">
        <v>0</v>
      </c>
      <c r="G46" s="703">
        <v>0</v>
      </c>
      <c r="H46" s="393">
        <v>0</v>
      </c>
      <c r="I46" s="393">
        <v>0</v>
      </c>
      <c r="J46" s="393">
        <v>0</v>
      </c>
      <c r="K46" s="393">
        <v>0</v>
      </c>
      <c r="L46" s="393">
        <v>0</v>
      </c>
      <c r="N46" s="287"/>
      <c r="Y46" s="1445" cm="1">
        <f t="array" aca="1" ref="Y46" ca="1">CELL("protect",A46)</f>
        <v>1</v>
      </c>
      <c r="Z46" s="1445" cm="1">
        <f t="array" aca="1" ref="Z46" ca="1">CELL("protect",B46)</f>
        <v>0</v>
      </c>
      <c r="AA46" s="1445" cm="1">
        <f t="array" aca="1" ref="AA46" ca="1">CELL("protect",C46)</f>
        <v>0</v>
      </c>
      <c r="AB46" s="1445" cm="1">
        <f t="array" aca="1" ref="AB46" ca="1">CELL("protect",D46)</f>
        <v>0</v>
      </c>
      <c r="AC46" s="1445" cm="1">
        <f t="array" aca="1" ref="AC46" ca="1">CELL("protect",E46)</f>
        <v>0</v>
      </c>
      <c r="AD46" s="1445" cm="1">
        <f t="array" aca="1" ref="AD46" ca="1">CELL("protect",F46)</f>
        <v>0</v>
      </c>
      <c r="AE46" s="1445" cm="1">
        <f t="array" aca="1" ref="AE46" ca="1">CELL("protect",G46)</f>
        <v>0</v>
      </c>
      <c r="AF46" s="1445" cm="1">
        <f t="array" aca="1" ref="AF46" ca="1">CELL("protect",H46)</f>
        <v>0</v>
      </c>
      <c r="AG46" s="1445" cm="1">
        <f t="array" aca="1" ref="AG46" ca="1">CELL("protect",I46)</f>
        <v>0</v>
      </c>
      <c r="AH46" s="1445" cm="1">
        <f t="array" aca="1" ref="AH46" ca="1">CELL("protect",J46)</f>
        <v>0</v>
      </c>
      <c r="AI46" s="1445" cm="1">
        <f t="array" aca="1" ref="AI46" ca="1">CELL("protect",K46)</f>
        <v>0</v>
      </c>
      <c r="AJ46" s="1445" cm="1">
        <f t="array" aca="1" ref="AJ46" ca="1">CELL("protect",L46)</f>
        <v>0</v>
      </c>
      <c r="AK46" s="1445"/>
      <c r="AL46" s="1445"/>
      <c r="AM46" s="1445"/>
    </row>
    <row r="47" spans="1:39">
      <c r="A47" s="108">
        <f>ROW()</f>
        <v>47</v>
      </c>
      <c r="B47" s="1261" t="s">
        <v>765</v>
      </c>
      <c r="C47" s="1260"/>
      <c r="D47" s="1260"/>
      <c r="E47" s="1176">
        <f t="shared" si="0"/>
        <v>0</v>
      </c>
      <c r="F47" s="1254" t="s">
        <v>2</v>
      </c>
      <c r="G47" s="1255" t="s">
        <v>2</v>
      </c>
      <c r="H47" s="1256" t="s">
        <v>2</v>
      </c>
      <c r="I47" s="1256" t="s">
        <v>2</v>
      </c>
      <c r="J47" s="1256" t="s">
        <v>2</v>
      </c>
      <c r="K47" s="1256" t="s">
        <v>2</v>
      </c>
      <c r="L47" s="1256" t="s">
        <v>2</v>
      </c>
      <c r="N47" s="287"/>
      <c r="Y47" s="1445" cm="1">
        <f t="array" aca="1" ref="Y47" ca="1">CELL("protect",A47)</f>
        <v>1</v>
      </c>
      <c r="Z47" s="1445" cm="1">
        <f t="array" aca="1" ref="Z47" ca="1">CELL("protect",B47)</f>
        <v>0</v>
      </c>
      <c r="AA47" s="1445" cm="1">
        <f t="array" aca="1" ref="AA47" ca="1">CELL("protect",C47)</f>
        <v>0</v>
      </c>
      <c r="AB47" s="1445" cm="1">
        <f t="array" aca="1" ref="AB47" ca="1">CELL("protect",D47)</f>
        <v>0</v>
      </c>
      <c r="AC47" s="1445" cm="1">
        <f t="array" aca="1" ref="AC47" ca="1">CELL("protect",E47)</f>
        <v>0</v>
      </c>
      <c r="AD47" s="1445" cm="1">
        <f t="array" aca="1" ref="AD47" ca="1">CELL("protect",F47)</f>
        <v>0</v>
      </c>
      <c r="AE47" s="1445" cm="1">
        <f t="array" aca="1" ref="AE47" ca="1">CELL("protect",G47)</f>
        <v>0</v>
      </c>
      <c r="AF47" s="1445" cm="1">
        <f t="array" aca="1" ref="AF47" ca="1">CELL("protect",H47)</f>
        <v>0</v>
      </c>
      <c r="AG47" s="1445" cm="1">
        <f t="array" aca="1" ref="AG47" ca="1">CELL("protect",I47)</f>
        <v>0</v>
      </c>
      <c r="AH47" s="1445" cm="1">
        <f t="array" aca="1" ref="AH47" ca="1">CELL("protect",J47)</f>
        <v>0</v>
      </c>
      <c r="AI47" s="1445" cm="1">
        <f t="array" aca="1" ref="AI47" ca="1">CELL("protect",K47)</f>
        <v>0</v>
      </c>
      <c r="AJ47" s="1445" cm="1">
        <f t="array" aca="1" ref="AJ47" ca="1">CELL("protect",L47)</f>
        <v>0</v>
      </c>
      <c r="AK47" s="1445"/>
      <c r="AL47" s="1445"/>
      <c r="AM47" s="1445"/>
    </row>
    <row r="48" spans="1:39">
      <c r="A48" s="108">
        <f>ROW()</f>
        <v>48</v>
      </c>
      <c r="B48" s="1262" t="s">
        <v>766</v>
      </c>
      <c r="C48" s="1260"/>
      <c r="D48" s="1260"/>
      <c r="E48" s="1108">
        <f t="shared" si="0"/>
        <v>0</v>
      </c>
      <c r="F48" s="1257" t="s">
        <v>2</v>
      </c>
      <c r="G48" s="1258" t="s">
        <v>2</v>
      </c>
      <c r="H48" s="1259" t="s">
        <v>2</v>
      </c>
      <c r="I48" s="1259" t="s">
        <v>2</v>
      </c>
      <c r="J48" s="1259" t="s">
        <v>2</v>
      </c>
      <c r="K48" s="1259" t="s">
        <v>2</v>
      </c>
      <c r="L48" s="1259" t="s">
        <v>2</v>
      </c>
      <c r="N48" s="287"/>
      <c r="Y48" s="1445" cm="1">
        <f t="array" aca="1" ref="Y48" ca="1">CELL("protect",A48)</f>
        <v>1</v>
      </c>
      <c r="Z48" s="1445" cm="1">
        <f t="array" aca="1" ref="Z48" ca="1">CELL("protect",B48)</f>
        <v>0</v>
      </c>
      <c r="AA48" s="1445" cm="1">
        <f t="array" aca="1" ref="AA48" ca="1">CELL("protect",C48)</f>
        <v>0</v>
      </c>
      <c r="AB48" s="1445" cm="1">
        <f t="array" aca="1" ref="AB48" ca="1">CELL("protect",D48)</f>
        <v>0</v>
      </c>
      <c r="AC48" s="1445" cm="1">
        <f t="array" aca="1" ref="AC48" ca="1">CELL("protect",E48)</f>
        <v>0</v>
      </c>
      <c r="AD48" s="1445" cm="1">
        <f t="array" aca="1" ref="AD48" ca="1">CELL("protect",F48)</f>
        <v>0</v>
      </c>
      <c r="AE48" s="1445" cm="1">
        <f t="array" aca="1" ref="AE48" ca="1">CELL("protect",G48)</f>
        <v>0</v>
      </c>
      <c r="AF48" s="1445" cm="1">
        <f t="array" aca="1" ref="AF48" ca="1">CELL("protect",H48)</f>
        <v>0</v>
      </c>
      <c r="AG48" s="1445" cm="1">
        <f t="array" aca="1" ref="AG48" ca="1">CELL("protect",I48)</f>
        <v>0</v>
      </c>
      <c r="AH48" s="1445" cm="1">
        <f t="array" aca="1" ref="AH48" ca="1">CELL("protect",J48)</f>
        <v>0</v>
      </c>
      <c r="AI48" s="1445" cm="1">
        <f t="array" aca="1" ref="AI48" ca="1">CELL("protect",K48)</f>
        <v>0</v>
      </c>
      <c r="AJ48" s="1445" cm="1">
        <f t="array" aca="1" ref="AJ48" ca="1">CELL("protect",L48)</f>
        <v>0</v>
      </c>
      <c r="AK48" s="1445"/>
      <c r="AL48" s="1445"/>
      <c r="AM48" s="1445"/>
    </row>
    <row r="49" spans="1:39">
      <c r="A49" s="108">
        <f>ROW()</f>
        <v>49</v>
      </c>
      <c r="B49" s="301" t="s">
        <v>767</v>
      </c>
      <c r="C49" s="302"/>
      <c r="D49" s="302"/>
      <c r="E49" s="303"/>
      <c r="F49" s="705">
        <f t="shared" ref="F49:L49" si="5">SUM(F10:F48)</f>
        <v>0</v>
      </c>
      <c r="G49" s="705">
        <f t="shared" si="5"/>
        <v>20000</v>
      </c>
      <c r="H49" s="304">
        <f t="shared" si="5"/>
        <v>20000</v>
      </c>
      <c r="I49" s="304">
        <f t="shared" si="5"/>
        <v>20000</v>
      </c>
      <c r="J49" s="304">
        <f t="shared" si="5"/>
        <v>20000</v>
      </c>
      <c r="K49" s="304">
        <f t="shared" si="5"/>
        <v>20000</v>
      </c>
      <c r="L49" s="304">
        <f t="shared" si="5"/>
        <v>20000</v>
      </c>
      <c r="N49" s="287"/>
      <c r="Y49" s="1445" cm="1">
        <f t="array" aca="1" ref="Y49" ca="1">CELL("protect",A49)</f>
        <v>1</v>
      </c>
      <c r="Z49" s="1445" cm="1">
        <f t="array" aca="1" ref="Z49" ca="1">CELL("protect",B49)</f>
        <v>0</v>
      </c>
      <c r="AA49" s="1445" cm="1">
        <f t="array" aca="1" ref="AA49" ca="1">CELL("protect",C49)</f>
        <v>0</v>
      </c>
      <c r="AB49" s="1445" cm="1">
        <f t="array" aca="1" ref="AB49" ca="1">CELL("protect",D49)</f>
        <v>0</v>
      </c>
      <c r="AC49" s="1445" cm="1">
        <f t="array" aca="1" ref="AC49" ca="1">CELL("protect",E49)</f>
        <v>1</v>
      </c>
      <c r="AD49" s="1445" cm="1">
        <f t="array" aca="1" ref="AD49" ca="1">CELL("protect",F49)</f>
        <v>1</v>
      </c>
      <c r="AE49" s="1445" cm="1">
        <f t="array" aca="1" ref="AE49" ca="1">CELL("protect",G49)</f>
        <v>1</v>
      </c>
      <c r="AF49" s="1445" cm="1">
        <f t="array" aca="1" ref="AF49" ca="1">CELL("protect",H49)</f>
        <v>1</v>
      </c>
      <c r="AG49" s="1445" cm="1">
        <f t="array" aca="1" ref="AG49" ca="1">CELL("protect",I49)</f>
        <v>1</v>
      </c>
      <c r="AH49" s="1445" cm="1">
        <f t="array" aca="1" ref="AH49" ca="1">CELL("protect",J49)</f>
        <v>1</v>
      </c>
      <c r="AI49" s="1445" cm="1">
        <f t="array" aca="1" ref="AI49" ca="1">CELL("protect",K49)</f>
        <v>1</v>
      </c>
      <c r="AJ49" s="1445" cm="1">
        <f t="array" aca="1" ref="AJ49" ca="1">CELL("protect",L49)</f>
        <v>1</v>
      </c>
      <c r="AK49" s="1445"/>
      <c r="AL49" s="1445"/>
      <c r="AM49" s="1445"/>
    </row>
    <row r="50" spans="1:39">
      <c r="A50" s="108">
        <f>ROW()</f>
        <v>50</v>
      </c>
      <c r="B50" s="298" t="s">
        <v>768</v>
      </c>
      <c r="C50" s="297"/>
      <c r="D50" s="722">
        <v>0.03</v>
      </c>
      <c r="E50" s="723"/>
      <c r="F50" s="299">
        <f t="shared" ref="F50:L50" si="6">+F49*((1+$D$50)^F7-1)</f>
        <v>0</v>
      </c>
      <c r="G50" s="299">
        <f t="shared" si="6"/>
        <v>600.00000000000057</v>
      </c>
      <c r="H50" s="300">
        <f t="shared" si="6"/>
        <v>1217.9999999999991</v>
      </c>
      <c r="I50" s="300">
        <f t="shared" si="6"/>
        <v>1854.54</v>
      </c>
      <c r="J50" s="300">
        <f t="shared" si="6"/>
        <v>2510.1761999999985</v>
      </c>
      <c r="K50" s="300">
        <f t="shared" si="6"/>
        <v>3185.4814859999969</v>
      </c>
      <c r="L50" s="300">
        <f t="shared" si="6"/>
        <v>3881.0459305799982</v>
      </c>
      <c r="N50" s="287"/>
      <c r="Y50" s="1445" cm="1">
        <f t="array" aca="1" ref="Y50" ca="1">CELL("protect",A50)</f>
        <v>1</v>
      </c>
      <c r="Z50" s="1445" cm="1">
        <f t="array" aca="1" ref="Z50" ca="1">CELL("protect",B50)</f>
        <v>0</v>
      </c>
      <c r="AA50" s="1445" cm="1">
        <f t="array" aca="1" ref="AA50" ca="1">CELL("protect",C50)</f>
        <v>0</v>
      </c>
      <c r="AB50" s="1445" cm="1">
        <f t="array" aca="1" ref="AB50" ca="1">CELL("protect",D50)</f>
        <v>0</v>
      </c>
      <c r="AC50" s="1445" cm="1">
        <f t="array" aca="1" ref="AC50" ca="1">CELL("protect",E50)</f>
        <v>1</v>
      </c>
      <c r="AD50" s="1445" cm="1">
        <f t="array" aca="1" ref="AD50" ca="1">CELL("protect",F50)</f>
        <v>1</v>
      </c>
      <c r="AE50" s="1445" cm="1">
        <f t="array" aca="1" ref="AE50" ca="1">CELL("protect",G50)</f>
        <v>1</v>
      </c>
      <c r="AF50" s="1445" cm="1">
        <f t="array" aca="1" ref="AF50" ca="1">CELL("protect",H50)</f>
        <v>1</v>
      </c>
      <c r="AG50" s="1445" cm="1">
        <f t="array" aca="1" ref="AG50" ca="1">CELL("protect",I50)</f>
        <v>1</v>
      </c>
      <c r="AH50" s="1445" cm="1">
        <f t="array" aca="1" ref="AH50" ca="1">CELL("protect",J50)</f>
        <v>1</v>
      </c>
      <c r="AI50" s="1445" cm="1">
        <f t="array" aca="1" ref="AI50" ca="1">CELL("protect",K50)</f>
        <v>1</v>
      </c>
      <c r="AJ50" s="1445" cm="1">
        <f t="array" aca="1" ref="AJ50" ca="1">CELL("protect",L50)</f>
        <v>1</v>
      </c>
      <c r="AK50" s="1445"/>
      <c r="AL50" s="1445"/>
      <c r="AM50" s="1445"/>
    </row>
    <row r="51" spans="1:39" ht="15.6">
      <c r="A51" s="108">
        <f>ROW()</f>
        <v>51</v>
      </c>
      <c r="D51" s="956">
        <f>SUM(D10:D48)</f>
        <v>0</v>
      </c>
      <c r="E51" s="1069">
        <f>SUM(E10:E48)</f>
        <v>120000</v>
      </c>
      <c r="F51" s="1069">
        <f>SUM(F10:F48)</f>
        <v>0</v>
      </c>
      <c r="G51" s="1069">
        <f t="shared" ref="G51:L51" si="7">SUM(G10:G48)+G50</f>
        <v>20600</v>
      </c>
      <c r="H51" s="1069">
        <f t="shared" si="7"/>
        <v>21218</v>
      </c>
      <c r="I51" s="1069">
        <f t="shared" si="7"/>
        <v>21854.54</v>
      </c>
      <c r="J51" s="1069">
        <f t="shared" si="7"/>
        <v>22510.176199999998</v>
      </c>
      <c r="K51" s="1069">
        <f t="shared" si="7"/>
        <v>23185.481485999997</v>
      </c>
      <c r="L51" s="1069">
        <f t="shared" si="7"/>
        <v>23881.04593058</v>
      </c>
      <c r="N51" s="287"/>
      <c r="Y51" s="1445" cm="1">
        <f t="array" aca="1" ref="Y51" ca="1">CELL("protect",A51)</f>
        <v>1</v>
      </c>
      <c r="Z51" s="1445" cm="1">
        <f t="array" aca="1" ref="Z51" ca="1">CELL("protect",B51)</f>
        <v>1</v>
      </c>
      <c r="AA51" s="1445" cm="1">
        <f t="array" aca="1" ref="AA51" ca="1">CELL("protect",C51)</f>
        <v>1</v>
      </c>
      <c r="AB51" s="1445" cm="1">
        <f t="array" aca="1" ref="AB51" ca="1">CELL("protect",D51)</f>
        <v>1</v>
      </c>
      <c r="AC51" s="1445" cm="1">
        <f t="array" aca="1" ref="AC51" ca="1">CELL("protect",E51)</f>
        <v>1</v>
      </c>
      <c r="AD51" s="1445" cm="1">
        <f t="array" aca="1" ref="AD51" ca="1">CELL("protect",F51)</f>
        <v>1</v>
      </c>
      <c r="AE51" s="1445" cm="1">
        <f t="array" aca="1" ref="AE51" ca="1">CELL("protect",G51)</f>
        <v>1</v>
      </c>
      <c r="AF51" s="1445" cm="1">
        <f t="array" aca="1" ref="AF51" ca="1">CELL("protect",H51)</f>
        <v>1</v>
      </c>
      <c r="AG51" s="1445" cm="1">
        <f t="array" aca="1" ref="AG51" ca="1">CELL("protect",I51)</f>
        <v>1</v>
      </c>
      <c r="AH51" s="1445" cm="1">
        <f t="array" aca="1" ref="AH51" ca="1">CELL("protect",J51)</f>
        <v>1</v>
      </c>
      <c r="AI51" s="1445" cm="1">
        <f t="array" aca="1" ref="AI51" ca="1">CELL("protect",K51)</f>
        <v>1</v>
      </c>
      <c r="AJ51" s="1445" cm="1">
        <f t="array" aca="1" ref="AJ51" ca="1">CELL("protect",L51)</f>
        <v>1</v>
      </c>
      <c r="AK51" s="1445"/>
      <c r="AL51" s="1445"/>
      <c r="AM51" s="1445"/>
    </row>
    <row r="52" spans="1:39" ht="14.4">
      <c r="A52" s="108">
        <f>ROW()</f>
        <v>52</v>
      </c>
      <c r="B52" s="154"/>
      <c r="Y52" s="1445" cm="1">
        <f t="array" aca="1" ref="Y52" ca="1">CELL("protect",A52)</f>
        <v>1</v>
      </c>
      <c r="Z52" s="1445" cm="1">
        <f t="array" aca="1" ref="Z52" ca="1">CELL("protect",B52)</f>
        <v>1</v>
      </c>
      <c r="AA52" s="1445" cm="1">
        <f t="array" aca="1" ref="AA52" ca="1">CELL("protect",C52)</f>
        <v>1</v>
      </c>
      <c r="AB52" s="1445" cm="1">
        <f t="array" aca="1" ref="AB52" ca="1">CELL("protect",D52)</f>
        <v>1</v>
      </c>
      <c r="AC52" s="1445" cm="1">
        <f t="array" aca="1" ref="AC52" ca="1">CELL("protect",E52)</f>
        <v>1</v>
      </c>
      <c r="AD52" s="1445" cm="1">
        <f t="array" aca="1" ref="AD52" ca="1">CELL("protect",F52)</f>
        <v>1</v>
      </c>
      <c r="AE52" s="1445" cm="1">
        <f t="array" aca="1" ref="AE52" ca="1">CELL("protect",G52)</f>
        <v>1</v>
      </c>
      <c r="AF52" s="1445" cm="1">
        <f t="array" aca="1" ref="AF52" ca="1">CELL("protect",H52)</f>
        <v>1</v>
      </c>
      <c r="AG52" s="1445" cm="1">
        <f t="array" aca="1" ref="AG52" ca="1">CELL("protect",I52)</f>
        <v>1</v>
      </c>
      <c r="AH52" s="1445" cm="1">
        <f t="array" aca="1" ref="AH52" ca="1">CELL("protect",J52)</f>
        <v>1</v>
      </c>
      <c r="AI52" s="1445" cm="1">
        <f t="array" aca="1" ref="AI52" ca="1">CELL("protect",K52)</f>
        <v>1</v>
      </c>
      <c r="AJ52" s="1445" cm="1">
        <f t="array" aca="1" ref="AJ52" ca="1">CELL("protect",L52)</f>
        <v>1</v>
      </c>
      <c r="AK52" s="1445"/>
      <c r="AL52" s="1445"/>
      <c r="AM52" s="1445"/>
    </row>
    <row r="53" spans="1:39" ht="14.4">
      <c r="A53" s="108">
        <f>ROW()</f>
        <v>53</v>
      </c>
      <c r="B53" s="154"/>
      <c r="Y53" s="1445" cm="1">
        <f t="array" aca="1" ref="Y53" ca="1">CELL("protect",A53)</f>
        <v>1</v>
      </c>
      <c r="Z53" s="1445" cm="1">
        <f t="array" aca="1" ref="Z53" ca="1">CELL("protect",B53)</f>
        <v>1</v>
      </c>
      <c r="AA53" s="1445" cm="1">
        <f t="array" aca="1" ref="AA53" ca="1">CELL("protect",C53)</f>
        <v>1</v>
      </c>
      <c r="AB53" s="1445" cm="1">
        <f t="array" aca="1" ref="AB53" ca="1">CELL("protect",D53)</f>
        <v>1</v>
      </c>
      <c r="AC53" s="1445" cm="1">
        <f t="array" aca="1" ref="AC53" ca="1">CELL("protect",E53)</f>
        <v>1</v>
      </c>
      <c r="AD53" s="1445" cm="1">
        <f t="array" aca="1" ref="AD53" ca="1">CELL("protect",F53)</f>
        <v>1</v>
      </c>
      <c r="AE53" s="1445" cm="1">
        <f t="array" aca="1" ref="AE53" ca="1">CELL("protect",G53)</f>
        <v>1</v>
      </c>
      <c r="AF53" s="1445" cm="1">
        <f t="array" aca="1" ref="AF53" ca="1">CELL("protect",H53)</f>
        <v>1</v>
      </c>
      <c r="AG53" s="1445" cm="1">
        <f t="array" aca="1" ref="AG53" ca="1">CELL("protect",I53)</f>
        <v>1</v>
      </c>
      <c r="AH53" s="1445" cm="1">
        <f t="array" aca="1" ref="AH53" ca="1">CELL("protect",J53)</f>
        <v>1</v>
      </c>
      <c r="AI53" s="1445" cm="1">
        <f t="array" aca="1" ref="AI53" ca="1">CELL("protect",K53)</f>
        <v>1</v>
      </c>
      <c r="AJ53" s="1445" cm="1">
        <f t="array" aca="1" ref="AJ53" ca="1">CELL("protect",L53)</f>
        <v>1</v>
      </c>
      <c r="AK53" s="1445"/>
      <c r="AL53" s="1445"/>
      <c r="AM53" s="1445"/>
    </row>
    <row r="54" spans="1:39" ht="14.4">
      <c r="A54" s="108">
        <f>ROW()</f>
        <v>54</v>
      </c>
      <c r="B54" s="154"/>
      <c r="G54" s="296"/>
      <c r="H54" s="296"/>
      <c r="I54" s="296"/>
      <c r="J54" s="296"/>
      <c r="K54" s="296"/>
      <c r="L54" s="296"/>
      <c r="Y54" s="1445" cm="1">
        <f t="array" aca="1" ref="Y54" ca="1">CELL("protect",A54)</f>
        <v>1</v>
      </c>
      <c r="Z54" s="1445" cm="1">
        <f t="array" aca="1" ref="Z54" ca="1">CELL("protect",B54)</f>
        <v>1</v>
      </c>
      <c r="AA54" s="1445" cm="1">
        <f t="array" aca="1" ref="AA54" ca="1">CELL("protect",C54)</f>
        <v>1</v>
      </c>
      <c r="AB54" s="1445" cm="1">
        <f t="array" aca="1" ref="AB54" ca="1">CELL("protect",D54)</f>
        <v>1</v>
      </c>
      <c r="AC54" s="1445" cm="1">
        <f t="array" aca="1" ref="AC54" ca="1">CELL("protect",E54)</f>
        <v>1</v>
      </c>
      <c r="AD54" s="1445" cm="1">
        <f t="array" aca="1" ref="AD54" ca="1">CELL("protect",F54)</f>
        <v>1</v>
      </c>
      <c r="AE54" s="1445" cm="1">
        <f t="array" aca="1" ref="AE54" ca="1">CELL("protect",G54)</f>
        <v>1</v>
      </c>
      <c r="AF54" s="1445" cm="1">
        <f t="array" aca="1" ref="AF54" ca="1">CELL("protect",H54)</f>
        <v>1</v>
      </c>
      <c r="AG54" s="1445" cm="1">
        <f t="array" aca="1" ref="AG54" ca="1">CELL("protect",I54)</f>
        <v>1</v>
      </c>
      <c r="AH54" s="1445" cm="1">
        <f t="array" aca="1" ref="AH54" ca="1">CELL("protect",J54)</f>
        <v>1</v>
      </c>
      <c r="AI54" s="1445" cm="1">
        <f t="array" aca="1" ref="AI54" ca="1">CELL("protect",K54)</f>
        <v>1</v>
      </c>
      <c r="AJ54" s="1445" cm="1">
        <f t="array" aca="1" ref="AJ54" ca="1">CELL("protect",L54)</f>
        <v>1</v>
      </c>
      <c r="AK54" s="1445"/>
      <c r="AL54" s="1445"/>
      <c r="AM54" s="1445"/>
    </row>
    <row r="55" spans="1:39">
      <c r="A55" s="108">
        <f>ROW()</f>
        <v>55</v>
      </c>
      <c r="Y55" s="1445" cm="1">
        <f t="array" aca="1" ref="Y55" ca="1">CELL("protect",A55)</f>
        <v>1</v>
      </c>
      <c r="Z55" s="1445" cm="1">
        <f t="array" aca="1" ref="Z55" ca="1">CELL("protect",B55)</f>
        <v>1</v>
      </c>
      <c r="AA55" s="1445" cm="1">
        <f t="array" aca="1" ref="AA55" ca="1">CELL("protect",C55)</f>
        <v>1</v>
      </c>
      <c r="AB55" s="1445" cm="1">
        <f t="array" aca="1" ref="AB55" ca="1">CELL("protect",D55)</f>
        <v>1</v>
      </c>
      <c r="AC55" s="1445" cm="1">
        <f t="array" aca="1" ref="AC55" ca="1">CELL("protect",E55)</f>
        <v>1</v>
      </c>
      <c r="AD55" s="1445" cm="1">
        <f t="array" aca="1" ref="AD55" ca="1">CELL("protect",F55)</f>
        <v>1</v>
      </c>
      <c r="AE55" s="1445" cm="1">
        <f t="array" aca="1" ref="AE55" ca="1">CELL("protect",G55)</f>
        <v>1</v>
      </c>
      <c r="AF55" s="1445" cm="1">
        <f t="array" aca="1" ref="AF55" ca="1">CELL("protect",H55)</f>
        <v>1</v>
      </c>
      <c r="AG55" s="1445" cm="1">
        <f t="array" aca="1" ref="AG55" ca="1">CELL("protect",I55)</f>
        <v>1</v>
      </c>
      <c r="AH55" s="1445" cm="1">
        <f t="array" aca="1" ref="AH55" ca="1">CELL("protect",J55)</f>
        <v>1</v>
      </c>
      <c r="AI55" s="1445" cm="1">
        <f t="array" aca="1" ref="AI55" ca="1">CELL("protect",K55)</f>
        <v>1</v>
      </c>
      <c r="AJ55" s="1445" cm="1">
        <f t="array" aca="1" ref="AJ55" ca="1">CELL("protect",L55)</f>
        <v>1</v>
      </c>
      <c r="AK55" s="1445"/>
      <c r="AL55" s="1445"/>
      <c r="AM55" s="1445"/>
    </row>
    <row r="56" spans="1:39">
      <c r="A56" s="108">
        <f>ROW()</f>
        <v>56</v>
      </c>
    </row>
    <row r="57" spans="1:39">
      <c r="A57" s="108">
        <f>ROW()</f>
        <v>57</v>
      </c>
    </row>
    <row r="58" spans="1:39">
      <c r="A58" s="108">
        <f>ROW()</f>
        <v>58</v>
      </c>
    </row>
    <row r="59" spans="1:39">
      <c r="A59" s="108">
        <f>ROW()</f>
        <v>59</v>
      </c>
    </row>
    <row r="60" spans="1:39">
      <c r="A60" s="108">
        <f>ROW()</f>
        <v>60</v>
      </c>
    </row>
    <row r="61" spans="1:39">
      <c r="A61" s="108">
        <f>ROW()</f>
        <v>61</v>
      </c>
    </row>
    <row r="62" spans="1:39">
      <c r="A62" s="108">
        <f>ROW()</f>
        <v>62</v>
      </c>
    </row>
    <row r="63" spans="1:39">
      <c r="A63" s="108">
        <f>ROW()</f>
        <v>63</v>
      </c>
    </row>
    <row r="64" spans="1:39">
      <c r="A64" s="108">
        <f>ROW()</f>
        <v>64</v>
      </c>
    </row>
    <row r="65" spans="1:1">
      <c r="A65" s="108">
        <f>ROW()</f>
        <v>65</v>
      </c>
    </row>
    <row r="66" spans="1:1">
      <c r="A66" s="108">
        <f>ROW()</f>
        <v>66</v>
      </c>
    </row>
    <row r="67" spans="1:1">
      <c r="A67" s="108">
        <f>ROW()</f>
        <v>67</v>
      </c>
    </row>
    <row r="68" spans="1:1">
      <c r="A68" s="108">
        <f>ROW()</f>
        <v>68</v>
      </c>
    </row>
    <row r="69" spans="1:1">
      <c r="A69" s="108">
        <f>ROW()</f>
        <v>69</v>
      </c>
    </row>
    <row r="70" spans="1:1">
      <c r="A70" s="108">
        <f>ROW()</f>
        <v>70</v>
      </c>
    </row>
    <row r="71" spans="1:1">
      <c r="A71" s="108">
        <f>ROW()</f>
        <v>71</v>
      </c>
    </row>
    <row r="72" spans="1:1">
      <c r="A72" s="108">
        <f>ROW()</f>
        <v>72</v>
      </c>
    </row>
    <row r="73" spans="1:1">
      <c r="A73" s="108">
        <f>ROW()</f>
        <v>73</v>
      </c>
    </row>
    <row r="74" spans="1:1">
      <c r="A74" s="108">
        <f>ROW()</f>
        <v>74</v>
      </c>
    </row>
    <row r="75" spans="1:1">
      <c r="A75" s="108">
        <f>ROW()</f>
        <v>75</v>
      </c>
    </row>
    <row r="76" spans="1:1">
      <c r="A76" s="108">
        <f>ROW()</f>
        <v>76</v>
      </c>
    </row>
    <row r="77" spans="1:1">
      <c r="A77" s="108">
        <f>ROW()</f>
        <v>77</v>
      </c>
    </row>
    <row r="78" spans="1:1">
      <c r="A78" s="108">
        <f>ROW()</f>
        <v>78</v>
      </c>
    </row>
    <row r="79" spans="1:1">
      <c r="A79" s="108">
        <f>ROW()</f>
        <v>79</v>
      </c>
    </row>
    <row r="80" spans="1:1">
      <c r="A80" s="108">
        <f>ROW()</f>
        <v>80</v>
      </c>
    </row>
    <row r="81" spans="1:1">
      <c r="A81" s="108">
        <f>ROW()</f>
        <v>81</v>
      </c>
    </row>
    <row r="82" spans="1:1">
      <c r="A82" s="108">
        <f>ROW()</f>
        <v>82</v>
      </c>
    </row>
    <row r="83" spans="1:1">
      <c r="A83" s="108">
        <f>ROW()</f>
        <v>83</v>
      </c>
    </row>
    <row r="84" spans="1:1">
      <c r="A84" s="108">
        <f>ROW()</f>
        <v>84</v>
      </c>
    </row>
    <row r="85" spans="1:1">
      <c r="A85" s="108">
        <f>ROW()</f>
        <v>85</v>
      </c>
    </row>
    <row r="86" spans="1:1">
      <c r="A86" s="108">
        <f>ROW()</f>
        <v>86</v>
      </c>
    </row>
    <row r="87" spans="1:1">
      <c r="A87" s="108">
        <f>ROW()</f>
        <v>87</v>
      </c>
    </row>
    <row r="88" spans="1:1">
      <c r="A88" s="108">
        <f>ROW()</f>
        <v>88</v>
      </c>
    </row>
    <row r="89" spans="1:1">
      <c r="A89" s="108">
        <f>ROW()</f>
        <v>89</v>
      </c>
    </row>
    <row r="90" spans="1:1">
      <c r="A90" s="108">
        <f>ROW()</f>
        <v>90</v>
      </c>
    </row>
    <row r="91" spans="1:1">
      <c r="A91" s="108">
        <f>ROW()</f>
        <v>91</v>
      </c>
    </row>
    <row r="92" spans="1:1">
      <c r="A92" s="108">
        <f>ROW()</f>
        <v>92</v>
      </c>
    </row>
    <row r="93" spans="1:1">
      <c r="A93" s="108">
        <f>ROW()</f>
        <v>93</v>
      </c>
    </row>
    <row r="94" spans="1:1">
      <c r="A94" s="108">
        <f>ROW()</f>
        <v>94</v>
      </c>
    </row>
    <row r="95" spans="1:1">
      <c r="A95" s="108">
        <f>ROW()</f>
        <v>95</v>
      </c>
    </row>
    <row r="96" spans="1:1">
      <c r="A96" s="108">
        <f>ROW()</f>
        <v>96</v>
      </c>
    </row>
    <row r="97" spans="1:1">
      <c r="A97" s="108">
        <f>ROW()</f>
        <v>97</v>
      </c>
    </row>
    <row r="98" spans="1:1">
      <c r="A98" s="108">
        <f>ROW()</f>
        <v>98</v>
      </c>
    </row>
    <row r="99" spans="1:1">
      <c r="A99" s="108">
        <f>ROW()</f>
        <v>99</v>
      </c>
    </row>
    <row r="100" spans="1:1">
      <c r="A100" s="108">
        <f>ROW()</f>
        <v>100</v>
      </c>
    </row>
  </sheetData>
  <sheetProtection sheet="1" objects="1" scenarios="1"/>
  <conditionalFormatting sqref="C1">
    <cfRule type="expression" dxfId="32" priority="4" stopIfTrue="1">
      <formula>MOD(ROW(),2)=0</formula>
    </cfRule>
  </conditionalFormatting>
  <conditionalFormatting sqref="Y1:AM55">
    <cfRule type="cellIs" dxfId="31" priority="3" stopIfTrue="1" operator="equal">
      <formula>0</formula>
    </cfRule>
  </conditionalFormatting>
  <pageMargins left="0.25" right="0.25" top="0.5" bottom="0.45" header="0.25" footer="0.25"/>
  <pageSetup scale="67" fitToHeight="2" orientation="landscape" r:id="rId1"/>
  <headerFooter>
    <oddHeader xml:space="preserve">&amp;L &amp;C &amp;R </oddHeader>
    <oddFooter>&amp;L&amp;7&amp;D  at &amp;T Mike 702.486.8879&amp;C&amp;7&amp;F  &amp;A&amp;R&amp;7Page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99"/>
  </sheetPr>
  <dimension ref="A1:Z69"/>
  <sheetViews>
    <sheetView topLeftCell="A17" zoomScale="95" workbookViewId="0">
      <selection activeCell="F43" sqref="F43:L43"/>
    </sheetView>
  </sheetViews>
  <sheetFormatPr defaultColWidth="8.6640625" defaultRowHeight="13.8"/>
  <cols>
    <col min="1" max="1" width="7" style="32" customWidth="1"/>
    <col min="2" max="2" width="32.6640625" style="32" customWidth="1"/>
    <col min="3" max="3" width="15.5546875" style="32" customWidth="1"/>
    <col min="4" max="4" width="17.33203125" style="32" customWidth="1"/>
    <col min="5" max="5" width="2.33203125" style="32" customWidth="1"/>
    <col min="6" max="6" width="12.33203125" style="32" customWidth="1"/>
    <col min="7" max="12" width="13.6640625" style="32" customWidth="1"/>
    <col min="13" max="13" width="4.6640625" style="32" customWidth="1"/>
    <col min="14" max="14" width="76.5546875" style="257" customWidth="1"/>
    <col min="15" max="15" width="11.5546875" style="32" bestFit="1" customWidth="1"/>
    <col min="16" max="16" width="8.6640625" style="32"/>
    <col min="17" max="17" width="17.33203125" style="32" customWidth="1"/>
    <col min="18" max="16384" width="8.6640625" style="32"/>
  </cols>
  <sheetData>
    <row r="1" spans="1:26" ht="33.6" customHeight="1">
      <c r="A1" s="1859" t="s">
        <v>49</v>
      </c>
      <c r="B1" s="1859"/>
      <c r="D1" s="347"/>
      <c r="F1" s="78"/>
      <c r="K1" s="580"/>
      <c r="O1" s="1445" cm="1">
        <f t="array" aca="1" ref="O1" ca="1">CELL("protect",A1)</f>
        <v>1</v>
      </c>
      <c r="P1" s="1445" cm="1">
        <f t="array" aca="1" ref="P1" ca="1">CELL("protect",B1)</f>
        <v>1</v>
      </c>
      <c r="Q1" s="1445" cm="1">
        <f t="array" aca="1" ref="Q1" ca="1">CELL("protect",C1)</f>
        <v>1</v>
      </c>
      <c r="R1" s="1445" cm="1">
        <f t="array" aca="1" ref="R1" ca="1">CELL("protect",D1)</f>
        <v>1</v>
      </c>
      <c r="S1" s="1445" cm="1">
        <f t="array" aca="1" ref="S1" ca="1">CELL("protect",E1)</f>
        <v>1</v>
      </c>
      <c r="T1" s="1445" cm="1">
        <f t="array" aca="1" ref="T1" ca="1">CELL("protect",F1)</f>
        <v>1</v>
      </c>
      <c r="U1" s="1445" cm="1">
        <f t="array" aca="1" ref="U1" ca="1">CELL("protect",G1)</f>
        <v>1</v>
      </c>
      <c r="V1" s="1445" cm="1">
        <f t="array" aca="1" ref="V1" ca="1">CELL("protect",H1)</f>
        <v>1</v>
      </c>
      <c r="W1" s="1445" cm="1">
        <f t="array" aca="1" ref="W1" ca="1">CELL("protect",I1)</f>
        <v>1</v>
      </c>
      <c r="X1" s="1445" cm="1">
        <f t="array" aca="1" ref="X1" ca="1">CELL("protect",J1)</f>
        <v>1</v>
      </c>
      <c r="Y1" s="1445" cm="1">
        <f t="array" aca="1" ref="Y1" ca="1">CELL("protect",K1)</f>
        <v>1</v>
      </c>
      <c r="Z1" s="1445" cm="1">
        <f t="array" aca="1" ref="Z1" ca="1">CELL("protect",L1)</f>
        <v>1</v>
      </c>
    </row>
    <row r="2" spans="1:26" ht="15.6">
      <c r="A2" s="35" t="str">
        <f>SchoolName</f>
        <v>Pahrump Valley Academy</v>
      </c>
      <c r="B2" s="36"/>
      <c r="C2" s="30"/>
      <c r="F2" s="1858"/>
      <c r="G2" s="1858"/>
      <c r="H2" s="1858"/>
      <c r="I2" s="1858"/>
      <c r="J2" s="1858"/>
      <c r="K2" s="1858"/>
      <c r="L2" s="1858"/>
    </row>
    <row r="3" spans="1:26">
      <c r="A3" s="37"/>
      <c r="F3" s="1858"/>
      <c r="G3" s="1858"/>
      <c r="H3" s="1858"/>
      <c r="I3" s="1858"/>
      <c r="J3" s="1858"/>
      <c r="K3" s="1858"/>
      <c r="L3" s="1858"/>
    </row>
    <row r="4" spans="1:26">
      <c r="A4" s="38"/>
      <c r="F4" s="1858"/>
      <c r="G4" s="1858"/>
      <c r="H4" s="1858"/>
      <c r="I4" s="1858"/>
      <c r="J4" s="1858"/>
      <c r="K4" s="1858"/>
      <c r="L4" s="1858"/>
    </row>
    <row r="5" spans="1:26">
      <c r="A5" s="29"/>
    </row>
    <row r="6" spans="1:26">
      <c r="F6" s="1511">
        <f>' Enrol &amp; Rev'!F9</f>
        <v>0</v>
      </c>
      <c r="G6" s="1733">
        <f>' Enrol &amp; Rev'!G9</f>
        <v>1</v>
      </c>
      <c r="H6" s="1733">
        <f>' Enrol &amp; Rev'!H9</f>
        <v>2</v>
      </c>
      <c r="I6" s="1733">
        <f>' Enrol &amp; Rev'!I9</f>
        <v>3</v>
      </c>
      <c r="J6" s="1733">
        <f>' Enrol &amp; Rev'!J9</f>
        <v>4</v>
      </c>
      <c r="K6" s="1733">
        <f>' Enrol &amp; Rev'!K9</f>
        <v>5</v>
      </c>
      <c r="L6" s="1734">
        <f>' Enrol &amp; Rev'!L9</f>
        <v>6</v>
      </c>
    </row>
    <row r="7" spans="1:26">
      <c r="F7" s="1738">
        <f>' Enrol &amp; Rev'!F10</f>
        <v>2025</v>
      </c>
      <c r="G7" s="1738">
        <f>' Enrol &amp; Rev'!G10</f>
        <v>2026</v>
      </c>
      <c r="H7" s="1739">
        <f>' Enrol &amp; Rev'!H10</f>
        <v>2027</v>
      </c>
      <c r="I7" s="1739">
        <f>' Enrol &amp; Rev'!I10</f>
        <v>2028</v>
      </c>
      <c r="J7" s="1739">
        <f>' Enrol &amp; Rev'!J10</f>
        <v>2029</v>
      </c>
      <c r="K7" s="1739">
        <f>' Enrol &amp; Rev'!K10</f>
        <v>2030</v>
      </c>
      <c r="L7" s="1740">
        <f>' Enrol &amp; Rev'!L10</f>
        <v>2031</v>
      </c>
    </row>
    <row r="8" spans="1:26">
      <c r="F8" s="1744">
        <f>' Enrol &amp; Rev'!F11</f>
        <v>2026</v>
      </c>
      <c r="G8" s="1744">
        <f>' Enrol &amp; Rev'!G11</f>
        <v>2027</v>
      </c>
      <c r="H8" s="1742">
        <f>' Enrol &amp; Rev'!H11</f>
        <v>2028</v>
      </c>
      <c r="I8" s="1742">
        <f>' Enrol &amp; Rev'!I11</f>
        <v>2029</v>
      </c>
      <c r="J8" s="1742">
        <f>' Enrol &amp; Rev'!J11</f>
        <v>2030</v>
      </c>
      <c r="K8" s="1742">
        <f>' Enrol &amp; Rev'!K11</f>
        <v>2031</v>
      </c>
      <c r="L8" s="1745">
        <f>' Enrol &amp; Rev'!L11</f>
        <v>2032</v>
      </c>
    </row>
    <row r="10" spans="1:26">
      <c r="A10" s="290">
        <f>ROW()</f>
        <v>10</v>
      </c>
      <c r="B10" s="1710" t="s">
        <v>453</v>
      </c>
      <c r="C10" s="1746"/>
      <c r="D10" s="1746"/>
      <c r="E10" s="1746"/>
      <c r="F10" s="1746"/>
      <c r="G10" s="1712"/>
      <c r="H10" s="1712"/>
      <c r="I10" s="1712"/>
      <c r="J10" s="1712"/>
      <c r="K10" s="1712"/>
      <c r="L10" s="1712"/>
      <c r="N10" s="1426" t="s">
        <v>1253</v>
      </c>
    </row>
    <row r="11" spans="1:26">
      <c r="A11" s="290">
        <f>ROW()</f>
        <v>11</v>
      </c>
      <c r="B11" s="32" t="s">
        <v>706</v>
      </c>
      <c r="G11" s="361">
        <f>' Enrol &amp; Rev'!G36</f>
        <v>275</v>
      </c>
      <c r="H11" s="361">
        <f>' Enrol &amp; Rev'!H36</f>
        <v>350</v>
      </c>
      <c r="I11" s="361">
        <f>' Enrol &amp; Rev'!I36</f>
        <v>400</v>
      </c>
      <c r="J11" s="361">
        <f>' Enrol &amp; Rev'!J36</f>
        <v>450</v>
      </c>
      <c r="K11" s="361">
        <f>' Enrol &amp; Rev'!K36</f>
        <v>450</v>
      </c>
      <c r="L11" s="361">
        <f>' Enrol &amp; Rev'!L36</f>
        <v>450</v>
      </c>
      <c r="M11" s="1748"/>
      <c r="N11" s="394"/>
    </row>
    <row r="12" spans="1:26">
      <c r="A12" s="290">
        <f>ROW()</f>
        <v>12</v>
      </c>
      <c r="B12" s="32" t="s">
        <v>1289</v>
      </c>
      <c r="G12" s="968">
        <f>+Staff!H24</f>
        <v>27</v>
      </c>
      <c r="H12" s="968">
        <f>+Staff!I24</f>
        <v>39</v>
      </c>
      <c r="I12" s="968">
        <f>+Staff!J24</f>
        <v>44</v>
      </c>
      <c r="J12" s="968">
        <f>+Staff!K24</f>
        <v>51</v>
      </c>
      <c r="K12" s="968">
        <f>+Staff!L24</f>
        <v>51</v>
      </c>
      <c r="L12" s="968">
        <f>+Staff!M24</f>
        <v>51</v>
      </c>
      <c r="M12" s="1748"/>
      <c r="N12" s="394"/>
    </row>
    <row r="13" spans="1:26">
      <c r="A13" s="290">
        <f>ROW()</f>
        <v>13</v>
      </c>
      <c r="F13" s="1171" t="s">
        <v>1290</v>
      </c>
      <c r="N13" s="287"/>
    </row>
    <row r="14" spans="1:26">
      <c r="A14" s="290">
        <f>ROW()</f>
        <v>14</v>
      </c>
      <c r="B14" s="32" t="s">
        <v>707</v>
      </c>
      <c r="C14" s="1174"/>
      <c r="D14" s="257"/>
      <c r="E14" s="257"/>
      <c r="F14" s="1172">
        <v>0</v>
      </c>
      <c r="G14" s="1172">
        <v>2</v>
      </c>
      <c r="H14" s="1172">
        <v>3</v>
      </c>
      <c r="I14" s="1172">
        <v>4</v>
      </c>
      <c r="J14" s="1172">
        <v>5</v>
      </c>
      <c r="K14" s="1172">
        <v>5</v>
      </c>
      <c r="L14" s="1172">
        <v>5</v>
      </c>
      <c r="N14" s="287"/>
    </row>
    <row r="15" spans="1:26">
      <c r="A15" s="290">
        <f>ROW()</f>
        <v>15</v>
      </c>
      <c r="B15" s="32" t="s">
        <v>708</v>
      </c>
      <c r="C15" s="1174"/>
      <c r="D15" s="257"/>
      <c r="E15" s="257"/>
      <c r="F15" s="1172">
        <v>0</v>
      </c>
      <c r="G15" s="1172">
        <f>G14*6000</f>
        <v>12000</v>
      </c>
      <c r="H15" s="1172">
        <f t="shared" ref="H15:L15" si="0">H14*6000</f>
        <v>18000</v>
      </c>
      <c r="I15" s="1172">
        <f t="shared" si="0"/>
        <v>24000</v>
      </c>
      <c r="J15" s="1172">
        <f t="shared" si="0"/>
        <v>30000</v>
      </c>
      <c r="K15" s="1172">
        <f t="shared" si="0"/>
        <v>30000</v>
      </c>
      <c r="L15" s="1172">
        <f t="shared" si="0"/>
        <v>30000</v>
      </c>
      <c r="N15" s="287"/>
    </row>
    <row r="16" spans="1:26">
      <c r="A16" s="290">
        <f>ROW()</f>
        <v>16</v>
      </c>
      <c r="B16" s="32" t="s">
        <v>709</v>
      </c>
      <c r="C16" s="671">
        <v>10</v>
      </c>
      <c r="D16" s="257" t="s">
        <v>305</v>
      </c>
      <c r="E16" s="257"/>
      <c r="F16" s="1173">
        <v>0</v>
      </c>
      <c r="G16" s="1173">
        <f t="shared" ref="G16:L16" si="1">$C$16*G11</f>
        <v>2750</v>
      </c>
      <c r="H16" s="1173">
        <f t="shared" si="1"/>
        <v>3500</v>
      </c>
      <c r="I16" s="1173">
        <f t="shared" si="1"/>
        <v>4000</v>
      </c>
      <c r="J16" s="1173">
        <f t="shared" si="1"/>
        <v>4500</v>
      </c>
      <c r="K16" s="1173">
        <f t="shared" si="1"/>
        <v>4500</v>
      </c>
      <c r="L16" s="1173">
        <f t="shared" si="1"/>
        <v>4500</v>
      </c>
      <c r="N16" s="287"/>
    </row>
    <row r="17" spans="1:14">
      <c r="A17" s="290">
        <f>ROW()</f>
        <v>17</v>
      </c>
      <c r="B17" s="32" t="s">
        <v>710</v>
      </c>
      <c r="C17" s="671">
        <v>300</v>
      </c>
      <c r="D17" s="257" t="s">
        <v>711</v>
      </c>
      <c r="E17" s="257"/>
      <c r="F17" s="1173">
        <v>0</v>
      </c>
      <c r="G17" s="1173">
        <f>IF($C$17*(Staff!H24-Staff!G24)&gt;0,$C$17*(Staff!H24-Staff!G24),0)</f>
        <v>8100</v>
      </c>
      <c r="H17" s="1173">
        <f>IF($C$17*(Staff!I24-Staff!H24)&gt;0,$C$17*(Staff!I24-Staff!H24),0)</f>
        <v>3600</v>
      </c>
      <c r="I17" s="1173">
        <f>IF($C$17*(Staff!J24-Staff!I24)&gt;0,$C$17*(Staff!J24-Staff!I24),0)</f>
        <v>1500</v>
      </c>
      <c r="J17" s="1173">
        <f>IF($C$17*(Staff!K24-Staff!J24)&gt;0,$C$17*(Staff!K24-Staff!J24),0)</f>
        <v>2100</v>
      </c>
      <c r="K17" s="1173">
        <f>IF($C$17*(Staff!L24-Staff!K24)&gt;0,$C$17*(Staff!L24-Staff!K24),0)</f>
        <v>0</v>
      </c>
      <c r="L17" s="1173">
        <f>IF($C$17*(Staff!M24-Staff!L24)&gt;0,$C$17*(Staff!M24-Staff!L24),0)</f>
        <v>0</v>
      </c>
      <c r="N17" s="287" t="s">
        <v>1447</v>
      </c>
    </row>
    <row r="18" spans="1:14">
      <c r="A18" s="290">
        <f>ROW()</f>
        <v>18</v>
      </c>
      <c r="B18" s="32" t="s">
        <v>712</v>
      </c>
      <c r="C18" s="671">
        <v>300</v>
      </c>
      <c r="D18" s="257"/>
      <c r="E18" s="257"/>
      <c r="F18" s="1173">
        <v>0</v>
      </c>
      <c r="G18" s="1173">
        <v>0</v>
      </c>
      <c r="H18" s="1173">
        <v>0</v>
      </c>
      <c r="I18" s="1173">
        <v>0</v>
      </c>
      <c r="J18" s="1173">
        <v>0</v>
      </c>
      <c r="K18" s="1173">
        <v>0</v>
      </c>
      <c r="L18" s="1173">
        <f>IF($C$17*(Staff!H24-Staff!G24)&gt;0,$C$17*(Staff!H24-Staff!G24),0)</f>
        <v>8100</v>
      </c>
      <c r="N18" s="287"/>
    </row>
    <row r="19" spans="1:14">
      <c r="A19" s="290">
        <f>ROW()</f>
        <v>19</v>
      </c>
      <c r="B19" s="32" t="s">
        <v>713</v>
      </c>
      <c r="C19" s="671">
        <v>260</v>
      </c>
      <c r="D19" s="257"/>
      <c r="E19" s="257"/>
      <c r="F19" s="1173">
        <v>0</v>
      </c>
      <c r="G19" s="1173">
        <f>$C$19*(G11)</f>
        <v>71500</v>
      </c>
      <c r="H19" s="1173">
        <f>IF($C$19*(H11-G11)&gt;0,$C$19*(H11-G11),0)</f>
        <v>19500</v>
      </c>
      <c r="I19" s="1173">
        <f t="shared" ref="I19:L19" si="2">IF($C$19*(I11-H11)&gt;0,$C$19*(I11-H11),0)</f>
        <v>13000</v>
      </c>
      <c r="J19" s="1173">
        <f t="shared" si="2"/>
        <v>13000</v>
      </c>
      <c r="K19" s="1173">
        <f t="shared" si="2"/>
        <v>0</v>
      </c>
      <c r="L19" s="1173">
        <f t="shared" si="2"/>
        <v>0</v>
      </c>
      <c r="N19" s="287" t="s">
        <v>1447</v>
      </c>
    </row>
    <row r="20" spans="1:14">
      <c r="A20" s="290">
        <f>ROW()</f>
        <v>20</v>
      </c>
      <c r="B20" s="32" t="s">
        <v>714</v>
      </c>
      <c r="C20" s="671">
        <v>260</v>
      </c>
      <c r="D20" s="257"/>
      <c r="E20" s="257"/>
      <c r="F20" s="1173">
        <v>0</v>
      </c>
      <c r="G20" s="1173">
        <v>0</v>
      </c>
      <c r="H20" s="1173">
        <v>0</v>
      </c>
      <c r="I20" s="1173">
        <v>0</v>
      </c>
      <c r="J20" s="1173">
        <v>0</v>
      </c>
      <c r="K20" s="1173">
        <v>0</v>
      </c>
      <c r="L20" s="1173">
        <f>$C$19*(G11)</f>
        <v>71500</v>
      </c>
      <c r="N20" s="287"/>
    </row>
    <row r="21" spans="1:14">
      <c r="A21" s="290">
        <f>ROW()</f>
        <v>21</v>
      </c>
      <c r="B21" s="32" t="s">
        <v>715</v>
      </c>
      <c r="C21" s="671">
        <v>750</v>
      </c>
      <c r="D21" s="257"/>
      <c r="E21" s="257"/>
      <c r="F21" s="1173">
        <v>0</v>
      </c>
      <c r="G21" s="1173">
        <f>$C$21*(G11/24)</f>
        <v>8593.75</v>
      </c>
      <c r="H21" s="1173">
        <f>IF($C$21*((H11-G11)/24)&gt;0,$C$21*((H11-G11)/24),0)</f>
        <v>2343.75</v>
      </c>
      <c r="I21" s="1173">
        <f t="shared" ref="I21:K21" si="3">IF($C$21*((I11-H11)/24)&gt;0,$C$21*((I11-H11)/24),0)</f>
        <v>1562.5</v>
      </c>
      <c r="J21" s="1173">
        <f t="shared" si="3"/>
        <v>1562.5</v>
      </c>
      <c r="K21" s="1173">
        <f t="shared" si="3"/>
        <v>0</v>
      </c>
      <c r="L21" s="1173">
        <f>G21</f>
        <v>8593.75</v>
      </c>
      <c r="N21" s="287" t="s">
        <v>1447</v>
      </c>
    </row>
    <row r="22" spans="1:14">
      <c r="A22" s="290">
        <f>ROW()</f>
        <v>22</v>
      </c>
      <c r="B22" s="32" t="s">
        <v>716</v>
      </c>
      <c r="C22" s="671">
        <v>0</v>
      </c>
      <c r="D22" s="257" t="s">
        <v>717</v>
      </c>
      <c r="E22" s="257"/>
      <c r="F22" s="1173">
        <v>0</v>
      </c>
      <c r="G22" s="1173">
        <f>IF($C$22*(Staff!H24-Staff!G24)&gt;0,$C$22*(Staff!H24-Staff!G24),0)</f>
        <v>0</v>
      </c>
      <c r="H22" s="1173">
        <f>IF($C$22*(Staff!I24-Staff!H24)&gt;0,$C$22*(Staff!I24-Staff!H24),0)</f>
        <v>0</v>
      </c>
      <c r="I22" s="1173">
        <f>IF($C$22*(Staff!J24-Staff!I24)&gt;0,$C$22*(Staff!J24-Staff!I24),0)</f>
        <v>0</v>
      </c>
      <c r="J22" s="1173">
        <f>IF($C$22*(Staff!K24-Staff!J24)&gt;0,$C$22*(Staff!K24-Staff!J24),0)</f>
        <v>0</v>
      </c>
      <c r="K22" s="1173">
        <f>IF($C$22*(Staff!L24-Staff!K24)&gt;0,$C$22*(Staff!L24-Staff!K24),0)</f>
        <v>0</v>
      </c>
      <c r="L22" s="1173">
        <f>IF($C$22*(Staff!M24-Staff!L24)&gt;0,$C$22*(Staff!M24-Staff!L24),0)</f>
        <v>0</v>
      </c>
      <c r="N22" s="287"/>
    </row>
    <row r="23" spans="1:14">
      <c r="A23" s="290">
        <f>ROW()</f>
        <v>23</v>
      </c>
      <c r="B23" s="32" t="s">
        <v>718</v>
      </c>
      <c r="C23" s="671">
        <v>0</v>
      </c>
      <c r="D23" s="257" t="s">
        <v>640</v>
      </c>
      <c r="E23" s="257"/>
      <c r="F23" s="1173">
        <v>0</v>
      </c>
      <c r="G23" s="1173">
        <f>($C$23*12)*Staff!H24</f>
        <v>0</v>
      </c>
      <c r="H23" s="1173">
        <f>($C$23*12)*Staff!I24</f>
        <v>0</v>
      </c>
      <c r="I23" s="1173">
        <f>($C$23*12)*Staff!J24</f>
        <v>0</v>
      </c>
      <c r="J23" s="1173">
        <f>($C$23*12)*Staff!K24</f>
        <v>0</v>
      </c>
      <c r="K23" s="1173">
        <f>($C$23*12)*Staff!L24</f>
        <v>0</v>
      </c>
      <c r="L23" s="1173">
        <f>($C$23*12)*Staff!M24</f>
        <v>0</v>
      </c>
      <c r="N23" s="287"/>
    </row>
    <row r="24" spans="1:14">
      <c r="A24" s="290">
        <f>ROW()</f>
        <v>24</v>
      </c>
      <c r="B24" s="32" t="s">
        <v>719</v>
      </c>
      <c r="C24" s="420"/>
      <c r="D24" s="257"/>
      <c r="E24" s="257"/>
      <c r="F24" s="1173">
        <v>0</v>
      </c>
      <c r="G24" s="1173">
        <v>0</v>
      </c>
      <c r="H24" s="1173">
        <v>0</v>
      </c>
      <c r="I24" s="1173">
        <v>0</v>
      </c>
      <c r="J24" s="1173">
        <v>0</v>
      </c>
      <c r="K24" s="1173">
        <v>0</v>
      </c>
      <c r="L24" s="1173">
        <v>0</v>
      </c>
      <c r="N24" s="287"/>
    </row>
    <row r="25" spans="1:14">
      <c r="A25" s="290">
        <f>ROW()</f>
        <v>25</v>
      </c>
      <c r="B25" s="32" t="s">
        <v>720</v>
      </c>
      <c r="C25" s="420"/>
      <c r="D25" s="257"/>
      <c r="E25" s="257"/>
      <c r="F25" s="1173">
        <v>0</v>
      </c>
      <c r="G25" s="1173">
        <v>0</v>
      </c>
      <c r="H25" s="1173">
        <v>0</v>
      </c>
      <c r="I25" s="1173">
        <v>0</v>
      </c>
      <c r="J25" s="1173">
        <v>0</v>
      </c>
      <c r="K25" s="1173">
        <v>0</v>
      </c>
      <c r="L25" s="1173">
        <v>0</v>
      </c>
      <c r="N25" s="287"/>
    </row>
    <row r="26" spans="1:14">
      <c r="A26" s="290">
        <f>ROW()</f>
        <v>26</v>
      </c>
      <c r="B26" s="32" t="s">
        <v>721</v>
      </c>
      <c r="C26" s="671">
        <v>500</v>
      </c>
      <c r="D26" s="257" t="s">
        <v>722</v>
      </c>
      <c r="E26" s="257"/>
      <c r="F26" s="1173">
        <v>0</v>
      </c>
      <c r="G26" s="1173">
        <f>$C$26*(G11/24)</f>
        <v>5729.166666666667</v>
      </c>
      <c r="H26" s="1173">
        <f>IF($C$26*((H11-G11)/24)&gt;0,$C$26*((H11-G11)/24),0)</f>
        <v>1562.5</v>
      </c>
      <c r="I26" s="1173">
        <f t="shared" ref="I26:L26" si="4">IF($C$26*((I11-H11)/24)&gt;0,$C$26*((I11-H11)/24),0)</f>
        <v>1041.6666666666667</v>
      </c>
      <c r="J26" s="1173">
        <f t="shared" si="4"/>
        <v>1041.6666666666667</v>
      </c>
      <c r="K26" s="1173">
        <f t="shared" si="4"/>
        <v>0</v>
      </c>
      <c r="L26" s="1173">
        <f t="shared" si="4"/>
        <v>0</v>
      </c>
      <c r="N26" s="287"/>
    </row>
    <row r="27" spans="1:14">
      <c r="A27" s="290">
        <f>ROW()</f>
        <v>27</v>
      </c>
      <c r="B27" s="1776" t="s">
        <v>723</v>
      </c>
      <c r="C27" s="671">
        <v>35</v>
      </c>
      <c r="D27" s="257" t="s">
        <v>305</v>
      </c>
      <c r="E27" s="257"/>
      <c r="F27" s="1173">
        <v>0</v>
      </c>
      <c r="G27" s="1173">
        <f t="shared" ref="G27:L31" si="5">$C27*G$11</f>
        <v>9625</v>
      </c>
      <c r="H27" s="1173">
        <f t="shared" si="5"/>
        <v>12250</v>
      </c>
      <c r="I27" s="1173">
        <f t="shared" si="5"/>
        <v>14000</v>
      </c>
      <c r="J27" s="1173">
        <f t="shared" si="5"/>
        <v>15750</v>
      </c>
      <c r="K27" s="1173">
        <f t="shared" si="5"/>
        <v>15750</v>
      </c>
      <c r="L27" s="1173">
        <f t="shared" si="5"/>
        <v>15750</v>
      </c>
      <c r="N27" s="287"/>
    </row>
    <row r="28" spans="1:14">
      <c r="A28" s="290">
        <f>ROW()</f>
        <v>28</v>
      </c>
      <c r="B28" s="1776" t="s">
        <v>1295</v>
      </c>
      <c r="C28" s="671">
        <v>18</v>
      </c>
      <c r="D28" s="257" t="s">
        <v>305</v>
      </c>
      <c r="E28" s="257"/>
      <c r="F28" s="1173">
        <v>0</v>
      </c>
      <c r="G28" s="1173">
        <f t="shared" si="5"/>
        <v>4950</v>
      </c>
      <c r="H28" s="1173">
        <f t="shared" si="5"/>
        <v>6300</v>
      </c>
      <c r="I28" s="1173">
        <f t="shared" si="5"/>
        <v>7200</v>
      </c>
      <c r="J28" s="1173">
        <f t="shared" si="5"/>
        <v>8100</v>
      </c>
      <c r="K28" s="1173">
        <f t="shared" si="5"/>
        <v>8100</v>
      </c>
      <c r="L28" s="1173">
        <f t="shared" si="5"/>
        <v>8100</v>
      </c>
      <c r="N28" s="287"/>
    </row>
    <row r="29" spans="1:14">
      <c r="A29" s="290">
        <f>ROW()</f>
        <v>29</v>
      </c>
      <c r="B29" s="1776" t="s">
        <v>1293</v>
      </c>
      <c r="C29" s="671">
        <v>0</v>
      </c>
      <c r="D29" s="257" t="s">
        <v>305</v>
      </c>
      <c r="E29" s="257"/>
      <c r="F29" s="1173">
        <v>0</v>
      </c>
      <c r="G29" s="1173">
        <f t="shared" si="5"/>
        <v>0</v>
      </c>
      <c r="H29" s="1173">
        <f t="shared" si="5"/>
        <v>0</v>
      </c>
      <c r="I29" s="1173">
        <f t="shared" si="5"/>
        <v>0</v>
      </c>
      <c r="J29" s="1173">
        <f t="shared" si="5"/>
        <v>0</v>
      </c>
      <c r="K29" s="1173">
        <f t="shared" si="5"/>
        <v>0</v>
      </c>
      <c r="L29" s="1173">
        <f t="shared" si="5"/>
        <v>0</v>
      </c>
      <c r="N29" s="287"/>
    </row>
    <row r="30" spans="1:14">
      <c r="A30" s="290">
        <f>ROW()</f>
        <v>30</v>
      </c>
      <c r="B30" s="1776" t="s">
        <v>1294</v>
      </c>
      <c r="C30" s="671">
        <v>25</v>
      </c>
      <c r="D30" s="257" t="s">
        <v>305</v>
      </c>
      <c r="E30" s="257"/>
      <c r="F30" s="1173">
        <v>0</v>
      </c>
      <c r="G30" s="1173">
        <f t="shared" si="5"/>
        <v>6875</v>
      </c>
      <c r="H30" s="1173">
        <f t="shared" si="5"/>
        <v>8750</v>
      </c>
      <c r="I30" s="1173">
        <f t="shared" si="5"/>
        <v>10000</v>
      </c>
      <c r="J30" s="1173">
        <f t="shared" si="5"/>
        <v>11250</v>
      </c>
      <c r="K30" s="1173">
        <f t="shared" si="5"/>
        <v>11250</v>
      </c>
      <c r="L30" s="1173">
        <f t="shared" si="5"/>
        <v>11250</v>
      </c>
      <c r="N30" s="287"/>
    </row>
    <row r="31" spans="1:14">
      <c r="A31" s="290">
        <f>ROW()</f>
        <v>31</v>
      </c>
      <c r="B31" s="1776" t="s">
        <v>1296</v>
      </c>
      <c r="C31" s="671">
        <v>0</v>
      </c>
      <c r="D31" s="257" t="s">
        <v>305</v>
      </c>
      <c r="E31" s="257"/>
      <c r="F31" s="1173">
        <v>0</v>
      </c>
      <c r="G31" s="1173">
        <f t="shared" si="5"/>
        <v>0</v>
      </c>
      <c r="H31" s="1173">
        <f t="shared" si="5"/>
        <v>0</v>
      </c>
      <c r="I31" s="1173">
        <f t="shared" si="5"/>
        <v>0</v>
      </c>
      <c r="J31" s="1173">
        <f t="shared" si="5"/>
        <v>0</v>
      </c>
      <c r="K31" s="1173">
        <f t="shared" si="5"/>
        <v>0</v>
      </c>
      <c r="L31" s="1173">
        <f t="shared" si="5"/>
        <v>0</v>
      </c>
      <c r="N31" s="287"/>
    </row>
    <row r="32" spans="1:14">
      <c r="A32" s="290">
        <f>ROW()</f>
        <v>32</v>
      </c>
      <c r="B32" s="32" t="s">
        <v>724</v>
      </c>
      <c r="C32" s="671">
        <v>1200</v>
      </c>
      <c r="D32" s="257" t="s">
        <v>640</v>
      </c>
      <c r="E32" s="257"/>
      <c r="F32" s="1173">
        <v>0</v>
      </c>
      <c r="G32" s="1173">
        <f t="shared" ref="G32:L32" si="6">$C$32*12</f>
        <v>14400</v>
      </c>
      <c r="H32" s="1173">
        <f t="shared" si="6"/>
        <v>14400</v>
      </c>
      <c r="I32" s="1173">
        <f t="shared" si="6"/>
        <v>14400</v>
      </c>
      <c r="J32" s="1173">
        <f t="shared" si="6"/>
        <v>14400</v>
      </c>
      <c r="K32" s="1173">
        <f t="shared" si="6"/>
        <v>14400</v>
      </c>
      <c r="L32" s="1173">
        <f t="shared" si="6"/>
        <v>14400</v>
      </c>
      <c r="N32" s="287"/>
    </row>
    <row r="33" spans="1:14">
      <c r="A33" s="290">
        <f>ROW()</f>
        <v>33</v>
      </c>
      <c r="B33" s="32" t="s">
        <v>725</v>
      </c>
      <c r="C33" s="671">
        <v>625</v>
      </c>
      <c r="D33" s="257" t="s">
        <v>640</v>
      </c>
      <c r="E33" s="257"/>
      <c r="F33" s="1173">
        <v>0</v>
      </c>
      <c r="G33" s="1173">
        <f t="shared" ref="G33:L33" si="7">$C$33*12</f>
        <v>7500</v>
      </c>
      <c r="H33" s="1173">
        <f t="shared" si="7"/>
        <v>7500</v>
      </c>
      <c r="I33" s="1173">
        <f t="shared" si="7"/>
        <v>7500</v>
      </c>
      <c r="J33" s="1173">
        <f t="shared" si="7"/>
        <v>7500</v>
      </c>
      <c r="K33" s="1173">
        <f t="shared" si="7"/>
        <v>7500</v>
      </c>
      <c r="L33" s="1173">
        <f t="shared" si="7"/>
        <v>7500</v>
      </c>
      <c r="N33" s="287"/>
    </row>
    <row r="34" spans="1:14">
      <c r="A34" s="290">
        <f>ROW()</f>
        <v>34</v>
      </c>
      <c r="B34" s="32" t="s">
        <v>726</v>
      </c>
      <c r="C34" s="671">
        <v>50</v>
      </c>
      <c r="D34" s="257"/>
      <c r="E34" s="257"/>
      <c r="F34" s="1173">
        <v>0</v>
      </c>
      <c r="G34" s="1173">
        <f>$C$34*12</f>
        <v>600</v>
      </c>
      <c r="H34" s="1173">
        <f t="shared" ref="H34:L34" si="8">$C$34*12</f>
        <v>600</v>
      </c>
      <c r="I34" s="1173">
        <f t="shared" si="8"/>
        <v>600</v>
      </c>
      <c r="J34" s="1173">
        <f t="shared" si="8"/>
        <v>600</v>
      </c>
      <c r="K34" s="1173">
        <f t="shared" si="8"/>
        <v>600</v>
      </c>
      <c r="L34" s="1173">
        <f t="shared" si="8"/>
        <v>600</v>
      </c>
      <c r="N34" s="287"/>
    </row>
    <row r="35" spans="1:14" ht="27.6">
      <c r="A35" s="290">
        <f>ROW()</f>
        <v>35</v>
      </c>
      <c r="B35" s="41" t="s">
        <v>727</v>
      </c>
      <c r="C35" s="420"/>
      <c r="D35" s="257"/>
      <c r="E35" s="257"/>
      <c r="F35" s="1173">
        <v>0</v>
      </c>
      <c r="G35" s="1173">
        <v>0</v>
      </c>
      <c r="H35" s="1173">
        <v>0</v>
      </c>
      <c r="I35" s="1173">
        <v>0</v>
      </c>
      <c r="J35" s="1173">
        <v>0</v>
      </c>
      <c r="K35" s="1173">
        <v>0</v>
      </c>
      <c r="L35" s="1173">
        <v>0</v>
      </c>
      <c r="N35" s="287"/>
    </row>
    <row r="36" spans="1:14">
      <c r="A36" s="290">
        <f>ROW()</f>
        <v>36</v>
      </c>
      <c r="B36" s="32" t="s">
        <v>728</v>
      </c>
      <c r="C36" s="671">
        <v>0</v>
      </c>
      <c r="D36" s="257" t="s">
        <v>729</v>
      </c>
      <c r="E36" s="257"/>
      <c r="F36" s="1173">
        <v>0</v>
      </c>
      <c r="G36" s="1173">
        <v>0</v>
      </c>
      <c r="H36" s="1173">
        <v>0</v>
      </c>
      <c r="I36" s="1173">
        <v>0</v>
      </c>
      <c r="J36" s="1173">
        <v>0</v>
      </c>
      <c r="K36" s="1173">
        <v>0</v>
      </c>
      <c r="L36" s="1173">
        <v>0</v>
      </c>
      <c r="N36" s="287"/>
    </row>
    <row r="37" spans="1:14">
      <c r="A37" s="290">
        <f>ROW()</f>
        <v>37</v>
      </c>
      <c r="B37" s="32" t="s">
        <v>730</v>
      </c>
      <c r="C37" s="671">
        <v>0</v>
      </c>
      <c r="D37" s="257" t="s">
        <v>640</v>
      </c>
      <c r="E37" s="257"/>
      <c r="F37" s="1173">
        <v>0</v>
      </c>
      <c r="G37" s="1173">
        <f t="shared" ref="G37:L37" si="9">$C$37*12</f>
        <v>0</v>
      </c>
      <c r="H37" s="1173">
        <f t="shared" si="9"/>
        <v>0</v>
      </c>
      <c r="I37" s="1173">
        <f t="shared" si="9"/>
        <v>0</v>
      </c>
      <c r="J37" s="1173">
        <f t="shared" si="9"/>
        <v>0</v>
      </c>
      <c r="K37" s="1173">
        <f t="shared" si="9"/>
        <v>0</v>
      </c>
      <c r="L37" s="1173">
        <f t="shared" si="9"/>
        <v>0</v>
      </c>
      <c r="N37" s="287"/>
    </row>
    <row r="38" spans="1:14">
      <c r="A38" s="290">
        <f>ROW()</f>
        <v>38</v>
      </c>
      <c r="B38" s="32" t="s">
        <v>731</v>
      </c>
      <c r="C38" s="671">
        <v>0</v>
      </c>
      <c r="D38" s="257" t="s">
        <v>654</v>
      </c>
      <c r="E38" s="257"/>
      <c r="F38" s="1173">
        <v>0</v>
      </c>
      <c r="G38" s="1173">
        <f>IF($C$38*(Staff!H24-Staff!G24)&gt;0,$C$38*(Staff!H24-Staff!G24),0)</f>
        <v>0</v>
      </c>
      <c r="H38" s="1173">
        <f>IF($C$38*(Staff!I24-Staff!H24)&gt;0,$C$38*(Staff!I24-Staff!H24),0)</f>
        <v>0</v>
      </c>
      <c r="I38" s="1173">
        <f>IF($C$38*(Staff!J24-Staff!I24)&gt;0,$C$38*(Staff!J24-Staff!I24),0)</f>
        <v>0</v>
      </c>
      <c r="J38" s="1173">
        <f>IF($C$38*(Staff!K24-Staff!J24)&gt;0,$C$38*(Staff!K24-Staff!J24),0)</f>
        <v>0</v>
      </c>
      <c r="K38" s="1173">
        <f>IF($C$38*(Staff!L24-Staff!K24)&gt;0,$C$38*(Staff!L24-Staff!K24),0)</f>
        <v>0</v>
      </c>
      <c r="L38" s="1173">
        <f>IF($C$38*(Staff!M24-Staff!L24)&gt;0,$C$38*(Staff!M24-Staff!L24),0)</f>
        <v>0</v>
      </c>
      <c r="N38" s="287"/>
    </row>
    <row r="39" spans="1:14">
      <c r="A39" s="290">
        <f>ROW()</f>
        <v>39</v>
      </c>
      <c r="B39" s="32" t="s">
        <v>732</v>
      </c>
      <c r="C39" s="671">
        <v>50</v>
      </c>
      <c r="D39" s="257" t="s">
        <v>617</v>
      </c>
      <c r="E39" s="257"/>
      <c r="F39" s="1173">
        <v>0</v>
      </c>
      <c r="G39" s="1173">
        <f>$C$39*Staff!H24</f>
        <v>1350</v>
      </c>
      <c r="H39" s="1173">
        <f>$C$39*Staff!I24</f>
        <v>1950</v>
      </c>
      <c r="I39" s="1173">
        <f>$C$39*Staff!J24</f>
        <v>2200</v>
      </c>
      <c r="J39" s="1173">
        <f>$C$39*Staff!K24</f>
        <v>2550</v>
      </c>
      <c r="K39" s="1173">
        <f>$C$39*Staff!L24</f>
        <v>2550</v>
      </c>
      <c r="L39" s="1173">
        <f>$C$39*Staff!M24</f>
        <v>2550</v>
      </c>
      <c r="N39" s="287"/>
    </row>
    <row r="40" spans="1:14">
      <c r="A40" s="290">
        <f>ROW()</f>
        <v>40</v>
      </c>
      <c r="B40" s="32" t="s">
        <v>1297</v>
      </c>
      <c r="C40" s="671">
        <v>170</v>
      </c>
      <c r="D40" s="257" t="s">
        <v>654</v>
      </c>
      <c r="E40" s="257"/>
      <c r="F40" s="1173">
        <v>0</v>
      </c>
      <c r="G40" s="1173">
        <f>IF($C$40*(Staff!H24-Staff!G24)&gt;0,$C$40*(Staff!H24-Staff!G24),0)</f>
        <v>4590</v>
      </c>
      <c r="H40" s="1173">
        <f>IF($C$40*(Staff!I24-Staff!H24)&gt;0,$C$40*(Staff!I24-Staff!H24),0)</f>
        <v>2040</v>
      </c>
      <c r="I40" s="1173">
        <f>IF($C$40*(Staff!J24-Staff!I24)&gt;0,$C$40*(Staff!J24-Staff!I24),0)</f>
        <v>850</v>
      </c>
      <c r="J40" s="1173">
        <f>IF($C$40*(Staff!K24-Staff!J24)&gt;0,$C$40*(Staff!K24-Staff!J24),0)</f>
        <v>1190</v>
      </c>
      <c r="K40" s="1173">
        <f>IF($C$40*(Staff!L24-Staff!K24)&gt;0,$C$40*(Staff!L24-Staff!K24),0)</f>
        <v>0</v>
      </c>
      <c r="L40" s="1173">
        <f>IF($C$40*(Staff!M24-Staff!L24)&gt;0,$C$40*(Staff!M24-Staff!L24),0)</f>
        <v>0</v>
      </c>
      <c r="N40" s="287"/>
    </row>
    <row r="41" spans="1:14">
      <c r="A41" s="290">
        <f>ROW()</f>
        <v>41</v>
      </c>
      <c r="B41" s="32" t="s">
        <v>1298</v>
      </c>
      <c r="C41" s="671">
        <v>160</v>
      </c>
      <c r="D41" s="257" t="s">
        <v>642</v>
      </c>
      <c r="E41" s="257"/>
      <c r="F41" s="1173">
        <v>0</v>
      </c>
      <c r="G41" s="1173">
        <f>$C$41*' Enrol &amp; Rev'!G36</f>
        <v>44000</v>
      </c>
      <c r="H41" s="1173">
        <f>IF($C$41*(' Enrol &amp; Rev'!H36-' Enrol &amp; Rev'!G36)&gt;0,$C$41*(' Enrol &amp; Rev'!H36-' Enrol &amp; Rev'!G36),0)</f>
        <v>12000</v>
      </c>
      <c r="I41" s="1173">
        <f>IF($C$41*(' Enrol &amp; Rev'!I36-' Enrol &amp; Rev'!H36)&gt;0,$C$41*(' Enrol &amp; Rev'!I36-' Enrol &amp; Rev'!H36),0)</f>
        <v>8000</v>
      </c>
      <c r="J41" s="1173">
        <f>IF($C$41*(' Enrol &amp; Rev'!J36-' Enrol &amp; Rev'!I36)&gt;0,$C$41*(' Enrol &amp; Rev'!J36-' Enrol &amp; Rev'!I36),0)</f>
        <v>8000</v>
      </c>
      <c r="K41" s="1173">
        <f>IF($C$41*(' Enrol &amp; Rev'!K36-' Enrol &amp; Rev'!J36)&gt;0,$C$41*(' Enrol &amp; Rev'!K36-' Enrol &amp; Rev'!J36),0)</f>
        <v>0</v>
      </c>
      <c r="L41" s="1173">
        <f>IF($C$41*(' Enrol &amp; Rev'!L36-' Enrol &amp; Rev'!K36)&gt;0,$C$41*(' Enrol &amp; Rev'!L36-' Enrol &amp; Rev'!K36),0)</f>
        <v>0</v>
      </c>
      <c r="N41" s="287"/>
    </row>
    <row r="42" spans="1:14" ht="14.4" thickBot="1">
      <c r="A42" s="290">
        <f>ROW()</f>
        <v>42</v>
      </c>
      <c r="G42" s="51"/>
      <c r="H42" s="51"/>
      <c r="I42" s="51"/>
      <c r="J42" s="51"/>
      <c r="K42" s="51"/>
      <c r="L42" s="51"/>
      <c r="N42" s="287"/>
    </row>
    <row r="43" spans="1:14" ht="14.4" thickBot="1">
      <c r="A43" s="290">
        <f>ROW()</f>
        <v>43</v>
      </c>
      <c r="B43" s="1747" t="s">
        <v>1291</v>
      </c>
      <c r="C43" s="637">
        <f>SUM(G43:L43)</f>
        <v>825751.25</v>
      </c>
      <c r="D43" s="638"/>
      <c r="E43" s="638"/>
      <c r="F43" s="639">
        <f t="shared" ref="F43:L43" si="10">SUM(F15:F42)</f>
        <v>0</v>
      </c>
      <c r="G43" s="639">
        <f>SUM(G15:G42)</f>
        <v>202562.91666666669</v>
      </c>
      <c r="H43" s="639">
        <f t="shared" si="10"/>
        <v>114296.25</v>
      </c>
      <c r="I43" s="639">
        <f t="shared" si="10"/>
        <v>109854.16666666666</v>
      </c>
      <c r="J43" s="639">
        <f t="shared" si="10"/>
        <v>121544.16666666666</v>
      </c>
      <c r="K43" s="639">
        <f t="shared" si="10"/>
        <v>94650</v>
      </c>
      <c r="L43" s="639">
        <f t="shared" si="10"/>
        <v>182843.75</v>
      </c>
      <c r="N43" s="287"/>
    </row>
    <row r="44" spans="1:14">
      <c r="A44" s="290">
        <f>ROW()</f>
        <v>44</v>
      </c>
      <c r="B44" s="74"/>
      <c r="N44" s="287"/>
    </row>
    <row r="45" spans="1:14" ht="14.4" hidden="1">
      <c r="A45" s="290">
        <f>ROW()</f>
        <v>45</v>
      </c>
      <c r="B45" s="154" t="s">
        <v>733</v>
      </c>
      <c r="N45" s="287"/>
    </row>
    <row r="46" spans="1:14" hidden="1">
      <c r="A46" s="290">
        <f>ROW()</f>
        <v>46</v>
      </c>
      <c r="B46" s="287"/>
      <c r="C46" s="289"/>
      <c r="D46" s="289"/>
      <c r="E46" s="289"/>
      <c r="F46" s="289"/>
      <c r="G46" s="289"/>
      <c r="H46" s="289"/>
      <c r="I46" s="289"/>
      <c r="J46" s="289"/>
      <c r="K46" s="289"/>
      <c r="L46" s="289"/>
      <c r="N46" s="287"/>
    </row>
    <row r="47" spans="1:14" hidden="1">
      <c r="A47" s="290">
        <f>ROW()</f>
        <v>47</v>
      </c>
      <c r="B47" s="287"/>
      <c r="C47" s="289"/>
      <c r="D47" s="289"/>
      <c r="E47" s="289"/>
      <c r="F47" s="289"/>
      <c r="G47" s="289"/>
      <c r="H47" s="289"/>
      <c r="I47" s="289"/>
      <c r="J47" s="289"/>
      <c r="K47" s="289"/>
      <c r="L47" s="289"/>
      <c r="N47" s="287"/>
    </row>
    <row r="48" spans="1:14" hidden="1">
      <c r="A48" s="290">
        <f>ROW()</f>
        <v>48</v>
      </c>
      <c r="B48" s="287"/>
      <c r="C48" s="289"/>
      <c r="D48" s="289"/>
      <c r="E48" s="289"/>
      <c r="F48" s="289"/>
      <c r="G48" s="289"/>
      <c r="H48" s="289"/>
      <c r="I48" s="289"/>
      <c r="J48" s="289"/>
      <c r="K48" s="289"/>
      <c r="L48" s="289"/>
      <c r="N48" s="287"/>
    </row>
    <row r="49" spans="1:14" hidden="1">
      <c r="A49" s="290">
        <f>ROW()</f>
        <v>49</v>
      </c>
      <c r="B49" s="287"/>
      <c r="C49" s="289"/>
      <c r="D49" s="289"/>
      <c r="E49" s="289"/>
      <c r="F49" s="289"/>
      <c r="G49" s="289"/>
      <c r="H49" s="289"/>
      <c r="I49" s="289"/>
      <c r="J49" s="289"/>
      <c r="K49" s="289"/>
      <c r="L49" s="289"/>
      <c r="N49" s="287"/>
    </row>
    <row r="50" spans="1:14" hidden="1">
      <c r="A50" s="290">
        <f>ROW()</f>
        <v>50</v>
      </c>
      <c r="B50" s="287"/>
      <c r="C50" s="289"/>
      <c r="D50" s="289"/>
      <c r="E50" s="289"/>
      <c r="F50" s="289"/>
      <c r="G50" s="289"/>
      <c r="H50" s="289"/>
      <c r="I50" s="289"/>
      <c r="J50" s="289"/>
      <c r="K50" s="289"/>
      <c r="L50" s="289"/>
      <c r="N50" s="287"/>
    </row>
    <row r="51" spans="1:14" hidden="1">
      <c r="A51" s="290">
        <f>ROW()</f>
        <v>51</v>
      </c>
      <c r="B51" s="287"/>
      <c r="C51" s="289"/>
      <c r="D51" s="289"/>
      <c r="E51" s="289"/>
      <c r="F51" s="289"/>
      <c r="G51" s="289"/>
      <c r="H51" s="289"/>
      <c r="I51" s="289"/>
      <c r="J51" s="289"/>
      <c r="K51" s="289"/>
      <c r="L51" s="289"/>
      <c r="N51" s="287"/>
    </row>
    <row r="52" spans="1:14" hidden="1">
      <c r="A52" s="290">
        <f>ROW()</f>
        <v>52</v>
      </c>
      <c r="B52" s="287"/>
      <c r="C52" s="289"/>
      <c r="D52" s="289"/>
      <c r="E52" s="289"/>
      <c r="F52" s="289"/>
      <c r="G52" s="289"/>
      <c r="H52" s="289"/>
      <c r="I52" s="289"/>
      <c r="J52" s="289"/>
      <c r="K52" s="289"/>
      <c r="L52" s="289"/>
      <c r="N52" s="287"/>
    </row>
    <row r="53" spans="1:14" hidden="1">
      <c r="A53" s="290">
        <f>ROW()</f>
        <v>53</v>
      </c>
      <c r="B53" s="287"/>
      <c r="C53" s="289"/>
      <c r="D53" s="289"/>
      <c r="E53" s="289"/>
      <c r="F53" s="289"/>
      <c r="G53" s="289"/>
      <c r="H53" s="289"/>
      <c r="I53" s="289"/>
      <c r="J53" s="289"/>
      <c r="K53" s="289"/>
      <c r="L53" s="289"/>
      <c r="N53" s="287"/>
    </row>
    <row r="54" spans="1:14" hidden="1">
      <c r="A54" s="290">
        <f>ROW()</f>
        <v>54</v>
      </c>
      <c r="B54" s="287"/>
      <c r="C54" s="289"/>
      <c r="D54" s="289"/>
      <c r="E54" s="289"/>
      <c r="F54" s="289"/>
      <c r="G54" s="289"/>
      <c r="H54" s="289"/>
      <c r="I54" s="289"/>
      <c r="J54" s="289"/>
      <c r="K54" s="289"/>
      <c r="L54" s="289"/>
      <c r="N54" s="287"/>
    </row>
    <row r="55" spans="1:14" hidden="1">
      <c r="A55" s="290">
        <f>ROW()</f>
        <v>55</v>
      </c>
      <c r="B55" s="287"/>
      <c r="C55" s="289"/>
      <c r="D55" s="289"/>
      <c r="E55" s="289"/>
      <c r="F55" s="289"/>
      <c r="G55" s="289"/>
      <c r="H55" s="289"/>
      <c r="I55" s="289"/>
      <c r="J55" s="289"/>
      <c r="K55" s="289"/>
      <c r="L55" s="289"/>
      <c r="N55" s="287"/>
    </row>
    <row r="56" spans="1:14" hidden="1">
      <c r="A56" s="290">
        <f>ROW()</f>
        <v>56</v>
      </c>
      <c r="N56" s="287"/>
    </row>
    <row r="57" spans="1:14" hidden="1">
      <c r="A57" s="290">
        <f>ROW()</f>
        <v>57</v>
      </c>
      <c r="N57" s="287"/>
    </row>
    <row r="58" spans="1:14" hidden="1">
      <c r="A58" s="290">
        <f>ROW()</f>
        <v>58</v>
      </c>
      <c r="C58" s="30" t="s">
        <v>734</v>
      </c>
      <c r="F58" s="631">
        <f t="shared" ref="F58:L60" si="11">F6</f>
        <v>0</v>
      </c>
      <c r="G58" s="632">
        <f t="shared" si="11"/>
        <v>1</v>
      </c>
      <c r="H58" s="632">
        <f t="shared" si="11"/>
        <v>2</v>
      </c>
      <c r="I58" s="632">
        <f t="shared" si="11"/>
        <v>3</v>
      </c>
      <c r="J58" s="632">
        <f t="shared" si="11"/>
        <v>4</v>
      </c>
      <c r="K58" s="632">
        <f t="shared" si="11"/>
        <v>5</v>
      </c>
      <c r="L58" s="633">
        <f t="shared" si="11"/>
        <v>6</v>
      </c>
      <c r="N58" s="287"/>
    </row>
    <row r="59" spans="1:14" hidden="1">
      <c r="A59" s="290">
        <f>ROW()</f>
        <v>59</v>
      </c>
      <c r="F59" s="634">
        <f t="shared" si="11"/>
        <v>2025</v>
      </c>
      <c r="G59" s="634">
        <f t="shared" si="11"/>
        <v>2026</v>
      </c>
      <c r="H59" s="635">
        <f t="shared" si="11"/>
        <v>2027</v>
      </c>
      <c r="I59" s="635">
        <f t="shared" si="11"/>
        <v>2028</v>
      </c>
      <c r="J59" s="635">
        <f t="shared" si="11"/>
        <v>2029</v>
      </c>
      <c r="K59" s="635">
        <f t="shared" si="11"/>
        <v>2030</v>
      </c>
      <c r="L59" s="636">
        <f t="shared" si="11"/>
        <v>2031</v>
      </c>
      <c r="N59" s="287"/>
    </row>
    <row r="60" spans="1:14" hidden="1">
      <c r="A60" s="290">
        <f>ROW()</f>
        <v>60</v>
      </c>
      <c r="D60" s="32" t="s">
        <v>78</v>
      </c>
      <c r="F60" s="628">
        <f t="shared" si="11"/>
        <v>2026</v>
      </c>
      <c r="G60" s="628">
        <f t="shared" si="11"/>
        <v>2027</v>
      </c>
      <c r="H60" s="629">
        <f t="shared" si="11"/>
        <v>2028</v>
      </c>
      <c r="I60" s="629">
        <f t="shared" si="11"/>
        <v>2029</v>
      </c>
      <c r="J60" s="629">
        <f t="shared" si="11"/>
        <v>2030</v>
      </c>
      <c r="K60" s="629">
        <f t="shared" si="11"/>
        <v>2031</v>
      </c>
      <c r="L60" s="630">
        <f t="shared" si="11"/>
        <v>2032</v>
      </c>
      <c r="N60" s="287"/>
    </row>
    <row r="61" spans="1:14" hidden="1">
      <c r="A61" s="290">
        <f>ROW()</f>
        <v>61</v>
      </c>
      <c r="C61" s="32" t="s">
        <v>735</v>
      </c>
      <c r="D61" s="339">
        <f>Levers!B9</f>
        <v>2375</v>
      </c>
      <c r="E61" s="339"/>
      <c r="F61" s="339"/>
      <c r="G61" s="340">
        <f>Levers!D9</f>
        <v>275</v>
      </c>
      <c r="H61" s="340">
        <f>Levers!E9</f>
        <v>350</v>
      </c>
      <c r="I61" s="340">
        <f>Levers!F9</f>
        <v>400</v>
      </c>
      <c r="J61" s="340">
        <f>Levers!G9</f>
        <v>450</v>
      </c>
      <c r="K61" s="340">
        <f>Levers!H9</f>
        <v>450</v>
      </c>
      <c r="L61" s="340">
        <f>Levers!I9</f>
        <v>450</v>
      </c>
      <c r="N61" s="287"/>
    </row>
    <row r="62" spans="1:14" hidden="1">
      <c r="A62" s="290">
        <f>ROW()</f>
        <v>62</v>
      </c>
      <c r="C62" s="32" t="s">
        <v>440</v>
      </c>
      <c r="D62" s="415">
        <f>Levers!B10</f>
        <v>30850600.329303101</v>
      </c>
      <c r="E62" s="415"/>
      <c r="F62" s="415">
        <f>Levers!C10</f>
        <v>0</v>
      </c>
      <c r="G62" s="416">
        <f>Levers!D10</f>
        <v>3377599.6375000002</v>
      </c>
      <c r="H62" s="416">
        <f>Levers!E10</f>
        <v>4550328.4095433</v>
      </c>
      <c r="I62" s="416">
        <f>Levers!F10</f>
        <v>5222587.0439642007</v>
      </c>
      <c r="J62" s="416">
        <f>Levers!G10</f>
        <v>5879297.4752447996</v>
      </c>
      <c r="K62" s="416">
        <f>Levers!H10</f>
        <v>5910393.8815254001</v>
      </c>
      <c r="L62" s="416">
        <f>Levers!I10</f>
        <v>5910393.8815254001</v>
      </c>
      <c r="N62" s="287"/>
    </row>
    <row r="63" spans="1:14" hidden="1">
      <c r="A63" s="290">
        <f>ROW()</f>
        <v>63</v>
      </c>
      <c r="C63" s="32" t="s">
        <v>736</v>
      </c>
      <c r="D63" s="415">
        <f>Levers!B11</f>
        <v>12989.726454443411</v>
      </c>
      <c r="E63" s="415"/>
      <c r="F63" s="417"/>
      <c r="G63" s="418">
        <f>Levers!D11</f>
        <v>12282.1805</v>
      </c>
      <c r="H63" s="418">
        <f>Levers!E11</f>
        <v>13000.938312980858</v>
      </c>
      <c r="I63" s="418">
        <f>Levers!F11</f>
        <v>13056.467609910502</v>
      </c>
      <c r="J63" s="418">
        <f>Levers!G11</f>
        <v>13065.105500543999</v>
      </c>
      <c r="K63" s="418">
        <f>Levers!H11</f>
        <v>13134.208625612</v>
      </c>
      <c r="L63" s="418">
        <f>Levers!I11</f>
        <v>13134.208625612</v>
      </c>
      <c r="N63" s="287"/>
    </row>
    <row r="64" spans="1:14" hidden="1">
      <c r="A64" s="290">
        <f>ROW()</f>
        <v>64</v>
      </c>
      <c r="C64" s="32" t="s">
        <v>737</v>
      </c>
      <c r="D64" s="415">
        <f>Levers!B24</f>
        <v>825751.25</v>
      </c>
      <c r="E64" s="415"/>
      <c r="F64" s="417">
        <f>Levers!C24</f>
        <v>0</v>
      </c>
      <c r="G64" s="418">
        <f>Levers!D24</f>
        <v>202562.91666666669</v>
      </c>
      <c r="H64" s="418">
        <f>Levers!E24</f>
        <v>114296.25</v>
      </c>
      <c r="I64" s="418">
        <f>Levers!F24</f>
        <v>109854.16666666666</v>
      </c>
      <c r="J64" s="418">
        <f>Levers!G24</f>
        <v>121544.16666666666</v>
      </c>
      <c r="K64" s="418">
        <f>Levers!H24</f>
        <v>94650</v>
      </c>
      <c r="L64" s="418">
        <f>Levers!I24</f>
        <v>182843.75</v>
      </c>
      <c r="N64" s="287"/>
    </row>
    <row r="65" spans="1:14" hidden="1">
      <c r="A65" s="290">
        <f>ROW()</f>
        <v>65</v>
      </c>
      <c r="C65" s="32" t="s">
        <v>738</v>
      </c>
      <c r="D65" s="415">
        <f>Levers!B25</f>
        <v>347.68473684210528</v>
      </c>
      <c r="E65" s="415"/>
      <c r="F65" s="417"/>
      <c r="G65" s="418">
        <f>Levers!D25</f>
        <v>736.59242424242427</v>
      </c>
      <c r="H65" s="418">
        <f>Levers!E25</f>
        <v>326.56071428571431</v>
      </c>
      <c r="I65" s="418">
        <f>Levers!F25</f>
        <v>274.63541666666663</v>
      </c>
      <c r="J65" s="418">
        <f>Levers!G25</f>
        <v>270.09814814814814</v>
      </c>
      <c r="K65" s="418">
        <f>Levers!H25</f>
        <v>210.33333333333334</v>
      </c>
      <c r="L65" s="418">
        <f>Levers!I25</f>
        <v>406.31944444444446</v>
      </c>
      <c r="N65" s="287"/>
    </row>
    <row r="66" spans="1:14" ht="29.25" hidden="1" customHeight="1">
      <c r="A66" s="290">
        <f>ROW()</f>
        <v>66</v>
      </c>
      <c r="C66" s="41" t="s">
        <v>739</v>
      </c>
      <c r="D66" s="415">
        <f>Levers!B26</f>
        <v>30024849.079303101</v>
      </c>
      <c r="E66" s="415"/>
      <c r="F66" s="417">
        <f>Levers!C26</f>
        <v>0</v>
      </c>
      <c r="G66" s="418">
        <f>Levers!D26</f>
        <v>3175036.7208333337</v>
      </c>
      <c r="H66" s="418">
        <f>Levers!E26</f>
        <v>4436032.1595433</v>
      </c>
      <c r="I66" s="418">
        <f>Levers!F26</f>
        <v>5112732.8772975337</v>
      </c>
      <c r="J66" s="418">
        <f>Levers!G26</f>
        <v>5757753.3085781327</v>
      </c>
      <c r="K66" s="418">
        <f>Levers!H26</f>
        <v>5815743.8815254001</v>
      </c>
      <c r="L66" s="418">
        <f>Levers!I26</f>
        <v>5727550.1315254001</v>
      </c>
      <c r="N66" s="287"/>
    </row>
    <row r="67" spans="1:14" ht="29.25" hidden="1" customHeight="1">
      <c r="A67" s="290">
        <f>ROW()</f>
        <v>67</v>
      </c>
      <c r="C67" s="41" t="s">
        <v>740</v>
      </c>
      <c r="D67" s="415">
        <f>Levers!B27</f>
        <v>12642.041717601305</v>
      </c>
      <c r="E67" s="415"/>
      <c r="F67" s="417"/>
      <c r="G67" s="418">
        <f>Levers!D27</f>
        <v>11545.588075757578</v>
      </c>
      <c r="H67" s="418">
        <f>Levers!E27</f>
        <v>12674.377598695142</v>
      </c>
      <c r="I67" s="418">
        <f>Levers!F27</f>
        <v>12781.832193243834</v>
      </c>
      <c r="J67" s="418">
        <f>Levers!G27</f>
        <v>12795.007352395851</v>
      </c>
      <c r="K67" s="418">
        <f>Levers!H27</f>
        <v>12923.875292278666</v>
      </c>
      <c r="L67" s="418">
        <f>Levers!I27</f>
        <v>12727.889181167557</v>
      </c>
      <c r="N67" s="287"/>
    </row>
    <row r="68" spans="1:14" hidden="1">
      <c r="A68" s="290">
        <f>ROW()</f>
        <v>68</v>
      </c>
      <c r="C68" s="32" t="s">
        <v>450</v>
      </c>
      <c r="D68" s="415">
        <f>Levers!B38</f>
        <v>3910630.8727766238</v>
      </c>
      <c r="E68" s="52"/>
      <c r="F68" s="417">
        <f>Levers!C38</f>
        <v>0</v>
      </c>
      <c r="G68" s="418">
        <f>Levers!D38</f>
        <v>296795.20059773355</v>
      </c>
      <c r="H68" s="418">
        <f>Levers!E38</f>
        <v>638547.97084410023</v>
      </c>
      <c r="I68" s="418">
        <f>Levers!F38</f>
        <v>802108.12202633417</v>
      </c>
      <c r="J68" s="418">
        <f>Levers!G38</f>
        <v>760052.28526897286</v>
      </c>
      <c r="K68" s="418">
        <f>Levers!H38</f>
        <v>785061.49731156114</v>
      </c>
      <c r="L68" s="418">
        <f>Levers!I38</f>
        <v>628065.79672792414</v>
      </c>
      <c r="N68" s="287"/>
    </row>
    <row r="69" spans="1:14" ht="30.75" hidden="1" customHeight="1">
      <c r="A69" s="290">
        <f>ROW()</f>
        <v>69</v>
      </c>
      <c r="C69" s="41" t="s">
        <v>451</v>
      </c>
      <c r="D69" s="415">
        <f>Levers!B39</f>
        <v>1646.5814201164733</v>
      </c>
      <c r="E69" s="52"/>
      <c r="F69" s="417">
        <f>Levers!C39</f>
        <v>0</v>
      </c>
      <c r="G69" s="418">
        <f>Levers!D39</f>
        <v>1079.2552749008494</v>
      </c>
      <c r="H69" s="418">
        <f>Levers!E39</f>
        <v>1824.4227738402865</v>
      </c>
      <c r="I69" s="418">
        <f>Levers!F39</f>
        <v>2005.2703050658354</v>
      </c>
      <c r="J69" s="418">
        <f>Levers!G39</f>
        <v>1689.0050783754953</v>
      </c>
      <c r="K69" s="418">
        <f>Levers!H39</f>
        <v>1744.5811051368025</v>
      </c>
      <c r="L69" s="418">
        <f>Levers!I39</f>
        <v>1395.7017705064982</v>
      </c>
      <c r="N69" s="287"/>
    </row>
  </sheetData>
  <sheetProtection sheet="1" objects="1" scenarios="1"/>
  <mergeCells count="4">
    <mergeCell ref="F2:L2"/>
    <mergeCell ref="F3:L3"/>
    <mergeCell ref="F4:L4"/>
    <mergeCell ref="A1:B1"/>
  </mergeCells>
  <phoneticPr fontId="7" type="noConversion"/>
  <conditionalFormatting sqref="D1">
    <cfRule type="expression" dxfId="30" priority="3" stopIfTrue="1">
      <formula>MOD(ROW(),2)=0</formula>
    </cfRule>
  </conditionalFormatting>
  <conditionalFormatting sqref="O1:Z1">
    <cfRule type="cellIs" dxfId="29" priority="2" stopIfTrue="1" operator="equal">
      <formula>0</formula>
    </cfRule>
  </conditionalFormatting>
  <pageMargins left="0.25" right="0.25" top="0.5" bottom="0.45" header="0.25" footer="0.25"/>
  <pageSetup scale="79" fitToHeight="2" orientation="landscape" r:id="rId1"/>
  <headerFooter>
    <oddHeader xml:space="preserve">&amp;L &amp;C &amp;R </oddHeader>
    <oddFooter>&amp;L&amp;7&amp;D  at &amp;T Mike 702.486.8879&amp;C&amp;7&amp;F  &amp;A&amp;R&amp;7Page &amp;P of &amp;N</oddFooter>
  </headerFooter>
  <rowBreaks count="1" manualBreakCount="1">
    <brk id="44"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3D17B-7BC8-42CA-9311-0161D4784E15}">
  <sheetPr codeName="Sheet8">
    <tabColor rgb="FFFFFF99"/>
  </sheetPr>
  <dimension ref="A1:P47"/>
  <sheetViews>
    <sheetView topLeftCell="B1" zoomScaleNormal="100" workbookViewId="0">
      <pane ySplit="13" topLeftCell="A31" activePane="bottomLeft" state="frozen"/>
      <selection activeCell="B1" sqref="B1"/>
      <selection pane="bottomLeft" activeCell="B44" sqref="B44:N45"/>
    </sheetView>
  </sheetViews>
  <sheetFormatPr defaultColWidth="8.6640625" defaultRowHeight="13.8"/>
  <cols>
    <col min="1" max="1" width="6.6640625" style="32" bestFit="1" customWidth="1"/>
    <col min="2" max="2" width="29.33203125" style="32" customWidth="1"/>
    <col min="3" max="3" width="12.5546875" style="32" customWidth="1"/>
    <col min="4" max="4" width="9.44140625" style="32" customWidth="1"/>
    <col min="5" max="5" width="7.33203125" style="32" customWidth="1"/>
    <col min="6" max="6" width="10.44140625" style="32" customWidth="1"/>
    <col min="7" max="7" width="11" style="32" customWidth="1"/>
    <col min="8" max="14" width="14.6640625" style="32" customWidth="1"/>
    <col min="15" max="15" width="3.44140625" style="32" customWidth="1"/>
    <col min="16" max="16" width="76.5546875" style="257" customWidth="1"/>
    <col min="17" max="18" width="10.5546875" style="32" bestFit="1" customWidth="1"/>
    <col min="19" max="19" width="20.33203125" style="32" customWidth="1"/>
    <col min="20" max="16384" width="8.6640625" style="32"/>
  </cols>
  <sheetData>
    <row r="1" spans="1:16" ht="24" customHeight="1">
      <c r="A1" s="1861" t="s">
        <v>769</v>
      </c>
      <c r="B1" s="1861"/>
      <c r="C1" s="1861"/>
      <c r="D1" s="1861"/>
      <c r="E1" s="60"/>
      <c r="F1" s="221"/>
      <c r="G1" s="347"/>
    </row>
    <row r="2" spans="1:16" ht="15.6">
      <c r="A2" s="35" t="str">
        <f>SchoolName</f>
        <v>Pahrump Valley Academy</v>
      </c>
      <c r="B2" s="36"/>
      <c r="C2" s="35"/>
      <c r="D2" s="36"/>
      <c r="E2" s="60"/>
      <c r="F2" s="31"/>
    </row>
    <row r="3" spans="1:16">
      <c r="A3" s="37"/>
    </row>
    <row r="4" spans="1:16">
      <c r="A4" s="38"/>
    </row>
    <row r="5" spans="1:16">
      <c r="A5" s="29"/>
    </row>
    <row r="7" spans="1:16">
      <c r="A7" s="59"/>
      <c r="B7" s="30"/>
    </row>
    <row r="8" spans="1:16">
      <c r="A8" s="59"/>
      <c r="B8" s="30"/>
    </row>
    <row r="9" spans="1:16">
      <c r="A9" s="59"/>
      <c r="B9" s="30"/>
    </row>
    <row r="10" spans="1:16">
      <c r="A10" s="59"/>
      <c r="H10" s="1308"/>
      <c r="I10" s="1308"/>
      <c r="J10" s="58"/>
      <c r="K10" s="58"/>
      <c r="L10" s="58"/>
      <c r="M10" s="58"/>
      <c r="N10" s="58"/>
      <c r="P10" s="1426" t="s">
        <v>1253</v>
      </c>
    </row>
    <row r="11" spans="1:16">
      <c r="A11" s="59"/>
      <c r="H11" s="1751">
        <v>0</v>
      </c>
      <c r="I11" s="1744" t="s">
        <v>594</v>
      </c>
      <c r="J11" s="1742" t="s">
        <v>595</v>
      </c>
      <c r="K11" s="1742" t="s">
        <v>596</v>
      </c>
      <c r="L11" s="1742" t="s">
        <v>597</v>
      </c>
      <c r="M11" s="1742" t="s">
        <v>598</v>
      </c>
      <c r="N11" s="1745" t="s">
        <v>599</v>
      </c>
      <c r="P11" s="394"/>
    </row>
    <row r="12" spans="1:16" ht="15.6">
      <c r="A12" s="412"/>
      <c r="F12" s="61"/>
      <c r="G12" s="61"/>
      <c r="H12" s="1752">
        <f>+I12-1</f>
        <v>2025</v>
      </c>
      <c r="I12" s="1753">
        <f>'Cover &amp; Loc'!C11</f>
        <v>2026</v>
      </c>
      <c r="J12" s="1754">
        <f>+I13</f>
        <v>2027</v>
      </c>
      <c r="K12" s="1754">
        <f>+J13</f>
        <v>2028</v>
      </c>
      <c r="L12" s="1754">
        <f>+K13</f>
        <v>2029</v>
      </c>
      <c r="M12" s="1754">
        <f>+L13</f>
        <v>2030</v>
      </c>
      <c r="N12" s="1755">
        <f>+M13</f>
        <v>2031</v>
      </c>
      <c r="P12" s="287"/>
    </row>
    <row r="13" spans="1:16" ht="15.6">
      <c r="A13" s="412"/>
      <c r="F13" s="62"/>
      <c r="G13" s="62"/>
      <c r="H13" s="1756">
        <f>+I13-1</f>
        <v>2026</v>
      </c>
      <c r="I13" s="1756">
        <f t="shared" ref="I13:N13" si="0">+I12+1</f>
        <v>2027</v>
      </c>
      <c r="J13" s="1757">
        <f t="shared" si="0"/>
        <v>2028</v>
      </c>
      <c r="K13" s="1757">
        <f t="shared" si="0"/>
        <v>2029</v>
      </c>
      <c r="L13" s="1757">
        <f t="shared" si="0"/>
        <v>2030</v>
      </c>
      <c r="M13" s="1757">
        <f t="shared" si="0"/>
        <v>2031</v>
      </c>
      <c r="N13" s="1758">
        <f t="shared" si="0"/>
        <v>2032</v>
      </c>
      <c r="P13" s="287"/>
    </row>
    <row r="14" spans="1:16" ht="17.399999999999999">
      <c r="A14" s="412">
        <f>ROW()</f>
        <v>14</v>
      </c>
      <c r="B14" s="72" t="s">
        <v>211</v>
      </c>
      <c r="C14" s="1298"/>
      <c r="F14" s="61"/>
      <c r="G14" s="61"/>
      <c r="H14" s="207"/>
      <c r="I14" s="208"/>
      <c r="J14" s="208"/>
      <c r="K14" s="208"/>
      <c r="L14" s="208"/>
      <c r="M14" s="208"/>
      <c r="N14" s="208"/>
      <c r="P14" s="287"/>
    </row>
    <row r="15" spans="1:16">
      <c r="A15" s="412">
        <f>ROW()</f>
        <v>15</v>
      </c>
      <c r="B15" s="32" t="s">
        <v>212</v>
      </c>
      <c r="C15" s="86"/>
      <c r="H15" s="725">
        <v>0</v>
      </c>
      <c r="I15" s="422">
        <f t="shared" ref="I15:N15" si="1">COUNTIF(I18:I30,"&gt;0")</f>
        <v>6</v>
      </c>
      <c r="J15" s="422">
        <f t="shared" si="1"/>
        <v>7</v>
      </c>
      <c r="K15" s="422">
        <f t="shared" si="1"/>
        <v>7</v>
      </c>
      <c r="L15" s="422">
        <f t="shared" si="1"/>
        <v>9</v>
      </c>
      <c r="M15" s="422">
        <f t="shared" si="1"/>
        <v>9</v>
      </c>
      <c r="N15" s="422">
        <f t="shared" si="1"/>
        <v>9</v>
      </c>
      <c r="P15" s="287"/>
    </row>
    <row r="16" spans="1:16">
      <c r="A16" s="412">
        <f>ROW()</f>
        <v>16</v>
      </c>
      <c r="B16" s="58" t="s">
        <v>213</v>
      </c>
      <c r="C16" s="1299"/>
      <c r="D16" s="58"/>
      <c r="E16" s="58"/>
      <c r="F16" s="58"/>
      <c r="G16" s="58"/>
      <c r="H16" s="691">
        <v>0</v>
      </c>
      <c r="I16" s="422">
        <f>+' Enrol &amp; Rev'!G19</f>
        <v>11</v>
      </c>
      <c r="J16" s="422">
        <f>+' Enrol &amp; Rev'!H19</f>
        <v>14</v>
      </c>
      <c r="K16" s="422">
        <f>+' Enrol &amp; Rev'!I19</f>
        <v>16</v>
      </c>
      <c r="L16" s="422">
        <f>+' Enrol &amp; Rev'!J19</f>
        <v>18</v>
      </c>
      <c r="M16" s="422">
        <f>+' Enrol &amp; Rev'!K19</f>
        <v>18</v>
      </c>
      <c r="N16" s="422">
        <f>+' Enrol &amp; Rev'!L19</f>
        <v>18</v>
      </c>
      <c r="P16" s="287"/>
    </row>
    <row r="17" spans="1:16">
      <c r="A17" s="412">
        <f>ROW()</f>
        <v>17</v>
      </c>
      <c r="B17" s="39"/>
      <c r="C17" s="974"/>
      <c r="D17" s="256"/>
      <c r="E17" s="256"/>
      <c r="F17" s="220"/>
      <c r="G17" s="220"/>
      <c r="H17" s="220"/>
      <c r="I17" s="220"/>
      <c r="J17" s="220"/>
      <c r="K17" s="220"/>
      <c r="L17" s="220"/>
      <c r="M17" s="220"/>
      <c r="N17" s="220"/>
      <c r="P17" s="287"/>
    </row>
    <row r="18" spans="1:16">
      <c r="A18" s="412">
        <f>ROW()</f>
        <v>18</v>
      </c>
      <c r="B18" s="104" t="s">
        <v>214</v>
      </c>
      <c r="C18" s="86"/>
      <c r="H18" s="688"/>
      <c r="I18" s="514">
        <f>+'Mkt Res'!E14</f>
        <v>50</v>
      </c>
      <c r="J18" s="514">
        <f>+'Mkt Res'!F14</f>
        <v>50</v>
      </c>
      <c r="K18" s="514">
        <f>+'Mkt Res'!G14</f>
        <v>50</v>
      </c>
      <c r="L18" s="514">
        <f>+'Mkt Res'!H14</f>
        <v>50</v>
      </c>
      <c r="M18" s="514">
        <f>+'Mkt Res'!I14</f>
        <v>50</v>
      </c>
      <c r="N18" s="514">
        <f>+'Mkt Res'!J14</f>
        <v>50</v>
      </c>
      <c r="P18" s="287"/>
    </row>
    <row r="19" spans="1:16">
      <c r="A19" s="412">
        <f>ROW()</f>
        <v>19</v>
      </c>
      <c r="B19" s="64" t="s">
        <v>215</v>
      </c>
      <c r="C19" s="65"/>
      <c r="D19" s="64"/>
      <c r="E19" s="64"/>
      <c r="F19" s="66"/>
      <c r="G19" s="66"/>
      <c r="H19" s="689"/>
      <c r="I19" s="513">
        <f>+'Mkt Res'!E15</f>
        <v>50</v>
      </c>
      <c r="J19" s="513">
        <f>+'Mkt Res'!F15</f>
        <v>50</v>
      </c>
      <c r="K19" s="513">
        <f>+'Mkt Res'!G15</f>
        <v>50</v>
      </c>
      <c r="L19" s="513">
        <f>+'Mkt Res'!H15</f>
        <v>50</v>
      </c>
      <c r="M19" s="513">
        <f>+'Mkt Res'!I15</f>
        <v>50</v>
      </c>
      <c r="N19" s="513">
        <f>+'Mkt Res'!J15</f>
        <v>50</v>
      </c>
      <c r="P19" s="287"/>
    </row>
    <row r="20" spans="1:16">
      <c r="A20" s="412">
        <f>ROW()</f>
        <v>20</v>
      </c>
      <c r="B20" s="64" t="s">
        <v>216</v>
      </c>
      <c r="C20" s="65"/>
      <c r="D20" s="64"/>
      <c r="E20" s="64"/>
      <c r="F20" s="66"/>
      <c r="G20" s="66"/>
      <c r="H20" s="689"/>
      <c r="I20" s="513">
        <f>+'Mkt Res'!E16</f>
        <v>50</v>
      </c>
      <c r="J20" s="513">
        <f>+'Mkt Res'!F16</f>
        <v>50</v>
      </c>
      <c r="K20" s="513">
        <f>+'Mkt Res'!G16</f>
        <v>50</v>
      </c>
      <c r="L20" s="513">
        <f>+'Mkt Res'!H16</f>
        <v>50</v>
      </c>
      <c r="M20" s="513">
        <f>+'Mkt Res'!I16</f>
        <v>50</v>
      </c>
      <c r="N20" s="513">
        <f>+'Mkt Res'!J16</f>
        <v>50</v>
      </c>
      <c r="P20" s="287"/>
    </row>
    <row r="21" spans="1:16">
      <c r="A21" s="412">
        <f>ROW()</f>
        <v>21</v>
      </c>
      <c r="B21" s="64" t="s">
        <v>217</v>
      </c>
      <c r="C21" s="65"/>
      <c r="D21" s="64"/>
      <c r="E21" s="64"/>
      <c r="F21" s="66"/>
      <c r="G21" s="66"/>
      <c r="H21" s="689"/>
      <c r="I21" s="513">
        <f>+'Mkt Res'!E17</f>
        <v>50</v>
      </c>
      <c r="J21" s="513">
        <f>+'Mkt Res'!F17</f>
        <v>50</v>
      </c>
      <c r="K21" s="513">
        <f>+'Mkt Res'!G17</f>
        <v>0</v>
      </c>
      <c r="L21" s="513">
        <f>+'Mkt Res'!H17</f>
        <v>50</v>
      </c>
      <c r="M21" s="513">
        <f>+'Mkt Res'!I17</f>
        <v>50</v>
      </c>
      <c r="N21" s="513">
        <f>+'Mkt Res'!J17</f>
        <v>50</v>
      </c>
      <c r="P21" s="287"/>
    </row>
    <row r="22" spans="1:16">
      <c r="A22" s="412">
        <f>ROW()</f>
        <v>22</v>
      </c>
      <c r="B22" s="64" t="s">
        <v>218</v>
      </c>
      <c r="C22" s="65"/>
      <c r="D22" s="64"/>
      <c r="E22" s="64"/>
      <c r="F22" s="66"/>
      <c r="G22" s="66"/>
      <c r="H22" s="689"/>
      <c r="I22" s="513">
        <f>+'Mkt Res'!E18</f>
        <v>50</v>
      </c>
      <c r="J22" s="513">
        <f>+'Mkt Res'!F18</f>
        <v>50</v>
      </c>
      <c r="K22" s="513">
        <f>+'Mkt Res'!G18</f>
        <v>50</v>
      </c>
      <c r="L22" s="513">
        <f>+'Mkt Res'!H18</f>
        <v>50</v>
      </c>
      <c r="M22" s="513">
        <f>+'Mkt Res'!I18</f>
        <v>50</v>
      </c>
      <c r="N22" s="513">
        <f>+'Mkt Res'!J18</f>
        <v>50</v>
      </c>
      <c r="P22" s="287"/>
    </row>
    <row r="23" spans="1:16">
      <c r="A23" s="412">
        <f>ROW()</f>
        <v>23</v>
      </c>
      <c r="B23" s="64" t="s">
        <v>219</v>
      </c>
      <c r="C23" s="65"/>
      <c r="D23" s="64"/>
      <c r="E23" s="64"/>
      <c r="F23" s="66"/>
      <c r="G23" s="66"/>
      <c r="H23" s="689"/>
      <c r="I23" s="513">
        <f>+'Mkt Res'!E19</f>
        <v>25</v>
      </c>
      <c r="J23" s="513">
        <f>+'Mkt Res'!F19</f>
        <v>50</v>
      </c>
      <c r="K23" s="513">
        <f>+'Mkt Res'!G19</f>
        <v>50</v>
      </c>
      <c r="L23" s="513">
        <f>+'Mkt Res'!H19</f>
        <v>50</v>
      </c>
      <c r="M23" s="513">
        <f>+'Mkt Res'!I19</f>
        <v>50</v>
      </c>
      <c r="N23" s="513">
        <f>+'Mkt Res'!J19</f>
        <v>50</v>
      </c>
      <c r="P23" s="287"/>
    </row>
    <row r="24" spans="1:16">
      <c r="A24" s="412">
        <f>ROW()</f>
        <v>24</v>
      </c>
      <c r="B24" s="64" t="s">
        <v>220</v>
      </c>
      <c r="C24" s="65"/>
      <c r="D24" s="64"/>
      <c r="E24" s="64"/>
      <c r="F24" s="66"/>
      <c r="G24" s="66"/>
      <c r="H24" s="689"/>
      <c r="I24" s="513">
        <f>+'Mkt Res'!E20</f>
        <v>0</v>
      </c>
      <c r="J24" s="513">
        <f>+'Mkt Res'!F20</f>
        <v>50</v>
      </c>
      <c r="K24" s="513">
        <f>+'Mkt Res'!G20</f>
        <v>50</v>
      </c>
      <c r="L24" s="513">
        <f>+'Mkt Res'!H20</f>
        <v>50</v>
      </c>
      <c r="M24" s="513">
        <f>+'Mkt Res'!I20</f>
        <v>50</v>
      </c>
      <c r="N24" s="513">
        <f>+'Mkt Res'!J20</f>
        <v>50</v>
      </c>
      <c r="P24" s="287"/>
    </row>
    <row r="25" spans="1:16">
      <c r="A25" s="412">
        <f>ROW()</f>
        <v>25</v>
      </c>
      <c r="B25" s="64" t="s">
        <v>221</v>
      </c>
      <c r="C25" s="65"/>
      <c r="D25" s="64"/>
      <c r="E25" s="64"/>
      <c r="F25" s="66"/>
      <c r="G25" s="66"/>
      <c r="H25" s="689"/>
      <c r="I25" s="513">
        <f>+'Mkt Res'!E21</f>
        <v>0</v>
      </c>
      <c r="J25" s="513">
        <f>+'Mkt Res'!F21</f>
        <v>0</v>
      </c>
      <c r="K25" s="513">
        <f>+'Mkt Res'!G21</f>
        <v>50</v>
      </c>
      <c r="L25" s="513">
        <f>+'Mkt Res'!H21</f>
        <v>50</v>
      </c>
      <c r="M25" s="513">
        <f>+'Mkt Res'!I21</f>
        <v>50</v>
      </c>
      <c r="N25" s="513">
        <f>+'Mkt Res'!J21</f>
        <v>50</v>
      </c>
      <c r="P25" s="287"/>
    </row>
    <row r="26" spans="1:16">
      <c r="A26" s="412">
        <f>ROW()</f>
        <v>26</v>
      </c>
      <c r="B26" s="64" t="s">
        <v>222</v>
      </c>
      <c r="C26" s="65"/>
      <c r="D26" s="64"/>
      <c r="E26" s="64"/>
      <c r="F26" s="66"/>
      <c r="G26" s="66"/>
      <c r="H26" s="689"/>
      <c r="I26" s="513">
        <f>+'Mkt Res'!E22</f>
        <v>0</v>
      </c>
      <c r="J26" s="513">
        <f>+'Mkt Res'!F22</f>
        <v>0</v>
      </c>
      <c r="K26" s="513">
        <f>+'Mkt Res'!G22</f>
        <v>0</v>
      </c>
      <c r="L26" s="513">
        <f>+'Mkt Res'!H22</f>
        <v>50</v>
      </c>
      <c r="M26" s="513">
        <f>+'Mkt Res'!I22</f>
        <v>50</v>
      </c>
      <c r="N26" s="513">
        <f>+'Mkt Res'!J22</f>
        <v>50</v>
      </c>
      <c r="P26" s="287"/>
    </row>
    <row r="27" spans="1:16">
      <c r="A27" s="412">
        <f>ROW()</f>
        <v>27</v>
      </c>
      <c r="B27" s="64" t="s">
        <v>223</v>
      </c>
      <c r="C27" s="65"/>
      <c r="D27" s="64"/>
      <c r="E27" s="64"/>
      <c r="F27" s="66"/>
      <c r="G27" s="66"/>
      <c r="H27" s="689"/>
      <c r="I27" s="513">
        <f>+'Mkt Res'!E23</f>
        <v>0</v>
      </c>
      <c r="J27" s="513">
        <f>+'Mkt Res'!F23</f>
        <v>0</v>
      </c>
      <c r="K27" s="513">
        <f>+'Mkt Res'!G23</f>
        <v>0</v>
      </c>
      <c r="L27" s="513">
        <f>+'Mkt Res'!H23</f>
        <v>0</v>
      </c>
      <c r="M27" s="513">
        <f>+'Mkt Res'!I23</f>
        <v>0</v>
      </c>
      <c r="N27" s="513">
        <f>+'Mkt Res'!J23</f>
        <v>0</v>
      </c>
      <c r="P27" s="287"/>
    </row>
    <row r="28" spans="1:16">
      <c r="A28" s="412">
        <f>ROW()</f>
        <v>28</v>
      </c>
      <c r="B28" s="64" t="s">
        <v>224</v>
      </c>
      <c r="C28" s="65"/>
      <c r="D28" s="64"/>
      <c r="E28" s="64"/>
      <c r="F28" s="66"/>
      <c r="G28" s="66"/>
      <c r="H28" s="689"/>
      <c r="I28" s="513">
        <f>+'Mkt Res'!E24</f>
        <v>0</v>
      </c>
      <c r="J28" s="513">
        <f>+'Mkt Res'!F24</f>
        <v>0</v>
      </c>
      <c r="K28" s="513">
        <f>+'Mkt Res'!G24</f>
        <v>0</v>
      </c>
      <c r="L28" s="513">
        <f>+'Mkt Res'!H24</f>
        <v>0</v>
      </c>
      <c r="M28" s="513">
        <f>+'Mkt Res'!I24</f>
        <v>0</v>
      </c>
      <c r="N28" s="513">
        <f>+'Mkt Res'!J24</f>
        <v>0</v>
      </c>
      <c r="P28" s="287"/>
    </row>
    <row r="29" spans="1:16">
      <c r="A29" s="412">
        <f>ROW()</f>
        <v>29</v>
      </c>
      <c r="B29" s="64" t="s">
        <v>225</v>
      </c>
      <c r="C29" s="65"/>
      <c r="D29" s="64"/>
      <c r="E29" s="64"/>
      <c r="F29" s="66"/>
      <c r="G29" s="66"/>
      <c r="H29" s="689"/>
      <c r="I29" s="513">
        <f>+'Mkt Res'!E25</f>
        <v>0</v>
      </c>
      <c r="J29" s="513">
        <f>+'Mkt Res'!F25</f>
        <v>0</v>
      </c>
      <c r="K29" s="513">
        <f>+'Mkt Res'!G25</f>
        <v>0</v>
      </c>
      <c r="L29" s="513">
        <f>+'Mkt Res'!H25</f>
        <v>0</v>
      </c>
      <c r="M29" s="513">
        <f>+'Mkt Res'!I25</f>
        <v>0</v>
      </c>
      <c r="N29" s="513">
        <f>+'Mkt Res'!J25</f>
        <v>0</v>
      </c>
      <c r="P29" s="287"/>
    </row>
    <row r="30" spans="1:16">
      <c r="A30" s="412">
        <f>ROW()</f>
        <v>30</v>
      </c>
      <c r="B30" s="64" t="s">
        <v>226</v>
      </c>
      <c r="C30" s="65"/>
      <c r="D30" s="64"/>
      <c r="E30" s="64"/>
      <c r="F30" s="66"/>
      <c r="G30" s="58"/>
      <c r="H30" s="690"/>
      <c r="I30" s="515">
        <f>+'Mkt Res'!E26</f>
        <v>0</v>
      </c>
      <c r="J30" s="515">
        <f>+'Mkt Res'!F26</f>
        <v>0</v>
      </c>
      <c r="K30" s="515">
        <f>+'Mkt Res'!G26</f>
        <v>0</v>
      </c>
      <c r="L30" s="515">
        <f>+'Mkt Res'!H26</f>
        <v>0</v>
      </c>
      <c r="M30" s="515">
        <f>+'Mkt Res'!I26</f>
        <v>0</v>
      </c>
      <c r="N30" s="515">
        <f>+'Mkt Res'!J26</f>
        <v>0</v>
      </c>
      <c r="P30" s="287"/>
    </row>
    <row r="31" spans="1:16">
      <c r="A31" s="412">
        <f>ROW()</f>
        <v>31</v>
      </c>
      <c r="B31" s="143" t="s">
        <v>227</v>
      </c>
      <c r="C31" s="975"/>
      <c r="D31" s="975"/>
      <c r="E31" s="975"/>
      <c r="F31" s="975"/>
      <c r="G31" s="68"/>
      <c r="H31" s="90"/>
      <c r="I31" s="152">
        <f t="shared" ref="I31:N31" si="2">SUM(I18:I30)</f>
        <v>275</v>
      </c>
      <c r="J31" s="152">
        <f t="shared" si="2"/>
        <v>350</v>
      </c>
      <c r="K31" s="152">
        <f t="shared" si="2"/>
        <v>350</v>
      </c>
      <c r="L31" s="152">
        <f t="shared" si="2"/>
        <v>450</v>
      </c>
      <c r="M31" s="152">
        <f t="shared" si="2"/>
        <v>450</v>
      </c>
      <c r="N31" s="152">
        <f t="shared" si="2"/>
        <v>450</v>
      </c>
      <c r="P31" s="287"/>
    </row>
    <row r="32" spans="1:16">
      <c r="A32" s="412">
        <f>ROW()</f>
        <v>32</v>
      </c>
      <c r="B32" s="39" t="s">
        <v>228</v>
      </c>
      <c r="C32" s="39"/>
      <c r="D32" s="39"/>
      <c r="E32" s="39"/>
      <c r="H32" s="153"/>
      <c r="I32" s="103">
        <f>IFERROR(I31/I16,0)</f>
        <v>25</v>
      </c>
      <c r="J32" s="103">
        <f t="shared" ref="J32:N32" si="3">IFERROR(J31/J16,0)</f>
        <v>25</v>
      </c>
      <c r="K32" s="103">
        <f t="shared" si="3"/>
        <v>21.875</v>
      </c>
      <c r="L32" s="103">
        <f t="shared" si="3"/>
        <v>25</v>
      </c>
      <c r="M32" s="103">
        <f t="shared" si="3"/>
        <v>25</v>
      </c>
      <c r="N32" s="103">
        <f t="shared" si="3"/>
        <v>25</v>
      </c>
      <c r="P32" s="287"/>
    </row>
    <row r="33" spans="1:16">
      <c r="A33" s="412">
        <f>ROW()</f>
        <v>33</v>
      </c>
      <c r="P33" s="287"/>
    </row>
    <row r="34" spans="1:16" ht="17.399999999999999">
      <c r="A34" s="412">
        <f>ROW()</f>
        <v>34</v>
      </c>
      <c r="B34" s="1860" t="s">
        <v>770</v>
      </c>
      <c r="C34" s="1860"/>
      <c r="D34" s="1860"/>
      <c r="E34" s="1860"/>
      <c r="F34" s="1860"/>
      <c r="G34" s="1746"/>
      <c r="H34" s="1712"/>
      <c r="I34" s="1712"/>
      <c r="J34" s="1712"/>
      <c r="K34" s="1712"/>
      <c r="L34" s="1712"/>
      <c r="M34" s="1712"/>
      <c r="N34" s="1712"/>
      <c r="P34" s="287"/>
    </row>
    <row r="35" spans="1:16">
      <c r="A35" s="412">
        <f>ROW()</f>
        <v>35</v>
      </c>
      <c r="B35" s="1503" t="s">
        <v>771</v>
      </c>
      <c r="C35" s="1503" t="s">
        <v>1299</v>
      </c>
      <c r="D35" s="1503"/>
      <c r="E35" s="1503"/>
      <c r="F35" s="1503"/>
      <c r="G35" s="1749" t="s">
        <v>244</v>
      </c>
      <c r="H35" s="1750">
        <f>H13</f>
        <v>2026</v>
      </c>
      <c r="I35" s="1750">
        <f t="shared" ref="I35:N35" si="4">I13</f>
        <v>2027</v>
      </c>
      <c r="J35" s="1750">
        <f t="shared" si="4"/>
        <v>2028</v>
      </c>
      <c r="K35" s="1750">
        <f t="shared" si="4"/>
        <v>2029</v>
      </c>
      <c r="L35" s="1750">
        <f t="shared" si="4"/>
        <v>2030</v>
      </c>
      <c r="M35" s="1750">
        <f t="shared" si="4"/>
        <v>2031</v>
      </c>
      <c r="N35" s="1750">
        <f t="shared" si="4"/>
        <v>2032</v>
      </c>
      <c r="P35" s="287"/>
    </row>
    <row r="36" spans="1:16">
      <c r="A36" s="412">
        <f>ROW()</f>
        <v>36</v>
      </c>
      <c r="B36" s="522" t="s">
        <v>1410</v>
      </c>
      <c r="C36" s="522"/>
      <c r="D36" s="522"/>
      <c r="E36" s="522"/>
      <c r="F36" s="522"/>
      <c r="G36" s="1180">
        <f>SUM(H36:N36)</f>
        <v>30000</v>
      </c>
      <c r="H36" s="222">
        <v>0</v>
      </c>
      <c r="I36" s="222">
        <v>5000</v>
      </c>
      <c r="J36" s="222">
        <v>5000</v>
      </c>
      <c r="K36" s="222">
        <v>5000</v>
      </c>
      <c r="L36" s="222">
        <v>5000</v>
      </c>
      <c r="M36" s="222">
        <v>5000</v>
      </c>
      <c r="N36" s="222">
        <v>5000</v>
      </c>
      <c r="P36" s="287"/>
    </row>
    <row r="37" spans="1:16">
      <c r="A37" s="412">
        <f>ROW()</f>
        <v>37</v>
      </c>
      <c r="B37" s="1310"/>
      <c r="C37" s="1310"/>
      <c r="D37" s="1310"/>
      <c r="E37" s="1310"/>
      <c r="F37" s="1310"/>
      <c r="G37" s="1181">
        <f t="shared" ref="G37:G43" si="5">SUM(H37:N37)</f>
        <v>0</v>
      </c>
      <c r="H37" s="223">
        <v>0</v>
      </c>
      <c r="I37" s="223">
        <v>0</v>
      </c>
      <c r="J37" s="223">
        <v>0</v>
      </c>
      <c r="K37" s="223">
        <v>0</v>
      </c>
      <c r="L37" s="223">
        <v>0</v>
      </c>
      <c r="M37" s="223">
        <v>0</v>
      </c>
      <c r="N37" s="223">
        <v>0</v>
      </c>
      <c r="P37" s="287"/>
    </row>
    <row r="38" spans="1:16">
      <c r="A38" s="412">
        <f>ROW()</f>
        <v>38</v>
      </c>
      <c r="B38" s="1310"/>
      <c r="C38" s="1310"/>
      <c r="D38" s="1310"/>
      <c r="E38" s="1310"/>
      <c r="F38" s="1310"/>
      <c r="G38" s="1181">
        <f t="shared" si="5"/>
        <v>0</v>
      </c>
      <c r="H38" s="223">
        <v>0</v>
      </c>
      <c r="I38" s="223">
        <v>0</v>
      </c>
      <c r="J38" s="223">
        <v>0</v>
      </c>
      <c r="K38" s="223">
        <v>0</v>
      </c>
      <c r="L38" s="223">
        <v>0</v>
      </c>
      <c r="M38" s="223">
        <v>0</v>
      </c>
      <c r="N38" s="223">
        <v>0</v>
      </c>
      <c r="P38" s="287"/>
    </row>
    <row r="39" spans="1:16">
      <c r="A39" s="412">
        <f>ROW()</f>
        <v>39</v>
      </c>
      <c r="B39" s="1310"/>
      <c r="C39" s="1310"/>
      <c r="D39" s="1310"/>
      <c r="E39" s="1310"/>
      <c r="F39" s="1310"/>
      <c r="G39" s="1181">
        <f t="shared" si="5"/>
        <v>0</v>
      </c>
      <c r="H39" s="223">
        <v>0</v>
      </c>
      <c r="I39" s="223">
        <v>0</v>
      </c>
      <c r="J39" s="223">
        <v>0</v>
      </c>
      <c r="K39" s="223">
        <v>0</v>
      </c>
      <c r="L39" s="223">
        <v>0</v>
      </c>
      <c r="M39" s="223">
        <v>0</v>
      </c>
      <c r="N39" s="223">
        <v>0</v>
      </c>
      <c r="P39" s="287"/>
    </row>
    <row r="40" spans="1:16">
      <c r="A40" s="412">
        <f>ROW()</f>
        <v>40</v>
      </c>
      <c r="B40" s="1310"/>
      <c r="C40" s="1310"/>
      <c r="D40" s="1310"/>
      <c r="E40" s="1310"/>
      <c r="F40" s="1310"/>
      <c r="G40" s="1181">
        <f t="shared" si="5"/>
        <v>0</v>
      </c>
      <c r="H40" s="223">
        <v>0</v>
      </c>
      <c r="I40" s="223">
        <v>0</v>
      </c>
      <c r="J40" s="223">
        <v>0</v>
      </c>
      <c r="K40" s="223">
        <v>0</v>
      </c>
      <c r="L40" s="223">
        <v>0</v>
      </c>
      <c r="M40" s="223">
        <v>0</v>
      </c>
      <c r="N40" s="223">
        <v>0</v>
      </c>
      <c r="P40" s="287"/>
    </row>
    <row r="41" spans="1:16">
      <c r="A41" s="412">
        <f>ROW()</f>
        <v>41</v>
      </c>
      <c r="B41" s="1310"/>
      <c r="C41" s="1310"/>
      <c r="D41" s="1310"/>
      <c r="E41" s="1310"/>
      <c r="F41" s="1310"/>
      <c r="G41" s="1181">
        <f t="shared" si="5"/>
        <v>0</v>
      </c>
      <c r="H41" s="223">
        <v>0</v>
      </c>
      <c r="I41" s="223">
        <v>0</v>
      </c>
      <c r="J41" s="223">
        <v>0</v>
      </c>
      <c r="K41" s="223">
        <v>0</v>
      </c>
      <c r="L41" s="223">
        <v>0</v>
      </c>
      <c r="M41" s="223">
        <v>0</v>
      </c>
      <c r="N41" s="223">
        <v>0</v>
      </c>
      <c r="P41" s="287"/>
    </row>
    <row r="42" spans="1:16">
      <c r="A42" s="412">
        <f>ROW()</f>
        <v>42</v>
      </c>
      <c r="B42" s="1310"/>
      <c r="C42" s="1310"/>
      <c r="D42" s="1310"/>
      <c r="E42" s="1310"/>
      <c r="F42" s="1310"/>
      <c r="G42" s="1181">
        <f t="shared" si="5"/>
        <v>0</v>
      </c>
      <c r="H42" s="223">
        <v>0</v>
      </c>
      <c r="I42" s="223">
        <v>0</v>
      </c>
      <c r="J42" s="223">
        <v>0</v>
      </c>
      <c r="K42" s="223">
        <v>0</v>
      </c>
      <c r="L42" s="223">
        <v>0</v>
      </c>
      <c r="M42" s="223">
        <v>0</v>
      </c>
      <c r="N42" s="223">
        <v>0</v>
      </c>
      <c r="P42" s="287"/>
    </row>
    <row r="43" spans="1:16">
      <c r="A43" s="412">
        <f>ROW()</f>
        <v>43</v>
      </c>
      <c r="B43" s="521"/>
      <c r="C43" s="521"/>
      <c r="D43" s="521"/>
      <c r="E43" s="521"/>
      <c r="F43" s="521"/>
      <c r="G43" s="1182">
        <f t="shared" si="5"/>
        <v>0</v>
      </c>
      <c r="H43" s="224">
        <v>0</v>
      </c>
      <c r="I43" s="224">
        <v>0</v>
      </c>
      <c r="J43" s="224">
        <v>0</v>
      </c>
      <c r="K43" s="224">
        <v>0</v>
      </c>
      <c r="L43" s="224">
        <v>0</v>
      </c>
      <c r="M43" s="224">
        <v>0</v>
      </c>
      <c r="N43" s="224">
        <v>0</v>
      </c>
      <c r="P43" s="287"/>
    </row>
    <row r="44" spans="1:16">
      <c r="A44" s="412">
        <f>ROW()</f>
        <v>44</v>
      </c>
      <c r="B44" s="32" t="s">
        <v>772</v>
      </c>
      <c r="C44" s="518"/>
      <c r="D44" s="518"/>
      <c r="G44" s="519">
        <f>SUM(H44:N44)</f>
        <v>30000</v>
      </c>
      <c r="H44" s="520">
        <f t="shared" ref="H44:N44" si="6">SUM(H36:H43)</f>
        <v>0</v>
      </c>
      <c r="I44" s="520">
        <f t="shared" si="6"/>
        <v>5000</v>
      </c>
      <c r="J44" s="520">
        <f t="shared" si="6"/>
        <v>5000</v>
      </c>
      <c r="K44" s="520">
        <f t="shared" si="6"/>
        <v>5000</v>
      </c>
      <c r="L44" s="520">
        <f t="shared" si="6"/>
        <v>5000</v>
      </c>
      <c r="M44" s="520">
        <f t="shared" si="6"/>
        <v>5000</v>
      </c>
      <c r="N44" s="520">
        <f t="shared" si="6"/>
        <v>5000</v>
      </c>
      <c r="P44" s="287"/>
    </row>
    <row r="45" spans="1:16">
      <c r="G45" s="190">
        <f t="shared" ref="G45:N45" si="7">IFERROR(G44/$G$44,0)</f>
        <v>1</v>
      </c>
      <c r="H45" s="190">
        <f t="shared" si="7"/>
        <v>0</v>
      </c>
      <c r="I45" s="190">
        <f t="shared" si="7"/>
        <v>0.16666666666666666</v>
      </c>
      <c r="J45" s="190">
        <f t="shared" si="7"/>
        <v>0.16666666666666666</v>
      </c>
      <c r="K45" s="190">
        <f t="shared" si="7"/>
        <v>0.16666666666666666</v>
      </c>
      <c r="L45" s="190">
        <f t="shared" si="7"/>
        <v>0.16666666666666666</v>
      </c>
      <c r="M45" s="190">
        <f t="shared" si="7"/>
        <v>0.16666666666666666</v>
      </c>
      <c r="N45" s="190">
        <f t="shared" si="7"/>
        <v>0.16666666666666666</v>
      </c>
      <c r="P45" s="287"/>
    </row>
    <row r="46" spans="1:16">
      <c r="P46" s="287"/>
    </row>
    <row r="47" spans="1:16">
      <c r="P47" s="287"/>
    </row>
  </sheetData>
  <sheetProtection sheet="1" objects="1" scenarios="1"/>
  <mergeCells count="2">
    <mergeCell ref="B34:F34"/>
    <mergeCell ref="A1:D1"/>
  </mergeCells>
  <conditionalFormatting sqref="B18:G30">
    <cfRule type="expression" dxfId="28" priority="11" stopIfTrue="1">
      <formula>MOD(ROW(),2)=0</formula>
    </cfRule>
  </conditionalFormatting>
  <conditionalFormatting sqref="G1">
    <cfRule type="expression" dxfId="27" priority="4" stopIfTrue="1">
      <formula>MOD(ROW(),2)=0</formula>
    </cfRule>
  </conditionalFormatting>
  <conditionalFormatting sqref="H15:N16">
    <cfRule type="cellIs" dxfId="26" priority="13" stopIfTrue="1" operator="equal">
      <formula>0</formula>
    </cfRule>
  </conditionalFormatting>
  <conditionalFormatting sqref="H18:N30">
    <cfRule type="cellIs" dxfId="25" priority="12" stopIfTrue="1" operator="equal">
      <formula>0</formula>
    </cfRule>
  </conditionalFormatting>
  <pageMargins left="0.25" right="0.25" top="0.5" bottom="0.45" header="0.25" footer="0.25"/>
  <pageSetup scale="70" fitToHeight="6" orientation="landscape" r:id="rId1"/>
  <headerFooter>
    <oddHeader xml:space="preserve">&amp;L &amp;C &amp;R </oddHeader>
    <oddFooter>&amp;L&amp;7&amp;D  at &amp;T Mike 702.854.0691&amp;C&amp;7&amp;F  &amp;A&amp;R&amp;7Page &amp;P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EF194-DFD1-468F-8395-0712B077DA3C}">
  <sheetPr codeName="Sheet12">
    <tabColor rgb="FFFFFF99"/>
  </sheetPr>
  <dimension ref="A1:M90"/>
  <sheetViews>
    <sheetView topLeftCell="A5" zoomScaleNormal="100" workbookViewId="0">
      <pane ySplit="8" topLeftCell="A71" activePane="bottomLeft" state="frozen"/>
      <selection activeCell="A5" sqref="A5"/>
      <selection pane="bottomLeft" activeCell="M46" sqref="M46"/>
    </sheetView>
  </sheetViews>
  <sheetFormatPr defaultColWidth="8.6640625" defaultRowHeight="13.8"/>
  <cols>
    <col min="1" max="1" width="6.6640625" style="32" bestFit="1" customWidth="1"/>
    <col min="2" max="2" width="47.6640625" style="32" customWidth="1"/>
    <col min="3" max="3" width="10.33203125" style="32" customWidth="1"/>
    <col min="4" max="4" width="14.5546875" style="32" customWidth="1"/>
    <col min="5" max="5" width="20.6640625" style="32" customWidth="1"/>
    <col min="6" max="6" width="13.44140625" style="32" customWidth="1"/>
    <col min="7" max="7" width="12.5546875" style="32" customWidth="1"/>
    <col min="8" max="8" width="12.6640625" style="32" customWidth="1"/>
    <col min="9" max="9" width="12.33203125" style="32" customWidth="1"/>
    <col min="10" max="10" width="14" style="32" customWidth="1"/>
    <col min="11" max="11" width="14.6640625" style="32" customWidth="1"/>
    <col min="12" max="12" width="3.33203125" style="32" customWidth="1"/>
    <col min="13" max="13" width="61.6640625" style="257" customWidth="1"/>
    <col min="14" max="16384" width="8.6640625" style="32"/>
  </cols>
  <sheetData>
    <row r="1" spans="1:13" ht="17.399999999999999">
      <c r="A1" s="1494" t="s">
        <v>773</v>
      </c>
      <c r="B1" s="1495"/>
      <c r="C1" s="347"/>
      <c r="D1" s="74"/>
      <c r="I1" s="30"/>
      <c r="J1" s="30"/>
      <c r="K1" s="30"/>
    </row>
    <row r="2" spans="1:13" ht="15.6">
      <c r="A2" s="35" t="str">
        <f>SchoolName</f>
        <v>Pahrump Valley Academy</v>
      </c>
      <c r="B2" s="36"/>
      <c r="D2" s="74"/>
      <c r="I2" s="81"/>
      <c r="J2" s="81"/>
      <c r="K2" s="120"/>
      <c r="L2" s="121"/>
      <c r="M2" s="1187"/>
    </row>
    <row r="3" spans="1:13">
      <c r="A3" s="37"/>
      <c r="D3" s="205"/>
      <c r="I3" s="84"/>
      <c r="J3" s="84"/>
      <c r="K3" s="120"/>
      <c r="L3" s="121"/>
      <c r="M3" s="1187"/>
    </row>
    <row r="4" spans="1:13">
      <c r="A4" s="38"/>
      <c r="D4" s="74"/>
      <c r="I4" s="30"/>
      <c r="J4" s="30"/>
      <c r="K4" s="30"/>
    </row>
    <row r="5" spans="1:13">
      <c r="A5" s="29"/>
      <c r="I5" s="81"/>
      <c r="J5" s="81"/>
      <c r="K5" s="120"/>
      <c r="L5" s="121"/>
      <c r="M5" s="1187"/>
    </row>
    <row r="6" spans="1:13">
      <c r="A6" s="59"/>
      <c r="B6" s="30"/>
      <c r="C6" s="30"/>
    </row>
    <row r="7" spans="1:13">
      <c r="A7" s="59"/>
      <c r="B7" s="30"/>
      <c r="C7" s="60"/>
      <c r="E7" s="60" t="s">
        <v>774</v>
      </c>
      <c r="F7" s="206"/>
    </row>
    <row r="8" spans="1:13">
      <c r="A8" s="59"/>
      <c r="B8" s="30"/>
      <c r="C8" s="31"/>
      <c r="E8" s="31" t="s">
        <v>243</v>
      </c>
      <c r="F8" s="31"/>
    </row>
    <row r="9" spans="1:13">
      <c r="A9" s="290"/>
      <c r="B9" s="30"/>
      <c r="D9" s="31"/>
      <c r="E9" s="1511">
        <v>0</v>
      </c>
      <c r="F9" s="1763" t="s">
        <v>594</v>
      </c>
      <c r="G9" s="1763" t="s">
        <v>595</v>
      </c>
      <c r="H9" s="1763" t="s">
        <v>596</v>
      </c>
      <c r="I9" s="1763" t="s">
        <v>597</v>
      </c>
      <c r="J9" s="1763" t="s">
        <v>598</v>
      </c>
      <c r="K9" s="1764" t="s">
        <v>599</v>
      </c>
    </row>
    <row r="10" spans="1:13" ht="15.6">
      <c r="A10" s="290"/>
      <c r="B10" s="30"/>
      <c r="D10" s="244"/>
      <c r="E10" s="1765">
        <f>+F10-1</f>
        <v>2025</v>
      </c>
      <c r="F10" s="1766">
        <f>' Enrol &amp; Rev'!G10</f>
        <v>2026</v>
      </c>
      <c r="G10" s="1767">
        <f>+F11</f>
        <v>2027</v>
      </c>
      <c r="H10" s="1767">
        <f>+G11</f>
        <v>2028</v>
      </c>
      <c r="I10" s="1767">
        <f>+H11</f>
        <v>2029</v>
      </c>
      <c r="J10" s="1767">
        <f>+I11</f>
        <v>2030</v>
      </c>
      <c r="K10" s="1768">
        <f>+J11</f>
        <v>2031</v>
      </c>
    </row>
    <row r="11" spans="1:13" ht="15.6">
      <c r="A11" s="290"/>
      <c r="B11" s="30"/>
      <c r="D11" s="248" t="s">
        <v>78</v>
      </c>
      <c r="E11" s="1769">
        <f>+F11-1</f>
        <v>2026</v>
      </c>
      <c r="F11" s="1770">
        <f t="shared" ref="F11:K11" si="0">+F10+1</f>
        <v>2027</v>
      </c>
      <c r="G11" s="1770">
        <f t="shared" si="0"/>
        <v>2028</v>
      </c>
      <c r="H11" s="1770">
        <f t="shared" si="0"/>
        <v>2029</v>
      </c>
      <c r="I11" s="1770">
        <f t="shared" si="0"/>
        <v>2030</v>
      </c>
      <c r="J11" s="1770">
        <f t="shared" si="0"/>
        <v>2031</v>
      </c>
      <c r="K11" s="1771">
        <f t="shared" si="0"/>
        <v>2032</v>
      </c>
      <c r="M11" s="1426" t="s">
        <v>1253</v>
      </c>
    </row>
    <row r="12" spans="1:13" ht="15.6">
      <c r="A12" s="290">
        <f>ROW()</f>
        <v>12</v>
      </c>
      <c r="B12" s="1300" t="s">
        <v>437</v>
      </c>
      <c r="C12" s="1301"/>
      <c r="D12" s="1302"/>
      <c r="E12" s="492"/>
      <c r="F12" s="573">
        <f>'Mkt Res'!E27</f>
        <v>275</v>
      </c>
      <c r="G12" s="573">
        <f>'Mkt Res'!F27</f>
        <v>350</v>
      </c>
      <c r="H12" s="573">
        <f>'Mkt Res'!G27</f>
        <v>350</v>
      </c>
      <c r="I12" s="573">
        <f>'Mkt Res'!H27</f>
        <v>450</v>
      </c>
      <c r="J12" s="573">
        <f>'Mkt Res'!I27</f>
        <v>450</v>
      </c>
      <c r="K12" s="573">
        <f>'Mkt Res'!J27</f>
        <v>450</v>
      </c>
      <c r="M12" s="394"/>
    </row>
    <row r="13" spans="1:13" ht="15.6">
      <c r="A13" s="726">
        <f>ROW()</f>
        <v>13</v>
      </c>
      <c r="B13" s="450" t="s">
        <v>440</v>
      </c>
      <c r="C13" s="539"/>
      <c r="D13" s="574">
        <f>SUM(E13:K13)</f>
        <v>30850600.329303101</v>
      </c>
      <c r="E13" s="540"/>
      <c r="F13" s="576">
        <f>+' Enrol &amp; Rev'!G145</f>
        <v>3377599.6375000002</v>
      </c>
      <c r="G13" s="576">
        <f>+' Enrol &amp; Rev'!H145</f>
        <v>4550328.4095433</v>
      </c>
      <c r="H13" s="576">
        <f>+' Enrol &amp; Rev'!I145</f>
        <v>5222587.0439642007</v>
      </c>
      <c r="I13" s="576">
        <f>+' Enrol &amp; Rev'!J145</f>
        <v>5879297.4752447996</v>
      </c>
      <c r="J13" s="576">
        <f>+' Enrol &amp; Rev'!K145</f>
        <v>5910393.8815254001</v>
      </c>
      <c r="K13" s="576">
        <f>+' Enrol &amp; Rev'!L145</f>
        <v>5910393.8815254001</v>
      </c>
      <c r="M13" s="287"/>
    </row>
    <row r="14" spans="1:13" ht="15.6">
      <c r="A14" s="726">
        <f>ROW()</f>
        <v>14</v>
      </c>
      <c r="B14" s="66" t="s">
        <v>775</v>
      </c>
      <c r="C14" s="531"/>
      <c r="D14" s="575">
        <f>SUM(E14:K14)</f>
        <v>26939969.456526473</v>
      </c>
      <c r="E14" s="577">
        <f>SUM(Summary!F48:F52,Summary!F44:F46)</f>
        <v>0</v>
      </c>
      <c r="F14" s="578">
        <f>SUM(Summary!G48:G52,Summary!G44:G46)</f>
        <v>3080804.4369022665</v>
      </c>
      <c r="G14" s="578">
        <f>SUM(Summary!H48:H52,Summary!H44:H46)</f>
        <v>3911780.4386991998</v>
      </c>
      <c r="H14" s="578">
        <f>SUM(Summary!I48:I52,Summary!I44:I46)</f>
        <v>4420478.9219378661</v>
      </c>
      <c r="I14" s="578">
        <f>SUM(Summary!J48:J52,Summary!J44:J46)</f>
        <v>5119245.189975827</v>
      </c>
      <c r="J14" s="578">
        <f>SUM(Summary!K48:K52,Summary!K44:K46)</f>
        <v>5125332.3842138387</v>
      </c>
      <c r="K14" s="578">
        <f>SUM(Summary!L48:L52,Summary!L44:L46)</f>
        <v>5282328.0847974755</v>
      </c>
      <c r="M14" s="287"/>
    </row>
    <row r="15" spans="1:13" ht="15.6">
      <c r="A15" s="726">
        <f>ROW()</f>
        <v>15</v>
      </c>
      <c r="B15" s="579" t="s">
        <v>776</v>
      </c>
      <c r="C15" s="531"/>
      <c r="D15" s="1759" t="s">
        <v>777</v>
      </c>
      <c r="E15" s="577"/>
      <c r="F15" s="578"/>
      <c r="G15" s="578"/>
      <c r="H15" s="578"/>
      <c r="I15" s="578"/>
      <c r="J15" s="578"/>
      <c r="K15" s="578"/>
      <c r="M15" s="287"/>
    </row>
    <row r="16" spans="1:13" ht="15.6">
      <c r="A16" s="726">
        <f>ROW()</f>
        <v>16</v>
      </c>
      <c r="B16" s="579" t="s">
        <v>778</v>
      </c>
      <c r="C16" s="66"/>
      <c r="D16" s="532"/>
      <c r="E16" s="532"/>
      <c r="F16" s="379"/>
      <c r="G16" s="533"/>
      <c r="H16" s="533"/>
      <c r="I16" s="533"/>
      <c r="J16" s="533"/>
      <c r="K16" s="533"/>
      <c r="M16" s="287"/>
    </row>
    <row r="17" spans="1:13" ht="15.6">
      <c r="A17" s="726">
        <f>ROW()</f>
        <v>17</v>
      </c>
      <c r="B17" s="312" t="s">
        <v>779</v>
      </c>
      <c r="D17" s="689"/>
      <c r="E17" s="757"/>
      <c r="F17" s="87"/>
      <c r="G17" s="758"/>
      <c r="H17" s="758"/>
      <c r="I17" s="758"/>
      <c r="J17" s="758"/>
      <c r="K17" s="758"/>
      <c r="M17" s="287"/>
    </row>
    <row r="18" spans="1:13" ht="15.6">
      <c r="A18" s="726">
        <f>ROW()</f>
        <v>18</v>
      </c>
      <c r="B18" s="312" t="s">
        <v>780</v>
      </c>
      <c r="D18" s="689"/>
      <c r="E18" s="757"/>
      <c r="F18" s="87"/>
      <c r="G18" s="758"/>
      <c r="H18" s="758"/>
      <c r="I18" s="758"/>
      <c r="J18" s="758"/>
      <c r="K18" s="758"/>
      <c r="M18" s="287"/>
    </row>
    <row r="19" spans="1:13" ht="15.6">
      <c r="A19" s="726">
        <f>ROW()</f>
        <v>19</v>
      </c>
      <c r="B19" s="312" t="s">
        <v>781</v>
      </c>
      <c r="D19" s="689"/>
      <c r="E19" s="989" t="s">
        <v>782</v>
      </c>
      <c r="F19" s="87"/>
      <c r="G19" s="758"/>
      <c r="H19" s="758"/>
      <c r="I19" s="758"/>
      <c r="J19" s="758"/>
      <c r="K19" s="758"/>
      <c r="M19" s="287"/>
    </row>
    <row r="20" spans="1:13" ht="15.6">
      <c r="A20" s="726">
        <f>ROW()</f>
        <v>20</v>
      </c>
      <c r="B20" s="312" t="s">
        <v>783</v>
      </c>
      <c r="D20" s="689"/>
      <c r="E20" s="757"/>
      <c r="F20" s="87"/>
      <c r="G20" s="758"/>
      <c r="H20" s="758"/>
      <c r="I20" s="758"/>
      <c r="J20" s="758"/>
      <c r="K20" s="758"/>
      <c r="M20" s="287"/>
    </row>
    <row r="21" spans="1:13" ht="15.6">
      <c r="A21" s="726">
        <f>ROW()</f>
        <v>21</v>
      </c>
      <c r="B21" s="312" t="s">
        <v>784</v>
      </c>
      <c r="D21" s="689"/>
      <c r="E21" s="757"/>
      <c r="F21" s="87"/>
      <c r="G21" s="758"/>
      <c r="H21" s="758"/>
      <c r="I21" s="758"/>
      <c r="J21" s="758"/>
      <c r="K21" s="758"/>
      <c r="M21" s="287"/>
    </row>
    <row r="22" spans="1:13" ht="15.6">
      <c r="A22" s="726">
        <f>ROW()</f>
        <v>22</v>
      </c>
      <c r="B22" s="312" t="s">
        <v>784</v>
      </c>
      <c r="D22" s="689"/>
      <c r="E22" s="757"/>
      <c r="F22" s="87"/>
      <c r="G22" s="758"/>
      <c r="H22" s="758"/>
      <c r="I22" s="758"/>
      <c r="J22" s="758"/>
      <c r="K22" s="758"/>
      <c r="M22" s="287"/>
    </row>
    <row r="23" spans="1:13" ht="15.6">
      <c r="A23" s="726">
        <f>ROW()</f>
        <v>23</v>
      </c>
      <c r="B23" s="312"/>
      <c r="D23" s="212"/>
      <c r="E23" s="757"/>
      <c r="F23" s="87"/>
      <c r="G23" s="758"/>
      <c r="H23" s="758"/>
      <c r="I23" s="758"/>
      <c r="J23" s="758"/>
      <c r="K23" s="758"/>
      <c r="M23" s="287"/>
    </row>
    <row r="24" spans="1:13">
      <c r="A24" s="726">
        <f>ROW()</f>
        <v>24</v>
      </c>
      <c r="B24" s="396" t="s">
        <v>785</v>
      </c>
      <c r="C24" s="530"/>
      <c r="D24" s="268"/>
      <c r="E24" s="534"/>
      <c r="F24" s="534"/>
      <c r="G24" s="534"/>
      <c r="H24" s="534"/>
      <c r="I24" s="534"/>
      <c r="J24" s="534"/>
      <c r="K24" s="534"/>
      <c r="M24" s="287"/>
    </row>
    <row r="25" spans="1:13">
      <c r="A25" s="726">
        <f>ROW()</f>
        <v>25</v>
      </c>
      <c r="B25" s="759"/>
      <c r="C25" s="696">
        <v>0</v>
      </c>
      <c r="D25" s="1183">
        <f>SUM(E25:K25)</f>
        <v>0</v>
      </c>
      <c r="E25" s="682">
        <v>0</v>
      </c>
      <c r="F25" s="682">
        <v>0</v>
      </c>
      <c r="G25" s="682">
        <v>0</v>
      </c>
      <c r="H25" s="682">
        <v>0</v>
      </c>
      <c r="I25" s="682">
        <v>0</v>
      </c>
      <c r="J25" s="682">
        <v>0</v>
      </c>
      <c r="K25" s="682">
        <v>0</v>
      </c>
      <c r="M25" s="287"/>
    </row>
    <row r="26" spans="1:13">
      <c r="A26" s="726">
        <f>ROW()</f>
        <v>26</v>
      </c>
      <c r="B26" s="692"/>
      <c r="C26" s="455">
        <v>0</v>
      </c>
      <c r="D26" s="1184">
        <f>SUM(E26:K26)</f>
        <v>0</v>
      </c>
      <c r="E26" s="536">
        <v>0</v>
      </c>
      <c r="F26" s="536">
        <v>0</v>
      </c>
      <c r="G26" s="536">
        <v>0</v>
      </c>
      <c r="H26" s="536">
        <v>0</v>
      </c>
      <c r="I26" s="536">
        <v>0</v>
      </c>
      <c r="J26" s="536">
        <v>0</v>
      </c>
      <c r="K26" s="536">
        <v>0</v>
      </c>
      <c r="M26" s="287"/>
    </row>
    <row r="27" spans="1:13">
      <c r="A27" s="726">
        <f>ROW()</f>
        <v>27</v>
      </c>
      <c r="B27" s="253"/>
      <c r="C27" s="455"/>
      <c r="D27" s="1184"/>
      <c r="E27" s="536">
        <v>0</v>
      </c>
      <c r="F27" s="536">
        <v>0</v>
      </c>
      <c r="G27" s="536">
        <v>0</v>
      </c>
      <c r="H27" s="536">
        <v>0</v>
      </c>
      <c r="I27" s="536">
        <v>0</v>
      </c>
      <c r="J27" s="536">
        <v>0</v>
      </c>
      <c r="K27" s="536">
        <v>0</v>
      </c>
      <c r="M27" s="287"/>
    </row>
    <row r="28" spans="1:13">
      <c r="A28" s="726">
        <f>ROW()</f>
        <v>28</v>
      </c>
      <c r="B28" s="692"/>
      <c r="C28" s="693">
        <v>0</v>
      </c>
      <c r="D28" s="1184">
        <f>SUM(E28:K28)</f>
        <v>0</v>
      </c>
      <c r="E28" s="536">
        <v>0</v>
      </c>
      <c r="F28" s="536">
        <v>0</v>
      </c>
      <c r="G28" s="536">
        <v>0</v>
      </c>
      <c r="H28" s="536">
        <v>0</v>
      </c>
      <c r="I28" s="536">
        <v>0</v>
      </c>
      <c r="J28" s="536">
        <v>0</v>
      </c>
      <c r="K28" s="536">
        <v>0</v>
      </c>
      <c r="M28" s="287"/>
    </row>
    <row r="29" spans="1:13">
      <c r="A29" s="726">
        <f>ROW()</f>
        <v>29</v>
      </c>
      <c r="B29" s="692"/>
      <c r="C29" s="693">
        <v>0</v>
      </c>
      <c r="D29" s="1184">
        <f>SUM(E29:K29)</f>
        <v>0</v>
      </c>
      <c r="E29" s="536">
        <v>0</v>
      </c>
      <c r="F29" s="536">
        <v>0</v>
      </c>
      <c r="G29" s="536">
        <v>0</v>
      </c>
      <c r="H29" s="536">
        <v>0</v>
      </c>
      <c r="I29" s="536">
        <v>0</v>
      </c>
      <c r="J29" s="536">
        <v>0</v>
      </c>
      <c r="K29" s="536">
        <v>0</v>
      </c>
      <c r="M29" s="287"/>
    </row>
    <row r="30" spans="1:13">
      <c r="A30" s="726">
        <f>ROW()</f>
        <v>30</v>
      </c>
      <c r="B30" s="253" t="s">
        <v>786</v>
      </c>
      <c r="C30" s="455"/>
      <c r="D30" s="1184"/>
      <c r="E30" s="536">
        <v>0</v>
      </c>
      <c r="F30" s="536">
        <v>0</v>
      </c>
      <c r="G30" s="536">
        <v>0</v>
      </c>
      <c r="H30" s="536">
        <v>0</v>
      </c>
      <c r="I30" s="536">
        <v>0</v>
      </c>
      <c r="J30" s="536">
        <v>0</v>
      </c>
      <c r="K30" s="536">
        <v>0</v>
      </c>
      <c r="M30" s="287"/>
    </row>
    <row r="31" spans="1:13">
      <c r="A31" s="726">
        <f>ROW()</f>
        <v>31</v>
      </c>
      <c r="B31" s="692" t="s">
        <v>787</v>
      </c>
      <c r="C31" s="693">
        <v>0</v>
      </c>
      <c r="D31" s="1184">
        <f>SUM(E31:K31)</f>
        <v>0</v>
      </c>
      <c r="E31" s="536">
        <v>0</v>
      </c>
      <c r="F31" s="536">
        <v>0</v>
      </c>
      <c r="G31" s="536">
        <v>0</v>
      </c>
      <c r="H31" s="536">
        <v>0</v>
      </c>
      <c r="I31" s="536">
        <v>0</v>
      </c>
      <c r="J31" s="536">
        <v>0</v>
      </c>
      <c r="K31" s="536">
        <v>0</v>
      </c>
      <c r="M31" s="287"/>
    </row>
    <row r="32" spans="1:13">
      <c r="A32" s="726">
        <f>ROW()</f>
        <v>32</v>
      </c>
      <c r="B32" s="692" t="s">
        <v>788</v>
      </c>
      <c r="C32" s="693">
        <v>0</v>
      </c>
      <c r="D32" s="1184">
        <f>SUM(E32:K32)</f>
        <v>0</v>
      </c>
      <c r="E32" s="536">
        <v>0</v>
      </c>
      <c r="F32" s="536">
        <v>0</v>
      </c>
      <c r="G32" s="536">
        <v>0</v>
      </c>
      <c r="H32" s="536">
        <v>0</v>
      </c>
      <c r="I32" s="536">
        <v>0</v>
      </c>
      <c r="J32" s="536">
        <v>0</v>
      </c>
      <c r="K32" s="536">
        <v>0</v>
      </c>
      <c r="M32" s="287"/>
    </row>
    <row r="33" spans="1:13">
      <c r="A33" s="726">
        <f>ROW()</f>
        <v>33</v>
      </c>
      <c r="B33" s="253" t="s">
        <v>786</v>
      </c>
      <c r="C33" s="693"/>
      <c r="D33" s="1184"/>
      <c r="E33" s="536">
        <v>0</v>
      </c>
      <c r="F33" s="536">
        <v>0</v>
      </c>
      <c r="G33" s="536">
        <v>0</v>
      </c>
      <c r="H33" s="536">
        <v>0</v>
      </c>
      <c r="I33" s="536">
        <v>0</v>
      </c>
      <c r="J33" s="536">
        <v>0</v>
      </c>
      <c r="K33" s="536">
        <v>0</v>
      </c>
      <c r="M33" s="287"/>
    </row>
    <row r="34" spans="1:13">
      <c r="A34" s="726">
        <f>ROW()</f>
        <v>34</v>
      </c>
      <c r="B34" s="692" t="s">
        <v>789</v>
      </c>
      <c r="C34" s="693">
        <v>0</v>
      </c>
      <c r="D34" s="1184">
        <f>SUM(E34:K34)</f>
        <v>0</v>
      </c>
      <c r="E34" s="536">
        <v>0</v>
      </c>
      <c r="F34" s="536">
        <v>0</v>
      </c>
      <c r="G34" s="536">
        <v>0</v>
      </c>
      <c r="H34" s="536">
        <v>0</v>
      </c>
      <c r="I34" s="536">
        <v>0</v>
      </c>
      <c r="J34" s="536">
        <v>0</v>
      </c>
      <c r="K34" s="536">
        <v>0</v>
      </c>
      <c r="M34" s="287"/>
    </row>
    <row r="35" spans="1:13">
      <c r="A35" s="726">
        <f>ROW()</f>
        <v>35</v>
      </c>
      <c r="B35" s="692" t="s">
        <v>790</v>
      </c>
      <c r="C35" s="693">
        <v>0</v>
      </c>
      <c r="D35" s="1184">
        <f>SUM(E35:K35)</f>
        <v>0</v>
      </c>
      <c r="E35" s="536">
        <v>0</v>
      </c>
      <c r="F35" s="536">
        <v>0</v>
      </c>
      <c r="G35" s="536">
        <v>0</v>
      </c>
      <c r="H35" s="536">
        <v>0</v>
      </c>
      <c r="I35" s="536">
        <v>0</v>
      </c>
      <c r="J35" s="536">
        <v>0</v>
      </c>
      <c r="K35" s="536">
        <v>0</v>
      </c>
      <c r="M35" s="287"/>
    </row>
    <row r="36" spans="1:13">
      <c r="A36" s="726">
        <f>ROW()</f>
        <v>36</v>
      </c>
      <c r="B36" s="253" t="s">
        <v>786</v>
      </c>
      <c r="C36" s="693" t="s">
        <v>1304</v>
      </c>
      <c r="D36" s="1184"/>
      <c r="E36" s="536">
        <v>0</v>
      </c>
      <c r="F36" s="536">
        <v>0</v>
      </c>
      <c r="G36" s="536">
        <v>0</v>
      </c>
      <c r="H36" s="536">
        <v>0</v>
      </c>
      <c r="I36" s="536">
        <v>0</v>
      </c>
      <c r="J36" s="536">
        <v>0</v>
      </c>
      <c r="K36" s="536">
        <v>0</v>
      </c>
      <c r="M36" s="287"/>
    </row>
    <row r="37" spans="1:13">
      <c r="A37" s="726">
        <f>ROW()</f>
        <v>37</v>
      </c>
      <c r="B37" s="692" t="s">
        <v>791</v>
      </c>
      <c r="C37" s="693">
        <v>0</v>
      </c>
      <c r="D37" s="1184"/>
      <c r="E37" s="536">
        <v>0</v>
      </c>
      <c r="F37" s="536">
        <v>0</v>
      </c>
      <c r="G37" s="536">
        <v>0</v>
      </c>
      <c r="H37" s="536">
        <v>0</v>
      </c>
      <c r="I37" s="536">
        <v>0</v>
      </c>
      <c r="J37" s="536">
        <v>0</v>
      </c>
      <c r="K37" s="536">
        <v>0</v>
      </c>
      <c r="M37" s="287"/>
    </row>
    <row r="38" spans="1:13">
      <c r="A38" s="726">
        <f>ROW()</f>
        <v>38</v>
      </c>
      <c r="B38" s="694" t="s">
        <v>791</v>
      </c>
      <c r="C38" s="695">
        <v>0</v>
      </c>
      <c r="D38" s="1185">
        <f>SUM(E38:K38)</f>
        <v>0</v>
      </c>
      <c r="E38" s="537">
        <v>0</v>
      </c>
      <c r="F38" s="537">
        <v>0</v>
      </c>
      <c r="G38" s="537">
        <v>0</v>
      </c>
      <c r="H38" s="537">
        <v>0</v>
      </c>
      <c r="I38" s="537">
        <v>0</v>
      </c>
      <c r="J38" s="537">
        <v>0</v>
      </c>
      <c r="K38" s="537">
        <v>0</v>
      </c>
      <c r="M38" s="287"/>
    </row>
    <row r="39" spans="1:13">
      <c r="A39" s="726">
        <f>ROW()</f>
        <v>39</v>
      </c>
      <c r="B39" s="106" t="s">
        <v>833</v>
      </c>
      <c r="C39" s="211"/>
      <c r="D39" s="538">
        <f>SUM(E39:K39)</f>
        <v>0</v>
      </c>
      <c r="E39" s="538">
        <f t="shared" ref="E39:K39" si="1">SUM(E25:E38)</f>
        <v>0</v>
      </c>
      <c r="F39" s="538">
        <f t="shared" si="1"/>
        <v>0</v>
      </c>
      <c r="G39" s="538">
        <f t="shared" si="1"/>
        <v>0</v>
      </c>
      <c r="H39" s="538">
        <f t="shared" si="1"/>
        <v>0</v>
      </c>
      <c r="I39" s="538">
        <f t="shared" si="1"/>
        <v>0</v>
      </c>
      <c r="J39" s="538">
        <f t="shared" si="1"/>
        <v>0</v>
      </c>
      <c r="K39" s="538">
        <f t="shared" si="1"/>
        <v>0</v>
      </c>
      <c r="M39" s="287"/>
    </row>
    <row r="40" spans="1:13">
      <c r="A40" s="726">
        <f>ROW()</f>
        <v>40</v>
      </c>
      <c r="B40" s="271" t="s">
        <v>792</v>
      </c>
      <c r="F40" s="211"/>
      <c r="G40" s="209"/>
      <c r="H40" s="212"/>
      <c r="I40" s="51"/>
      <c r="J40" s="51"/>
      <c r="K40" s="51"/>
      <c r="L40" s="119"/>
      <c r="M40" s="287"/>
    </row>
    <row r="41" spans="1:13">
      <c r="A41" s="726">
        <f>ROW()</f>
        <v>41</v>
      </c>
      <c r="B41" s="271"/>
      <c r="F41" s="211"/>
      <c r="G41" s="209"/>
      <c r="H41" s="212"/>
      <c r="I41" s="51"/>
      <c r="J41" s="51"/>
      <c r="K41" s="51"/>
      <c r="L41" s="119"/>
      <c r="M41" s="287"/>
    </row>
    <row r="42" spans="1:13">
      <c r="A42" s="726">
        <f>ROW()</f>
        <v>42</v>
      </c>
      <c r="B42" s="271"/>
      <c r="F42" s="211"/>
      <c r="G42" s="209"/>
      <c r="H42" s="212"/>
      <c r="I42" s="51"/>
      <c r="J42" s="51"/>
      <c r="K42" s="51"/>
      <c r="L42" s="119"/>
      <c r="M42" s="287"/>
    </row>
    <row r="43" spans="1:13">
      <c r="A43" s="726">
        <f>ROW()</f>
        <v>43</v>
      </c>
      <c r="B43" s="271"/>
      <c r="F43" s="211"/>
      <c r="G43" s="209"/>
      <c r="H43" s="212"/>
      <c r="I43" s="51"/>
      <c r="J43" s="51"/>
      <c r="K43" s="51"/>
      <c r="L43" s="119"/>
      <c r="M43" s="287"/>
    </row>
    <row r="44" spans="1:13">
      <c r="A44" s="726">
        <f>ROW()</f>
        <v>44</v>
      </c>
      <c r="B44" s="271"/>
      <c r="D44" s="1862" t="s">
        <v>793</v>
      </c>
      <c r="E44" s="1863"/>
      <c r="F44" s="1864"/>
      <c r="G44" s="209"/>
      <c r="H44" s="1862" t="s">
        <v>794</v>
      </c>
      <c r="I44" s="1863"/>
      <c r="J44" s="1864"/>
      <c r="K44" s="51"/>
      <c r="L44" s="119"/>
      <c r="M44" s="287"/>
    </row>
    <row r="45" spans="1:13">
      <c r="A45" s="726">
        <f>ROW()</f>
        <v>45</v>
      </c>
      <c r="B45" s="210"/>
      <c r="D45" s="31" t="s">
        <v>1371</v>
      </c>
      <c r="E45" s="272" t="s">
        <v>795</v>
      </c>
      <c r="F45" s="31" t="s">
        <v>796</v>
      </c>
      <c r="G45" s="209"/>
      <c r="H45" s="31" t="s">
        <v>1371</v>
      </c>
      <c r="I45" s="272" t="s">
        <v>797</v>
      </c>
      <c r="J45" s="31" t="s">
        <v>749</v>
      </c>
      <c r="K45" s="51"/>
      <c r="L45" s="119"/>
      <c r="M45" s="287"/>
    </row>
    <row r="46" spans="1:13">
      <c r="A46" s="726">
        <f>ROW()</f>
        <v>46</v>
      </c>
      <c r="B46" s="210"/>
      <c r="D46" s="31" t="s">
        <v>798</v>
      </c>
      <c r="E46" s="31" t="s">
        <v>799</v>
      </c>
      <c r="F46" s="31" t="s">
        <v>800</v>
      </c>
      <c r="G46" s="209"/>
      <c r="H46" s="31" t="s">
        <v>798</v>
      </c>
      <c r="I46" s="31" t="s">
        <v>801</v>
      </c>
      <c r="J46" s="31" t="s">
        <v>800</v>
      </c>
      <c r="K46" s="51"/>
      <c r="L46" s="119"/>
      <c r="M46" s="287"/>
    </row>
    <row r="47" spans="1:13" ht="15.6">
      <c r="A47" s="726">
        <f>ROW()</f>
        <v>47</v>
      </c>
      <c r="B47" s="273" t="s">
        <v>1292</v>
      </c>
      <c r="C47" s="58"/>
      <c r="D47" s="53" t="s">
        <v>802</v>
      </c>
      <c r="E47" s="53" t="s">
        <v>802</v>
      </c>
      <c r="F47" s="53" t="s">
        <v>802</v>
      </c>
      <c r="G47" s="209"/>
      <c r="H47" s="53" t="s">
        <v>802</v>
      </c>
      <c r="I47" s="53" t="s">
        <v>802</v>
      </c>
      <c r="J47" s="53" t="s">
        <v>802</v>
      </c>
      <c r="K47" s="51"/>
      <c r="L47" s="119"/>
      <c r="M47" s="287"/>
    </row>
    <row r="48" spans="1:13" ht="27.6" hidden="1">
      <c r="A48" s="726">
        <f>ROW()</f>
        <v>48</v>
      </c>
      <c r="B48" s="41" t="s">
        <v>803</v>
      </c>
      <c r="D48" s="727"/>
      <c r="E48" s="727"/>
      <c r="F48" s="728"/>
      <c r="G48" s="1186"/>
      <c r="H48" s="751"/>
      <c r="I48" s="752"/>
      <c r="J48" s="728"/>
      <c r="K48" s="51"/>
      <c r="L48" s="51"/>
      <c r="M48" s="287"/>
    </row>
    <row r="49" spans="1:13">
      <c r="A49" s="726">
        <f>ROW()</f>
        <v>49</v>
      </c>
      <c r="B49" s="41" t="s">
        <v>804</v>
      </c>
      <c r="D49" s="727"/>
      <c r="E49" s="727"/>
      <c r="F49" s="216"/>
      <c r="G49" s="1186"/>
      <c r="H49" s="753" t="s">
        <v>1435</v>
      </c>
      <c r="I49" s="727" t="s">
        <v>1435</v>
      </c>
      <c r="J49" s="216"/>
      <c r="K49" s="51"/>
      <c r="L49" s="51"/>
      <c r="M49" s="287" t="s">
        <v>1439</v>
      </c>
    </row>
    <row r="50" spans="1:13">
      <c r="A50" s="726">
        <f>ROW()</f>
        <v>50</v>
      </c>
      <c r="B50" s="41" t="s">
        <v>1209</v>
      </c>
      <c r="D50" s="727"/>
      <c r="E50" s="727"/>
      <c r="F50" s="216"/>
      <c r="G50" s="1186"/>
      <c r="H50" s="753" t="s">
        <v>1436</v>
      </c>
      <c r="I50" s="727" t="s">
        <v>1436</v>
      </c>
      <c r="J50" s="216"/>
      <c r="K50" s="51"/>
      <c r="L50" s="51"/>
      <c r="M50" s="287"/>
    </row>
    <row r="51" spans="1:13">
      <c r="A51" s="726">
        <f>ROW()</f>
        <v>51</v>
      </c>
      <c r="B51" s="66" t="s">
        <v>805</v>
      </c>
      <c r="C51" s="66"/>
      <c r="D51" s="215"/>
      <c r="E51" s="215"/>
      <c r="F51" s="216"/>
      <c r="G51" s="1186"/>
      <c r="H51" s="754" t="s">
        <v>1436</v>
      </c>
      <c r="I51" s="215" t="s">
        <v>1436</v>
      </c>
      <c r="J51" s="216"/>
      <c r="K51" s="51"/>
      <c r="L51" s="51"/>
      <c r="M51" s="287"/>
    </row>
    <row r="52" spans="1:13">
      <c r="A52" s="726">
        <f>ROW()</f>
        <v>52</v>
      </c>
      <c r="B52" s="66" t="s">
        <v>806</v>
      </c>
      <c r="C52" s="66"/>
      <c r="D52" s="215"/>
      <c r="E52" s="215"/>
      <c r="F52" s="216"/>
      <c r="G52" s="1186"/>
      <c r="H52" s="754" t="s">
        <v>1436</v>
      </c>
      <c r="I52" s="215" t="s">
        <v>1436</v>
      </c>
      <c r="J52" s="216"/>
      <c r="K52" s="51"/>
      <c r="L52" s="51"/>
      <c r="M52" s="287"/>
    </row>
    <row r="53" spans="1:13">
      <c r="A53" s="726">
        <f>ROW()</f>
        <v>53</v>
      </c>
      <c r="B53" s="66" t="s">
        <v>807</v>
      </c>
      <c r="C53" s="66"/>
      <c r="D53" s="215"/>
      <c r="E53" s="215"/>
      <c r="F53" s="216"/>
      <c r="G53" s="1186"/>
      <c r="H53" s="754" t="s">
        <v>1436</v>
      </c>
      <c r="I53" s="215" t="s">
        <v>1436</v>
      </c>
      <c r="J53" s="216"/>
      <c r="K53" s="51"/>
      <c r="L53" s="51"/>
      <c r="M53" s="287"/>
    </row>
    <row r="54" spans="1:13">
      <c r="A54" s="726">
        <f>ROW()</f>
        <v>54</v>
      </c>
      <c r="B54" s="66" t="s">
        <v>808</v>
      </c>
      <c r="C54" s="66"/>
      <c r="D54" s="215"/>
      <c r="E54" s="215"/>
      <c r="F54" s="216"/>
      <c r="G54" s="1186"/>
      <c r="H54" s="754" t="s">
        <v>1436</v>
      </c>
      <c r="I54" s="215" t="s">
        <v>1436</v>
      </c>
      <c r="J54" s="216"/>
      <c r="K54" s="51"/>
      <c r="L54" s="51"/>
      <c r="M54" s="287"/>
    </row>
    <row r="55" spans="1:13">
      <c r="A55" s="726">
        <f>ROW()</f>
        <v>55</v>
      </c>
      <c r="B55" s="66" t="s">
        <v>809</v>
      </c>
      <c r="C55" s="66"/>
      <c r="D55" s="215"/>
      <c r="E55" s="215"/>
      <c r="F55" s="216"/>
      <c r="G55" s="1186"/>
      <c r="H55" s="754" t="s">
        <v>1435</v>
      </c>
      <c r="I55" s="215" t="s">
        <v>1435</v>
      </c>
      <c r="J55" s="216"/>
      <c r="K55" s="51"/>
      <c r="L55" s="51"/>
      <c r="M55" s="287" t="s">
        <v>1437</v>
      </c>
    </row>
    <row r="56" spans="1:13">
      <c r="A56" s="726">
        <f>ROW()</f>
        <v>56</v>
      </c>
      <c r="B56" s="66" t="s">
        <v>810</v>
      </c>
      <c r="C56" s="66"/>
      <c r="D56" s="215"/>
      <c r="E56" s="215"/>
      <c r="F56" s="216"/>
      <c r="G56" s="1186"/>
      <c r="H56" s="754" t="s">
        <v>1436</v>
      </c>
      <c r="I56" s="215" t="s">
        <v>1436</v>
      </c>
      <c r="J56" s="216"/>
      <c r="K56" s="51"/>
      <c r="L56" s="51"/>
      <c r="M56" s="287"/>
    </row>
    <row r="57" spans="1:13">
      <c r="A57" s="726">
        <f>ROW()</f>
        <v>57</v>
      </c>
      <c r="B57" s="66" t="s">
        <v>811</v>
      </c>
      <c r="C57" s="66"/>
      <c r="D57" s="215"/>
      <c r="E57" s="215"/>
      <c r="F57" s="216"/>
      <c r="G57" s="1186"/>
      <c r="H57" s="754" t="s">
        <v>1436</v>
      </c>
      <c r="I57" s="215" t="s">
        <v>1436</v>
      </c>
      <c r="J57" s="216"/>
      <c r="K57" s="51"/>
      <c r="L57" s="51"/>
      <c r="M57" s="287"/>
    </row>
    <row r="58" spans="1:13">
      <c r="A58" s="726">
        <f>ROW()</f>
        <v>58</v>
      </c>
      <c r="B58" s="66" t="s">
        <v>812</v>
      </c>
      <c r="C58" s="66"/>
      <c r="D58" s="215"/>
      <c r="E58" s="215"/>
      <c r="F58" s="216"/>
      <c r="G58" s="1186"/>
      <c r="H58" s="754" t="s">
        <v>1436</v>
      </c>
      <c r="I58" s="215" t="s">
        <v>1436</v>
      </c>
      <c r="J58" s="216"/>
      <c r="K58" s="51"/>
      <c r="L58" s="51"/>
      <c r="M58" s="287"/>
    </row>
    <row r="59" spans="1:13">
      <c r="A59" s="726">
        <f>ROW()</f>
        <v>59</v>
      </c>
      <c r="B59" s="66" t="s">
        <v>813</v>
      </c>
      <c r="C59" s="66"/>
      <c r="D59" s="215"/>
      <c r="E59" s="215"/>
      <c r="F59" s="216"/>
      <c r="G59" s="1186"/>
      <c r="H59" s="754" t="s">
        <v>1436</v>
      </c>
      <c r="I59" s="215" t="s">
        <v>1436</v>
      </c>
      <c r="J59" s="216"/>
      <c r="K59" s="51"/>
      <c r="L59" s="51"/>
      <c r="M59" s="287"/>
    </row>
    <row r="60" spans="1:13">
      <c r="A60" s="726">
        <f>ROW()</f>
        <v>60</v>
      </c>
      <c r="B60" s="66" t="s">
        <v>814</v>
      </c>
      <c r="C60" s="66"/>
      <c r="D60" s="215"/>
      <c r="E60" s="215"/>
      <c r="F60" s="216"/>
      <c r="G60" s="1186"/>
      <c r="H60" s="754" t="s">
        <v>1436</v>
      </c>
      <c r="I60" s="215" t="s">
        <v>1436</v>
      </c>
      <c r="J60" s="216"/>
      <c r="K60" s="51"/>
      <c r="L60" s="51"/>
      <c r="M60" s="287"/>
    </row>
    <row r="61" spans="1:13">
      <c r="A61" s="726">
        <f>ROW()</f>
        <v>61</v>
      </c>
      <c r="B61" s="66" t="s">
        <v>815</v>
      </c>
      <c r="C61" s="66"/>
      <c r="D61" s="215"/>
      <c r="E61" s="215"/>
      <c r="F61" s="216"/>
      <c r="G61" s="1186"/>
      <c r="H61" s="754" t="s">
        <v>1436</v>
      </c>
      <c r="I61" s="215" t="s">
        <v>1436</v>
      </c>
      <c r="J61" s="216"/>
      <c r="K61" s="51"/>
      <c r="L61" s="51"/>
      <c r="M61" s="287"/>
    </row>
    <row r="62" spans="1:13">
      <c r="A62" s="726">
        <f>ROW()</f>
        <v>62</v>
      </c>
      <c r="B62" s="66" t="s">
        <v>816</v>
      </c>
      <c r="C62" s="66"/>
      <c r="D62" s="215"/>
      <c r="E62" s="215"/>
      <c r="F62" s="216"/>
      <c r="G62" s="1186"/>
      <c r="H62" s="754" t="s">
        <v>1436</v>
      </c>
      <c r="I62" s="215" t="s">
        <v>1436</v>
      </c>
      <c r="J62" s="216"/>
      <c r="K62" s="51"/>
      <c r="L62" s="51"/>
      <c r="M62" s="287"/>
    </row>
    <row r="63" spans="1:13">
      <c r="A63" s="726">
        <f>ROW()</f>
        <v>63</v>
      </c>
      <c r="B63" s="66" t="s">
        <v>817</v>
      </c>
      <c r="C63" s="66"/>
      <c r="D63" s="215"/>
      <c r="E63" s="215"/>
      <c r="F63" s="216"/>
      <c r="G63" s="1186"/>
      <c r="H63" s="754" t="s">
        <v>1435</v>
      </c>
      <c r="I63" s="215" t="s">
        <v>1435</v>
      </c>
      <c r="J63" s="216"/>
      <c r="K63" s="51"/>
      <c r="L63" s="51"/>
      <c r="M63" s="287"/>
    </row>
    <row r="64" spans="1:13">
      <c r="A64" s="726">
        <f>ROW()</f>
        <v>64</v>
      </c>
      <c r="B64" s="66" t="s">
        <v>818</v>
      </c>
      <c r="C64" s="66"/>
      <c r="D64" s="215"/>
      <c r="E64" s="215"/>
      <c r="F64" s="216"/>
      <c r="G64" s="1186"/>
      <c r="H64" s="754" t="s">
        <v>1436</v>
      </c>
      <c r="I64" s="215" t="s">
        <v>1436</v>
      </c>
      <c r="J64" s="216"/>
      <c r="K64" s="51"/>
      <c r="L64" s="51"/>
      <c r="M64" s="287"/>
    </row>
    <row r="65" spans="1:13">
      <c r="A65" s="726">
        <f>ROW()</f>
        <v>65</v>
      </c>
      <c r="B65" s="66" t="s">
        <v>819</v>
      </c>
      <c r="C65" s="66"/>
      <c r="D65" s="215"/>
      <c r="E65" s="215"/>
      <c r="F65" s="216"/>
      <c r="G65" s="1186"/>
      <c r="H65" s="754" t="s">
        <v>1436</v>
      </c>
      <c r="I65" s="215" t="s">
        <v>1436</v>
      </c>
      <c r="J65" s="216"/>
      <c r="K65" s="51"/>
      <c r="L65" s="51"/>
      <c r="M65" s="287"/>
    </row>
    <row r="66" spans="1:13">
      <c r="A66" s="726">
        <f>ROW()</f>
        <v>66</v>
      </c>
      <c r="B66" s="66" t="s">
        <v>820</v>
      </c>
      <c r="C66" s="66"/>
      <c r="D66" s="215"/>
      <c r="E66" s="215"/>
      <c r="F66" s="216"/>
      <c r="G66" s="1186"/>
      <c r="H66" s="754" t="s">
        <v>1436</v>
      </c>
      <c r="I66" s="215" t="s">
        <v>1436</v>
      </c>
      <c r="J66" s="216"/>
      <c r="K66" s="51"/>
      <c r="L66" s="51"/>
      <c r="M66" s="287"/>
    </row>
    <row r="67" spans="1:13">
      <c r="A67" s="726">
        <f>ROW()</f>
        <v>67</v>
      </c>
      <c r="B67" s="66" t="s">
        <v>821</v>
      </c>
      <c r="C67" s="66"/>
      <c r="D67" s="215"/>
      <c r="E67" s="215"/>
      <c r="F67" s="216"/>
      <c r="G67" s="1186"/>
      <c r="H67" s="754" t="s">
        <v>1435</v>
      </c>
      <c r="I67" s="215" t="s">
        <v>1435</v>
      </c>
      <c r="J67" s="216"/>
      <c r="K67" s="51"/>
      <c r="L67" s="51"/>
      <c r="M67" s="287"/>
    </row>
    <row r="68" spans="1:13">
      <c r="A68" s="726">
        <f>ROW()</f>
        <v>68</v>
      </c>
      <c r="B68" s="66" t="s">
        <v>822</v>
      </c>
      <c r="C68" s="66"/>
      <c r="D68" s="215"/>
      <c r="E68" s="215"/>
      <c r="F68" s="216"/>
      <c r="G68" s="1186"/>
      <c r="H68" s="754" t="s">
        <v>1436</v>
      </c>
      <c r="I68" s="215" t="s">
        <v>1436</v>
      </c>
      <c r="J68" s="216"/>
      <c r="K68" s="51"/>
      <c r="L68" s="51"/>
      <c r="M68" s="287"/>
    </row>
    <row r="69" spans="1:13">
      <c r="A69" s="726">
        <f>ROW()</f>
        <v>69</v>
      </c>
      <c r="B69" s="66" t="s">
        <v>823</v>
      </c>
      <c r="C69" s="66"/>
      <c r="D69" s="215"/>
      <c r="E69" s="215"/>
      <c r="F69" s="216"/>
      <c r="G69" s="1186"/>
      <c r="H69" s="754" t="s">
        <v>1436</v>
      </c>
      <c r="I69" s="215" t="s">
        <v>1436</v>
      </c>
      <c r="J69" s="216"/>
      <c r="K69" s="51"/>
      <c r="L69" s="51"/>
      <c r="M69" s="287"/>
    </row>
    <row r="70" spans="1:13">
      <c r="A70" s="726">
        <f>ROW()</f>
        <v>70</v>
      </c>
      <c r="B70" s="66" t="s">
        <v>824</v>
      </c>
      <c r="C70" s="66"/>
      <c r="D70" s="215"/>
      <c r="E70" s="215"/>
      <c r="F70" s="216"/>
      <c r="G70" s="1186"/>
      <c r="H70" s="754" t="s">
        <v>1436</v>
      </c>
      <c r="I70" s="215" t="s">
        <v>1436</v>
      </c>
      <c r="J70" s="216"/>
      <c r="K70" s="51"/>
      <c r="L70" s="51"/>
      <c r="M70" s="287"/>
    </row>
    <row r="71" spans="1:13">
      <c r="A71" s="726">
        <f>ROW()</f>
        <v>71</v>
      </c>
      <c r="B71" s="66" t="s">
        <v>825</v>
      </c>
      <c r="C71" s="66"/>
      <c r="D71" s="215"/>
      <c r="E71" s="215"/>
      <c r="F71" s="216"/>
      <c r="G71" s="1186"/>
      <c r="H71" s="754" t="s">
        <v>1436</v>
      </c>
      <c r="I71" s="215" t="s">
        <v>1436</v>
      </c>
      <c r="J71" s="216"/>
      <c r="K71" s="51"/>
      <c r="L71" s="51"/>
      <c r="M71" s="287"/>
    </row>
    <row r="72" spans="1:13">
      <c r="A72" s="726">
        <f>ROW()</f>
        <v>72</v>
      </c>
      <c r="B72" s="66" t="s">
        <v>826</v>
      </c>
      <c r="C72" s="66"/>
      <c r="D72" s="215"/>
      <c r="E72" s="215"/>
      <c r="F72" s="216"/>
      <c r="G72" s="1186"/>
      <c r="H72" s="754" t="s">
        <v>1436</v>
      </c>
      <c r="I72" s="215" t="s">
        <v>1436</v>
      </c>
      <c r="J72" s="216"/>
      <c r="K72" s="51"/>
      <c r="L72" s="51"/>
      <c r="M72" s="287"/>
    </row>
    <row r="73" spans="1:13">
      <c r="A73" s="726">
        <f>ROW()</f>
        <v>73</v>
      </c>
      <c r="B73" s="66" t="s">
        <v>53</v>
      </c>
      <c r="C73" s="66"/>
      <c r="D73" s="215"/>
      <c r="E73" s="215"/>
      <c r="F73" s="216"/>
      <c r="G73" s="1186"/>
      <c r="H73" s="754" t="s">
        <v>1436</v>
      </c>
      <c r="I73" s="215" t="s">
        <v>1436</v>
      </c>
      <c r="J73" s="216"/>
      <c r="K73" s="51"/>
      <c r="L73" s="51"/>
      <c r="M73" s="287"/>
    </row>
    <row r="74" spans="1:13">
      <c r="A74" s="726">
        <f>ROW()</f>
        <v>74</v>
      </c>
      <c r="B74" s="66" t="s">
        <v>827</v>
      </c>
      <c r="C74" s="66"/>
      <c r="D74" s="215"/>
      <c r="E74" s="215"/>
      <c r="F74" s="216"/>
      <c r="G74" s="1186"/>
      <c r="H74" s="754" t="s">
        <v>1435</v>
      </c>
      <c r="I74" s="215" t="s">
        <v>1435</v>
      </c>
      <c r="J74" s="216" t="s">
        <v>1435</v>
      </c>
      <c r="K74" s="51"/>
      <c r="L74" s="51"/>
      <c r="M74" s="287"/>
    </row>
    <row r="75" spans="1:13">
      <c r="A75" s="726">
        <f>ROW()</f>
        <v>75</v>
      </c>
      <c r="B75" s="66" t="s">
        <v>828</v>
      </c>
      <c r="C75" s="66"/>
      <c r="D75" s="215"/>
      <c r="E75" s="215"/>
      <c r="F75" s="216"/>
      <c r="G75" s="1186"/>
      <c r="H75" s="754" t="s">
        <v>1436</v>
      </c>
      <c r="I75" s="215" t="s">
        <v>1436</v>
      </c>
      <c r="J75" s="216"/>
      <c r="K75" s="51"/>
      <c r="L75" s="51"/>
      <c r="M75" s="287"/>
    </row>
    <row r="76" spans="1:13">
      <c r="A76" s="726">
        <f>ROW()</f>
        <v>76</v>
      </c>
      <c r="B76" s="66" t="s">
        <v>829</v>
      </c>
      <c r="C76" s="66"/>
      <c r="D76" s="215"/>
      <c r="E76" s="215"/>
      <c r="F76" s="216"/>
      <c r="G76" s="1186"/>
      <c r="H76" s="754" t="s">
        <v>1436</v>
      </c>
      <c r="I76" s="215" t="s">
        <v>1436</v>
      </c>
      <c r="J76" s="216"/>
      <c r="K76" s="51"/>
      <c r="L76" s="51"/>
      <c r="M76" s="287"/>
    </row>
    <row r="77" spans="1:13">
      <c r="A77" s="726">
        <f>ROW()</f>
        <v>77</v>
      </c>
      <c r="B77" s="66" t="s">
        <v>1210</v>
      </c>
      <c r="C77" s="66"/>
      <c r="D77" s="215"/>
      <c r="E77" s="215"/>
      <c r="F77" s="216"/>
      <c r="G77" s="1186"/>
      <c r="H77" s="754" t="s">
        <v>1436</v>
      </c>
      <c r="I77" s="215" t="s">
        <v>1436</v>
      </c>
      <c r="J77" s="216"/>
      <c r="K77" s="51"/>
      <c r="L77" s="51"/>
      <c r="M77" s="287"/>
    </row>
    <row r="78" spans="1:13">
      <c r="A78" s="726">
        <f>ROW()</f>
        <v>78</v>
      </c>
      <c r="B78" s="66" t="s">
        <v>1211</v>
      </c>
      <c r="C78" s="66"/>
      <c r="D78" s="215"/>
      <c r="E78" s="215"/>
      <c r="F78" s="216"/>
      <c r="G78" s="1186"/>
      <c r="H78" s="754" t="s">
        <v>1436</v>
      </c>
      <c r="I78" s="215" t="s">
        <v>1436</v>
      </c>
      <c r="J78" s="216"/>
      <c r="K78" s="51"/>
      <c r="L78" s="51"/>
      <c r="M78" s="287"/>
    </row>
    <row r="79" spans="1:13">
      <c r="A79" s="726">
        <f>ROW()</f>
        <v>79</v>
      </c>
      <c r="B79" s="66" t="s">
        <v>830</v>
      </c>
      <c r="C79" s="66"/>
      <c r="D79" s="215"/>
      <c r="E79" s="215"/>
      <c r="F79" s="216"/>
      <c r="G79" s="1186"/>
      <c r="H79" s="754" t="s">
        <v>1435</v>
      </c>
      <c r="I79" s="215" t="s">
        <v>1435</v>
      </c>
      <c r="J79" s="216"/>
      <c r="K79" s="51"/>
      <c r="L79" s="51"/>
      <c r="M79" s="287" t="s">
        <v>1438</v>
      </c>
    </row>
    <row r="80" spans="1:13">
      <c r="A80" s="726">
        <f>ROW()</f>
        <v>80</v>
      </c>
      <c r="B80" s="66" t="s">
        <v>831</v>
      </c>
      <c r="C80" s="66"/>
      <c r="D80" s="215"/>
      <c r="E80" s="215"/>
      <c r="F80" s="216"/>
      <c r="G80" s="1186"/>
      <c r="H80" s="754" t="s">
        <v>1436</v>
      </c>
      <c r="I80" s="215" t="s">
        <v>1436</v>
      </c>
      <c r="J80" s="216"/>
      <c r="K80" s="51"/>
      <c r="L80" s="51"/>
      <c r="M80" s="287"/>
    </row>
    <row r="81" spans="1:13">
      <c r="A81" s="726">
        <f>ROW()</f>
        <v>81</v>
      </c>
      <c r="B81" s="66" t="s">
        <v>832</v>
      </c>
      <c r="C81" s="66"/>
      <c r="D81" s="215"/>
      <c r="E81" s="215"/>
      <c r="F81" s="216"/>
      <c r="G81" s="1186"/>
      <c r="H81" s="754" t="s">
        <v>1436</v>
      </c>
      <c r="I81" s="215" t="s">
        <v>1436</v>
      </c>
      <c r="J81" s="216"/>
      <c r="K81" s="51"/>
      <c r="L81" s="51"/>
      <c r="M81" s="287"/>
    </row>
    <row r="82" spans="1:13">
      <c r="A82" s="726">
        <f>ROW()</f>
        <v>82</v>
      </c>
      <c r="B82" s="66" t="s">
        <v>1305</v>
      </c>
      <c r="C82" s="66"/>
      <c r="D82" s="215"/>
      <c r="E82" s="215"/>
      <c r="F82" s="216"/>
      <c r="G82" s="1186"/>
      <c r="H82" s="754" t="s">
        <v>1436</v>
      </c>
      <c r="I82" s="215" t="s">
        <v>1436</v>
      </c>
      <c r="J82" s="216"/>
      <c r="K82" s="51"/>
      <c r="L82" s="51"/>
      <c r="M82" s="287"/>
    </row>
    <row r="83" spans="1:13">
      <c r="A83" s="726">
        <f>ROW()</f>
        <v>83</v>
      </c>
      <c r="B83" s="66" t="s">
        <v>96</v>
      </c>
      <c r="C83" s="66"/>
      <c r="D83" s="215"/>
      <c r="E83" s="215"/>
      <c r="F83" s="729"/>
      <c r="G83" s="1186"/>
      <c r="H83" s="754" t="s">
        <v>1436</v>
      </c>
      <c r="I83" s="215" t="s">
        <v>1436</v>
      </c>
      <c r="J83" s="729"/>
      <c r="K83" s="51"/>
      <c r="L83" s="51"/>
      <c r="M83" s="287"/>
    </row>
    <row r="84" spans="1:13">
      <c r="A84" s="726">
        <f>ROW()</f>
        <v>84</v>
      </c>
      <c r="B84" s="1310"/>
      <c r="C84" s="1310"/>
      <c r="D84" s="215"/>
      <c r="E84" s="215"/>
      <c r="F84" s="729"/>
      <c r="G84" s="1186"/>
      <c r="H84" s="754"/>
      <c r="I84" s="215"/>
      <c r="J84" s="729"/>
      <c r="K84" s="51"/>
      <c r="L84" s="51"/>
      <c r="M84" s="287"/>
    </row>
    <row r="85" spans="1:13">
      <c r="A85" s="726">
        <f>ROW()</f>
        <v>85</v>
      </c>
      <c r="B85" s="1310"/>
      <c r="C85" s="1310"/>
      <c r="D85" s="215"/>
      <c r="E85" s="215"/>
      <c r="F85" s="729"/>
      <c r="G85" s="1186"/>
      <c r="H85" s="754"/>
      <c r="I85" s="215"/>
      <c r="J85" s="729"/>
      <c r="K85" s="51"/>
      <c r="L85" s="51"/>
      <c r="M85" s="287"/>
    </row>
    <row r="86" spans="1:13">
      <c r="A86" s="726">
        <f>ROW()</f>
        <v>86</v>
      </c>
      <c r="B86" s="1310"/>
      <c r="C86" s="1310"/>
      <c r="D86" s="215"/>
      <c r="E86" s="215"/>
      <c r="F86" s="730"/>
      <c r="G86" s="1186"/>
      <c r="H86" s="755"/>
      <c r="I86" s="756"/>
      <c r="J86" s="730"/>
      <c r="K86" s="51"/>
      <c r="L86" s="51"/>
      <c r="M86" s="287"/>
    </row>
    <row r="87" spans="1:13">
      <c r="A87" s="726">
        <f>ROW()</f>
        <v>87</v>
      </c>
      <c r="C87" s="104"/>
      <c r="D87" s="138"/>
      <c r="E87" s="138"/>
      <c r="F87" s="138"/>
      <c r="M87" s="1424"/>
    </row>
    <row r="88" spans="1:13">
      <c r="A88" s="726">
        <f>ROW()</f>
        <v>88</v>
      </c>
      <c r="B88" s="74"/>
      <c r="D88" s="31"/>
      <c r="E88" s="31"/>
      <c r="F88" s="31"/>
      <c r="G88" s="31"/>
      <c r="H88" s="31"/>
      <c r="I88" s="31"/>
      <c r="J88" s="31"/>
      <c r="K88" s="31"/>
      <c r="L88" s="31"/>
      <c r="M88" s="1424"/>
    </row>
    <row r="89" spans="1:13">
      <c r="A89" s="726">
        <f>ROW()</f>
        <v>89</v>
      </c>
      <c r="B89" s="74"/>
      <c r="E89" s="1760"/>
      <c r="F89" s="1760"/>
      <c r="G89" s="1760"/>
      <c r="H89" s="1760"/>
      <c r="I89" s="1760"/>
      <c r="J89" s="1760"/>
      <c r="K89" s="1760"/>
      <c r="L89" s="1761"/>
      <c r="M89" s="1424"/>
    </row>
    <row r="90" spans="1:13">
      <c r="A90" s="726">
        <f>ROW()</f>
        <v>90</v>
      </c>
      <c r="B90" s="74"/>
      <c r="M90" s="1424"/>
    </row>
  </sheetData>
  <sheetProtection sheet="1" objects="1" scenarios="1"/>
  <sortState xmlns:xlrd2="http://schemas.microsoft.com/office/spreadsheetml/2017/richdata2" ref="B48:B76">
    <sortCondition ref="B48:B76"/>
  </sortState>
  <mergeCells count="2">
    <mergeCell ref="D44:F44"/>
    <mergeCell ref="H44:J44"/>
  </mergeCells>
  <conditionalFormatting sqref="B48:C83">
    <cfRule type="expression" dxfId="24" priority="1" stopIfTrue="1">
      <formula>MOD(ROW(),2)=0</formula>
    </cfRule>
  </conditionalFormatting>
  <conditionalFormatting sqref="C1">
    <cfRule type="expression" dxfId="23" priority="3" stopIfTrue="1">
      <formula>MOD(ROW(),2)=0</formula>
    </cfRule>
  </conditionalFormatting>
  <conditionalFormatting sqref="D17:D22">
    <cfRule type="cellIs" dxfId="22" priority="7" stopIfTrue="1" operator="equal">
      <formula>0</formula>
    </cfRule>
  </conditionalFormatting>
  <pageMargins left="0.25" right="0.25" top="0.5" bottom="0.45" header="0.25" footer="0.25"/>
  <pageSetup scale="70" fitToWidth="2" fitToHeight="6" orientation="landscape" r:id="rId1"/>
  <headerFooter>
    <oddHeader xml:space="preserve">&amp;L &amp;C &amp;R </oddHeader>
    <oddFooter>&amp;L&amp;7&amp;D  at &amp;T Mike 702.854.0691&amp;C&amp;7&amp;F  &amp;A&amp;R&amp;7Page &amp;P of &amp;N</oddFooter>
  </headerFooter>
  <rowBreaks count="1" manualBreakCount="1">
    <brk id="42" max="11" man="1"/>
  </rowBreaks>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9">
    <tabColor rgb="FFFFFF99"/>
  </sheetPr>
  <dimension ref="A1:T220"/>
  <sheetViews>
    <sheetView topLeftCell="A67" zoomScaleNormal="100" workbookViewId="0">
      <selection activeCell="Q84" sqref="Q84"/>
    </sheetView>
  </sheetViews>
  <sheetFormatPr defaultColWidth="7.6640625" defaultRowHeight="13.8" outlineLevelRow="1" outlineLevelCol="1"/>
  <cols>
    <col min="1" max="1" width="4.6640625" style="32" customWidth="1"/>
    <col min="2" max="2" width="32.6640625" style="32" customWidth="1"/>
    <col min="3" max="3" width="16.6640625" style="32" bestFit="1" customWidth="1"/>
    <col min="4" max="4" width="14.5546875" style="32" bestFit="1" customWidth="1"/>
    <col min="5" max="5" width="10.5546875" style="32" bestFit="1" customWidth="1"/>
    <col min="6" max="6" width="13.6640625" style="32" customWidth="1"/>
    <col min="7" max="8" width="13.44140625" style="32" bestFit="1" customWidth="1"/>
    <col min="9" max="12" width="14.5546875" style="32" bestFit="1" customWidth="1"/>
    <col min="13" max="13" width="2.5546875" style="32" customWidth="1"/>
    <col min="14" max="14" width="5.44140625" style="32" hidden="1" customWidth="1" outlineLevel="1"/>
    <col min="15" max="15" width="55.5546875" style="257" hidden="1" customWidth="1" outlineLevel="1"/>
    <col min="16" max="16" width="4.44140625" style="32" customWidth="1" collapsed="1"/>
    <col min="17" max="17" width="55.5546875" style="257" customWidth="1" outlineLevel="1"/>
    <col min="18" max="18" width="9.33203125" style="32" customWidth="1"/>
    <col min="19" max="19" width="10.5546875" style="32" bestFit="1" customWidth="1"/>
    <col min="20" max="20" width="11.6640625" style="32" bestFit="1" customWidth="1"/>
    <col min="21" max="16384" width="7.6640625" style="32"/>
  </cols>
  <sheetData>
    <row r="1" spans="1:19" ht="17.399999999999999">
      <c r="A1" s="1462" t="s">
        <v>34</v>
      </c>
      <c r="B1" s="1463"/>
      <c r="C1" s="348"/>
      <c r="D1" s="348"/>
      <c r="E1" s="346"/>
      <c r="J1" s="32" t="s">
        <v>1212</v>
      </c>
      <c r="K1" s="34"/>
      <c r="L1" s="1428">
        <f>+' Enrol &amp; Rev'!C97</f>
        <v>0.02</v>
      </c>
      <c r="P1" s="32" t="s">
        <v>69</v>
      </c>
      <c r="S1" s="78"/>
    </row>
    <row r="2" spans="1:19" ht="15.6">
      <c r="A2" s="35" t="str">
        <f>SchoolName</f>
        <v>Pahrump Valley Academy</v>
      </c>
      <c r="B2" s="36"/>
      <c r="C2" s="30"/>
      <c r="D2" s="30"/>
      <c r="G2" s="30"/>
      <c r="J2" s="32" t="s">
        <v>1213</v>
      </c>
      <c r="L2" s="1772"/>
      <c r="P2" s="32" t="s">
        <v>69</v>
      </c>
    </row>
    <row r="3" spans="1:19">
      <c r="A3" s="37"/>
      <c r="P3" s="32" t="s">
        <v>69</v>
      </c>
    </row>
    <row r="4" spans="1:19">
      <c r="A4" s="29"/>
      <c r="P4" s="32" t="s">
        <v>69</v>
      </c>
    </row>
    <row r="5" spans="1:19" ht="10.199999999999999" customHeight="1">
      <c r="P5" s="32" t="s">
        <v>69</v>
      </c>
    </row>
    <row r="6" spans="1:19">
      <c r="B6" s="30"/>
      <c r="C6" s="31"/>
      <c r="D6" s="31"/>
      <c r="E6" s="31"/>
      <c r="F6" s="1773">
        <f>' Enrol &amp; Rev'!F9</f>
        <v>0</v>
      </c>
      <c r="G6" s="1512">
        <f>' Enrol &amp; Rev'!G9</f>
        <v>1</v>
      </c>
      <c r="H6" s="1512">
        <f>' Enrol &amp; Rev'!H9</f>
        <v>2</v>
      </c>
      <c r="I6" s="1512">
        <f>' Enrol &amp; Rev'!I9</f>
        <v>3</v>
      </c>
      <c r="J6" s="1512">
        <f>' Enrol &amp; Rev'!J9</f>
        <v>4</v>
      </c>
      <c r="K6" s="1512">
        <f>' Enrol &amp; Rev'!K9</f>
        <v>5</v>
      </c>
      <c r="L6" s="1513">
        <f>' Enrol &amp; Rev'!L9</f>
        <v>6</v>
      </c>
      <c r="P6" s="32" t="s">
        <v>69</v>
      </c>
      <c r="Q6" s="1427"/>
    </row>
    <row r="7" spans="1:19">
      <c r="B7" s="30"/>
      <c r="C7" s="31" t="s">
        <v>70</v>
      </c>
      <c r="D7" s="31"/>
      <c r="E7" s="31"/>
      <c r="F7" s="1774">
        <f>' Enrol &amp; Rev'!F10</f>
        <v>2025</v>
      </c>
      <c r="G7" s="1775">
        <f>' Enrol &amp; Rev'!G10</f>
        <v>2026</v>
      </c>
      <c r="H7" s="1515">
        <f>' Enrol &amp; Rev'!H10</f>
        <v>2027</v>
      </c>
      <c r="I7" s="1515">
        <f>' Enrol &amp; Rev'!I10</f>
        <v>2028</v>
      </c>
      <c r="J7" s="1515">
        <f>' Enrol &amp; Rev'!J10</f>
        <v>2029</v>
      </c>
      <c r="K7" s="1515">
        <f>' Enrol &amp; Rev'!K10</f>
        <v>2030</v>
      </c>
      <c r="L7" s="1516">
        <f>' Enrol &amp; Rev'!L10</f>
        <v>2031</v>
      </c>
      <c r="P7" s="32" t="s">
        <v>69</v>
      </c>
    </row>
    <row r="8" spans="1:19">
      <c r="B8" s="1308" t="s">
        <v>71</v>
      </c>
      <c r="C8" s="53"/>
      <c r="D8" s="53"/>
      <c r="E8" s="53"/>
      <c r="F8" s="1517">
        <f>' Enrol &amp; Rev'!F11</f>
        <v>2026</v>
      </c>
      <c r="G8" s="1517">
        <f>' Enrol &amp; Rev'!G11</f>
        <v>2027</v>
      </c>
      <c r="H8" s="1517">
        <f>' Enrol &amp; Rev'!H11</f>
        <v>2028</v>
      </c>
      <c r="I8" s="1517">
        <f>' Enrol &amp; Rev'!I11</f>
        <v>2029</v>
      </c>
      <c r="J8" s="1517">
        <f>' Enrol &amp; Rev'!J11</f>
        <v>2030</v>
      </c>
      <c r="K8" s="1517">
        <f>' Enrol &amp; Rev'!K11</f>
        <v>2031</v>
      </c>
      <c r="L8" s="1518">
        <f>' Enrol &amp; Rev'!L11</f>
        <v>2032</v>
      </c>
      <c r="O8" s="1100" t="s">
        <v>26</v>
      </c>
      <c r="P8" s="32" t="s">
        <v>69</v>
      </c>
    </row>
    <row r="9" spans="1:19">
      <c r="A9" s="290">
        <f>ROW()</f>
        <v>9</v>
      </c>
      <c r="B9" s="349" t="s">
        <v>72</v>
      </c>
      <c r="C9" s="615">
        <f>MAX(F9:L9)</f>
        <v>450</v>
      </c>
      <c r="D9" s="572"/>
      <c r="E9" s="31"/>
      <c r="F9" s="117">
        <f>+Statistics!F21</f>
        <v>0</v>
      </c>
      <c r="G9" s="117">
        <f>+Statistics!G21</f>
        <v>275</v>
      </c>
      <c r="H9" s="117">
        <f>+Statistics!H21</f>
        <v>350</v>
      </c>
      <c r="I9" s="117">
        <f>+Statistics!I21</f>
        <v>400</v>
      </c>
      <c r="J9" s="117">
        <f>+Statistics!J21</f>
        <v>450</v>
      </c>
      <c r="K9" s="117">
        <f>+Statistics!K21</f>
        <v>450</v>
      </c>
      <c r="L9" s="117">
        <f>+Statistics!L21</f>
        <v>450</v>
      </c>
      <c r="M9" s="31"/>
      <c r="O9" s="394"/>
      <c r="P9" s="32" t="s">
        <v>69</v>
      </c>
      <c r="Q9" s="1423"/>
    </row>
    <row r="10" spans="1:19">
      <c r="A10" s="290">
        <f>ROW()</f>
        <v>10</v>
      </c>
      <c r="B10" s="350" t="s">
        <v>73</v>
      </c>
      <c r="C10" s="615">
        <f>MAX(F10:L10)</f>
        <v>51</v>
      </c>
      <c r="D10" s="572"/>
      <c r="E10" s="31"/>
      <c r="F10" s="542">
        <f>+Statistics!F22</f>
        <v>0</v>
      </c>
      <c r="G10" s="542">
        <f>+Statistics!G22</f>
        <v>27</v>
      </c>
      <c r="H10" s="542">
        <f>+Statistics!H22</f>
        <v>39</v>
      </c>
      <c r="I10" s="542">
        <f>+Statistics!I22</f>
        <v>44</v>
      </c>
      <c r="J10" s="542">
        <f>+Statistics!J22</f>
        <v>51</v>
      </c>
      <c r="K10" s="542">
        <f>+Statistics!K22</f>
        <v>51</v>
      </c>
      <c r="L10" s="542">
        <f>+Statistics!L22</f>
        <v>51</v>
      </c>
      <c r="M10" s="31"/>
      <c r="O10" s="287"/>
      <c r="P10" s="32" t="s">
        <v>69</v>
      </c>
      <c r="Q10" s="1424"/>
    </row>
    <row r="11" spans="1:19">
      <c r="A11" s="290">
        <f>ROW()</f>
        <v>11</v>
      </c>
      <c r="B11" s="350" t="s">
        <v>74</v>
      </c>
      <c r="C11" s="615"/>
      <c r="D11" s="572"/>
      <c r="E11" s="31"/>
      <c r="F11" s="117">
        <f>+Facilities!F11</f>
        <v>0</v>
      </c>
      <c r="G11" s="117">
        <f>+Facilities!G11</f>
        <v>13750</v>
      </c>
      <c r="H11" s="117">
        <f>+Facilities!H11</f>
        <v>17500</v>
      </c>
      <c r="I11" s="117">
        <f>+Facilities!I11</f>
        <v>20000</v>
      </c>
      <c r="J11" s="117">
        <f>+Facilities!J11</f>
        <v>22500</v>
      </c>
      <c r="K11" s="117">
        <f>+Facilities!K11</f>
        <v>22500</v>
      </c>
      <c r="L11" s="117">
        <f>+Facilities!L11</f>
        <v>22500</v>
      </c>
      <c r="M11" s="31"/>
      <c r="O11" s="741" t="s">
        <v>75</v>
      </c>
      <c r="Q11" s="1425"/>
    </row>
    <row r="12" spans="1:19">
      <c r="A12" s="290">
        <f>ROW()</f>
        <v>12</v>
      </c>
      <c r="B12" s="350" t="s">
        <v>76</v>
      </c>
      <c r="C12" s="615"/>
      <c r="D12" s="572"/>
      <c r="E12" s="31"/>
      <c r="F12" s="117">
        <f>IFERROR(F11/F9,0)</f>
        <v>0</v>
      </c>
      <c r="G12" s="1264">
        <f t="shared" ref="G12" si="0">IFERROR(G11/G9,0)</f>
        <v>50</v>
      </c>
      <c r="H12" s="1264">
        <f t="shared" ref="H12" si="1">IFERROR(H11/H9,0)</f>
        <v>50</v>
      </c>
      <c r="I12" s="1264">
        <f t="shared" ref="I12" si="2">IFERROR(I11/I9,0)</f>
        <v>50</v>
      </c>
      <c r="J12" s="1264">
        <f t="shared" ref="J12" si="3">IFERROR(J11/J9,0)</f>
        <v>50</v>
      </c>
      <c r="K12" s="1264">
        <f t="shared" ref="K12" si="4">IFERROR(K11/K9,0)</f>
        <v>50</v>
      </c>
      <c r="L12" s="1264">
        <f t="shared" ref="L12" si="5">IFERROR(L11/L9,0)</f>
        <v>50</v>
      </c>
      <c r="M12" s="31"/>
      <c r="O12" s="287"/>
      <c r="P12" s="32" t="s">
        <v>69</v>
      </c>
      <c r="Q12" s="1424"/>
    </row>
    <row r="13" spans="1:19">
      <c r="A13" s="290">
        <f>ROW()</f>
        <v>13</v>
      </c>
      <c r="B13" s="350"/>
      <c r="C13" s="615"/>
      <c r="D13" s="572"/>
      <c r="E13" s="31"/>
      <c r="F13" s="117"/>
      <c r="G13" s="117"/>
      <c r="H13" s="117"/>
      <c r="I13" s="117"/>
      <c r="J13" s="117"/>
      <c r="K13" s="117"/>
      <c r="L13" s="117"/>
      <c r="M13" s="31"/>
      <c r="O13" s="287"/>
      <c r="Q13" s="1426" t="s">
        <v>1253</v>
      </c>
    </row>
    <row r="14" spans="1:19" ht="17.399999999999999">
      <c r="A14" s="290">
        <f>ROW()</f>
        <v>14</v>
      </c>
      <c r="B14" s="1429" t="s">
        <v>77</v>
      </c>
      <c r="C14" s="1430" t="s">
        <v>78</v>
      </c>
      <c r="D14" s="1430" t="s">
        <v>79</v>
      </c>
      <c r="E14" s="1431" t="s">
        <v>80</v>
      </c>
      <c r="F14" s="1432">
        <f t="shared" ref="F14:L14" si="6">+F6</f>
        <v>0</v>
      </c>
      <c r="G14" s="1432">
        <f t="shared" si="6"/>
        <v>1</v>
      </c>
      <c r="H14" s="1432">
        <f t="shared" si="6"/>
        <v>2</v>
      </c>
      <c r="I14" s="1432">
        <f t="shared" si="6"/>
        <v>3</v>
      </c>
      <c r="J14" s="1432">
        <f t="shared" si="6"/>
        <v>4</v>
      </c>
      <c r="K14" s="1432">
        <f t="shared" si="6"/>
        <v>5</v>
      </c>
      <c r="L14" s="1432">
        <f t="shared" si="6"/>
        <v>6</v>
      </c>
      <c r="M14" s="86"/>
      <c r="O14" s="287"/>
      <c r="P14" s="32" t="s">
        <v>69</v>
      </c>
      <c r="Q14" s="287"/>
    </row>
    <row r="15" spans="1:19">
      <c r="A15" s="290">
        <f>ROW()</f>
        <v>15</v>
      </c>
      <c r="B15" s="32" t="s">
        <v>81</v>
      </c>
      <c r="C15" s="209">
        <f t="shared" ref="C15:C34" si="7">SUM(F15:L15)</f>
        <v>28072191.891803101</v>
      </c>
      <c r="D15" s="209">
        <f t="shared" ref="D15:D34" si="8">AVERAGE(G15:L15)</f>
        <v>4678698.6486338498</v>
      </c>
      <c r="E15" s="352">
        <f t="shared" ref="E15:E35" si="9">IFERROR(+D15/$D$35,0)</f>
        <v>0.90993989070413772</v>
      </c>
      <c r="F15" s="491">
        <f>+' Enrol &amp; Rev'!F119-' Enrol &amp; Rev'!G116</f>
        <v>0</v>
      </c>
      <c r="G15" s="491">
        <f>+' Enrol &amp; Rev'!G119-' Enrol &amp; Rev'!G116</f>
        <v>3163875</v>
      </c>
      <c r="H15" s="491">
        <f>+' Enrol &amp; Rev'!H119-' Enrol &amp; Rev'!H116</f>
        <v>4145085.9845433002</v>
      </c>
      <c r="I15" s="491">
        <f>+' Enrol &amp; Rev'!I119-' Enrol &amp; Rev'!I116</f>
        <v>4742150.3439642005</v>
      </c>
      <c r="J15" s="491">
        <f>+' Enrol &amp; Rev'!J119-' Enrol &amp; Rev'!J116</f>
        <v>5335778.2502448</v>
      </c>
      <c r="K15" s="491">
        <f>+' Enrol &amp; Rev'!K119-' Enrol &amp; Rev'!K116</f>
        <v>5342651.1565254005</v>
      </c>
      <c r="L15" s="491">
        <f>+' Enrol &amp; Rev'!L119-' Enrol &amp; Rev'!L116</f>
        <v>5342651.1565254005</v>
      </c>
      <c r="M15" s="351"/>
      <c r="O15" s="287"/>
      <c r="P15" s="32" t="s">
        <v>69</v>
      </c>
      <c r="Q15" s="287"/>
    </row>
    <row r="16" spans="1:19">
      <c r="A16" s="290">
        <f>ROW()</f>
        <v>16</v>
      </c>
      <c r="B16" s="32" t="s">
        <v>82</v>
      </c>
      <c r="C16" s="51">
        <f t="shared" si="7"/>
        <v>-341554.6875</v>
      </c>
      <c r="D16" s="51">
        <f t="shared" si="8"/>
        <v>-56925.78125</v>
      </c>
      <c r="E16" s="769">
        <f t="shared" si="9"/>
        <v>-1.1071249306470644E-2</v>
      </c>
      <c r="F16" s="87">
        <f>+' Enrol &amp; Rev'!F120</f>
        <v>0</v>
      </c>
      <c r="G16" s="87">
        <f>+' Enrol &amp; Rev'!G120</f>
        <v>-39548.4375</v>
      </c>
      <c r="H16" s="87">
        <f>+' Enrol &amp; Rev'!H120</f>
        <v>-50334.375</v>
      </c>
      <c r="I16" s="87">
        <f>+' Enrol &amp; Rev'!I120</f>
        <v>-57525</v>
      </c>
      <c r="J16" s="87">
        <f>+' Enrol &amp; Rev'!J120</f>
        <v>-64715.625</v>
      </c>
      <c r="K16" s="87">
        <f>+' Enrol &amp; Rev'!K120</f>
        <v>-64715.625</v>
      </c>
      <c r="L16" s="87">
        <f>+' Enrol &amp; Rev'!L120</f>
        <v>-64715.625</v>
      </c>
      <c r="M16" s="51"/>
      <c r="O16" s="287"/>
      <c r="P16" s="32" t="s">
        <v>69</v>
      </c>
      <c r="Q16" s="287"/>
    </row>
    <row r="17" spans="1:17">
      <c r="A17" s="290">
        <f>ROW()</f>
        <v>17</v>
      </c>
      <c r="B17" s="32" t="s">
        <v>83</v>
      </c>
      <c r="C17" s="51">
        <f t="shared" si="7"/>
        <v>228000</v>
      </c>
      <c r="D17" s="51">
        <f t="shared" si="8"/>
        <v>38000</v>
      </c>
      <c r="E17" s="352">
        <f t="shared" si="9"/>
        <v>7.3904558603819686E-3</v>
      </c>
      <c r="F17" s="87">
        <f>' Enrol &amp; Rev'!F125</f>
        <v>0</v>
      </c>
      <c r="G17" s="87">
        <f>' Enrol &amp; Rev'!G125</f>
        <v>26400</v>
      </c>
      <c r="H17" s="87">
        <f>' Enrol &amp; Rev'!H125</f>
        <v>33600</v>
      </c>
      <c r="I17" s="87">
        <f>' Enrol &amp; Rev'!I125</f>
        <v>38400</v>
      </c>
      <c r="J17" s="87">
        <f>' Enrol &amp; Rev'!J125</f>
        <v>43200</v>
      </c>
      <c r="K17" s="87">
        <f>' Enrol &amp; Rev'!K125</f>
        <v>43200</v>
      </c>
      <c r="L17" s="87">
        <f>' Enrol &amp; Rev'!L125</f>
        <v>43200</v>
      </c>
      <c r="M17" s="51"/>
      <c r="O17" s="287"/>
      <c r="P17" s="32" t="s">
        <v>69</v>
      </c>
      <c r="Q17" s="287"/>
    </row>
    <row r="18" spans="1:17">
      <c r="A18" s="290">
        <f>ROW()</f>
        <v>18</v>
      </c>
      <c r="B18" s="32" t="s">
        <v>84</v>
      </c>
      <c r="C18" s="51">
        <f t="shared" si="7"/>
        <v>55432.5</v>
      </c>
      <c r="D18" s="51">
        <f t="shared" si="8"/>
        <v>9238.75</v>
      </c>
      <c r="E18" s="352">
        <f t="shared" si="9"/>
        <v>1.7968045810553661E-3</v>
      </c>
      <c r="F18" s="87">
        <f>' Enrol &amp; Rev'!F126+' Enrol &amp; Rev'!F127</f>
        <v>0</v>
      </c>
      <c r="G18" s="87">
        <f>' Enrol &amp; Rev'!G126+' Enrol &amp; Rev'!G127</f>
        <v>6418.5</v>
      </c>
      <c r="H18" s="87">
        <f>' Enrol &amp; Rev'!H126+' Enrol &amp; Rev'!H127</f>
        <v>8169</v>
      </c>
      <c r="I18" s="87">
        <f>' Enrol &amp; Rev'!I126+' Enrol &amp; Rev'!I127</f>
        <v>9336</v>
      </c>
      <c r="J18" s="87">
        <f>' Enrol &amp; Rev'!J126+' Enrol &amp; Rev'!J127</f>
        <v>10503</v>
      </c>
      <c r="K18" s="87">
        <f>' Enrol &amp; Rev'!K126+' Enrol &amp; Rev'!K127</f>
        <v>10503</v>
      </c>
      <c r="L18" s="87">
        <f>' Enrol &amp; Rev'!L126+' Enrol &amp; Rev'!L127</f>
        <v>10503</v>
      </c>
      <c r="M18" s="51"/>
      <c r="O18" s="287"/>
      <c r="P18" s="32" t="s">
        <v>69</v>
      </c>
      <c r="Q18" s="287"/>
    </row>
    <row r="19" spans="1:17">
      <c r="A19" s="290">
        <f>ROW()</f>
        <v>19</v>
      </c>
      <c r="B19" s="32" t="s">
        <v>85</v>
      </c>
      <c r="C19" s="51">
        <f t="shared" si="7"/>
        <v>17047.75</v>
      </c>
      <c r="D19" s="51">
        <f t="shared" si="8"/>
        <v>2841.2916666666665</v>
      </c>
      <c r="E19" s="352">
        <f t="shared" si="9"/>
        <v>5.5259054339397678E-4</v>
      </c>
      <c r="F19" s="87">
        <f>' Enrol &amp; Rev'!F128</f>
        <v>0</v>
      </c>
      <c r="G19" s="87">
        <f>' Enrol &amp; Rev'!G128</f>
        <v>1973.9499999999998</v>
      </c>
      <c r="H19" s="87">
        <f>' Enrol &amp; Rev'!H128</f>
        <v>2512.2999999999997</v>
      </c>
      <c r="I19" s="87">
        <f>' Enrol &amp; Rev'!I128</f>
        <v>2871.2</v>
      </c>
      <c r="J19" s="87">
        <f>' Enrol &amp; Rev'!J128</f>
        <v>3230.1</v>
      </c>
      <c r="K19" s="87">
        <f>' Enrol &amp; Rev'!K128</f>
        <v>3230.1</v>
      </c>
      <c r="L19" s="87">
        <f>' Enrol &amp; Rev'!L128</f>
        <v>3230.1</v>
      </c>
      <c r="M19" s="51"/>
      <c r="O19" s="287"/>
      <c r="P19" s="32" t="s">
        <v>69</v>
      </c>
      <c r="Q19" s="287"/>
    </row>
    <row r="20" spans="1:17">
      <c r="A20" s="290">
        <f>ROW()</f>
        <v>20</v>
      </c>
      <c r="B20" s="32" t="s">
        <v>86</v>
      </c>
      <c r="C20" s="51">
        <f t="shared" si="7"/>
        <v>0</v>
      </c>
      <c r="D20" s="51">
        <f t="shared" si="8"/>
        <v>0</v>
      </c>
      <c r="E20" s="352">
        <f t="shared" si="9"/>
        <v>0</v>
      </c>
      <c r="F20" s="87">
        <f>' Enrol &amp; Rev'!F129</f>
        <v>0</v>
      </c>
      <c r="G20" s="87">
        <f>' Enrol &amp; Rev'!G129</f>
        <v>0</v>
      </c>
      <c r="H20" s="87">
        <f>' Enrol &amp; Rev'!H129</f>
        <v>0</v>
      </c>
      <c r="I20" s="87">
        <f>' Enrol &amp; Rev'!I129</f>
        <v>0</v>
      </c>
      <c r="J20" s="87">
        <f>' Enrol &amp; Rev'!J129</f>
        <v>0</v>
      </c>
      <c r="K20" s="87">
        <f>' Enrol &amp; Rev'!K129</f>
        <v>0</v>
      </c>
      <c r="L20" s="87">
        <f>' Enrol &amp; Rev'!L129</f>
        <v>0</v>
      </c>
      <c r="M20" s="51"/>
      <c r="O20" s="287"/>
      <c r="P20" s="32" t="s">
        <v>69</v>
      </c>
      <c r="Q20" s="287"/>
    </row>
    <row r="21" spans="1:17">
      <c r="A21" s="290">
        <f>ROW()</f>
        <v>21</v>
      </c>
      <c r="B21" s="32" t="s">
        <v>87</v>
      </c>
      <c r="C21" s="51">
        <f t="shared" si="7"/>
        <v>0</v>
      </c>
      <c r="D21" s="51">
        <f t="shared" si="8"/>
        <v>0</v>
      </c>
      <c r="E21" s="352">
        <f t="shared" si="9"/>
        <v>0</v>
      </c>
      <c r="F21" s="87">
        <f>' Enrol &amp; Rev'!F130</f>
        <v>0</v>
      </c>
      <c r="G21" s="87">
        <f>' Enrol &amp; Rev'!G130</f>
        <v>0</v>
      </c>
      <c r="H21" s="87">
        <f>' Enrol &amp; Rev'!H130</f>
        <v>0</v>
      </c>
      <c r="I21" s="87">
        <f>' Enrol &amp; Rev'!I130</f>
        <v>0</v>
      </c>
      <c r="J21" s="87">
        <f>' Enrol &amp; Rev'!J130</f>
        <v>0</v>
      </c>
      <c r="K21" s="87">
        <f>' Enrol &amp; Rev'!K130</f>
        <v>0</v>
      </c>
      <c r="L21" s="87">
        <f>' Enrol &amp; Rev'!L130</f>
        <v>0</v>
      </c>
      <c r="M21" s="51"/>
      <c r="O21" s="287"/>
      <c r="P21" s="32" t="s">
        <v>69</v>
      </c>
      <c r="Q21" s="287"/>
    </row>
    <row r="22" spans="1:17">
      <c r="A22" s="290">
        <f>ROW()</f>
        <v>22</v>
      </c>
      <c r="B22" s="32" t="s">
        <v>88</v>
      </c>
      <c r="C22" s="51">
        <f t="shared" si="7"/>
        <v>436050</v>
      </c>
      <c r="D22" s="51">
        <f t="shared" si="8"/>
        <v>72675</v>
      </c>
      <c r="E22" s="352">
        <f t="shared" si="9"/>
        <v>1.4134246832980516E-2</v>
      </c>
      <c r="F22" s="87">
        <f>' Enrol &amp; Rev'!F131</f>
        <v>0</v>
      </c>
      <c r="G22" s="87">
        <f>' Enrol &amp; Rev'!G131</f>
        <v>50490</v>
      </c>
      <c r="H22" s="87">
        <f>' Enrol &amp; Rev'!H131</f>
        <v>64260</v>
      </c>
      <c r="I22" s="87">
        <f>' Enrol &amp; Rev'!I131</f>
        <v>73440</v>
      </c>
      <c r="J22" s="87">
        <f>' Enrol &amp; Rev'!J131</f>
        <v>82620</v>
      </c>
      <c r="K22" s="87">
        <f>' Enrol &amp; Rev'!K131</f>
        <v>82620</v>
      </c>
      <c r="L22" s="87">
        <f>' Enrol &amp; Rev'!L131</f>
        <v>82620</v>
      </c>
      <c r="M22" s="51"/>
      <c r="O22" s="287"/>
      <c r="P22" s="32" t="s">
        <v>69</v>
      </c>
      <c r="Q22" s="287"/>
    </row>
    <row r="23" spans="1:17">
      <c r="A23" s="290">
        <f>ROW()</f>
        <v>23</v>
      </c>
      <c r="B23" s="32" t="s">
        <v>89</v>
      </c>
      <c r="C23" s="51">
        <f t="shared" si="7"/>
        <v>300746.25</v>
      </c>
      <c r="D23" s="51">
        <f t="shared" si="8"/>
        <v>50124.375</v>
      </c>
      <c r="E23" s="352">
        <f t="shared" si="9"/>
        <v>9.7484731833350907E-3</v>
      </c>
      <c r="F23" s="87">
        <f>' Enrol &amp; Rev'!F132</f>
        <v>0</v>
      </c>
      <c r="G23" s="87">
        <f>' Enrol &amp; Rev'!G132</f>
        <v>34823.25</v>
      </c>
      <c r="H23" s="87">
        <f>' Enrol &amp; Rev'!H132</f>
        <v>44320.5</v>
      </c>
      <c r="I23" s="87">
        <f>' Enrol &amp; Rev'!I132</f>
        <v>50652</v>
      </c>
      <c r="J23" s="87">
        <f>' Enrol &amp; Rev'!J132</f>
        <v>56983.5</v>
      </c>
      <c r="K23" s="87">
        <f>' Enrol &amp; Rev'!K132</f>
        <v>56983.5</v>
      </c>
      <c r="L23" s="87">
        <f>' Enrol &amp; Rev'!L132</f>
        <v>56983.5</v>
      </c>
      <c r="M23" s="51"/>
      <c r="O23" s="287"/>
      <c r="P23" s="32" t="s">
        <v>69</v>
      </c>
      <c r="Q23" s="287"/>
    </row>
    <row r="24" spans="1:17">
      <c r="A24" s="290">
        <f>ROW()</f>
        <v>24</v>
      </c>
      <c r="B24" s="32" t="s">
        <v>90</v>
      </c>
      <c r="C24" s="51">
        <f t="shared" si="7"/>
        <v>932604.75</v>
      </c>
      <c r="D24" s="51">
        <f t="shared" si="8"/>
        <v>155434.125</v>
      </c>
      <c r="E24" s="352">
        <f t="shared" si="9"/>
        <v>3.022971157919983E-2</v>
      </c>
      <c r="F24" s="87">
        <f>' Enrol &amp; Rev'!F116</f>
        <v>0</v>
      </c>
      <c r="G24" s="87">
        <f>' Enrol &amp; Rev'!G116</f>
        <v>0</v>
      </c>
      <c r="H24" s="87">
        <f>' Enrol &amp; Rev'!H116</f>
        <v>133229.25</v>
      </c>
      <c r="I24" s="87">
        <f>' Enrol &amp; Rev'!I116</f>
        <v>169564.5</v>
      </c>
      <c r="J24" s="87">
        <f>' Enrol &amp; Rev'!J116</f>
        <v>193788</v>
      </c>
      <c r="K24" s="87">
        <f>' Enrol &amp; Rev'!K116</f>
        <v>218011.5</v>
      </c>
      <c r="L24" s="87">
        <f>' Enrol &amp; Rev'!L116</f>
        <v>218011.5</v>
      </c>
      <c r="M24" s="51"/>
      <c r="O24" s="287"/>
      <c r="P24" s="32" t="s">
        <v>69</v>
      </c>
      <c r="Q24" s="287"/>
    </row>
    <row r="25" spans="1:17">
      <c r="A25" s="290">
        <f>ROW()</f>
        <v>25</v>
      </c>
      <c r="B25" s="32" t="s">
        <v>91</v>
      </c>
      <c r="C25" s="51">
        <f t="shared" si="7"/>
        <v>0</v>
      </c>
      <c r="D25" s="51">
        <f t="shared" si="8"/>
        <v>0</v>
      </c>
      <c r="E25" s="352">
        <f t="shared" si="9"/>
        <v>0</v>
      </c>
      <c r="F25" s="87">
        <f>' Enrol &amp; Rev'!F133</f>
        <v>0</v>
      </c>
      <c r="G25" s="87">
        <f>' Enrol &amp; Rev'!G133</f>
        <v>0</v>
      </c>
      <c r="H25" s="87">
        <f>' Enrol &amp; Rev'!H133</f>
        <v>0</v>
      </c>
      <c r="I25" s="87">
        <f>' Enrol &amp; Rev'!I133</f>
        <v>0</v>
      </c>
      <c r="J25" s="87">
        <f>' Enrol &amp; Rev'!J133</f>
        <v>0</v>
      </c>
      <c r="K25" s="87">
        <f>' Enrol &amp; Rev'!K133</f>
        <v>0</v>
      </c>
      <c r="L25" s="87">
        <f>' Enrol &amp; Rev'!L133</f>
        <v>0</v>
      </c>
      <c r="M25" s="51"/>
      <c r="O25" s="287" t="s">
        <v>92</v>
      </c>
      <c r="P25" s="32" t="s">
        <v>69</v>
      </c>
      <c r="Q25" s="287"/>
    </row>
    <row r="26" spans="1:17">
      <c r="A26" s="290">
        <f>ROW()</f>
        <v>26</v>
      </c>
      <c r="B26" s="32" t="str">
        <f>+' Enrol &amp; Rev'!B134</f>
        <v>Charter School Program (CSP) Grant (w/ltr)</v>
      </c>
      <c r="C26" s="51">
        <f t="shared" si="7"/>
        <v>0</v>
      </c>
      <c r="D26" s="51">
        <f t="shared" si="8"/>
        <v>0</v>
      </c>
      <c r="E26" s="352">
        <f t="shared" si="9"/>
        <v>0</v>
      </c>
      <c r="F26" s="87">
        <f>' Enrol &amp; Rev'!F134</f>
        <v>0</v>
      </c>
      <c r="G26" s="87">
        <f>' Enrol &amp; Rev'!G134</f>
        <v>0</v>
      </c>
      <c r="H26" s="87">
        <f>' Enrol &amp; Rev'!H134</f>
        <v>0</v>
      </c>
      <c r="I26" s="87">
        <f>' Enrol &amp; Rev'!I134</f>
        <v>0</v>
      </c>
      <c r="J26" s="87">
        <f>' Enrol &amp; Rev'!J134</f>
        <v>0</v>
      </c>
      <c r="K26" s="87">
        <f>' Enrol &amp; Rev'!K134</f>
        <v>0</v>
      </c>
      <c r="L26" s="87">
        <f>' Enrol &amp; Rev'!L134</f>
        <v>0</v>
      </c>
      <c r="M26" s="51"/>
      <c r="O26" s="287" t="s">
        <v>92</v>
      </c>
      <c r="Q26" s="287"/>
    </row>
    <row r="27" spans="1:17">
      <c r="A27" s="290">
        <f>ROW()</f>
        <v>27</v>
      </c>
      <c r="B27" s="32" t="s">
        <v>93</v>
      </c>
      <c r="C27" s="51">
        <f t="shared" si="7"/>
        <v>0</v>
      </c>
      <c r="D27" s="51">
        <f t="shared" si="8"/>
        <v>0</v>
      </c>
      <c r="E27" s="352">
        <f t="shared" si="9"/>
        <v>0</v>
      </c>
      <c r="F27" s="87">
        <f>' Enrol &amp; Rev'!F135</f>
        <v>0</v>
      </c>
      <c r="G27" s="87">
        <f>' Enrol &amp; Rev'!G135</f>
        <v>0</v>
      </c>
      <c r="H27" s="87">
        <f>' Enrol &amp; Rev'!H135</f>
        <v>0</v>
      </c>
      <c r="I27" s="87">
        <f>' Enrol &amp; Rev'!I135</f>
        <v>0</v>
      </c>
      <c r="J27" s="87">
        <f>' Enrol &amp; Rev'!J135</f>
        <v>0</v>
      </c>
      <c r="K27" s="87">
        <f>' Enrol &amp; Rev'!K135</f>
        <v>0</v>
      </c>
      <c r="L27" s="87">
        <f>' Enrol &amp; Rev'!L135</f>
        <v>0</v>
      </c>
      <c r="M27" s="51"/>
      <c r="O27" s="287" t="s">
        <v>92</v>
      </c>
      <c r="P27" s="32" t="s">
        <v>69</v>
      </c>
      <c r="Q27" s="287"/>
    </row>
    <row r="28" spans="1:17">
      <c r="A28" s="290">
        <f>ROW()</f>
        <v>28</v>
      </c>
      <c r="B28" s="32" t="s">
        <v>94</v>
      </c>
      <c r="C28" s="51">
        <f t="shared" si="7"/>
        <v>0</v>
      </c>
      <c r="D28" s="51">
        <f t="shared" si="8"/>
        <v>0</v>
      </c>
      <c r="E28" s="352">
        <f t="shared" si="9"/>
        <v>0</v>
      </c>
      <c r="F28" s="87">
        <f>' Enrol &amp; Rev'!F137</f>
        <v>0</v>
      </c>
      <c r="G28" s="87">
        <f>' Enrol &amp; Rev'!G137</f>
        <v>0</v>
      </c>
      <c r="H28" s="87">
        <f>' Enrol &amp; Rev'!H137</f>
        <v>0</v>
      </c>
      <c r="I28" s="87">
        <f>' Enrol &amp; Rev'!I137</f>
        <v>0</v>
      </c>
      <c r="J28" s="87">
        <f>' Enrol &amp; Rev'!J137</f>
        <v>0</v>
      </c>
      <c r="K28" s="87">
        <f>' Enrol &amp; Rev'!K137</f>
        <v>0</v>
      </c>
      <c r="L28" s="87">
        <f>' Enrol &amp; Rev'!L137</f>
        <v>0</v>
      </c>
      <c r="M28" s="51"/>
      <c r="O28" s="287"/>
      <c r="P28" s="32" t="s">
        <v>69</v>
      </c>
      <c r="Q28" s="287"/>
    </row>
    <row r="29" spans="1:17">
      <c r="A29" s="290">
        <f>ROW()</f>
        <v>29</v>
      </c>
      <c r="B29" s="32" t="s">
        <v>95</v>
      </c>
      <c r="C29" s="51">
        <f t="shared" si="7"/>
        <v>1150081.875</v>
      </c>
      <c r="D29" s="51">
        <f t="shared" si="8"/>
        <v>191680.3125</v>
      </c>
      <c r="E29" s="352">
        <f t="shared" si="9"/>
        <v>3.7279076021986109E-2</v>
      </c>
      <c r="F29" s="87">
        <f>' Enrol &amp; Rev'!F138</f>
        <v>0</v>
      </c>
      <c r="G29" s="87">
        <f>' Enrol &amp; Rev'!G138</f>
        <v>133167.375</v>
      </c>
      <c r="H29" s="87">
        <f>' Enrol &amp; Rev'!H138</f>
        <v>169485.74999999997</v>
      </c>
      <c r="I29" s="87">
        <f>' Enrol &amp; Rev'!I138</f>
        <v>193698</v>
      </c>
      <c r="J29" s="87">
        <f>' Enrol &amp; Rev'!J138</f>
        <v>217910.25</v>
      </c>
      <c r="K29" s="87">
        <f>' Enrol &amp; Rev'!K138</f>
        <v>217910.25</v>
      </c>
      <c r="L29" s="87">
        <f>' Enrol &amp; Rev'!L138</f>
        <v>217910.25</v>
      </c>
      <c r="M29" s="51"/>
      <c r="O29" s="287"/>
      <c r="P29" s="32" t="s">
        <v>69</v>
      </c>
      <c r="Q29" s="287"/>
    </row>
    <row r="30" spans="1:17">
      <c r="A30" s="290">
        <f>ROW()</f>
        <v>30</v>
      </c>
      <c r="B30" s="32" t="s">
        <v>96</v>
      </c>
      <c r="C30" s="51">
        <f t="shared" si="7"/>
        <v>0</v>
      </c>
      <c r="D30" s="51">
        <f t="shared" si="8"/>
        <v>0</v>
      </c>
      <c r="E30" s="352">
        <f t="shared" si="9"/>
        <v>0</v>
      </c>
      <c r="F30" s="87">
        <f>' Enrol &amp; Rev'!F139</f>
        <v>0</v>
      </c>
      <c r="G30" s="87">
        <f>' Enrol &amp; Rev'!G139</f>
        <v>0</v>
      </c>
      <c r="H30" s="87">
        <f>' Enrol &amp; Rev'!H139</f>
        <v>0</v>
      </c>
      <c r="I30" s="87">
        <f>' Enrol &amp; Rev'!I139</f>
        <v>0</v>
      </c>
      <c r="J30" s="87">
        <f>' Enrol &amp; Rev'!J139</f>
        <v>0</v>
      </c>
      <c r="K30" s="87">
        <f>' Enrol &amp; Rev'!K139</f>
        <v>0</v>
      </c>
      <c r="L30" s="87">
        <f>' Enrol &amp; Rev'!L139</f>
        <v>0</v>
      </c>
      <c r="M30" s="51"/>
      <c r="O30" s="287"/>
      <c r="Q30" s="287"/>
    </row>
    <row r="31" spans="1:17">
      <c r="A31" s="290">
        <f>ROW()</f>
        <v>31</v>
      </c>
      <c r="B31" s="32" t="s">
        <v>97</v>
      </c>
      <c r="C31" s="51">
        <f t="shared" si="7"/>
        <v>0</v>
      </c>
      <c r="D31" s="51">
        <f t="shared" si="8"/>
        <v>0</v>
      </c>
      <c r="E31" s="352">
        <f t="shared" si="9"/>
        <v>0</v>
      </c>
      <c r="F31" s="87">
        <f>' Enrol &amp; Rev'!F140</f>
        <v>0</v>
      </c>
      <c r="G31" s="87">
        <f>' Enrol &amp; Rev'!G140</f>
        <v>0</v>
      </c>
      <c r="H31" s="87">
        <f>' Enrol &amp; Rev'!H140</f>
        <v>0</v>
      </c>
      <c r="I31" s="87">
        <f>' Enrol &amp; Rev'!I140</f>
        <v>0</v>
      </c>
      <c r="J31" s="87">
        <f>' Enrol &amp; Rev'!J140</f>
        <v>0</v>
      </c>
      <c r="K31" s="87">
        <f>' Enrol &amp; Rev'!K140</f>
        <v>0</v>
      </c>
      <c r="L31" s="87">
        <f>' Enrol &amp; Rev'!L140</f>
        <v>0</v>
      </c>
      <c r="M31" s="51"/>
      <c r="O31" s="287"/>
      <c r="P31" s="32" t="s">
        <v>69</v>
      </c>
      <c r="Q31" s="287"/>
    </row>
    <row r="32" spans="1:17">
      <c r="A32" s="290">
        <f>ROW()</f>
        <v>32</v>
      </c>
      <c r="B32" s="32" t="s">
        <v>98</v>
      </c>
      <c r="C32" s="51">
        <f>SUM(F32:L32)</f>
        <v>0</v>
      </c>
      <c r="D32" s="51">
        <f t="shared" si="8"/>
        <v>0</v>
      </c>
      <c r="E32" s="352">
        <f t="shared" si="9"/>
        <v>0</v>
      </c>
      <c r="F32" s="87">
        <f>' Enrol &amp; Rev'!F136</f>
        <v>0</v>
      </c>
      <c r="G32" s="87">
        <f>' Enrol &amp; Rev'!G136</f>
        <v>0</v>
      </c>
      <c r="H32" s="87">
        <f>' Enrol &amp; Rev'!H136</f>
        <v>0</v>
      </c>
      <c r="I32" s="87">
        <f>' Enrol &amp; Rev'!I136</f>
        <v>0</v>
      </c>
      <c r="J32" s="87">
        <f>' Enrol &amp; Rev'!J136</f>
        <v>0</v>
      </c>
      <c r="K32" s="87">
        <f>' Enrol &amp; Rev'!K136</f>
        <v>0</v>
      </c>
      <c r="L32" s="87">
        <f>' Enrol &amp; Rev'!L136</f>
        <v>0</v>
      </c>
      <c r="M32" s="51"/>
      <c r="O32" s="287"/>
      <c r="P32" s="32" t="s">
        <v>69</v>
      </c>
      <c r="Q32" s="287"/>
    </row>
    <row r="33" spans="1:17">
      <c r="A33" s="290">
        <f>ROW()</f>
        <v>33</v>
      </c>
      <c r="B33" s="32" t="s">
        <v>99</v>
      </c>
      <c r="C33" s="51">
        <f t="shared" si="7"/>
        <v>0</v>
      </c>
      <c r="D33" s="51">
        <f t="shared" si="8"/>
        <v>0</v>
      </c>
      <c r="E33" s="352">
        <f t="shared" si="9"/>
        <v>0</v>
      </c>
      <c r="F33" s="87">
        <f>' Enrol &amp; Rev'!F141</f>
        <v>0</v>
      </c>
      <c r="G33" s="87">
        <f>' Enrol &amp; Rev'!G141</f>
        <v>0</v>
      </c>
      <c r="H33" s="87">
        <f>' Enrol &amp; Rev'!H141</f>
        <v>0</v>
      </c>
      <c r="I33" s="87">
        <f>' Enrol &amp; Rev'!I141</f>
        <v>0</v>
      </c>
      <c r="J33" s="87">
        <f>' Enrol &amp; Rev'!J141</f>
        <v>0</v>
      </c>
      <c r="K33" s="87">
        <f>' Enrol &amp; Rev'!K141</f>
        <v>0</v>
      </c>
      <c r="L33" s="87">
        <f>' Enrol &amp; Rev'!L141</f>
        <v>0</v>
      </c>
      <c r="M33" s="51"/>
      <c r="O33" s="287" t="s">
        <v>100</v>
      </c>
      <c r="P33" s="32" t="s">
        <v>69</v>
      </c>
      <c r="Q33" s="287"/>
    </row>
    <row r="34" spans="1:17">
      <c r="A34" s="290">
        <f>ROW()</f>
        <v>34</v>
      </c>
      <c r="B34" s="32" t="s">
        <v>101</v>
      </c>
      <c r="C34" s="51">
        <f t="shared" si="7"/>
        <v>0</v>
      </c>
      <c r="D34" s="51">
        <f t="shared" si="8"/>
        <v>0</v>
      </c>
      <c r="E34" s="352">
        <f t="shared" si="9"/>
        <v>0</v>
      </c>
      <c r="F34" s="1029">
        <f>' Enrol &amp; Rev'!F142</f>
        <v>0</v>
      </c>
      <c r="G34" s="1029">
        <f>' Enrol &amp; Rev'!G142</f>
        <v>0</v>
      </c>
      <c r="H34" s="1029">
        <f>' Enrol &amp; Rev'!H142</f>
        <v>0</v>
      </c>
      <c r="I34" s="1029">
        <f>' Enrol &amp; Rev'!I142</f>
        <v>0</v>
      </c>
      <c r="J34" s="1029">
        <f>' Enrol &amp; Rev'!J142</f>
        <v>0</v>
      </c>
      <c r="K34" s="1029">
        <f>' Enrol &amp; Rev'!K142</f>
        <v>0</v>
      </c>
      <c r="L34" s="1029">
        <f>' Enrol &amp; Rev'!L142</f>
        <v>0</v>
      </c>
      <c r="M34" s="51"/>
      <c r="O34" s="287" t="s">
        <v>100</v>
      </c>
      <c r="Q34" s="287"/>
    </row>
    <row r="35" spans="1:17">
      <c r="A35" s="290">
        <f>ROW()</f>
        <v>35</v>
      </c>
      <c r="B35" s="697" t="s">
        <v>102</v>
      </c>
      <c r="C35" s="607">
        <f>SUM(C15:C34)</f>
        <v>30850600.329303101</v>
      </c>
      <c r="D35" s="607">
        <f>AVERAGE(G35:L35)</f>
        <v>5141766.7215505168</v>
      </c>
      <c r="E35" s="585">
        <f t="shared" si="9"/>
        <v>1</v>
      </c>
      <c r="F35" s="959">
        <f t="shared" ref="F35:L35" si="10">SUM(F15:F34)</f>
        <v>0</v>
      </c>
      <c r="G35" s="959">
        <f>SUM(G15:G34)</f>
        <v>3377599.6375000002</v>
      </c>
      <c r="H35" s="959">
        <f t="shared" si="10"/>
        <v>4550328.4095433</v>
      </c>
      <c r="I35" s="959">
        <f t="shared" si="10"/>
        <v>5222587.0439642007</v>
      </c>
      <c r="J35" s="959">
        <f t="shared" si="10"/>
        <v>5879297.4752447996</v>
      </c>
      <c r="K35" s="959">
        <f t="shared" si="10"/>
        <v>5910393.8815254001</v>
      </c>
      <c r="L35" s="959">
        <f t="shared" si="10"/>
        <v>5910393.8815254001</v>
      </c>
      <c r="M35" s="960"/>
      <c r="O35" s="287"/>
      <c r="P35" s="32" t="s">
        <v>69</v>
      </c>
      <c r="Q35" s="287"/>
    </row>
    <row r="36" spans="1:17" outlineLevel="1">
      <c r="A36" s="290">
        <f>ROW()</f>
        <v>36</v>
      </c>
      <c r="B36" s="74" t="s">
        <v>103</v>
      </c>
      <c r="F36" s="52">
        <f>' Enrol &amp; Rev'!F145</f>
        <v>0</v>
      </c>
      <c r="G36" s="52">
        <f>' Enrol &amp; Rev'!G145</f>
        <v>3377599.6375000002</v>
      </c>
      <c r="H36" s="52">
        <f>' Enrol &amp; Rev'!H145</f>
        <v>4550328.4095433</v>
      </c>
      <c r="I36" s="52">
        <f>' Enrol &amp; Rev'!I145</f>
        <v>5222587.0439642007</v>
      </c>
      <c r="J36" s="52">
        <f>' Enrol &amp; Rev'!J145</f>
        <v>5879297.4752447996</v>
      </c>
      <c r="K36" s="52">
        <f>' Enrol &amp; Rev'!K145</f>
        <v>5910393.8815254001</v>
      </c>
      <c r="L36" s="52">
        <f>' Enrol &amp; Rev'!L145</f>
        <v>5910393.8815254001</v>
      </c>
      <c r="M36" s="54"/>
      <c r="O36" s="287"/>
      <c r="P36" s="32" t="s">
        <v>69</v>
      </c>
      <c r="Q36" s="287"/>
    </row>
    <row r="37" spans="1:17" outlineLevel="1">
      <c r="A37" s="290">
        <f>ROW()</f>
        <v>37</v>
      </c>
      <c r="B37" s="74" t="s">
        <v>104</v>
      </c>
      <c r="C37" s="54"/>
      <c r="D37" s="54"/>
      <c r="E37" s="54"/>
      <c r="F37" s="109">
        <f>+F35-F36</f>
        <v>0</v>
      </c>
      <c r="G37" s="109">
        <f t="shared" ref="G37:L37" si="11">+G35-G36</f>
        <v>0</v>
      </c>
      <c r="H37" s="109">
        <f t="shared" si="11"/>
        <v>0</v>
      </c>
      <c r="I37" s="109">
        <f t="shared" si="11"/>
        <v>0</v>
      </c>
      <c r="J37" s="109">
        <f t="shared" si="11"/>
        <v>0</v>
      </c>
      <c r="K37" s="109">
        <f t="shared" si="11"/>
        <v>0</v>
      </c>
      <c r="L37" s="109">
        <f t="shared" si="11"/>
        <v>0</v>
      </c>
      <c r="M37" s="54"/>
      <c r="O37" s="287"/>
      <c r="Q37" s="287"/>
    </row>
    <row r="38" spans="1:17">
      <c r="A38" s="290">
        <f>ROW()</f>
        <v>38</v>
      </c>
      <c r="B38" s="74" t="s">
        <v>105</v>
      </c>
      <c r="C38" s="54"/>
      <c r="D38" s="54"/>
      <c r="E38" s="54"/>
      <c r="F38" s="434"/>
      <c r="G38" s="113">
        <f t="shared" ref="G38:L38" si="12">+G35/G9</f>
        <v>12282.1805</v>
      </c>
      <c r="H38" s="113">
        <f t="shared" si="12"/>
        <v>13000.938312980858</v>
      </c>
      <c r="I38" s="113">
        <f t="shared" si="12"/>
        <v>13056.467609910502</v>
      </c>
      <c r="J38" s="113">
        <f t="shared" si="12"/>
        <v>13065.105500543999</v>
      </c>
      <c r="K38" s="113">
        <f t="shared" si="12"/>
        <v>13134.208625612</v>
      </c>
      <c r="L38" s="113">
        <f t="shared" si="12"/>
        <v>13134.208625612</v>
      </c>
      <c r="M38" s="54"/>
      <c r="O38" s="287"/>
      <c r="Q38" s="287"/>
    </row>
    <row r="39" spans="1:17" hidden="1" outlineLevel="1">
      <c r="A39" s="290">
        <f>ROW()</f>
        <v>39</v>
      </c>
      <c r="B39" s="74" t="s">
        <v>106</v>
      </c>
      <c r="C39" s="1102"/>
      <c r="D39" s="1102"/>
      <c r="E39" s="1103"/>
      <c r="F39" s="507"/>
      <c r="G39" s="507">
        <f>+' Enrol &amp; Rev'!G146</f>
        <v>12282.1805</v>
      </c>
      <c r="H39" s="507">
        <f>+' Enrol &amp; Rev'!H146</f>
        <v>13000.938312980858</v>
      </c>
      <c r="I39" s="507">
        <f>+' Enrol &amp; Rev'!I146</f>
        <v>13056.467609910502</v>
      </c>
      <c r="J39" s="507">
        <f>+' Enrol &amp; Rev'!J146</f>
        <v>13065.105500543999</v>
      </c>
      <c r="K39" s="507">
        <f>+' Enrol &amp; Rev'!K146</f>
        <v>13134.208625612</v>
      </c>
      <c r="L39" s="507">
        <f>+' Enrol &amp; Rev'!L146</f>
        <v>13134.208625612</v>
      </c>
      <c r="M39" s="54"/>
      <c r="O39" s="287"/>
      <c r="Q39" s="287"/>
    </row>
    <row r="40" spans="1:17" hidden="1" outlineLevel="1">
      <c r="A40" s="290">
        <f>ROW()</f>
        <v>40</v>
      </c>
      <c r="B40" s="74" t="s">
        <v>107</v>
      </c>
      <c r="C40" s="54"/>
      <c r="D40" s="54"/>
      <c r="E40" s="54"/>
      <c r="F40" s="434"/>
      <c r="G40" s="113">
        <f t="shared" ref="G40:L40" si="13">+G39-G38</f>
        <v>0</v>
      </c>
      <c r="H40" s="113">
        <f t="shared" si="13"/>
        <v>0</v>
      </c>
      <c r="I40" s="113">
        <f t="shared" si="13"/>
        <v>0</v>
      </c>
      <c r="J40" s="113">
        <f t="shared" si="13"/>
        <v>0</v>
      </c>
      <c r="K40" s="113">
        <f t="shared" si="13"/>
        <v>0</v>
      </c>
      <c r="L40" s="113">
        <f t="shared" si="13"/>
        <v>0</v>
      </c>
      <c r="M40" s="54"/>
      <c r="O40" s="287"/>
      <c r="Q40" s="287"/>
    </row>
    <row r="41" spans="1:17" outlineLevel="1">
      <c r="A41" s="290">
        <f>ROW()</f>
        <v>41</v>
      </c>
      <c r="B41" s="74" t="s">
        <v>108</v>
      </c>
      <c r="C41" s="1278">
        <f>SUM(C17:C23)/C35</f>
        <v>3.362257100114692E-2</v>
      </c>
      <c r="D41" s="1278">
        <f t="shared" ref="D41:L41" si="14">SUM(D17:D23)/D35</f>
        <v>3.362257100114692E-2</v>
      </c>
      <c r="E41" s="1278">
        <f t="shared" si="14"/>
        <v>3.362257100114692E-2</v>
      </c>
      <c r="F41" s="1278" t="e">
        <f t="shared" si="14"/>
        <v>#DIV/0!</v>
      </c>
      <c r="G41" s="1278">
        <f t="shared" si="14"/>
        <v>3.5559483920627938E-2</v>
      </c>
      <c r="H41" s="1278">
        <f t="shared" si="14"/>
        <v>3.3593575285556627E-2</v>
      </c>
      <c r="I41" s="1278">
        <f t="shared" si="14"/>
        <v>3.3450701449179623E-2</v>
      </c>
      <c r="J41" s="1278">
        <f t="shared" si="14"/>
        <v>3.3428585783851106E-2</v>
      </c>
      <c r="K41" s="1278">
        <f t="shared" si="14"/>
        <v>3.3252707677288731E-2</v>
      </c>
      <c r="L41" s="1278">
        <f t="shared" si="14"/>
        <v>3.3252707677288731E-2</v>
      </c>
      <c r="M41" s="54"/>
      <c r="O41" s="287"/>
      <c r="Q41" s="287"/>
    </row>
    <row r="42" spans="1:17">
      <c r="A42" s="290">
        <f>ROW()</f>
        <v>42</v>
      </c>
      <c r="B42" s="54"/>
      <c r="C42" s="54"/>
      <c r="D42" s="54"/>
      <c r="E42" s="54"/>
      <c r="F42" s="434"/>
      <c r="G42" s="113"/>
      <c r="H42" s="113"/>
      <c r="I42" s="113"/>
      <c r="J42" s="113"/>
      <c r="K42" s="113"/>
      <c r="L42" s="113"/>
      <c r="M42" s="54"/>
      <c r="O42" s="287"/>
      <c r="Q42" s="287"/>
    </row>
    <row r="43" spans="1:17" ht="17.399999999999999">
      <c r="A43" s="290">
        <f>ROW()</f>
        <v>43</v>
      </c>
      <c r="B43" s="1429" t="s">
        <v>109</v>
      </c>
      <c r="C43" s="1430" t="s">
        <v>78</v>
      </c>
      <c r="D43" s="1430" t="s">
        <v>79</v>
      </c>
      <c r="E43" s="1433" t="s">
        <v>80</v>
      </c>
      <c r="F43" s="1432">
        <f t="shared" ref="F43:L43" si="15">F6</f>
        <v>0</v>
      </c>
      <c r="G43" s="1432">
        <f t="shared" si="15"/>
        <v>1</v>
      </c>
      <c r="H43" s="1432">
        <f t="shared" si="15"/>
        <v>2</v>
      </c>
      <c r="I43" s="1432">
        <f t="shared" si="15"/>
        <v>3</v>
      </c>
      <c r="J43" s="1432">
        <f t="shared" si="15"/>
        <v>4</v>
      </c>
      <c r="K43" s="1432">
        <f t="shared" si="15"/>
        <v>5</v>
      </c>
      <c r="L43" s="1432">
        <f t="shared" si="15"/>
        <v>6</v>
      </c>
      <c r="M43" s="54"/>
      <c r="O43" s="287"/>
      <c r="P43" s="32" t="s">
        <v>69</v>
      </c>
      <c r="Q43" s="287"/>
    </row>
    <row r="44" spans="1:17">
      <c r="A44" s="290">
        <f>ROW()</f>
        <v>44</v>
      </c>
      <c r="B44" s="32" t="s">
        <v>110</v>
      </c>
      <c r="C44" s="209">
        <f t="shared" ref="C44:C52" si="16">SUM(F44:L44)</f>
        <v>19649970.848071374</v>
      </c>
      <c r="D44" s="209">
        <f t="shared" ref="D44:D52" si="17">AVERAGE(G44:L44)</f>
        <v>3274995.141345229</v>
      </c>
      <c r="E44" s="352">
        <f t="shared" ref="E44:E54" si="18">IFERROR(+D44/$D$35,0)</f>
        <v>0.63693965881782422</v>
      </c>
      <c r="F44" s="491">
        <f>+Staff!G474</f>
        <v>0</v>
      </c>
      <c r="G44" s="491">
        <f>+Staff!H474</f>
        <v>2149372.4977356</v>
      </c>
      <c r="H44" s="491">
        <f>+Staff!I474</f>
        <v>2885598.6787991999</v>
      </c>
      <c r="I44" s="491">
        <f>+Staff!J474</f>
        <v>3253634.8998791999</v>
      </c>
      <c r="J44" s="491">
        <f>+Staff!K474</f>
        <v>3782849.21003424</v>
      </c>
      <c r="K44" s="491">
        <f>+Staff!L474</f>
        <v>3787093.2966417405</v>
      </c>
      <c r="L44" s="491">
        <f>+Staff!M474</f>
        <v>3791422.2649813914</v>
      </c>
      <c r="M44" s="55"/>
      <c r="O44" s="287"/>
      <c r="P44" s="32" t="s">
        <v>69</v>
      </c>
      <c r="Q44" s="287"/>
    </row>
    <row r="45" spans="1:17">
      <c r="A45" s="290">
        <f>ROW()</f>
        <v>45</v>
      </c>
      <c r="B45" s="32" t="s">
        <v>45</v>
      </c>
      <c r="C45" s="51">
        <f t="shared" si="16"/>
        <v>2897726.60561598</v>
      </c>
      <c r="D45" s="51">
        <f t="shared" si="17"/>
        <v>482954.43426933</v>
      </c>
      <c r="E45" s="352">
        <f t="shared" si="18"/>
        <v>9.3927721816927059E-2</v>
      </c>
      <c r="F45" s="87">
        <f>Facilities!F76</f>
        <v>0</v>
      </c>
      <c r="G45" s="87">
        <f>Facilities!G76</f>
        <v>310612.5</v>
      </c>
      <c r="H45" s="87">
        <f>Facilities!H76</f>
        <v>406381.5</v>
      </c>
      <c r="I45" s="87">
        <f>Facilities!I76</f>
        <v>477432.72</v>
      </c>
      <c r="J45" s="87">
        <f>Facilities!J76</f>
        <v>552150.6912</v>
      </c>
      <c r="K45" s="87">
        <f>Facilities!K76</f>
        <v>567619.24937400001</v>
      </c>
      <c r="L45" s="87">
        <f>Facilities!L76</f>
        <v>583529.94504198013</v>
      </c>
      <c r="M45" s="55"/>
      <c r="O45" s="287"/>
      <c r="P45" s="32" t="s">
        <v>69</v>
      </c>
      <c r="Q45" s="287"/>
    </row>
    <row r="46" spans="1:17">
      <c r="A46" s="290">
        <f>ROW()</f>
        <v>46</v>
      </c>
      <c r="B46" s="32" t="s">
        <v>111</v>
      </c>
      <c r="C46" s="51">
        <f t="shared" si="16"/>
        <v>3403271.5092225429</v>
      </c>
      <c r="D46" s="51">
        <f t="shared" si="17"/>
        <v>567211.91820375714</v>
      </c>
      <c r="E46" s="352">
        <f t="shared" si="18"/>
        <v>0.11031459592019618</v>
      </c>
      <c r="F46" s="87">
        <f>+'Gen Optg'!F203</f>
        <v>0</v>
      </c>
      <c r="G46" s="87">
        <f>+'Gen Optg'!G203</f>
        <v>392656.52250000002</v>
      </c>
      <c r="H46" s="87">
        <f>+'Gen Optg'!H203</f>
        <v>479286.0099</v>
      </c>
      <c r="I46" s="87">
        <f>+'Gen Optg'!I203</f>
        <v>552702.59539199993</v>
      </c>
      <c r="J46" s="87">
        <f>+'Gen Optg'!J203</f>
        <v>635190.94587492</v>
      </c>
      <c r="K46" s="87">
        <f>+'Gen Optg'!K203</f>
        <v>647784.35671209847</v>
      </c>
      <c r="L46" s="87">
        <f>+'Gen Optg'!L203</f>
        <v>695651.07884352445</v>
      </c>
      <c r="M46" s="55"/>
      <c r="O46" s="287"/>
      <c r="P46" s="32" t="s">
        <v>69</v>
      </c>
      <c r="Q46" s="287"/>
    </row>
    <row r="47" spans="1:17">
      <c r="A47" s="290">
        <f>ROW()</f>
        <v>47</v>
      </c>
      <c r="B47" s="32" t="s">
        <v>112</v>
      </c>
      <c r="C47" s="51">
        <f t="shared" si="16"/>
        <v>0</v>
      </c>
      <c r="D47" s="51">
        <f t="shared" si="17"/>
        <v>0</v>
      </c>
      <c r="E47" s="352">
        <f t="shared" si="18"/>
        <v>0</v>
      </c>
      <c r="F47" s="87">
        <f>'EMO-CMO-BOSP'!E39</f>
        <v>0</v>
      </c>
      <c r="G47" s="87">
        <f>'EMO-CMO-BOSP'!F39</f>
        <v>0</v>
      </c>
      <c r="H47" s="87">
        <f>'EMO-CMO-BOSP'!G39</f>
        <v>0</v>
      </c>
      <c r="I47" s="87">
        <f>'EMO-CMO-BOSP'!H39</f>
        <v>0</v>
      </c>
      <c r="J47" s="87">
        <f>'EMO-CMO-BOSP'!I39</f>
        <v>0</v>
      </c>
      <c r="K47" s="87">
        <f>'EMO-CMO-BOSP'!J39</f>
        <v>0</v>
      </c>
      <c r="L47" s="87">
        <f>'EMO-CMO-BOSP'!K39</f>
        <v>0</v>
      </c>
      <c r="M47" s="51"/>
      <c r="O47" s="287"/>
      <c r="P47" s="32" t="s">
        <v>69</v>
      </c>
      <c r="Q47" s="287"/>
    </row>
    <row r="48" spans="1:17">
      <c r="A48" s="290">
        <f>ROW()</f>
        <v>48</v>
      </c>
      <c r="B48" s="32" t="s">
        <v>53</v>
      </c>
      <c r="C48" s="51">
        <f t="shared" si="16"/>
        <v>30000</v>
      </c>
      <c r="D48" s="51">
        <f t="shared" si="17"/>
        <v>5000</v>
      </c>
      <c r="E48" s="352">
        <f t="shared" si="18"/>
        <v>9.7242840268183797E-4</v>
      </c>
      <c r="F48" s="87">
        <f>Marketing!H44</f>
        <v>0</v>
      </c>
      <c r="G48" s="87">
        <f>Marketing!I44</f>
        <v>5000</v>
      </c>
      <c r="H48" s="87">
        <f>Marketing!J44</f>
        <v>5000</v>
      </c>
      <c r="I48" s="87">
        <f>Marketing!K44</f>
        <v>5000</v>
      </c>
      <c r="J48" s="87">
        <f>Marketing!L44</f>
        <v>5000</v>
      </c>
      <c r="K48" s="87">
        <f>Marketing!M44</f>
        <v>5000</v>
      </c>
      <c r="L48" s="87">
        <f>Marketing!N44</f>
        <v>5000</v>
      </c>
      <c r="M48" s="51"/>
      <c r="O48" s="287"/>
      <c r="P48" s="32" t="s">
        <v>69</v>
      </c>
      <c r="Q48" s="287"/>
    </row>
    <row r="49" spans="1:20">
      <c r="A49" s="290">
        <f>ROW()</f>
        <v>49</v>
      </c>
      <c r="B49" s="32" t="s">
        <v>113</v>
      </c>
      <c r="C49" s="51">
        <f t="shared" si="16"/>
        <v>825751.25</v>
      </c>
      <c r="D49" s="51">
        <f t="shared" si="17"/>
        <v>137625.20833333334</v>
      </c>
      <c r="E49" s="352">
        <f t="shared" si="18"/>
        <v>2.6766132301667706E-2</v>
      </c>
      <c r="F49" s="87">
        <f>'FFE&amp;T'!F43</f>
        <v>0</v>
      </c>
      <c r="G49" s="87">
        <f>'FFE&amp;T'!G43</f>
        <v>202562.91666666669</v>
      </c>
      <c r="H49" s="87">
        <f>'FFE&amp;T'!H43</f>
        <v>114296.25</v>
      </c>
      <c r="I49" s="87">
        <f>'FFE&amp;T'!I43</f>
        <v>109854.16666666666</v>
      </c>
      <c r="J49" s="87">
        <f>'FFE&amp;T'!J43</f>
        <v>121544.16666666666</v>
      </c>
      <c r="K49" s="87">
        <f>'FFE&amp;T'!K43</f>
        <v>94650</v>
      </c>
      <c r="L49" s="87">
        <f>'FFE&amp;T'!L43</f>
        <v>182843.75</v>
      </c>
      <c r="M49" s="51"/>
      <c r="O49" s="287"/>
      <c r="P49" s="32" t="s">
        <v>69</v>
      </c>
      <c r="Q49" s="287"/>
    </row>
    <row r="50" spans="1:20">
      <c r="A50" s="290">
        <f>ROW()</f>
        <v>50</v>
      </c>
      <c r="B50" s="32" t="s">
        <v>96</v>
      </c>
      <c r="C50" s="51">
        <f t="shared" si="16"/>
        <v>0</v>
      </c>
      <c r="D50" s="51">
        <f t="shared" si="17"/>
        <v>0</v>
      </c>
      <c r="E50" s="352">
        <f t="shared" si="18"/>
        <v>0</v>
      </c>
      <c r="F50" s="87">
        <f>+'Gen Optg'!F184</f>
        <v>0</v>
      </c>
      <c r="G50" s="87">
        <f>+'Gen Optg'!G184</f>
        <v>0</v>
      </c>
      <c r="H50" s="87">
        <f>+'Gen Optg'!H184</f>
        <v>0</v>
      </c>
      <c r="I50" s="87">
        <f>+'Gen Optg'!I184</f>
        <v>0</v>
      </c>
      <c r="J50" s="87">
        <f>+'Gen Optg'!J184</f>
        <v>0</v>
      </c>
      <c r="K50" s="87">
        <f>+'Gen Optg'!K184</f>
        <v>0</v>
      </c>
      <c r="L50" s="87">
        <f>+'Gen Optg'!L184</f>
        <v>0</v>
      </c>
      <c r="M50" s="51"/>
      <c r="O50" s="287"/>
      <c r="P50" s="32" t="s">
        <v>69</v>
      </c>
      <c r="Q50" s="287"/>
    </row>
    <row r="51" spans="1:20">
      <c r="A51" s="290">
        <f>ROW()</f>
        <v>51</v>
      </c>
      <c r="B51" s="32" t="s">
        <v>1178</v>
      </c>
      <c r="C51" s="51">
        <f t="shared" si="16"/>
        <v>0</v>
      </c>
      <c r="D51" s="51">
        <f>IFERROR(AVERAGE(G51:L51),0)</f>
        <v>0</v>
      </c>
      <c r="E51" s="352">
        <f t="shared" si="18"/>
        <v>0</v>
      </c>
      <c r="F51" s="87"/>
      <c r="G51" s="87"/>
      <c r="H51" s="87"/>
      <c r="I51" s="87"/>
      <c r="J51" s="87"/>
      <c r="K51" s="87"/>
      <c r="L51" s="87"/>
      <c r="M51" s="51"/>
      <c r="O51" s="287"/>
      <c r="Q51" s="287"/>
    </row>
    <row r="52" spans="1:20">
      <c r="A52" s="290">
        <f>ROW()</f>
        <v>52</v>
      </c>
      <c r="B52" s="32" t="s">
        <v>51</v>
      </c>
      <c r="C52" s="51">
        <f t="shared" si="16"/>
        <v>133249.24361658</v>
      </c>
      <c r="D52" s="51">
        <f t="shared" si="17"/>
        <v>22208.20726943</v>
      </c>
      <c r="E52" s="352">
        <f t="shared" si="18"/>
        <v>4.3191783042877997E-3</v>
      </c>
      <c r="F52" s="87">
        <f>Ins!F51</f>
        <v>0</v>
      </c>
      <c r="G52" s="87">
        <f>Ins!G51</f>
        <v>20600</v>
      </c>
      <c r="H52" s="87">
        <f>Ins!H51</f>
        <v>21218</v>
      </c>
      <c r="I52" s="87">
        <f>Ins!I51</f>
        <v>21854.54</v>
      </c>
      <c r="J52" s="87">
        <f>Ins!J51</f>
        <v>22510.176199999998</v>
      </c>
      <c r="K52" s="87">
        <f>Ins!K51</f>
        <v>23185.481485999997</v>
      </c>
      <c r="L52" s="87">
        <f>Ins!L51</f>
        <v>23881.04593058</v>
      </c>
      <c r="M52" s="51"/>
      <c r="O52" s="287"/>
      <c r="P52" s="32" t="s">
        <v>69</v>
      </c>
      <c r="Q52" s="287"/>
    </row>
    <row r="53" spans="1:20">
      <c r="A53" s="290">
        <f>ROW()</f>
        <v>53</v>
      </c>
      <c r="B53" s="32" t="s">
        <v>1214</v>
      </c>
      <c r="C53" s="51">
        <f t="shared" ref="C53" si="19">SUM(F53:L53)</f>
        <v>0</v>
      </c>
      <c r="D53" s="51">
        <f t="shared" ref="D53" si="20">AVERAGE(G53:L53)</f>
        <v>0</v>
      </c>
      <c r="E53" s="352">
        <f t="shared" ref="E53" si="21">IFERROR(+D53/$D$35,0)</f>
        <v>0</v>
      </c>
      <c r="F53" s="87">
        <f>SUM(F44:F52)*$L$2</f>
        <v>0</v>
      </c>
      <c r="G53" s="87">
        <f t="shared" ref="G53:L53" si="22">SUM(G44:G52)*$L$2</f>
        <v>0</v>
      </c>
      <c r="H53" s="87">
        <f t="shared" si="22"/>
        <v>0</v>
      </c>
      <c r="I53" s="87">
        <f t="shared" si="22"/>
        <v>0</v>
      </c>
      <c r="J53" s="87">
        <f t="shared" si="22"/>
        <v>0</v>
      </c>
      <c r="K53" s="87">
        <f t="shared" si="22"/>
        <v>0</v>
      </c>
      <c r="L53" s="87">
        <f t="shared" si="22"/>
        <v>0</v>
      </c>
      <c r="M53" s="51"/>
      <c r="O53" s="287"/>
      <c r="Q53" s="287"/>
    </row>
    <row r="54" spans="1:20">
      <c r="A54" s="290">
        <f>ROW()</f>
        <v>54</v>
      </c>
      <c r="B54" s="697" t="s">
        <v>114</v>
      </c>
      <c r="C54" s="607">
        <f>SUM(C44:C52)</f>
        <v>26939969.456526481</v>
      </c>
      <c r="D54" s="607">
        <f>AVERAGE(G54:L54)</f>
        <v>4489994.9094210798</v>
      </c>
      <c r="E54" s="585">
        <f t="shared" si="18"/>
        <v>0.87323971556358493</v>
      </c>
      <c r="F54" s="959">
        <f t="shared" ref="F54:L54" si="23">SUM(F44:F53)</f>
        <v>0</v>
      </c>
      <c r="G54" s="959">
        <f t="shared" si="23"/>
        <v>3080804.4369022665</v>
      </c>
      <c r="H54" s="959">
        <f t="shared" si="23"/>
        <v>3911780.4386991998</v>
      </c>
      <c r="I54" s="959">
        <f t="shared" si="23"/>
        <v>4420478.9219378671</v>
      </c>
      <c r="J54" s="959">
        <f t="shared" si="23"/>
        <v>5119245.189975827</v>
      </c>
      <c r="K54" s="959">
        <f t="shared" si="23"/>
        <v>5125332.3842138387</v>
      </c>
      <c r="L54" s="959">
        <f t="shared" si="23"/>
        <v>5282328.0847974764</v>
      </c>
      <c r="M54" s="51"/>
      <c r="O54" s="287"/>
      <c r="P54" s="32" t="s">
        <v>69</v>
      </c>
      <c r="Q54" s="287"/>
    </row>
    <row r="55" spans="1:20">
      <c r="A55" s="290">
        <f>ROW()</f>
        <v>55</v>
      </c>
      <c r="B55" s="74" t="s">
        <v>115</v>
      </c>
      <c r="C55" s="354"/>
      <c r="D55" s="354"/>
      <c r="E55" s="353"/>
      <c r="F55" s="507">
        <f t="shared" ref="F55:L55" si="24">IFERROR(F54/F9,0)</f>
        <v>0</v>
      </c>
      <c r="G55" s="507">
        <f t="shared" si="24"/>
        <v>11202.92522509915</v>
      </c>
      <c r="H55" s="507">
        <f t="shared" si="24"/>
        <v>11176.515539140571</v>
      </c>
      <c r="I55" s="507">
        <f t="shared" si="24"/>
        <v>11051.197304844667</v>
      </c>
      <c r="J55" s="507">
        <f t="shared" si="24"/>
        <v>11376.100422168505</v>
      </c>
      <c r="K55" s="507">
        <f t="shared" si="24"/>
        <v>11389.627520475196</v>
      </c>
      <c r="L55" s="507">
        <f t="shared" si="24"/>
        <v>11738.506855105503</v>
      </c>
      <c r="M55" s="51"/>
      <c r="O55" s="287"/>
      <c r="P55" s="32" t="s">
        <v>69</v>
      </c>
      <c r="Q55" s="287"/>
    </row>
    <row r="56" spans="1:20">
      <c r="A56" s="290">
        <f>ROW()</f>
        <v>56</v>
      </c>
      <c r="B56" s="32" t="s">
        <v>144</v>
      </c>
      <c r="C56" s="51">
        <f t="shared" ref="C56:C57" si="25">SUM(F56:L56)</f>
        <v>269399.69456526474</v>
      </c>
      <c r="D56" s="51">
        <f t="shared" ref="D56:D57" si="26">AVERAGE(G56:L56)</f>
        <v>44899.949094210788</v>
      </c>
      <c r="E56" s="1824">
        <v>0.01</v>
      </c>
      <c r="F56" s="87">
        <f>+$E56*F54</f>
        <v>0</v>
      </c>
      <c r="G56" s="87">
        <f t="shared" ref="G56:L56" si="27">+$E56*G54</f>
        <v>30808.044369022664</v>
      </c>
      <c r="H56" s="87">
        <f t="shared" si="27"/>
        <v>39117.804386992</v>
      </c>
      <c r="I56" s="87">
        <f t="shared" si="27"/>
        <v>44204.789219378668</v>
      </c>
      <c r="J56" s="87">
        <f t="shared" si="27"/>
        <v>51192.451899758271</v>
      </c>
      <c r="K56" s="87">
        <f t="shared" si="27"/>
        <v>51253.323842138387</v>
      </c>
      <c r="L56" s="87">
        <f t="shared" si="27"/>
        <v>52823.280847974762</v>
      </c>
      <c r="M56" s="51"/>
      <c r="O56" s="287"/>
      <c r="Q56" s="287"/>
    </row>
    <row r="57" spans="1:20">
      <c r="A57" s="290">
        <f>ROW()</f>
        <v>57</v>
      </c>
      <c r="B57" s="32" t="s">
        <v>1254</v>
      </c>
      <c r="C57" s="51">
        <f t="shared" si="25"/>
        <v>269399.69456526474</v>
      </c>
      <c r="D57" s="51">
        <f t="shared" si="26"/>
        <v>44899.949094210788</v>
      </c>
      <c r="E57" s="1824">
        <v>0.01</v>
      </c>
      <c r="F57" s="87">
        <f>+$E57*F54</f>
        <v>0</v>
      </c>
      <c r="G57" s="87">
        <f t="shared" ref="G57:L57" si="28">+$E57*G54</f>
        <v>30808.044369022664</v>
      </c>
      <c r="H57" s="87">
        <f t="shared" si="28"/>
        <v>39117.804386992</v>
      </c>
      <c r="I57" s="87">
        <f t="shared" si="28"/>
        <v>44204.789219378668</v>
      </c>
      <c r="J57" s="87">
        <f t="shared" si="28"/>
        <v>51192.451899758271</v>
      </c>
      <c r="K57" s="87">
        <f t="shared" si="28"/>
        <v>51253.323842138387</v>
      </c>
      <c r="L57" s="87">
        <f t="shared" si="28"/>
        <v>52823.280847974762</v>
      </c>
      <c r="M57" s="51"/>
      <c r="O57" s="287"/>
      <c r="Q57" s="287"/>
    </row>
    <row r="58" spans="1:20">
      <c r="A58" s="290">
        <f>ROW()</f>
        <v>58</v>
      </c>
      <c r="M58" s="51"/>
      <c r="O58" s="287"/>
      <c r="Q58" s="287"/>
    </row>
    <row r="59" spans="1:20" ht="14.4" thickBot="1">
      <c r="A59" s="290">
        <f>ROW()</f>
        <v>59</v>
      </c>
      <c r="B59" s="30"/>
      <c r="C59" s="354"/>
      <c r="D59" s="354"/>
      <c r="E59" s="353"/>
      <c r="F59" s="543"/>
      <c r="G59" s="543"/>
      <c r="H59" s="543"/>
      <c r="I59" s="543"/>
      <c r="J59" s="543"/>
      <c r="K59" s="543"/>
      <c r="L59" s="543"/>
      <c r="M59" s="51"/>
      <c r="O59" s="287"/>
      <c r="Q59" s="287"/>
    </row>
    <row r="60" spans="1:20" ht="14.4" thickBot="1">
      <c r="A60" s="290">
        <f>ROW()</f>
        <v>60</v>
      </c>
      <c r="B60" s="1434" t="s">
        <v>116</v>
      </c>
      <c r="C60" s="1435">
        <f>C35-C54</f>
        <v>3910630.8727766201</v>
      </c>
      <c r="D60" s="1435">
        <f>AVERAGE(G60:L60)</f>
        <v>561971.91394101584</v>
      </c>
      <c r="E60" s="1436">
        <f>IFERROR(+D60/$D$35,0)</f>
        <v>0.10929549012514347</v>
      </c>
      <c r="F60" s="1437">
        <f t="shared" ref="F60:L60" si="29">F35-F54-SUM(F56:F57)</f>
        <v>0</v>
      </c>
      <c r="G60" s="1437">
        <f t="shared" si="29"/>
        <v>235179.11185968839</v>
      </c>
      <c r="H60" s="1437">
        <f t="shared" si="29"/>
        <v>560312.36207011621</v>
      </c>
      <c r="I60" s="1437">
        <f t="shared" si="29"/>
        <v>713698.54358757625</v>
      </c>
      <c r="J60" s="1437">
        <f t="shared" si="29"/>
        <v>657667.38146945613</v>
      </c>
      <c r="K60" s="1437">
        <f t="shared" si="29"/>
        <v>682554.84962728457</v>
      </c>
      <c r="L60" s="1437">
        <f t="shared" si="29"/>
        <v>522419.23503197415</v>
      </c>
      <c r="M60" s="51"/>
      <c r="N60" s="684"/>
      <c r="O60" s="287" t="s">
        <v>117</v>
      </c>
      <c r="P60" s="56" t="s">
        <v>69</v>
      </c>
      <c r="Q60" s="287"/>
      <c r="R60" s="56"/>
      <c r="T60" s="57"/>
    </row>
    <row r="61" spans="1:20" ht="15" thickBot="1">
      <c r="A61" s="290">
        <f>ROW()</f>
        <v>61</v>
      </c>
      <c r="B61" s="154" t="s">
        <v>118</v>
      </c>
      <c r="C61" s="357"/>
      <c r="D61" s="357"/>
      <c r="E61" s="357"/>
      <c r="F61" s="544"/>
      <c r="G61" s="113">
        <f>IFERROR(G60/Statistics!G21,0)</f>
        <v>855.19677039886687</v>
      </c>
      <c r="H61" s="113">
        <f>IFERROR(H60/Statistics!H21,0)</f>
        <v>1600.892463057475</v>
      </c>
      <c r="I61" s="113">
        <f>IFERROR(I60/Statistics!I21,0)</f>
        <v>1784.2463589689405</v>
      </c>
      <c r="J61" s="113">
        <f>IFERROR(J60/Statistics!J21,0)</f>
        <v>1461.4830699321246</v>
      </c>
      <c r="K61" s="113">
        <f>IFERROR(K60/Statistics!K21,0)</f>
        <v>1516.788554727299</v>
      </c>
      <c r="L61" s="113">
        <f>IFERROR(L60/Statistics!L21,0)</f>
        <v>1160.931633404387</v>
      </c>
      <c r="M61" s="51"/>
      <c r="O61" s="287"/>
      <c r="P61" s="32" t="s">
        <v>69</v>
      </c>
      <c r="Q61" s="287"/>
    </row>
    <row r="62" spans="1:20" ht="15" thickBot="1">
      <c r="A62" s="290">
        <f>ROW()</f>
        <v>62</v>
      </c>
      <c r="B62" s="359" t="s">
        <v>119</v>
      </c>
      <c r="C62" s="360"/>
      <c r="D62" s="360"/>
      <c r="E62" s="356"/>
      <c r="F62" s="545">
        <f t="shared" ref="F62:L62" si="30">+F60+E62</f>
        <v>0</v>
      </c>
      <c r="G62" s="545">
        <f t="shared" si="30"/>
        <v>235179.11185968839</v>
      </c>
      <c r="H62" s="545">
        <f t="shared" si="30"/>
        <v>795491.47392980463</v>
      </c>
      <c r="I62" s="545">
        <f t="shared" si="30"/>
        <v>1509190.0175173809</v>
      </c>
      <c r="J62" s="545">
        <f t="shared" si="30"/>
        <v>2166857.3989868369</v>
      </c>
      <c r="K62" s="545">
        <f t="shared" si="30"/>
        <v>2849412.2486141212</v>
      </c>
      <c r="L62" s="545">
        <f t="shared" si="30"/>
        <v>3371831.4836460953</v>
      </c>
      <c r="M62" s="358"/>
      <c r="O62" s="257" t="s">
        <v>120</v>
      </c>
      <c r="P62" s="32" t="s">
        <v>69</v>
      </c>
      <c r="Q62" s="1111"/>
      <c r="S62" s="52"/>
    </row>
    <row r="63" spans="1:20" ht="14.4">
      <c r="A63" s="290">
        <f>ROW()</f>
        <v>63</v>
      </c>
      <c r="B63" s="1035" t="s">
        <v>121</v>
      </c>
      <c r="C63" s="92">
        <f>SUM(F63:L63)</f>
        <v>0</v>
      </c>
      <c r="D63" s="33"/>
      <c r="E63" s="583"/>
      <c r="F63" s="584">
        <v>0</v>
      </c>
      <c r="G63" s="584"/>
      <c r="H63" s="584"/>
      <c r="I63" s="584"/>
      <c r="J63" s="584"/>
      <c r="K63" s="584"/>
      <c r="L63" s="584"/>
      <c r="M63" s="358"/>
      <c r="O63" s="287"/>
      <c r="Q63" s="287"/>
      <c r="S63" s="52"/>
    </row>
    <row r="64" spans="1:20" ht="14.4">
      <c r="A64" s="290">
        <f>ROW()</f>
        <v>64</v>
      </c>
      <c r="B64" s="1438" t="s">
        <v>1215</v>
      </c>
      <c r="C64" s="1439">
        <f t="shared" ref="C64" si="31">SUM(F64:L64)</f>
        <v>483210</v>
      </c>
      <c r="D64" s="1439">
        <f t="shared" ref="D64" si="32">AVERAGE(G64:L64)</f>
        <v>80535</v>
      </c>
      <c r="E64" s="1440"/>
      <c r="F64" s="1440"/>
      <c r="G64" s="1441">
        <f>+' Enrol &amp; Rev'!G118</f>
        <v>0</v>
      </c>
      <c r="H64" s="1441">
        <f>+' Enrol &amp; Rev'!H118</f>
        <v>80535</v>
      </c>
      <c r="I64" s="1441">
        <f>+' Enrol &amp; Rev'!I118</f>
        <v>92040</v>
      </c>
      <c r="J64" s="1441">
        <f>+' Enrol &amp; Rev'!J118</f>
        <v>103545</v>
      </c>
      <c r="K64" s="1441">
        <f>+' Enrol &amp; Rev'!K118</f>
        <v>103545</v>
      </c>
      <c r="L64" s="1441">
        <f>+' Enrol &amp; Rev'!L118</f>
        <v>103545</v>
      </c>
      <c r="M64" s="358"/>
      <c r="O64" s="287"/>
      <c r="Q64" s="287"/>
      <c r="S64" s="52"/>
    </row>
    <row r="65" spans="1:19" ht="14.4">
      <c r="A65" s="290">
        <f>ROW()</f>
        <v>65</v>
      </c>
      <c r="B65" s="1035" t="s">
        <v>122</v>
      </c>
      <c r="C65" s="92"/>
      <c r="D65" s="33"/>
      <c r="E65" s="583"/>
      <c r="F65" s="1043"/>
      <c r="G65" s="1043"/>
      <c r="H65" s="1043"/>
      <c r="I65" s="1043"/>
      <c r="J65" s="1043"/>
      <c r="K65" s="1043"/>
      <c r="L65" s="1043"/>
      <c r="M65" s="358"/>
      <c r="O65" s="287"/>
      <c r="Q65" s="287"/>
      <c r="S65" s="52"/>
    </row>
    <row r="66" spans="1:19" ht="14.4">
      <c r="A66" s="290">
        <f>ROW()</f>
        <v>66</v>
      </c>
      <c r="B66" s="1035" t="s">
        <v>123</v>
      </c>
      <c r="C66" s="92"/>
      <c r="D66" s="33"/>
      <c r="E66" s="583"/>
      <c r="F66" s="1044"/>
      <c r="G66" s="1044"/>
      <c r="H66" s="1044"/>
      <c r="I66" s="1044"/>
      <c r="J66" s="1044"/>
      <c r="K66" s="1044"/>
      <c r="L66" s="1044"/>
      <c r="M66" s="358"/>
      <c r="O66" s="287"/>
      <c r="Q66" s="287"/>
      <c r="S66" s="52"/>
    </row>
    <row r="67" spans="1:19" ht="14.4">
      <c r="A67" s="290">
        <f>ROW()</f>
        <v>67</v>
      </c>
      <c r="B67" s="1035" t="s">
        <v>124</v>
      </c>
      <c r="C67" s="92"/>
      <c r="D67" s="33"/>
      <c r="E67" s="583"/>
      <c r="F67" s="1044"/>
      <c r="G67" s="1044"/>
      <c r="H67" s="1044"/>
      <c r="I67" s="1044"/>
      <c r="J67" s="1044"/>
      <c r="K67" s="1044"/>
      <c r="L67" s="1044"/>
      <c r="M67" s="358"/>
      <c r="O67" s="287"/>
      <c r="Q67" s="287"/>
      <c r="S67" s="52"/>
    </row>
    <row r="68" spans="1:19" ht="14.4" hidden="1" outlineLevel="1">
      <c r="A68" s="290">
        <f>ROW()</f>
        <v>68</v>
      </c>
      <c r="B68" s="1036" t="s">
        <v>125</v>
      </c>
      <c r="C68" s="1037"/>
      <c r="D68" s="1038"/>
      <c r="E68" s="583"/>
      <c r="F68" s="1046">
        <v>0</v>
      </c>
      <c r="G68" s="1045">
        <f>+F76</f>
        <v>0</v>
      </c>
      <c r="H68" s="1045">
        <f>+G76</f>
        <v>0</v>
      </c>
      <c r="I68" s="1045">
        <f t="shared" ref="I68:L68" si="33">+H76</f>
        <v>0</v>
      </c>
      <c r="J68" s="1045">
        <f t="shared" si="33"/>
        <v>0</v>
      </c>
      <c r="K68" s="1045">
        <f t="shared" si="33"/>
        <v>0</v>
      </c>
      <c r="L68" s="1045">
        <f t="shared" si="33"/>
        <v>0</v>
      </c>
      <c r="M68" s="358"/>
      <c r="O68" s="287"/>
      <c r="Q68" s="287"/>
      <c r="S68" s="52"/>
    </row>
    <row r="69" spans="1:19" ht="14.4" hidden="1" outlineLevel="1">
      <c r="A69" s="290">
        <f>ROW()</f>
        <v>69</v>
      </c>
      <c r="B69" s="1036" t="s">
        <v>126</v>
      </c>
      <c r="C69" s="1037"/>
      <c r="D69" s="1038"/>
      <c r="E69" s="583"/>
      <c r="F69" s="1044">
        <f t="shared" ref="F69:L69" si="34">IF(F60&lt;0,-F60,0)</f>
        <v>0</v>
      </c>
      <c r="G69" s="1044">
        <f t="shared" si="34"/>
        <v>0</v>
      </c>
      <c r="H69" s="1044">
        <f t="shared" si="34"/>
        <v>0</v>
      </c>
      <c r="I69" s="1044">
        <f t="shared" si="34"/>
        <v>0</v>
      </c>
      <c r="J69" s="1044">
        <f t="shared" si="34"/>
        <v>0</v>
      </c>
      <c r="K69" s="1044">
        <f t="shared" si="34"/>
        <v>0</v>
      </c>
      <c r="L69" s="1044">
        <f t="shared" si="34"/>
        <v>0</v>
      </c>
      <c r="M69" s="358"/>
      <c r="O69" s="287"/>
      <c r="Q69" s="287"/>
      <c r="S69" s="52"/>
    </row>
    <row r="70" spans="1:19" ht="14.4" hidden="1" outlineLevel="1">
      <c r="A70" s="290">
        <f>ROW()</f>
        <v>70</v>
      </c>
      <c r="B70" s="1036" t="s">
        <v>127</v>
      </c>
      <c r="C70" s="1037"/>
      <c r="D70" s="1054">
        <v>0.06</v>
      </c>
      <c r="E70" s="583"/>
      <c r="F70" s="1044"/>
      <c r="G70" s="1044">
        <f>G68*$D$70</f>
        <v>0</v>
      </c>
      <c r="H70" s="1044">
        <f t="shared" ref="H70:L70" si="35">H68*$D$70</f>
        <v>0</v>
      </c>
      <c r="I70" s="1044">
        <f t="shared" si="35"/>
        <v>0</v>
      </c>
      <c r="J70" s="1044">
        <f t="shared" si="35"/>
        <v>0</v>
      </c>
      <c r="K70" s="1044">
        <f t="shared" si="35"/>
        <v>0</v>
      </c>
      <c r="L70" s="1044">
        <f t="shared" si="35"/>
        <v>0</v>
      </c>
      <c r="M70" s="358"/>
      <c r="O70" s="287"/>
      <c r="Q70" s="287"/>
      <c r="S70" s="52"/>
    </row>
    <row r="71" spans="1:19" ht="14.4" hidden="1" outlineLevel="1">
      <c r="A71" s="290">
        <f>ROW()</f>
        <v>71</v>
      </c>
      <c r="B71" s="1036"/>
      <c r="C71" s="1037"/>
      <c r="D71" s="1037"/>
      <c r="E71" s="583"/>
      <c r="F71" s="1045">
        <f>SUM(F68:F70)</f>
        <v>0</v>
      </c>
      <c r="G71" s="1045">
        <f>SUM(G68:G70)</f>
        <v>0</v>
      </c>
      <c r="H71" s="1045">
        <f t="shared" ref="H71:L71" si="36">SUM(H68:H70)</f>
        <v>0</v>
      </c>
      <c r="I71" s="1045">
        <f t="shared" si="36"/>
        <v>0</v>
      </c>
      <c r="J71" s="1045">
        <f t="shared" si="36"/>
        <v>0</v>
      </c>
      <c r="K71" s="1045">
        <f t="shared" si="36"/>
        <v>0</v>
      </c>
      <c r="L71" s="1045">
        <f t="shared" si="36"/>
        <v>0</v>
      </c>
      <c r="M71" s="358"/>
      <c r="O71" s="287"/>
      <c r="Q71" s="287"/>
      <c r="S71" s="52"/>
    </row>
    <row r="72" spans="1:19" ht="14.4" hidden="1" outlineLevel="1">
      <c r="A72" s="290">
        <f>ROW()</f>
        <v>72</v>
      </c>
      <c r="B72" s="1065" t="s">
        <v>128</v>
      </c>
      <c r="C72" s="1066"/>
      <c r="D72" s="1066"/>
      <c r="E72" s="583"/>
      <c r="F72" s="1044"/>
      <c r="G72" s="1044"/>
      <c r="H72" s="1044"/>
      <c r="I72" s="1044"/>
      <c r="J72" s="1044"/>
      <c r="K72" s="1044"/>
      <c r="L72" s="1044"/>
      <c r="M72" s="358"/>
      <c r="O72" s="287"/>
      <c r="Q72" s="287"/>
      <c r="S72" s="52"/>
    </row>
    <row r="73" spans="1:19" ht="14.4" hidden="1" outlineLevel="1">
      <c r="A73" s="290">
        <f>ROW()</f>
        <v>73</v>
      </c>
      <c r="B73" s="1036" t="s">
        <v>129</v>
      </c>
      <c r="C73" s="1037"/>
      <c r="D73" s="1038"/>
      <c r="E73" s="583"/>
      <c r="F73" s="1044">
        <f t="shared" ref="F73:L73" si="37">IF(F60&gt;0,F60,F60+F68+F69+F70)</f>
        <v>0</v>
      </c>
      <c r="G73" s="1044">
        <f t="shared" si="37"/>
        <v>235179.11185968839</v>
      </c>
      <c r="H73" s="1044">
        <f t="shared" si="37"/>
        <v>560312.36207011621</v>
      </c>
      <c r="I73" s="1044">
        <f t="shared" si="37"/>
        <v>713698.54358757625</v>
      </c>
      <c r="J73" s="1044">
        <f t="shared" si="37"/>
        <v>657667.38146945613</v>
      </c>
      <c r="K73" s="1044">
        <f t="shared" si="37"/>
        <v>682554.84962728457</v>
      </c>
      <c r="L73" s="1044">
        <f t="shared" si="37"/>
        <v>522419.23503197415</v>
      </c>
      <c r="M73" s="358"/>
      <c r="O73" s="287"/>
      <c r="Q73" s="287"/>
      <c r="S73" s="52"/>
    </row>
    <row r="74" spans="1:19" ht="14.4" hidden="1" outlineLevel="1">
      <c r="A74" s="290">
        <f>ROW()</f>
        <v>74</v>
      </c>
      <c r="B74" s="1036" t="s">
        <v>130</v>
      </c>
      <c r="C74" s="1037"/>
      <c r="D74" s="1038"/>
      <c r="E74" s="583"/>
      <c r="F74" s="1044">
        <f>+E74+F73</f>
        <v>0</v>
      </c>
      <c r="G74" s="1044">
        <f>+F74+G73</f>
        <v>235179.11185968839</v>
      </c>
      <c r="H74" s="1044">
        <f>+G74+H73</f>
        <v>795491.47392980463</v>
      </c>
      <c r="I74" s="1044">
        <f t="shared" ref="I74:L74" si="38">+H74+I73</f>
        <v>1509190.0175173809</v>
      </c>
      <c r="J74" s="1044">
        <f t="shared" si="38"/>
        <v>2166857.3989868369</v>
      </c>
      <c r="K74" s="1044">
        <f t="shared" si="38"/>
        <v>2849412.2486141212</v>
      </c>
      <c r="L74" s="1044">
        <f t="shared" si="38"/>
        <v>3371831.4836460953</v>
      </c>
      <c r="M74" s="358"/>
      <c r="O74" s="287"/>
      <c r="Q74" s="287"/>
      <c r="S74" s="52"/>
    </row>
    <row r="75" spans="1:19" ht="14.4" hidden="1" outlineLevel="1">
      <c r="A75" s="290">
        <f>ROW()</f>
        <v>75</v>
      </c>
      <c r="B75" s="1036" t="s">
        <v>131</v>
      </c>
      <c r="C75" s="1037"/>
      <c r="D75" s="1038"/>
      <c r="E75" s="583"/>
      <c r="F75" s="1055">
        <f t="shared" ref="F75:L75" si="39">IF(F60&gt;0,MIN(F73,F60,(F68+F70+F69)),0)</f>
        <v>0</v>
      </c>
      <c r="G75" s="1055">
        <f t="shared" si="39"/>
        <v>0</v>
      </c>
      <c r="H75" s="1055">
        <f t="shared" si="39"/>
        <v>0</v>
      </c>
      <c r="I75" s="1055">
        <f t="shared" si="39"/>
        <v>0</v>
      </c>
      <c r="J75" s="1055">
        <f t="shared" si="39"/>
        <v>0</v>
      </c>
      <c r="K75" s="1055">
        <f t="shared" si="39"/>
        <v>0</v>
      </c>
      <c r="L75" s="1055">
        <f t="shared" si="39"/>
        <v>0</v>
      </c>
      <c r="M75" s="358"/>
      <c r="O75" s="287"/>
      <c r="Q75" s="287"/>
      <c r="S75" s="52"/>
    </row>
    <row r="76" spans="1:19" ht="14.4" hidden="1" outlineLevel="1">
      <c r="A76" s="290">
        <f>ROW()</f>
        <v>76</v>
      </c>
      <c r="B76" s="1036" t="s">
        <v>132</v>
      </c>
      <c r="C76" s="1037"/>
      <c r="D76" s="1038"/>
      <c r="E76" s="583"/>
      <c r="F76" s="1045">
        <f t="shared" ref="F76:L76" si="40">F68+F69+F70-F75</f>
        <v>0</v>
      </c>
      <c r="G76" s="1045">
        <f t="shared" si="40"/>
        <v>0</v>
      </c>
      <c r="H76" s="1045">
        <f t="shared" si="40"/>
        <v>0</v>
      </c>
      <c r="I76" s="1045">
        <f t="shared" si="40"/>
        <v>0</v>
      </c>
      <c r="J76" s="1045">
        <f t="shared" si="40"/>
        <v>0</v>
      </c>
      <c r="K76" s="1045">
        <f t="shared" si="40"/>
        <v>0</v>
      </c>
      <c r="L76" s="1045">
        <f t="shared" si="40"/>
        <v>0</v>
      </c>
      <c r="M76" s="358"/>
      <c r="O76" s="287"/>
      <c r="Q76" s="287"/>
      <c r="S76" s="52"/>
    </row>
    <row r="77" spans="1:19" ht="14.4" hidden="1" outlineLevel="1">
      <c r="A77" s="290">
        <f>ROW()</f>
        <v>77</v>
      </c>
      <c r="B77" s="1036"/>
      <c r="C77" s="1037"/>
      <c r="D77" s="1038"/>
      <c r="E77" s="583"/>
      <c r="F77" s="1044"/>
      <c r="G77" s="1044"/>
      <c r="H77" s="1044"/>
      <c r="I77" s="1044"/>
      <c r="J77" s="1044"/>
      <c r="K77" s="1044"/>
      <c r="L77" s="1044"/>
      <c r="M77" s="358"/>
      <c r="O77" s="287"/>
      <c r="Q77" s="287"/>
      <c r="S77" s="52"/>
    </row>
    <row r="78" spans="1:19" ht="14.4" hidden="1" outlineLevel="1">
      <c r="A78" s="290">
        <f>ROW()</f>
        <v>78</v>
      </c>
      <c r="B78" s="1036" t="s">
        <v>133</v>
      </c>
      <c r="C78" s="1037"/>
      <c r="D78" s="1038"/>
      <c r="E78" s="583"/>
      <c r="F78" s="1044">
        <f t="shared" ref="F78:L78" si="41">IF(F60&gt;0,F60-F75,0)</f>
        <v>0</v>
      </c>
      <c r="G78" s="1044">
        <f t="shared" si="41"/>
        <v>235179.11185968839</v>
      </c>
      <c r="H78" s="1044">
        <f t="shared" si="41"/>
        <v>560312.36207011621</v>
      </c>
      <c r="I78" s="1044">
        <f t="shared" si="41"/>
        <v>713698.54358757625</v>
      </c>
      <c r="J78" s="1044">
        <f t="shared" si="41"/>
        <v>657667.38146945613</v>
      </c>
      <c r="K78" s="1044">
        <f t="shared" si="41"/>
        <v>682554.84962728457</v>
      </c>
      <c r="L78" s="1044">
        <f t="shared" si="41"/>
        <v>522419.23503197415</v>
      </c>
      <c r="M78" s="358"/>
      <c r="O78" s="287"/>
      <c r="Q78" s="287"/>
      <c r="S78" s="52"/>
    </row>
    <row r="79" spans="1:19" ht="14.4" hidden="1" outlineLevel="1">
      <c r="A79" s="290">
        <f>ROW()</f>
        <v>79</v>
      </c>
      <c r="B79" s="1036" t="s">
        <v>134</v>
      </c>
      <c r="C79" s="1037"/>
      <c r="D79" s="1038"/>
      <c r="E79" s="583"/>
      <c r="F79" s="1044">
        <f t="shared" ref="F79:H79" si="42">+F78+E79</f>
        <v>0</v>
      </c>
      <c r="G79" s="1044">
        <f t="shared" si="42"/>
        <v>235179.11185968839</v>
      </c>
      <c r="H79" s="1044">
        <f t="shared" si="42"/>
        <v>795491.47392980463</v>
      </c>
      <c r="I79" s="1044">
        <f>+I78+H79</f>
        <v>1509190.0175173809</v>
      </c>
      <c r="J79" s="1044">
        <f t="shared" ref="J79:L79" si="43">+J78+I79</f>
        <v>2166857.3989868369</v>
      </c>
      <c r="K79" s="1044">
        <f t="shared" si="43"/>
        <v>2849412.2486141212</v>
      </c>
      <c r="L79" s="1044">
        <f t="shared" si="43"/>
        <v>3371831.4836460953</v>
      </c>
      <c r="M79" s="358"/>
      <c r="O79" s="287"/>
      <c r="Q79" s="287"/>
      <c r="S79" s="52"/>
    </row>
    <row r="80" spans="1:19" ht="14.4" collapsed="1">
      <c r="A80" s="290">
        <f>ROW()</f>
        <v>80</v>
      </c>
      <c r="B80" s="583"/>
      <c r="C80" s="583"/>
      <c r="D80" s="583"/>
      <c r="E80" s="583"/>
      <c r="F80" s="92"/>
      <c r="G80" s="92"/>
      <c r="H80" s="92"/>
      <c r="I80" s="92"/>
      <c r="J80" s="92"/>
      <c r="K80" s="92"/>
      <c r="L80" s="92"/>
      <c r="M80" s="358"/>
      <c r="O80" s="287"/>
      <c r="Q80" s="287"/>
      <c r="S80" s="52"/>
    </row>
    <row r="81" spans="1:19" ht="14.4">
      <c r="A81" s="290">
        <f>ROW()</f>
        <v>81</v>
      </c>
      <c r="B81" s="1442" t="s">
        <v>135</v>
      </c>
      <c r="C81" s="1123"/>
      <c r="D81" s="1443"/>
      <c r="E81" s="1099"/>
      <c r="F81" s="584">
        <v>0</v>
      </c>
      <c r="G81" s="584"/>
      <c r="H81" s="584">
        <v>43652.24</v>
      </c>
      <c r="I81" s="584">
        <v>46271.37</v>
      </c>
      <c r="J81" s="584">
        <v>49047.66</v>
      </c>
      <c r="K81" s="584">
        <v>0</v>
      </c>
      <c r="L81" s="584">
        <v>0</v>
      </c>
      <c r="M81" s="358"/>
      <c r="O81" s="287"/>
      <c r="Q81" s="287" t="s">
        <v>1418</v>
      </c>
      <c r="S81" s="52"/>
    </row>
    <row r="82" spans="1:19" ht="14.4">
      <c r="A82" s="290">
        <f>ROW()</f>
        <v>82</v>
      </c>
      <c r="B82" s="1442" t="s">
        <v>136</v>
      </c>
      <c r="C82" s="1123"/>
      <c r="D82" s="1443"/>
      <c r="E82" s="1099"/>
      <c r="F82" s="243">
        <v>0</v>
      </c>
      <c r="G82" s="243"/>
      <c r="H82" s="243">
        <v>8250</v>
      </c>
      <c r="I82" s="243">
        <v>5630.87</v>
      </c>
      <c r="J82" s="243">
        <v>2854.58</v>
      </c>
      <c r="K82" s="243">
        <v>0</v>
      </c>
      <c r="L82" s="243">
        <v>0</v>
      </c>
      <c r="M82" s="358"/>
      <c r="O82" s="287"/>
      <c r="Q82" s="287" t="s">
        <v>1417</v>
      </c>
      <c r="S82" s="52"/>
    </row>
    <row r="83" spans="1:19" ht="15" thickBot="1">
      <c r="A83" s="290">
        <f>ROW()</f>
        <v>83</v>
      </c>
      <c r="B83" s="590" t="s">
        <v>137</v>
      </c>
      <c r="C83" s="591"/>
      <c r="D83" s="591"/>
      <c r="E83" s="592"/>
      <c r="F83" s="677">
        <f t="shared" ref="F83:L83" si="44">SUM(F81:F82)</f>
        <v>0</v>
      </c>
      <c r="G83" s="677">
        <f t="shared" si="44"/>
        <v>0</v>
      </c>
      <c r="H83" s="677">
        <f t="shared" si="44"/>
        <v>51902.239999999998</v>
      </c>
      <c r="I83" s="677">
        <f t="shared" si="44"/>
        <v>51902.240000000005</v>
      </c>
      <c r="J83" s="677">
        <f t="shared" si="44"/>
        <v>51902.240000000005</v>
      </c>
      <c r="K83" s="677">
        <f t="shared" si="44"/>
        <v>0</v>
      </c>
      <c r="L83" s="677">
        <f t="shared" si="44"/>
        <v>0</v>
      </c>
      <c r="M83" s="358"/>
      <c r="O83" s="287"/>
      <c r="Q83" s="287"/>
      <c r="S83" s="52"/>
    </row>
    <row r="84" spans="1:19" ht="15" thickBot="1">
      <c r="A84" s="290">
        <f>ROW()</f>
        <v>84</v>
      </c>
      <c r="B84" s="359" t="s">
        <v>138</v>
      </c>
      <c r="C84" s="360"/>
      <c r="D84" s="360"/>
      <c r="E84" s="356"/>
      <c r="F84" s="545">
        <f t="shared" ref="F84:L84" si="45">+F60-F63-F83</f>
        <v>0</v>
      </c>
      <c r="G84" s="545">
        <f t="shared" si="45"/>
        <v>235179.11185968839</v>
      </c>
      <c r="H84" s="545">
        <f t="shared" si="45"/>
        <v>508410.12207011622</v>
      </c>
      <c r="I84" s="545">
        <f t="shared" si="45"/>
        <v>661796.30358757626</v>
      </c>
      <c r="J84" s="545">
        <f t="shared" si="45"/>
        <v>605765.14146945614</v>
      </c>
      <c r="K84" s="545">
        <f t="shared" si="45"/>
        <v>682554.84962728457</v>
      </c>
      <c r="L84" s="545">
        <f t="shared" si="45"/>
        <v>522419.23503197415</v>
      </c>
      <c r="M84" s="358"/>
      <c r="O84" s="287"/>
      <c r="Q84" s="287"/>
      <c r="S84" s="52"/>
    </row>
    <row r="85" spans="1:19" ht="14.4">
      <c r="A85" s="290">
        <f>ROW()</f>
        <v>85</v>
      </c>
      <c r="B85" s="154"/>
      <c r="C85" s="357"/>
      <c r="D85" s="357"/>
      <c r="E85" s="357"/>
      <c r="F85" s="546"/>
      <c r="G85" s="546"/>
      <c r="H85" s="546"/>
      <c r="I85" s="546"/>
      <c r="J85" s="546"/>
      <c r="K85" s="546"/>
      <c r="L85" s="546"/>
      <c r="M85" s="358"/>
      <c r="O85" s="287"/>
      <c r="P85" s="32" t="s">
        <v>69</v>
      </c>
      <c r="Q85" s="287"/>
    </row>
    <row r="86" spans="1:19" ht="14.4">
      <c r="A86" s="290">
        <f>ROW()</f>
        <v>86</v>
      </c>
      <c r="B86" s="154" t="s">
        <v>139</v>
      </c>
      <c r="C86" s="357"/>
      <c r="D86" s="357"/>
      <c r="E86" s="357"/>
      <c r="F86" s="544">
        <f t="shared" ref="F86:L86" si="46">+F60-(SUM(F33:F34))-F28</f>
        <v>0</v>
      </c>
      <c r="G86" s="544">
        <f t="shared" si="46"/>
        <v>235179.11185968839</v>
      </c>
      <c r="H86" s="544">
        <f t="shared" si="46"/>
        <v>560312.36207011621</v>
      </c>
      <c r="I86" s="544">
        <f t="shared" si="46"/>
        <v>713698.54358757625</v>
      </c>
      <c r="J86" s="544">
        <f t="shared" si="46"/>
        <v>657667.38146945613</v>
      </c>
      <c r="K86" s="544">
        <f t="shared" si="46"/>
        <v>682554.84962728457</v>
      </c>
      <c r="L86" s="544">
        <f t="shared" si="46"/>
        <v>522419.23503197415</v>
      </c>
      <c r="M86" s="358"/>
      <c r="O86" s="287"/>
      <c r="P86" s="32" t="s">
        <v>69</v>
      </c>
      <c r="Q86" s="287"/>
    </row>
    <row r="87" spans="1:19" ht="14.4">
      <c r="A87" s="290">
        <f>ROW()</f>
        <v>87</v>
      </c>
      <c r="B87" s="154" t="s">
        <v>140</v>
      </c>
      <c r="C87" s="357"/>
      <c r="D87" s="357"/>
      <c r="E87" s="357"/>
      <c r="F87" s="546"/>
      <c r="G87" s="544">
        <f t="shared" ref="G87:L87" si="47">+G86+F87</f>
        <v>235179.11185968839</v>
      </c>
      <c r="H87" s="544">
        <f t="shared" si="47"/>
        <v>795491.47392980463</v>
      </c>
      <c r="I87" s="544">
        <f t="shared" si="47"/>
        <v>1509190.0175173809</v>
      </c>
      <c r="J87" s="544">
        <f t="shared" si="47"/>
        <v>2166857.3989868369</v>
      </c>
      <c r="K87" s="544">
        <f t="shared" si="47"/>
        <v>2849412.2486141212</v>
      </c>
      <c r="L87" s="544">
        <f t="shared" si="47"/>
        <v>3371831.4836460953</v>
      </c>
      <c r="M87" s="358"/>
      <c r="O87" s="287"/>
      <c r="P87" s="32" t="s">
        <v>69</v>
      </c>
      <c r="Q87" s="287"/>
    </row>
    <row r="88" spans="1:19" ht="14.4">
      <c r="A88" s="290">
        <f>ROW()</f>
        <v>88</v>
      </c>
      <c r="B88" s="154"/>
      <c r="C88" s="357"/>
      <c r="D88" s="357"/>
      <c r="E88" s="357"/>
      <c r="F88" s="546"/>
      <c r="G88" s="546"/>
      <c r="H88" s="546"/>
      <c r="I88" s="546"/>
      <c r="J88" s="546"/>
      <c r="K88" s="546"/>
      <c r="L88" s="546"/>
      <c r="M88" s="358"/>
      <c r="O88" s="287"/>
      <c r="P88" s="32" t="s">
        <v>69</v>
      </c>
      <c r="Q88" s="287"/>
    </row>
    <row r="89" spans="1:19" ht="14.4">
      <c r="A89" s="290">
        <f>ROW()</f>
        <v>89</v>
      </c>
      <c r="B89" s="1265" t="s">
        <v>141</v>
      </c>
      <c r="M89" s="358"/>
      <c r="O89" s="287"/>
      <c r="P89" s="32" t="s">
        <v>69</v>
      </c>
      <c r="Q89" s="287"/>
    </row>
    <row r="90" spans="1:19">
      <c r="A90" s="290">
        <f>ROW()</f>
        <v>90</v>
      </c>
      <c r="B90" s="30" t="s">
        <v>142</v>
      </c>
      <c r="M90" s="361"/>
      <c r="O90" s="287"/>
      <c r="P90" s="32" t="s">
        <v>69</v>
      </c>
      <c r="Q90" s="287"/>
    </row>
    <row r="91" spans="1:19" ht="14.4">
      <c r="A91" s="290">
        <f>ROW()</f>
        <v>91</v>
      </c>
      <c r="B91" s="154" t="s">
        <v>1180</v>
      </c>
      <c r="F91" s="52">
        <f t="shared" ref="F91:L91" si="48">+F60</f>
        <v>0</v>
      </c>
      <c r="G91" s="52">
        <f t="shared" si="48"/>
        <v>235179.11185968839</v>
      </c>
      <c r="H91" s="52">
        <f t="shared" si="48"/>
        <v>560312.36207011621</v>
      </c>
      <c r="I91" s="52">
        <f t="shared" si="48"/>
        <v>713698.54358757625</v>
      </c>
      <c r="J91" s="52">
        <f t="shared" si="48"/>
        <v>657667.38146945613</v>
      </c>
      <c r="K91" s="52">
        <f t="shared" si="48"/>
        <v>682554.84962728457</v>
      </c>
      <c r="L91" s="52">
        <f t="shared" si="48"/>
        <v>522419.23503197415</v>
      </c>
      <c r="M91" s="361"/>
      <c r="O91" s="287"/>
      <c r="Q91" s="287"/>
    </row>
    <row r="92" spans="1:19" ht="14.4">
      <c r="A92" s="290">
        <f>ROW()</f>
        <v>92</v>
      </c>
      <c r="B92" s="154" t="s">
        <v>1181</v>
      </c>
      <c r="F92" s="1393">
        <v>0</v>
      </c>
      <c r="G92" s="1393">
        <v>0.1</v>
      </c>
      <c r="H92" s="1393">
        <v>0.1</v>
      </c>
      <c r="I92" s="1393">
        <v>0.1</v>
      </c>
      <c r="J92" s="1393">
        <v>0.1</v>
      </c>
      <c r="K92" s="1393">
        <v>0.1</v>
      </c>
      <c r="L92" s="1393">
        <v>0.1</v>
      </c>
      <c r="M92" s="361"/>
      <c r="O92" s="287"/>
      <c r="Q92" s="287"/>
    </row>
    <row r="93" spans="1:19" ht="14.4">
      <c r="A93" s="290">
        <f>ROW()</f>
        <v>93</v>
      </c>
      <c r="B93" s="154" t="s">
        <v>1182</v>
      </c>
      <c r="F93" s="1394">
        <v>0</v>
      </c>
      <c r="G93" s="1394">
        <v>0</v>
      </c>
      <c r="H93" s="1394">
        <v>0</v>
      </c>
      <c r="I93" s="1394">
        <v>0</v>
      </c>
      <c r="J93" s="1394">
        <v>0</v>
      </c>
      <c r="K93" s="1394">
        <v>0</v>
      </c>
      <c r="L93" s="1394">
        <v>0</v>
      </c>
      <c r="M93" s="361"/>
      <c r="O93" s="287"/>
      <c r="Q93" s="287"/>
    </row>
    <row r="94" spans="1:19" ht="14.4">
      <c r="A94" s="290">
        <f>ROW()</f>
        <v>94</v>
      </c>
      <c r="B94" s="154" t="s">
        <v>1183</v>
      </c>
      <c r="F94" s="1394"/>
      <c r="G94" s="1394">
        <v>0</v>
      </c>
      <c r="H94" s="1394">
        <v>0</v>
      </c>
      <c r="I94" s="1394">
        <v>0</v>
      </c>
      <c r="J94" s="1394">
        <v>0</v>
      </c>
      <c r="K94" s="1394">
        <v>0</v>
      </c>
      <c r="L94" s="1394">
        <v>0</v>
      </c>
      <c r="M94" s="361"/>
      <c r="O94" s="287"/>
      <c r="Q94" s="287"/>
    </row>
    <row r="95" spans="1:19">
      <c r="A95" s="290">
        <f>ROW()</f>
        <v>95</v>
      </c>
      <c r="B95" s="84" t="s">
        <v>1185</v>
      </c>
      <c r="F95" s="1284">
        <f>+F91*F92+F93+F94</f>
        <v>0</v>
      </c>
      <c r="G95" s="1284">
        <f>+G91*1+G93+G94-G100</f>
        <v>210179.11185968839</v>
      </c>
      <c r="H95" s="1284">
        <f t="shared" ref="H95:L95" si="49">+H91*1+H93+H94-H100</f>
        <v>535312.36207011621</v>
      </c>
      <c r="I95" s="1284">
        <f t="shared" si="49"/>
        <v>688698.54358757625</v>
      </c>
      <c r="J95" s="1284">
        <f t="shared" si="49"/>
        <v>632667.38146945613</v>
      </c>
      <c r="K95" s="1284">
        <f t="shared" si="49"/>
        <v>657554.84962728457</v>
      </c>
      <c r="L95" s="1284">
        <f t="shared" si="49"/>
        <v>497419.23503197415</v>
      </c>
      <c r="M95" s="362"/>
      <c r="O95" s="287"/>
      <c r="P95" s="32" t="s">
        <v>69</v>
      </c>
      <c r="Q95" s="287"/>
    </row>
    <row r="96" spans="1:19">
      <c r="A96" s="290">
        <f>ROW()</f>
        <v>96</v>
      </c>
      <c r="B96" s="84" t="s">
        <v>1184</v>
      </c>
      <c r="F96" s="1284">
        <v>0</v>
      </c>
      <c r="G96" s="1284">
        <v>0</v>
      </c>
      <c r="H96" s="1284">
        <v>0</v>
      </c>
      <c r="I96" s="1284">
        <v>0</v>
      </c>
      <c r="J96" s="1284">
        <v>0</v>
      </c>
      <c r="K96" s="1284">
        <v>0</v>
      </c>
      <c r="L96" s="1284">
        <v>0</v>
      </c>
      <c r="M96" s="362"/>
      <c r="O96" s="287"/>
      <c r="Q96" s="287"/>
    </row>
    <row r="97" spans="1:19">
      <c r="A97" s="290">
        <f>ROW()</f>
        <v>97</v>
      </c>
      <c r="B97" s="84" t="s">
        <v>1190</v>
      </c>
      <c r="F97" s="1284">
        <v>0</v>
      </c>
      <c r="G97" s="1284">
        <f>(G15+G16)/12</f>
        <v>260360.546875</v>
      </c>
      <c r="H97" s="1284">
        <f t="shared" ref="H97:L97" si="50">(H15+H16)/12</f>
        <v>341229.30079527502</v>
      </c>
      <c r="I97" s="1284">
        <f t="shared" si="50"/>
        <v>390385.44533035002</v>
      </c>
      <c r="J97" s="1284">
        <f t="shared" si="50"/>
        <v>439255.21877039998</v>
      </c>
      <c r="K97" s="1284">
        <f t="shared" si="50"/>
        <v>439827.96096045006</v>
      </c>
      <c r="L97" s="1284">
        <f t="shared" si="50"/>
        <v>439827.96096045006</v>
      </c>
      <c r="M97" s="362"/>
      <c r="O97" s="287"/>
      <c r="Q97" s="287" t="s">
        <v>1415</v>
      </c>
    </row>
    <row r="98" spans="1:19">
      <c r="A98" s="290">
        <f>ROW()</f>
        <v>98</v>
      </c>
      <c r="B98" s="84" t="s">
        <v>143</v>
      </c>
      <c r="F98" s="1240">
        <v>0</v>
      </c>
      <c r="G98" s="1240">
        <v>0</v>
      </c>
      <c r="H98" s="1240">
        <v>0</v>
      </c>
      <c r="I98" s="1240">
        <v>0</v>
      </c>
      <c r="J98" s="1240">
        <v>0</v>
      </c>
      <c r="K98" s="1240">
        <v>0</v>
      </c>
      <c r="L98" s="1240">
        <v>0</v>
      </c>
      <c r="M98" s="362"/>
      <c r="O98" s="287"/>
      <c r="Q98" s="287"/>
    </row>
    <row r="99" spans="1:19">
      <c r="A99" s="290">
        <f>ROW()</f>
        <v>99</v>
      </c>
      <c r="B99" s="84" t="s">
        <v>1230</v>
      </c>
      <c r="F99" s="52">
        <f t="shared" ref="F99:L99" si="51">+F63</f>
        <v>0</v>
      </c>
      <c r="G99" s="52">
        <f t="shared" si="51"/>
        <v>0</v>
      </c>
      <c r="H99" s="52">
        <f t="shared" si="51"/>
        <v>0</v>
      </c>
      <c r="I99" s="52">
        <f t="shared" si="51"/>
        <v>0</v>
      </c>
      <c r="J99" s="52">
        <f t="shared" si="51"/>
        <v>0</v>
      </c>
      <c r="K99" s="52">
        <f t="shared" si="51"/>
        <v>0</v>
      </c>
      <c r="L99" s="52">
        <f t="shared" si="51"/>
        <v>0</v>
      </c>
      <c r="M99" s="364"/>
      <c r="O99" s="287"/>
      <c r="P99" s="32" t="s">
        <v>69</v>
      </c>
      <c r="Q99" s="287"/>
      <c r="S99" s="291"/>
    </row>
    <row r="100" spans="1:19">
      <c r="A100" s="290">
        <f>ROW()</f>
        <v>100</v>
      </c>
      <c r="B100" s="84" t="s">
        <v>1229</v>
      </c>
      <c r="F100" s="1240">
        <v>0</v>
      </c>
      <c r="G100" s="1240">
        <v>25000</v>
      </c>
      <c r="H100" s="1240">
        <v>25000</v>
      </c>
      <c r="I100" s="1240">
        <v>25000</v>
      </c>
      <c r="J100" s="1240">
        <v>25000</v>
      </c>
      <c r="K100" s="1240">
        <v>25000</v>
      </c>
      <c r="L100" s="1240">
        <v>25000</v>
      </c>
      <c r="M100" s="364"/>
      <c r="O100" s="287"/>
      <c r="Q100" s="287"/>
      <c r="S100" s="291"/>
    </row>
    <row r="101" spans="1:19">
      <c r="A101" s="290">
        <f>ROW()</f>
        <v>101</v>
      </c>
      <c r="B101" s="84" t="s">
        <v>145</v>
      </c>
      <c r="F101" s="1240">
        <v>0</v>
      </c>
      <c r="G101" s="1240">
        <f>Facilities!E23-Facilities!G23</f>
        <v>2074265.5031415001</v>
      </c>
      <c r="H101" s="1240">
        <f>G101-Facilities!H23</f>
        <v>1749815.5031415001</v>
      </c>
      <c r="I101" s="1240">
        <f>H101-Facilities!I23</f>
        <v>1367891.5031415001</v>
      </c>
      <c r="J101" s="1240">
        <f>I101-Facilities!J23</f>
        <v>925337.0681415</v>
      </c>
      <c r="K101" s="1240">
        <f>J101-Facilities!K23</f>
        <v>469506.0000915</v>
      </c>
      <c r="L101" s="1240">
        <f>K101-Facilities!L23</f>
        <v>0</v>
      </c>
      <c r="M101" s="364"/>
      <c r="O101" s="287"/>
      <c r="P101" s="32" t="s">
        <v>69</v>
      </c>
      <c r="Q101" s="287" t="s">
        <v>1414</v>
      </c>
    </row>
    <row r="102" spans="1:19">
      <c r="A102" s="290">
        <f>ROW()</f>
        <v>102</v>
      </c>
      <c r="B102" s="84" t="s">
        <v>146</v>
      </c>
      <c r="F102" s="1240">
        <v>0</v>
      </c>
      <c r="G102" s="1240">
        <v>0</v>
      </c>
      <c r="H102" s="1240">
        <v>0</v>
      </c>
      <c r="I102" s="1240">
        <v>0</v>
      </c>
      <c r="J102" s="1240">
        <v>0</v>
      </c>
      <c r="K102" s="1240">
        <v>0</v>
      </c>
      <c r="L102" s="1240">
        <v>0</v>
      </c>
      <c r="O102" s="287"/>
      <c r="P102" s="32" t="s">
        <v>69</v>
      </c>
      <c r="Q102" s="287"/>
    </row>
    <row r="103" spans="1:19">
      <c r="A103" s="290">
        <f>ROW()</f>
        <v>103</v>
      </c>
      <c r="B103" s="81" t="s">
        <v>147</v>
      </c>
      <c r="F103" s="1289">
        <f t="shared" ref="F103:L103" si="52">SUM(F95:F102)</f>
        <v>0</v>
      </c>
      <c r="G103" s="1289">
        <f t="shared" si="52"/>
        <v>2569805.1618761886</v>
      </c>
      <c r="H103" s="1289">
        <f t="shared" si="52"/>
        <v>2651357.1660068911</v>
      </c>
      <c r="I103" s="1289">
        <f t="shared" si="52"/>
        <v>2471975.4920594264</v>
      </c>
      <c r="J103" s="1289">
        <f t="shared" si="52"/>
        <v>2022259.6683813562</v>
      </c>
      <c r="K103" s="1289">
        <f t="shared" si="52"/>
        <v>1591888.8106792346</v>
      </c>
      <c r="L103" s="1289">
        <f t="shared" si="52"/>
        <v>962247.19599242415</v>
      </c>
      <c r="O103" s="287"/>
      <c r="P103" s="32" t="s">
        <v>69</v>
      </c>
      <c r="Q103" s="287"/>
    </row>
    <row r="104" spans="1:19">
      <c r="A104" s="290">
        <f>ROW()</f>
        <v>104</v>
      </c>
      <c r="O104" s="287"/>
      <c r="P104" s="32" t="s">
        <v>69</v>
      </c>
      <c r="Q104" s="287"/>
    </row>
    <row r="105" spans="1:19">
      <c r="A105" s="290">
        <f>ROW()</f>
        <v>105</v>
      </c>
      <c r="B105" s="30" t="s">
        <v>148</v>
      </c>
      <c r="O105" s="287"/>
      <c r="P105" s="32" t="s">
        <v>69</v>
      </c>
      <c r="Q105" s="287"/>
    </row>
    <row r="106" spans="1:19">
      <c r="A106" s="290">
        <f>ROW()</f>
        <v>106</v>
      </c>
      <c r="B106" s="32" t="s">
        <v>149</v>
      </c>
      <c r="F106" s="1284">
        <v>0</v>
      </c>
      <c r="G106" s="1284">
        <v>155707</v>
      </c>
      <c r="H106" s="1284">
        <f>G106-H83</f>
        <v>103804.76000000001</v>
      </c>
      <c r="I106" s="1284">
        <f t="shared" ref="I106:J106" si="53">H106-I83</f>
        <v>51902.520000000004</v>
      </c>
      <c r="J106" s="1284">
        <f t="shared" si="53"/>
        <v>0.27999999999883585</v>
      </c>
      <c r="K106" s="1284"/>
      <c r="L106" s="1284"/>
      <c r="O106" s="287"/>
      <c r="P106" s="32" t="s">
        <v>69</v>
      </c>
      <c r="Q106" s="287" t="s">
        <v>1416</v>
      </c>
    </row>
    <row r="107" spans="1:19">
      <c r="A107" s="290">
        <f>ROW()</f>
        <v>107</v>
      </c>
      <c r="B107" s="32" t="s">
        <v>1168</v>
      </c>
      <c r="F107" s="429" t="s">
        <v>150</v>
      </c>
      <c r="G107" s="429" t="s">
        <v>150</v>
      </c>
      <c r="H107" s="429" t="s">
        <v>150</v>
      </c>
      <c r="I107" s="429" t="s">
        <v>150</v>
      </c>
      <c r="J107" s="429" t="s">
        <v>150</v>
      </c>
      <c r="K107" s="429" t="s">
        <v>150</v>
      </c>
      <c r="L107" s="429" t="s">
        <v>150</v>
      </c>
      <c r="O107" s="287"/>
      <c r="P107" s="32" t="s">
        <v>69</v>
      </c>
      <c r="Q107" s="287"/>
    </row>
    <row r="108" spans="1:19">
      <c r="A108" s="290">
        <f>ROW()</f>
        <v>108</v>
      </c>
      <c r="B108" s="32" t="s">
        <v>151</v>
      </c>
      <c r="F108" s="1240">
        <v>0</v>
      </c>
      <c r="G108" s="1240">
        <v>0</v>
      </c>
      <c r="H108" s="1240">
        <v>0</v>
      </c>
      <c r="I108" s="1240">
        <v>0</v>
      </c>
      <c r="J108" s="1240">
        <v>0</v>
      </c>
      <c r="K108" s="1240">
        <v>0</v>
      </c>
      <c r="L108" s="1240">
        <v>0</v>
      </c>
      <c r="O108" s="287"/>
      <c r="P108" s="32" t="s">
        <v>69</v>
      </c>
      <c r="Q108" s="287"/>
    </row>
    <row r="109" spans="1:19">
      <c r="A109" s="290">
        <f>ROW()</f>
        <v>109</v>
      </c>
      <c r="B109" s="30" t="s">
        <v>152</v>
      </c>
      <c r="F109" s="303">
        <f>SUM(F108,F106)</f>
        <v>0</v>
      </c>
      <c r="G109" s="303">
        <f t="shared" ref="G109:L109" si="54">SUM(G108,G106)</f>
        <v>155707</v>
      </c>
      <c r="H109" s="303">
        <f t="shared" si="54"/>
        <v>103804.76000000001</v>
      </c>
      <c r="I109" s="303">
        <f t="shared" si="54"/>
        <v>51902.520000000004</v>
      </c>
      <c r="J109" s="303">
        <f t="shared" si="54"/>
        <v>0.27999999999883585</v>
      </c>
      <c r="K109" s="303">
        <f t="shared" si="54"/>
        <v>0</v>
      </c>
      <c r="L109" s="303">
        <f t="shared" si="54"/>
        <v>0</v>
      </c>
      <c r="O109" s="287"/>
      <c r="P109" s="32" t="s">
        <v>69</v>
      </c>
      <c r="Q109" s="287"/>
    </row>
    <row r="110" spans="1:19">
      <c r="A110" s="290">
        <f>ROW()</f>
        <v>110</v>
      </c>
      <c r="B110" s="30"/>
      <c r="O110" s="287"/>
      <c r="Q110" s="287"/>
    </row>
    <row r="111" spans="1:19">
      <c r="A111" s="290">
        <f>ROW()</f>
        <v>111</v>
      </c>
      <c r="B111" s="30" t="s">
        <v>153</v>
      </c>
      <c r="F111" s="1240">
        <f>+F103-F109</f>
        <v>0</v>
      </c>
      <c r="G111" s="1240">
        <f>+G103-G109</f>
        <v>2414098.1618761886</v>
      </c>
      <c r="H111" s="1240">
        <f t="shared" ref="H111:L111" si="55">+H103-H109</f>
        <v>2547552.4060068913</v>
      </c>
      <c r="I111" s="1240">
        <f t="shared" si="55"/>
        <v>2420072.9720594264</v>
      </c>
      <c r="J111" s="1240">
        <f t="shared" si="55"/>
        <v>2022259.3883813561</v>
      </c>
      <c r="K111" s="1240">
        <f t="shared" si="55"/>
        <v>1591888.8106792346</v>
      </c>
      <c r="L111" s="1240">
        <f t="shared" si="55"/>
        <v>962247.19599242415</v>
      </c>
      <c r="O111" s="287"/>
      <c r="P111" s="32" t="s">
        <v>69</v>
      </c>
      <c r="Q111" s="287"/>
    </row>
    <row r="112" spans="1:19">
      <c r="A112" s="290">
        <f>ROW()</f>
        <v>112</v>
      </c>
      <c r="B112" s="30" t="s">
        <v>154</v>
      </c>
      <c r="F112" s="564">
        <f>+F111+F109</f>
        <v>0</v>
      </c>
      <c r="G112" s="564">
        <f t="shared" ref="G112:L112" si="56">+G111+G109</f>
        <v>2569805.1618761886</v>
      </c>
      <c r="H112" s="564">
        <f t="shared" si="56"/>
        <v>2651357.1660068911</v>
      </c>
      <c r="I112" s="564">
        <f t="shared" si="56"/>
        <v>2471975.4920594264</v>
      </c>
      <c r="J112" s="564">
        <f t="shared" si="56"/>
        <v>2022259.6683813562</v>
      </c>
      <c r="K112" s="564">
        <f t="shared" si="56"/>
        <v>1591888.8106792346</v>
      </c>
      <c r="L112" s="564">
        <f t="shared" si="56"/>
        <v>962247.19599242415</v>
      </c>
      <c r="O112" s="287"/>
      <c r="Q112" s="287"/>
    </row>
    <row r="113" spans="1:17">
      <c r="A113" s="290">
        <f>ROW()</f>
        <v>113</v>
      </c>
      <c r="B113" s="32" t="s">
        <v>155</v>
      </c>
      <c r="F113" s="52">
        <f>+F103-F112</f>
        <v>0</v>
      </c>
      <c r="G113" s="52">
        <f t="shared" ref="G113:L113" si="57">+G103-G112</f>
        <v>0</v>
      </c>
      <c r="H113" s="52">
        <f t="shared" si="57"/>
        <v>0</v>
      </c>
      <c r="I113" s="52">
        <f t="shared" si="57"/>
        <v>0</v>
      </c>
      <c r="J113" s="52">
        <f t="shared" si="57"/>
        <v>0</v>
      </c>
      <c r="K113" s="52">
        <f t="shared" si="57"/>
        <v>0</v>
      </c>
      <c r="L113" s="52">
        <f t="shared" si="57"/>
        <v>0</v>
      </c>
      <c r="O113" s="287"/>
      <c r="P113" s="32" t="s">
        <v>69</v>
      </c>
      <c r="Q113" s="287"/>
    </row>
    <row r="114" spans="1:17">
      <c r="A114" s="290">
        <f>ROW()</f>
        <v>114</v>
      </c>
      <c r="B114" s="30" t="s">
        <v>1173</v>
      </c>
      <c r="F114" s="48"/>
      <c r="G114" s="48">
        <f>+G111-F111</f>
        <v>2414098.1618761886</v>
      </c>
      <c r="H114" s="48">
        <f t="shared" ref="H114:K114" si="58">+H111-G111</f>
        <v>133454.24413070269</v>
      </c>
      <c r="I114" s="48">
        <f t="shared" si="58"/>
        <v>-127479.43394746492</v>
      </c>
      <c r="J114" s="48">
        <f t="shared" si="58"/>
        <v>-397813.58367807022</v>
      </c>
      <c r="K114" s="48">
        <f t="shared" si="58"/>
        <v>-430370.57770212158</v>
      </c>
      <c r="O114" s="287"/>
      <c r="P114" s="32" t="s">
        <v>69</v>
      </c>
      <c r="Q114" s="287"/>
    </row>
    <row r="115" spans="1:17">
      <c r="A115" s="290">
        <f>ROW()</f>
        <v>115</v>
      </c>
      <c r="B115" s="30" t="s">
        <v>156</v>
      </c>
      <c r="C115" s="30"/>
      <c r="D115" s="30"/>
      <c r="E115" s="30"/>
      <c r="F115" s="1295" cm="1">
        <f t="array" ref="F115">IFERROR(SUM(F95:F98/F106),0)</f>
        <v>0</v>
      </c>
      <c r="G115" s="1295" cm="1">
        <f t="array" ref="G115">IFERROR(SUM(G95:G98/G106),0)</f>
        <v>3.0219557164076658</v>
      </c>
      <c r="H115" s="1295" cm="1">
        <f t="array" ref="H115">IFERROR(SUM(H95:H98/H106),0)</f>
        <v>8.4441374640757445</v>
      </c>
      <c r="I115" s="1295" cm="1">
        <f t="array" ref="I115">IFERROR(SUM(I95:I98/I106),0)</f>
        <v>20.790589530487658</v>
      </c>
      <c r="J115" s="1295" cm="1">
        <f t="array" ref="J115">IFERROR(SUM(J95:J98/J106),0)</f>
        <v>3828295.0008725459</v>
      </c>
      <c r="K115" s="1295" cm="1">
        <f t="array" ref="K115">IFERROR(SUM(K95:K98/K106),0)</f>
        <v>0</v>
      </c>
      <c r="L115" s="1295" cm="1">
        <f t="array" ref="L115">IFERROR(SUM(L95:L98/L106),0)</f>
        <v>0</v>
      </c>
      <c r="O115" s="287"/>
      <c r="P115" s="32" t="s">
        <v>69</v>
      </c>
      <c r="Q115" s="287"/>
    </row>
    <row r="116" spans="1:17" ht="14.4">
      <c r="A116" s="290">
        <f>ROW()</f>
        <v>116</v>
      </c>
      <c r="B116" s="30" t="s">
        <v>1179</v>
      </c>
      <c r="F116" s="1392" t="e">
        <f t="shared" ref="F116:L116" si="59">F95/(F54/365)</f>
        <v>#DIV/0!</v>
      </c>
      <c r="G116" s="1392">
        <f t="shared" si="59"/>
        <v>24.901085868963236</v>
      </c>
      <c r="H116" s="1392">
        <f t="shared" si="59"/>
        <v>49.948869886103815</v>
      </c>
      <c r="I116" s="1392">
        <f t="shared" si="59"/>
        <v>56.866003174892775</v>
      </c>
      <c r="J116" s="1392">
        <f t="shared" si="59"/>
        <v>45.108914628377448</v>
      </c>
      <c r="K116" s="1392">
        <f t="shared" si="59"/>
        <v>46.82769860022902</v>
      </c>
      <c r="L116" s="1392">
        <f t="shared" si="59"/>
        <v>34.370833820260799</v>
      </c>
      <c r="O116" s="287"/>
      <c r="P116" s="32" t="s">
        <v>69</v>
      </c>
      <c r="Q116" s="287"/>
    </row>
    <row r="117" spans="1:17">
      <c r="A117" s="290">
        <f>ROW()</f>
        <v>117</v>
      </c>
      <c r="B117" s="30" t="s">
        <v>1174</v>
      </c>
      <c r="F117" s="1392"/>
      <c r="G117" s="1392"/>
      <c r="H117" s="1392"/>
      <c r="I117" s="1392"/>
      <c r="J117" s="1392"/>
      <c r="K117" s="1392"/>
      <c r="L117" s="1392"/>
      <c r="O117" s="287"/>
      <c r="Q117" s="287"/>
    </row>
    <row r="118" spans="1:17">
      <c r="A118" s="290">
        <f>ROW()</f>
        <v>118</v>
      </c>
      <c r="B118" s="30" t="s">
        <v>1175</v>
      </c>
      <c r="C118" s="30"/>
      <c r="D118" s="30"/>
      <c r="E118" s="30"/>
      <c r="F118" s="1295" t="e">
        <f>F108/F103</f>
        <v>#DIV/0!</v>
      </c>
      <c r="G118" s="1295">
        <f t="shared" ref="G118:L118" si="60">G108/G103</f>
        <v>0</v>
      </c>
      <c r="H118" s="1295">
        <f t="shared" si="60"/>
        <v>0</v>
      </c>
      <c r="I118" s="1295">
        <f t="shared" si="60"/>
        <v>0</v>
      </c>
      <c r="J118" s="1295">
        <f t="shared" si="60"/>
        <v>0</v>
      </c>
      <c r="K118" s="1295">
        <f t="shared" si="60"/>
        <v>0</v>
      </c>
      <c r="L118" s="1295">
        <f t="shared" si="60"/>
        <v>0</v>
      </c>
      <c r="O118" s="287"/>
      <c r="P118" s="32" t="s">
        <v>69</v>
      </c>
      <c r="Q118" s="287"/>
    </row>
    <row r="119" spans="1:17">
      <c r="A119" s="290">
        <f>ROW()</f>
        <v>119</v>
      </c>
      <c r="B119" s="30" t="s">
        <v>1176</v>
      </c>
      <c r="G119" s="52">
        <f>+G95-F95</f>
        <v>210179.11185968839</v>
      </c>
      <c r="H119" s="52">
        <f t="shared" ref="H119:L119" si="61">+H95-G95</f>
        <v>325133.2502104278</v>
      </c>
      <c r="I119" s="52">
        <f t="shared" si="61"/>
        <v>153386.18151746003</v>
      </c>
      <c r="J119" s="52">
        <f t="shared" si="61"/>
        <v>-56031.162118120119</v>
      </c>
      <c r="K119" s="52">
        <f t="shared" si="61"/>
        <v>24887.468157828436</v>
      </c>
      <c r="L119" s="52">
        <f t="shared" si="61"/>
        <v>-160135.61459531041</v>
      </c>
      <c r="Q119" s="1422"/>
    </row>
    <row r="120" spans="1:17">
      <c r="A120" s="290">
        <f>ROW()</f>
        <v>120</v>
      </c>
      <c r="B120" s="30" t="s">
        <v>1177</v>
      </c>
      <c r="O120" s="287"/>
      <c r="P120" s="32" t="s">
        <v>69</v>
      </c>
      <c r="Q120" s="287"/>
    </row>
    <row r="121" spans="1:17">
      <c r="B121" s="74"/>
      <c r="O121" s="287"/>
      <c r="P121" s="32" t="s">
        <v>69</v>
      </c>
      <c r="Q121" s="287"/>
    </row>
    <row r="122" spans="1:17">
      <c r="O122" s="287"/>
      <c r="P122" s="32" t="s">
        <v>69</v>
      </c>
      <c r="Q122" s="287"/>
    </row>
    <row r="123" spans="1:17">
      <c r="O123" s="287"/>
      <c r="P123" s="32" t="s">
        <v>69</v>
      </c>
      <c r="Q123" s="287"/>
    </row>
    <row r="124" spans="1:17">
      <c r="O124" s="287"/>
      <c r="P124" s="32" t="s">
        <v>69</v>
      </c>
      <c r="Q124" s="287"/>
    </row>
    <row r="125" spans="1:17">
      <c r="O125" s="287"/>
      <c r="P125" s="32" t="s">
        <v>69</v>
      </c>
      <c r="Q125" s="287"/>
    </row>
    <row r="126" spans="1:17">
      <c r="O126" s="287"/>
      <c r="P126" s="32" t="s">
        <v>69</v>
      </c>
      <c r="Q126" s="287"/>
    </row>
    <row r="127" spans="1:17">
      <c r="O127" s="287"/>
      <c r="P127" s="32" t="s">
        <v>69</v>
      </c>
      <c r="Q127" s="287"/>
    </row>
    <row r="128" spans="1:17">
      <c r="O128" s="287"/>
      <c r="P128" s="32" t="s">
        <v>69</v>
      </c>
      <c r="Q128" s="287"/>
    </row>
    <row r="129" spans="13:17">
      <c r="O129" s="287"/>
      <c r="P129" s="32" t="s">
        <v>69</v>
      </c>
      <c r="Q129" s="287"/>
    </row>
    <row r="130" spans="13:17">
      <c r="O130" s="287"/>
      <c r="P130" s="32" t="s">
        <v>69</v>
      </c>
      <c r="Q130" s="287"/>
    </row>
    <row r="131" spans="13:17">
      <c r="O131" s="287"/>
      <c r="P131" s="32" t="s">
        <v>69</v>
      </c>
      <c r="Q131" s="287"/>
    </row>
    <row r="132" spans="13:17">
      <c r="O132" s="287"/>
      <c r="P132" s="32" t="s">
        <v>69</v>
      </c>
      <c r="Q132" s="287"/>
    </row>
    <row r="133" spans="13:17">
      <c r="O133" s="287"/>
      <c r="P133" s="32" t="s">
        <v>69</v>
      </c>
      <c r="Q133" s="287"/>
    </row>
    <row r="134" spans="13:17">
      <c r="O134" s="287"/>
      <c r="P134" s="32" t="s">
        <v>69</v>
      </c>
      <c r="Q134" s="287"/>
    </row>
    <row r="135" spans="13:17">
      <c r="O135" s="287"/>
      <c r="Q135" s="287"/>
    </row>
    <row r="136" spans="13:17">
      <c r="O136" s="287"/>
      <c r="P136" s="32" t="s">
        <v>69</v>
      </c>
      <c r="Q136" s="287"/>
    </row>
    <row r="137" spans="13:17">
      <c r="O137" s="287"/>
      <c r="P137" s="32" t="s">
        <v>69</v>
      </c>
      <c r="Q137" s="287"/>
    </row>
    <row r="138" spans="13:17">
      <c r="O138" s="287"/>
      <c r="P138" s="32" t="s">
        <v>69</v>
      </c>
      <c r="Q138" s="287"/>
    </row>
    <row r="139" spans="13:17">
      <c r="O139" s="287"/>
      <c r="P139" s="32" t="s">
        <v>69</v>
      </c>
      <c r="Q139" s="287"/>
    </row>
    <row r="140" spans="13:17">
      <c r="O140" s="287"/>
      <c r="P140" s="32" t="s">
        <v>69</v>
      </c>
      <c r="Q140" s="287"/>
    </row>
    <row r="141" spans="13:17">
      <c r="M141" s="352"/>
      <c r="O141" s="287"/>
      <c r="P141" s="32" t="s">
        <v>69</v>
      </c>
      <c r="Q141" s="287"/>
    </row>
    <row r="142" spans="13:17">
      <c r="M142" s="352"/>
      <c r="O142" s="287"/>
      <c r="P142" s="32" t="s">
        <v>69</v>
      </c>
      <c r="Q142" s="287"/>
    </row>
    <row r="143" spans="13:17">
      <c r="M143" s="352"/>
      <c r="O143" s="287"/>
      <c r="P143" s="32" t="s">
        <v>69</v>
      </c>
      <c r="Q143" s="287"/>
    </row>
    <row r="144" spans="13:17">
      <c r="M144" s="352"/>
      <c r="O144" s="287"/>
      <c r="P144" s="32" t="s">
        <v>69</v>
      </c>
      <c r="Q144" s="287"/>
    </row>
    <row r="145" spans="13:17">
      <c r="M145" s="352"/>
      <c r="O145" s="287"/>
      <c r="P145" s="32" t="s">
        <v>69</v>
      </c>
      <c r="Q145" s="287"/>
    </row>
    <row r="146" spans="13:17">
      <c r="M146" s="352"/>
      <c r="O146" s="287"/>
      <c r="P146" s="32" t="s">
        <v>69</v>
      </c>
      <c r="Q146" s="287"/>
    </row>
    <row r="147" spans="13:17">
      <c r="M147" s="352"/>
      <c r="O147" s="287"/>
      <c r="P147" s="32" t="s">
        <v>69</v>
      </c>
      <c r="Q147" s="287"/>
    </row>
    <row r="148" spans="13:17">
      <c r="M148" s="352"/>
      <c r="O148" s="287"/>
      <c r="P148" s="32" t="s">
        <v>69</v>
      </c>
      <c r="Q148" s="287"/>
    </row>
    <row r="149" spans="13:17">
      <c r="M149" s="352"/>
      <c r="O149" s="287"/>
      <c r="P149" s="32" t="s">
        <v>69</v>
      </c>
      <c r="Q149" s="287"/>
    </row>
    <row r="150" spans="13:17">
      <c r="M150" s="352"/>
      <c r="O150" s="287"/>
      <c r="P150" s="32" t="s">
        <v>69</v>
      </c>
      <c r="Q150" s="287"/>
    </row>
    <row r="151" spans="13:17">
      <c r="M151" s="352"/>
      <c r="O151" s="287"/>
      <c r="P151" s="32" t="s">
        <v>69</v>
      </c>
      <c r="Q151" s="287"/>
    </row>
    <row r="152" spans="13:17">
      <c r="M152" s="352"/>
      <c r="O152" s="287"/>
      <c r="P152" s="32" t="s">
        <v>69</v>
      </c>
      <c r="Q152" s="287"/>
    </row>
    <row r="153" spans="13:17">
      <c r="M153" s="352"/>
      <c r="O153" s="287"/>
      <c r="P153" s="32" t="s">
        <v>69</v>
      </c>
      <c r="Q153" s="287"/>
    </row>
    <row r="154" spans="13:17">
      <c r="M154" s="352"/>
      <c r="O154" s="287"/>
      <c r="P154" s="32" t="s">
        <v>69</v>
      </c>
      <c r="Q154" s="287"/>
    </row>
    <row r="155" spans="13:17">
      <c r="M155" s="352"/>
      <c r="O155" s="287"/>
      <c r="P155" s="32" t="s">
        <v>69</v>
      </c>
      <c r="Q155" s="287"/>
    </row>
    <row r="156" spans="13:17">
      <c r="M156" s="352"/>
      <c r="O156" s="287"/>
      <c r="P156" s="32" t="s">
        <v>69</v>
      </c>
      <c r="Q156" s="287"/>
    </row>
    <row r="157" spans="13:17">
      <c r="M157" s="352"/>
      <c r="O157" s="287"/>
      <c r="P157" s="32" t="s">
        <v>69</v>
      </c>
      <c r="Q157" s="287"/>
    </row>
    <row r="158" spans="13:17">
      <c r="M158" s="352"/>
      <c r="O158" s="287"/>
      <c r="P158" s="32" t="s">
        <v>69</v>
      </c>
      <c r="Q158" s="287"/>
    </row>
    <row r="159" spans="13:17">
      <c r="M159" s="352"/>
      <c r="O159" s="287"/>
      <c r="P159" s="32" t="s">
        <v>69</v>
      </c>
      <c r="Q159" s="287"/>
    </row>
    <row r="160" spans="13:17">
      <c r="M160" s="352"/>
      <c r="O160" s="287"/>
      <c r="P160" s="32" t="s">
        <v>69</v>
      </c>
      <c r="Q160" s="287"/>
    </row>
    <row r="161" spans="13:19">
      <c r="M161" s="352"/>
      <c r="O161" s="287"/>
      <c r="P161" s="32" t="s">
        <v>69</v>
      </c>
      <c r="Q161" s="287"/>
    </row>
    <row r="162" spans="13:19">
      <c r="M162" s="352"/>
      <c r="O162" s="287"/>
      <c r="P162" s="32" t="s">
        <v>69</v>
      </c>
      <c r="Q162" s="287"/>
    </row>
    <row r="163" spans="13:19">
      <c r="M163" s="352"/>
      <c r="O163" s="287"/>
      <c r="P163" s="32" t="s">
        <v>69</v>
      </c>
      <c r="Q163" s="287"/>
    </row>
    <row r="164" spans="13:19">
      <c r="M164" s="352"/>
      <c r="O164" s="287"/>
      <c r="P164" s="32" t="s">
        <v>69</v>
      </c>
      <c r="Q164" s="287"/>
    </row>
    <row r="165" spans="13:19">
      <c r="M165" s="352"/>
      <c r="O165" s="287"/>
      <c r="P165" s="32" t="s">
        <v>69</v>
      </c>
      <c r="Q165" s="287"/>
    </row>
    <row r="166" spans="13:19">
      <c r="M166" s="352"/>
      <c r="O166" s="287"/>
      <c r="P166" s="32" t="s">
        <v>69</v>
      </c>
      <c r="Q166" s="287"/>
    </row>
    <row r="167" spans="13:19">
      <c r="M167" s="352"/>
      <c r="O167" s="287"/>
      <c r="P167" s="32" t="s">
        <v>69</v>
      </c>
      <c r="Q167" s="287"/>
    </row>
    <row r="168" spans="13:19">
      <c r="M168" s="352"/>
      <c r="O168" s="287"/>
      <c r="P168" s="32" t="s">
        <v>69</v>
      </c>
      <c r="Q168" s="287"/>
    </row>
    <row r="169" spans="13:19">
      <c r="M169" s="352"/>
      <c r="O169" s="287"/>
      <c r="P169" s="32" t="s">
        <v>69</v>
      </c>
      <c r="Q169" s="287"/>
    </row>
    <row r="170" spans="13:19">
      <c r="M170" s="352"/>
      <c r="O170" s="287"/>
      <c r="P170" s="32" t="s">
        <v>69</v>
      </c>
      <c r="Q170" s="287"/>
    </row>
    <row r="171" spans="13:19">
      <c r="M171" s="352"/>
      <c r="O171" s="287"/>
      <c r="P171" s="32" t="s">
        <v>69</v>
      </c>
      <c r="Q171" s="287"/>
    </row>
    <row r="172" spans="13:19">
      <c r="M172" s="352"/>
      <c r="O172" s="287"/>
      <c r="P172" s="32" t="s">
        <v>69</v>
      </c>
      <c r="Q172" s="287"/>
    </row>
    <row r="173" spans="13:19">
      <c r="M173" s="352"/>
      <c r="O173" s="287"/>
      <c r="P173" s="32" t="s">
        <v>69</v>
      </c>
      <c r="Q173" s="287"/>
    </row>
    <row r="174" spans="13:19">
      <c r="M174" s="352"/>
      <c r="O174" s="287"/>
      <c r="P174" s="32" t="s">
        <v>69</v>
      </c>
      <c r="Q174" s="287"/>
    </row>
    <row r="175" spans="13:19">
      <c r="M175" s="352"/>
      <c r="O175" s="287"/>
      <c r="P175" s="32" t="s">
        <v>69</v>
      </c>
      <c r="Q175" s="287"/>
    </row>
    <row r="176" spans="13:19">
      <c r="M176" s="352"/>
      <c r="O176" s="287"/>
      <c r="P176" s="32" t="s">
        <v>69</v>
      </c>
      <c r="Q176" s="287"/>
      <c r="S176" s="78"/>
    </row>
    <row r="177" spans="13:17">
      <c r="M177" s="352"/>
      <c r="O177" s="287"/>
      <c r="P177" s="32" t="s">
        <v>69</v>
      </c>
      <c r="Q177" s="287"/>
    </row>
    <row r="178" spans="13:17">
      <c r="M178" s="352"/>
      <c r="O178" s="287"/>
      <c r="P178" s="32" t="s">
        <v>69</v>
      </c>
      <c r="Q178" s="287"/>
    </row>
    <row r="179" spans="13:17">
      <c r="M179" s="51"/>
      <c r="O179" s="287"/>
      <c r="P179" s="32" t="s">
        <v>69</v>
      </c>
      <c r="Q179" s="287"/>
    </row>
    <row r="180" spans="13:17">
      <c r="M180" s="51"/>
      <c r="O180" s="287"/>
      <c r="P180" s="32" t="s">
        <v>69</v>
      </c>
      <c r="Q180" s="287"/>
    </row>
    <row r="181" spans="13:17">
      <c r="M181" s="51"/>
      <c r="O181" s="287"/>
      <c r="P181" s="32" t="s">
        <v>69</v>
      </c>
      <c r="Q181" s="287"/>
    </row>
    <row r="182" spans="13:17">
      <c r="M182" s="51"/>
      <c r="O182" s="287"/>
      <c r="P182" s="32" t="s">
        <v>69</v>
      </c>
      <c r="Q182" s="287"/>
    </row>
    <row r="183" spans="13:17">
      <c r="M183" s="51"/>
      <c r="O183" s="287"/>
      <c r="P183" s="32" t="s">
        <v>69</v>
      </c>
      <c r="Q183" s="287"/>
    </row>
    <row r="184" spans="13:17">
      <c r="M184" s="51"/>
      <c r="O184" s="287"/>
      <c r="P184" s="32" t="s">
        <v>69</v>
      </c>
      <c r="Q184" s="287"/>
    </row>
    <row r="185" spans="13:17">
      <c r="M185" s="51"/>
      <c r="O185" s="287"/>
      <c r="P185" s="32" t="s">
        <v>69</v>
      </c>
      <c r="Q185" s="287"/>
    </row>
    <row r="186" spans="13:17">
      <c r="M186" s="51"/>
      <c r="O186" s="287"/>
      <c r="P186" s="32" t="s">
        <v>69</v>
      </c>
      <c r="Q186" s="287"/>
    </row>
    <row r="187" spans="13:17">
      <c r="M187" s="51"/>
      <c r="O187" s="287"/>
      <c r="P187" s="32" t="s">
        <v>69</v>
      </c>
      <c r="Q187" s="287"/>
    </row>
    <row r="188" spans="13:17">
      <c r="M188" s="51"/>
      <c r="O188" s="287"/>
      <c r="P188" s="32" t="s">
        <v>69</v>
      </c>
      <c r="Q188" s="287"/>
    </row>
    <row r="189" spans="13:17">
      <c r="M189" s="51"/>
      <c r="O189" s="287"/>
      <c r="P189" s="32" t="s">
        <v>69</v>
      </c>
      <c r="Q189" s="287"/>
    </row>
    <row r="190" spans="13:17">
      <c r="M190" s="51"/>
      <c r="O190" s="287"/>
      <c r="P190" s="32" t="s">
        <v>69</v>
      </c>
      <c r="Q190" s="287"/>
    </row>
    <row r="191" spans="13:17">
      <c r="M191" s="51"/>
      <c r="O191" s="287"/>
      <c r="P191" s="32" t="s">
        <v>69</v>
      </c>
      <c r="Q191" s="287"/>
    </row>
    <row r="192" spans="13:17">
      <c r="M192" s="51"/>
      <c r="O192" s="287"/>
      <c r="P192" s="32" t="s">
        <v>69</v>
      </c>
      <c r="Q192" s="287"/>
    </row>
    <row r="193" spans="13:17">
      <c r="M193" s="51"/>
      <c r="O193" s="287"/>
      <c r="P193" s="32" t="s">
        <v>69</v>
      </c>
      <c r="Q193" s="287"/>
    </row>
    <row r="194" spans="13:17">
      <c r="M194" s="51"/>
      <c r="O194" s="287"/>
      <c r="P194" s="32" t="s">
        <v>69</v>
      </c>
      <c r="Q194" s="287"/>
    </row>
    <row r="195" spans="13:17">
      <c r="M195" s="51"/>
      <c r="O195" s="287"/>
      <c r="P195" s="32" t="s">
        <v>69</v>
      </c>
      <c r="Q195" s="287"/>
    </row>
    <row r="196" spans="13:17">
      <c r="M196" s="51"/>
      <c r="O196" s="287"/>
      <c r="P196" s="32" t="s">
        <v>69</v>
      </c>
      <c r="Q196" s="287"/>
    </row>
    <row r="197" spans="13:17">
      <c r="M197" s="51"/>
      <c r="O197" s="287"/>
      <c r="P197" s="32" t="s">
        <v>69</v>
      </c>
      <c r="Q197" s="287"/>
    </row>
    <row r="198" spans="13:17">
      <c r="M198" s="51"/>
      <c r="O198" s="287"/>
      <c r="P198" s="32" t="s">
        <v>69</v>
      </c>
      <c r="Q198" s="287"/>
    </row>
    <row r="199" spans="13:17">
      <c r="M199" s="51"/>
      <c r="O199" s="287"/>
      <c r="P199" s="32" t="s">
        <v>69</v>
      </c>
      <c r="Q199" s="287"/>
    </row>
    <row r="200" spans="13:17">
      <c r="M200" s="51"/>
      <c r="O200" s="287"/>
      <c r="P200" s="32" t="s">
        <v>69</v>
      </c>
      <c r="Q200" s="287"/>
    </row>
    <row r="201" spans="13:17">
      <c r="M201" s="51"/>
      <c r="O201" s="287"/>
      <c r="P201" s="32" t="s">
        <v>69</v>
      </c>
      <c r="Q201" s="287"/>
    </row>
    <row r="202" spans="13:17">
      <c r="M202" s="51"/>
      <c r="O202" s="287"/>
      <c r="P202" s="32" t="s">
        <v>69</v>
      </c>
      <c r="Q202" s="287"/>
    </row>
    <row r="203" spans="13:17">
      <c r="M203" s="51"/>
      <c r="O203" s="287"/>
      <c r="P203" s="32" t="s">
        <v>69</v>
      </c>
      <c r="Q203" s="287"/>
    </row>
    <row r="204" spans="13:17">
      <c r="P204" s="32" t="s">
        <v>69</v>
      </c>
    </row>
    <row r="205" spans="13:17">
      <c r="M205" s="51"/>
      <c r="O205" s="287"/>
      <c r="P205" s="32" t="s">
        <v>69</v>
      </c>
      <c r="Q205" s="287"/>
    </row>
    <row r="206" spans="13:17">
      <c r="M206" s="51"/>
      <c r="O206" s="287"/>
      <c r="P206" s="32" t="s">
        <v>69</v>
      </c>
      <c r="Q206" s="287"/>
    </row>
    <row r="207" spans="13:17">
      <c r="M207" s="51"/>
      <c r="O207" s="287"/>
      <c r="P207" s="32" t="s">
        <v>69</v>
      </c>
      <c r="Q207" s="287"/>
    </row>
    <row r="208" spans="13:17" hidden="1">
      <c r="M208" s="51"/>
      <c r="O208" s="287"/>
      <c r="P208" s="32" t="s">
        <v>69</v>
      </c>
      <c r="Q208" s="287"/>
    </row>
    <row r="209" spans="1:17" hidden="1">
      <c r="M209" s="51"/>
      <c r="O209" s="287"/>
      <c r="P209" s="32" t="s">
        <v>69</v>
      </c>
      <c r="Q209" s="287"/>
    </row>
    <row r="210" spans="1:17" hidden="1">
      <c r="M210" s="51"/>
      <c r="O210" s="287"/>
      <c r="P210" s="32" t="s">
        <v>69</v>
      </c>
      <c r="Q210" s="287"/>
    </row>
    <row r="211" spans="1:17" hidden="1">
      <c r="M211" s="51"/>
      <c r="O211" s="287"/>
      <c r="P211" s="32" t="s">
        <v>69</v>
      </c>
      <c r="Q211" s="287"/>
    </row>
    <row r="212" spans="1:17">
      <c r="M212" s="51"/>
      <c r="O212" s="287"/>
      <c r="P212" s="32" t="s">
        <v>69</v>
      </c>
      <c r="Q212" s="287"/>
    </row>
    <row r="213" spans="1:17" ht="14.4">
      <c r="B213" s="305"/>
      <c r="C213" s="372"/>
      <c r="D213" s="372"/>
      <c r="E213" s="372"/>
      <c r="F213" s="434"/>
      <c r="G213" s="557"/>
      <c r="H213" s="557"/>
      <c r="I213" s="557"/>
      <c r="J213" s="557"/>
      <c r="K213" s="557"/>
      <c r="L213" s="557"/>
      <c r="M213" s="51"/>
      <c r="O213" s="287"/>
      <c r="P213" s="32" t="s">
        <v>69</v>
      </c>
      <c r="Q213" s="287"/>
    </row>
    <row r="214" spans="1:17">
      <c r="F214" s="434"/>
      <c r="G214" s="429"/>
      <c r="H214" s="429"/>
      <c r="I214" s="429"/>
      <c r="J214" s="429"/>
      <c r="K214" s="429"/>
      <c r="L214" s="429"/>
      <c r="M214" s="51"/>
      <c r="P214" s="32" t="s">
        <v>69</v>
      </c>
    </row>
    <row r="215" spans="1:17">
      <c r="A215" s="32" t="s">
        <v>69</v>
      </c>
      <c r="B215" s="32" t="s">
        <v>69</v>
      </c>
      <c r="C215" s="32" t="s">
        <v>69</v>
      </c>
      <c r="E215" s="32" t="s">
        <v>69</v>
      </c>
      <c r="F215" s="54" t="s">
        <v>69</v>
      </c>
      <c r="G215" s="32" t="s">
        <v>69</v>
      </c>
      <c r="H215" s="32" t="s">
        <v>69</v>
      </c>
      <c r="I215" s="32" t="s">
        <v>69</v>
      </c>
      <c r="J215" s="32" t="s">
        <v>69</v>
      </c>
      <c r="K215" s="32" t="s">
        <v>69</v>
      </c>
      <c r="L215" s="32" t="s">
        <v>69</v>
      </c>
      <c r="M215" s="51" t="s">
        <v>69</v>
      </c>
      <c r="N215" s="32" t="s">
        <v>69</v>
      </c>
      <c r="O215" s="257" t="s">
        <v>69</v>
      </c>
      <c r="P215" s="32" t="s">
        <v>69</v>
      </c>
      <c r="Q215" s="257" t="s">
        <v>69</v>
      </c>
    </row>
    <row r="216" spans="1:17">
      <c r="A216" s="32" t="s">
        <v>69</v>
      </c>
      <c r="B216" s="32" t="s">
        <v>69</v>
      </c>
      <c r="C216" s="32" t="s">
        <v>69</v>
      </c>
      <c r="E216" s="32" t="s">
        <v>69</v>
      </c>
      <c r="F216" s="54" t="s">
        <v>69</v>
      </c>
      <c r="G216" s="32" t="s">
        <v>69</v>
      </c>
      <c r="H216" s="32" t="s">
        <v>69</v>
      </c>
      <c r="I216" s="32" t="s">
        <v>69</v>
      </c>
      <c r="J216" s="32" t="s">
        <v>69</v>
      </c>
      <c r="K216" s="32" t="s">
        <v>69</v>
      </c>
      <c r="L216" s="32" t="s">
        <v>69</v>
      </c>
      <c r="M216" s="51" t="s">
        <v>69</v>
      </c>
      <c r="N216" s="32" t="s">
        <v>69</v>
      </c>
      <c r="O216" s="257" t="s">
        <v>69</v>
      </c>
      <c r="P216" s="32" t="s">
        <v>69</v>
      </c>
      <c r="Q216" s="257" t="s">
        <v>69</v>
      </c>
    </row>
    <row r="217" spans="1:17">
      <c r="F217" s="54"/>
    </row>
    <row r="218" spans="1:17">
      <c r="F218" s="54"/>
    </row>
    <row r="219" spans="1:17">
      <c r="F219" s="54"/>
    </row>
    <row r="220" spans="1:17">
      <c r="F220" s="54"/>
    </row>
  </sheetData>
  <sheetProtection sheet="1" objects="1" scenarios="1"/>
  <phoneticPr fontId="7" type="noConversion"/>
  <conditionalFormatting sqref="E1">
    <cfRule type="expression" dxfId="21" priority="2" stopIfTrue="1">
      <formula>MOD(ROW(),2)=0</formula>
    </cfRule>
  </conditionalFormatting>
  <conditionalFormatting sqref="L1">
    <cfRule type="expression" dxfId="20" priority="3" stopIfTrue="1">
      <formula>MOD(ROW(),2)=0</formula>
    </cfRule>
  </conditionalFormatting>
  <conditionalFormatting sqref="N60">
    <cfRule type="cellIs" dxfId="19" priority="13" stopIfTrue="1" operator="equal">
      <formula>0</formula>
    </cfRule>
  </conditionalFormatting>
  <pageMargins left="0.25" right="0.25" top="0.5" bottom="0.45" header="0.25" footer="0.25"/>
  <pageSetup scale="65" fitToHeight="2" orientation="landscape" r:id="rId1"/>
  <headerFooter>
    <oddHeader xml:space="preserve">&amp;L &amp;C &amp;R </oddHeader>
    <oddFooter>&amp;L&amp;7&amp;D  at &amp;T Mike 702.486.8879&amp;C&amp;7&amp;F  &amp;A&amp;R&amp;7Page &amp;P of &amp;N</oddFooter>
  </headerFooter>
  <rowBreaks count="1" manualBreakCount="1">
    <brk id="63" max="11"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EAE19-E22C-4689-81CF-54420A83321D}">
  <sheetPr codeName="Sheet7">
    <tabColor theme="3" tint="0.59999389629810485"/>
  </sheetPr>
  <dimension ref="A1:P131"/>
  <sheetViews>
    <sheetView zoomScaleNormal="100" workbookViewId="0">
      <selection activeCell="G127" sqref="G127"/>
    </sheetView>
  </sheetViews>
  <sheetFormatPr defaultColWidth="8.6640625" defaultRowHeight="13.2"/>
  <cols>
    <col min="1" max="1" width="5" style="1444" customWidth="1"/>
    <col min="2" max="2" width="32.5546875" style="1444" customWidth="1"/>
    <col min="3" max="3" width="16.6640625" style="1444" customWidth="1"/>
    <col min="4" max="4" width="3.33203125" style="1444" hidden="1" customWidth="1"/>
    <col min="5" max="5" width="8.6640625" style="1444" hidden="1" customWidth="1"/>
    <col min="6" max="6" width="12.44140625" style="1444" customWidth="1"/>
    <col min="7" max="7" width="12" style="1444" customWidth="1"/>
    <col min="8" max="8" width="12.5546875" style="1444" customWidth="1"/>
    <col min="9" max="9" width="12.33203125" style="1444" customWidth="1"/>
    <col min="10" max="10" width="13.6640625" style="1444" customWidth="1"/>
    <col min="11" max="12" width="14.33203125" style="1444" customWidth="1"/>
    <col min="13" max="16384" width="8.6640625" style="1444"/>
  </cols>
  <sheetData>
    <row r="1" spans="1:16" ht="17.399999999999999">
      <c r="A1" s="1702" t="s">
        <v>36</v>
      </c>
      <c r="B1" s="1463"/>
      <c r="C1" s="346"/>
      <c r="D1" s="348"/>
      <c r="F1" s="32"/>
      <c r="G1" s="32"/>
      <c r="H1" s="32"/>
      <c r="I1" s="32"/>
      <c r="J1" s="32"/>
      <c r="K1" s="34"/>
      <c r="L1" s="346"/>
    </row>
    <row r="2" spans="1:16" ht="15.6">
      <c r="A2" s="35"/>
      <c r="B2" s="36"/>
      <c r="C2" s="30"/>
      <c r="D2" s="30"/>
      <c r="E2" s="32"/>
      <c r="F2" s="32"/>
      <c r="G2" s="30"/>
      <c r="H2" s="32"/>
      <c r="I2" s="32"/>
      <c r="J2" s="32"/>
      <c r="K2" s="32"/>
      <c r="L2" s="32"/>
    </row>
    <row r="3" spans="1:16" ht="13.8">
      <c r="A3" s="37"/>
      <c r="B3" s="32"/>
      <c r="C3" s="32"/>
      <c r="D3" s="32"/>
      <c r="E3" s="32"/>
      <c r="F3" s="32"/>
      <c r="G3" s="32"/>
      <c r="H3" s="32"/>
      <c r="I3" s="32"/>
      <c r="J3" s="32"/>
      <c r="K3" s="32"/>
      <c r="L3" s="32"/>
    </row>
    <row r="4" spans="1:16" ht="13.8">
      <c r="A4" s="29"/>
      <c r="B4" s="32"/>
      <c r="C4" s="32"/>
      <c r="D4" s="32"/>
      <c r="E4" s="32"/>
      <c r="F4" s="32"/>
      <c r="G4" s="32"/>
      <c r="H4" s="32"/>
      <c r="I4" s="32"/>
      <c r="J4" s="32"/>
      <c r="K4" s="32"/>
      <c r="L4" s="32"/>
    </row>
    <row r="5" spans="1:16" ht="13.8">
      <c r="A5" s="32"/>
      <c r="B5" s="32"/>
      <c r="C5" s="32"/>
      <c r="D5" s="32"/>
      <c r="E5" s="32"/>
      <c r="F5" s="32"/>
      <c r="G5" s="32"/>
      <c r="H5" s="32"/>
      <c r="I5" s="32"/>
      <c r="J5" s="32"/>
      <c r="K5" s="32"/>
      <c r="L5" s="32"/>
    </row>
    <row r="6" spans="1:16" ht="13.8">
      <c r="A6" s="32"/>
      <c r="B6" s="30"/>
      <c r="C6" s="31"/>
      <c r="D6" s="31"/>
      <c r="E6" s="31"/>
      <c r="F6" s="1762" t="s">
        <v>157</v>
      </c>
      <c r="G6" s="1512">
        <v>1</v>
      </c>
      <c r="H6" s="1512">
        <v>2</v>
      </c>
      <c r="I6" s="1512">
        <v>3</v>
      </c>
      <c r="J6" s="1512">
        <v>4</v>
      </c>
      <c r="K6" s="1512">
        <v>5</v>
      </c>
      <c r="L6" s="1513">
        <v>6</v>
      </c>
      <c r="M6" s="1445"/>
      <c r="N6" s="1445"/>
      <c r="O6" s="1445"/>
      <c r="P6" s="1445"/>
    </row>
    <row r="7" spans="1:16" ht="13.8">
      <c r="A7" s="32"/>
      <c r="B7" s="30"/>
      <c r="C7" s="31" t="s">
        <v>70</v>
      </c>
      <c r="D7" s="31"/>
      <c r="E7" s="31"/>
      <c r="F7" s="1514">
        <f>+Summary!F7</f>
        <v>2025</v>
      </c>
      <c r="G7" s="1515">
        <f>+Summary!G7</f>
        <v>2026</v>
      </c>
      <c r="H7" s="1515">
        <f>+Summary!H7</f>
        <v>2027</v>
      </c>
      <c r="I7" s="1515">
        <f>+Summary!I7</f>
        <v>2028</v>
      </c>
      <c r="J7" s="1515">
        <f>+Summary!J7</f>
        <v>2029</v>
      </c>
      <c r="K7" s="1515">
        <f>+Summary!K7</f>
        <v>2030</v>
      </c>
      <c r="L7" s="1516">
        <f>+Summary!L7</f>
        <v>2031</v>
      </c>
      <c r="M7" s="1445"/>
      <c r="N7" s="1445"/>
      <c r="O7" s="1445"/>
      <c r="P7" s="1445"/>
    </row>
    <row r="8" spans="1:16" ht="13.8">
      <c r="A8" s="32"/>
      <c r="B8" s="1308"/>
      <c r="C8" s="53"/>
      <c r="D8" s="53"/>
      <c r="E8" s="541"/>
      <c r="F8" s="1690">
        <f>+Summary!F8</f>
        <v>2026</v>
      </c>
      <c r="G8" s="1517">
        <f>+Summary!G8</f>
        <v>2027</v>
      </c>
      <c r="H8" s="1517">
        <f>+Summary!H8</f>
        <v>2028</v>
      </c>
      <c r="I8" s="1517">
        <f>+Summary!I8</f>
        <v>2029</v>
      </c>
      <c r="J8" s="1517">
        <f>+Summary!J8</f>
        <v>2030</v>
      </c>
      <c r="K8" s="1517">
        <f>+Summary!K8</f>
        <v>2031</v>
      </c>
      <c r="L8" s="1518">
        <f>+Summary!L8</f>
        <v>2032</v>
      </c>
      <c r="M8" s="1445"/>
      <c r="N8" s="1445"/>
      <c r="O8" s="1445"/>
      <c r="P8" s="1445"/>
    </row>
    <row r="9" spans="1:16" ht="13.8">
      <c r="A9" s="290">
        <f>ROW()</f>
        <v>9</v>
      </c>
      <c r="B9" s="349" t="s">
        <v>158</v>
      </c>
      <c r="C9" s="615">
        <v>400</v>
      </c>
      <c r="D9" s="572"/>
      <c r="E9" s="31"/>
      <c r="F9" s="117">
        <v>0</v>
      </c>
      <c r="G9" s="117">
        <f>+G21</f>
        <v>275</v>
      </c>
      <c r="H9" s="117">
        <f t="shared" ref="H9:L9" si="0">+H21</f>
        <v>350</v>
      </c>
      <c r="I9" s="117">
        <f t="shared" si="0"/>
        <v>400</v>
      </c>
      <c r="J9" s="117">
        <f t="shared" si="0"/>
        <v>450</v>
      </c>
      <c r="K9" s="117">
        <f t="shared" si="0"/>
        <v>450</v>
      </c>
      <c r="L9" s="117">
        <f t="shared" si="0"/>
        <v>450</v>
      </c>
      <c r="M9" s="1445"/>
      <c r="N9" s="1445"/>
      <c r="O9" s="1445"/>
      <c r="P9" s="1445"/>
    </row>
    <row r="10" spans="1:16" ht="13.8">
      <c r="A10" s="290">
        <f>ROW()</f>
        <v>10</v>
      </c>
      <c r="B10" s="350" t="s">
        <v>73</v>
      </c>
      <c r="C10" s="615">
        <v>6</v>
      </c>
      <c r="D10" s="572"/>
      <c r="E10" s="31"/>
      <c r="F10" s="542">
        <f t="shared" ref="F10" si="1">+F22</f>
        <v>0</v>
      </c>
      <c r="G10" s="542">
        <f>+G22</f>
        <v>27</v>
      </c>
      <c r="H10" s="542">
        <f t="shared" ref="H10:L10" si="2">+H22</f>
        <v>39</v>
      </c>
      <c r="I10" s="542">
        <f t="shared" si="2"/>
        <v>44</v>
      </c>
      <c r="J10" s="542">
        <f t="shared" si="2"/>
        <v>51</v>
      </c>
      <c r="K10" s="542">
        <f t="shared" si="2"/>
        <v>51</v>
      </c>
      <c r="L10" s="542">
        <f t="shared" si="2"/>
        <v>51</v>
      </c>
      <c r="M10" s="1445"/>
      <c r="N10" s="1445"/>
      <c r="O10" s="1445"/>
      <c r="P10" s="1445"/>
    </row>
    <row r="11" spans="1:16" ht="13.8">
      <c r="A11" s="290"/>
      <c r="B11" s="350" t="s">
        <v>1199</v>
      </c>
      <c r="C11" s="615"/>
      <c r="D11" s="572"/>
      <c r="E11" s="31"/>
      <c r="F11" s="117" t="e">
        <f>+F9/F10</f>
        <v>#DIV/0!</v>
      </c>
      <c r="G11" s="117">
        <f t="shared" ref="G11:L11" si="3">+G9/G10</f>
        <v>10.185185185185185</v>
      </c>
      <c r="H11" s="117">
        <f t="shared" si="3"/>
        <v>8.9743589743589745</v>
      </c>
      <c r="I11" s="117">
        <f t="shared" si="3"/>
        <v>9.0909090909090917</v>
      </c>
      <c r="J11" s="117">
        <f t="shared" si="3"/>
        <v>8.8235294117647065</v>
      </c>
      <c r="K11" s="117">
        <f t="shared" si="3"/>
        <v>8.8235294117647065</v>
      </c>
      <c r="L11" s="117">
        <f t="shared" si="3"/>
        <v>8.8235294117647065</v>
      </c>
      <c r="M11" s="1445"/>
      <c r="N11" s="1445"/>
      <c r="O11" s="1445"/>
      <c r="P11" s="1445"/>
    </row>
    <row r="12" spans="1:16" ht="13.8">
      <c r="A12" s="290">
        <f>ROW()</f>
        <v>12</v>
      </c>
      <c r="B12" s="350" t="s">
        <v>74</v>
      </c>
      <c r="C12" s="615"/>
      <c r="D12" s="572"/>
      <c r="E12" s="31"/>
      <c r="F12" s="588">
        <f>Facilities!F93</f>
        <v>0</v>
      </c>
      <c r="G12" s="1274">
        <f>Facilities!G93</f>
        <v>13750</v>
      </c>
      <c r="H12" s="1274">
        <f>Facilities!H93</f>
        <v>17500</v>
      </c>
      <c r="I12" s="1274">
        <f>Facilities!I93</f>
        <v>20000</v>
      </c>
      <c r="J12" s="1274">
        <f>Facilities!J93</f>
        <v>22500</v>
      </c>
      <c r="K12" s="1274">
        <f>Facilities!K93</f>
        <v>22500</v>
      </c>
      <c r="L12" s="1274">
        <f>Facilities!L93</f>
        <v>22500</v>
      </c>
      <c r="M12" s="1445"/>
      <c r="N12" s="1445"/>
      <c r="O12" s="1445"/>
      <c r="P12" s="1445"/>
    </row>
    <row r="13" spans="1:16" ht="13.8">
      <c r="A13" s="290">
        <f>ROW()</f>
        <v>13</v>
      </c>
      <c r="B13" s="350" t="s">
        <v>159</v>
      </c>
      <c r="C13" s="615"/>
      <c r="D13" s="572"/>
      <c r="E13" s="31"/>
      <c r="F13" s="1274">
        <f t="shared" ref="F13:L13" si="4">IFERROR(F12/F9,0)</f>
        <v>0</v>
      </c>
      <c r="G13" s="1275">
        <f>IFERROR(G12/G9,0)</f>
        <v>50</v>
      </c>
      <c r="H13" s="1275">
        <f t="shared" si="4"/>
        <v>50</v>
      </c>
      <c r="I13" s="1275">
        <f t="shared" si="4"/>
        <v>50</v>
      </c>
      <c r="J13" s="1275">
        <f t="shared" si="4"/>
        <v>50</v>
      </c>
      <c r="K13" s="1275">
        <f t="shared" si="4"/>
        <v>50</v>
      </c>
      <c r="L13" s="1275">
        <f t="shared" si="4"/>
        <v>50</v>
      </c>
      <c r="M13" s="1445"/>
      <c r="N13" s="1445"/>
      <c r="O13" s="1445"/>
      <c r="P13" s="1445"/>
    </row>
    <row r="14" spans="1:16" ht="14.4">
      <c r="A14" s="290">
        <f>ROW()</f>
        <v>14</v>
      </c>
      <c r="B14" s="154"/>
      <c r="C14" s="357"/>
      <c r="D14" s="357"/>
      <c r="E14" s="357"/>
      <c r="F14" s="546"/>
      <c r="G14" s="546"/>
      <c r="H14" s="546"/>
      <c r="I14" s="546"/>
      <c r="J14" s="546"/>
      <c r="K14" s="546"/>
      <c r="L14" s="546"/>
      <c r="M14" s="1445"/>
      <c r="N14" s="1445"/>
      <c r="O14" s="1445"/>
      <c r="P14" s="1445"/>
    </row>
    <row r="15" spans="1:16" ht="17.399999999999999">
      <c r="A15" s="290">
        <f>ROW()</f>
        <v>15</v>
      </c>
      <c r="B15" s="1429" t="s">
        <v>160</v>
      </c>
      <c r="C15" s="1446"/>
      <c r="D15" s="1446"/>
      <c r="E15" s="1446"/>
      <c r="F15" s="1447">
        <f>Summary!F6</f>
        <v>0</v>
      </c>
      <c r="G15" s="1447">
        <f>Summary!G6</f>
        <v>1</v>
      </c>
      <c r="H15" s="1447">
        <f>Summary!H6</f>
        <v>2</v>
      </c>
      <c r="I15" s="1447">
        <f>Summary!I6</f>
        <v>3</v>
      </c>
      <c r="J15" s="1447">
        <f>Summary!J6</f>
        <v>4</v>
      </c>
      <c r="K15" s="1447">
        <f>Summary!K6</f>
        <v>5</v>
      </c>
      <c r="L15" s="1447">
        <f>Summary!L6</f>
        <v>6</v>
      </c>
    </row>
    <row r="16" spans="1:16" ht="13.8">
      <c r="A16" s="290">
        <f>ROW()</f>
        <v>16</v>
      </c>
      <c r="B16" s="104" t="s">
        <v>161</v>
      </c>
      <c r="C16" s="104"/>
      <c r="D16" s="104"/>
      <c r="E16" s="104"/>
      <c r="F16" s="547"/>
      <c r="G16" s="548">
        <f>IFERROR(+Summary!G60/G48,0)</f>
        <v>19.147993457650976</v>
      </c>
      <c r="H16" s="548">
        <f>IFERROR(+Summary!H60/H48,0)</f>
        <v>43.097840215938049</v>
      </c>
      <c r="I16" s="548">
        <f>IFERROR(+Summary!I60/I48,0)</f>
        <v>54.662452733068776</v>
      </c>
      <c r="J16" s="548">
        <f>IFERROR(+Summary!J60/J48,0)</f>
        <v>50.337701554883921</v>
      </c>
      <c r="K16" s="548">
        <f>IFERROR(+Summary!K60/K48,0)</f>
        <v>51.967717970939439</v>
      </c>
      <c r="L16" s="548">
        <f>IFERROR(+Summary!L60/L48,0)</f>
        <v>39.775463442330661</v>
      </c>
    </row>
    <row r="17" spans="1:12" ht="13.8">
      <c r="A17" s="290">
        <f>ROW()</f>
        <v>17</v>
      </c>
      <c r="B17" s="32" t="s">
        <v>162</v>
      </c>
      <c r="C17" s="32"/>
      <c r="D17" s="32"/>
      <c r="E17" s="32"/>
      <c r="F17" s="549"/>
      <c r="G17" s="651">
        <f t="shared" ref="G17:L17" si="5">IFERROR(+G16/G21,0)</f>
        <v>6.962906711873082E-2</v>
      </c>
      <c r="H17" s="651">
        <f t="shared" si="5"/>
        <v>0.12313668633125156</v>
      </c>
      <c r="I17" s="651">
        <f t="shared" si="5"/>
        <v>0.13665613183267195</v>
      </c>
      <c r="J17" s="651">
        <f t="shared" si="5"/>
        <v>0.11186155901085315</v>
      </c>
      <c r="K17" s="651">
        <f t="shared" si="5"/>
        <v>0.11548381771319875</v>
      </c>
      <c r="L17" s="651">
        <f t="shared" si="5"/>
        <v>8.8389918760734806E-2</v>
      </c>
    </row>
    <row r="18" spans="1:12" ht="13.8">
      <c r="A18" s="290">
        <f>ROW()</f>
        <v>18</v>
      </c>
      <c r="B18" s="104" t="s">
        <v>163</v>
      </c>
      <c r="C18" s="363"/>
      <c r="D18" s="363"/>
      <c r="E18" s="363"/>
      <c r="F18" s="294">
        <f>Summary!F60+E18</f>
        <v>0</v>
      </c>
      <c r="G18" s="294">
        <f>Summary!G60+F18</f>
        <v>235179.11185968839</v>
      </c>
      <c r="H18" s="294">
        <f>+G18+Summary!H60</f>
        <v>795491.47392980463</v>
      </c>
      <c r="I18" s="294">
        <f>H18+Summary!I60</f>
        <v>1509190.0175173809</v>
      </c>
      <c r="J18" s="294">
        <f>I18+Summary!J60</f>
        <v>2166857.3989868369</v>
      </c>
      <c r="K18" s="294">
        <f>J18+Summary!K60</f>
        <v>2849412.2486141212</v>
      </c>
      <c r="L18" s="294">
        <f>K18+Summary!L60</f>
        <v>3371831.4836460953</v>
      </c>
    </row>
    <row r="19" spans="1:12" ht="13.8">
      <c r="A19" s="290">
        <f>ROW()</f>
        <v>19</v>
      </c>
      <c r="B19" s="32" t="s">
        <v>164</v>
      </c>
      <c r="C19" s="364"/>
      <c r="D19" s="364"/>
      <c r="E19" s="364"/>
      <c r="F19" s="550"/>
      <c r="G19" s="551">
        <f>IFERROR(+G18/Summary!G54,0)</f>
        <v>7.6336916761960985E-2</v>
      </c>
      <c r="H19" s="551">
        <f>IFERROR(+H18/Summary!H54,0)</f>
        <v>0.20335790476889154</v>
      </c>
      <c r="I19" s="551">
        <f>IFERROR(+I18/Summary!I54,0)</f>
        <v>0.34140871253284388</v>
      </c>
      <c r="J19" s="551">
        <f>IFERROR(+J18/Summary!J54,0)</f>
        <v>0.42327673681851302</v>
      </c>
      <c r="K19" s="551">
        <f>IFERROR(+K18/Summary!K54,0)</f>
        <v>0.55594682159353948</v>
      </c>
      <c r="L19" s="551">
        <f>IFERROR(+L18/Summary!L54,0)</f>
        <v>0.63832299499726564</v>
      </c>
    </row>
    <row r="20" spans="1:12" ht="13.8">
      <c r="A20" s="290">
        <f>ROW()</f>
        <v>20</v>
      </c>
      <c r="B20" s="32"/>
      <c r="C20" s="32"/>
      <c r="D20" s="32"/>
      <c r="E20" s="32"/>
      <c r="F20" s="429"/>
      <c r="G20" s="429"/>
      <c r="H20" s="429"/>
      <c r="I20" s="429"/>
      <c r="J20" s="429"/>
      <c r="K20" s="429"/>
      <c r="L20" s="429"/>
    </row>
    <row r="21" spans="1:12" ht="13.8">
      <c r="A21" s="290">
        <f>ROW()</f>
        <v>21</v>
      </c>
      <c r="B21" s="365" t="s">
        <v>158</v>
      </c>
      <c r="C21" s="612">
        <f t="shared" ref="C21:C28" si="6">MAX(F21:L21)</f>
        <v>450</v>
      </c>
      <c r="D21" s="407"/>
      <c r="E21" s="259"/>
      <c r="F21" s="295">
        <f>' Enrol &amp; Rev'!F36</f>
        <v>0</v>
      </c>
      <c r="G21" s="295">
        <f>' Enrol &amp; Rev'!G36</f>
        <v>275</v>
      </c>
      <c r="H21" s="295">
        <f>' Enrol &amp; Rev'!H36</f>
        <v>350</v>
      </c>
      <c r="I21" s="295">
        <f>' Enrol &amp; Rev'!I36</f>
        <v>400</v>
      </c>
      <c r="J21" s="295">
        <f>' Enrol &amp; Rev'!J36</f>
        <v>450</v>
      </c>
      <c r="K21" s="295">
        <f>' Enrol &amp; Rev'!K36</f>
        <v>450</v>
      </c>
      <c r="L21" s="295">
        <f>' Enrol &amp; Rev'!L36</f>
        <v>450</v>
      </c>
    </row>
    <row r="22" spans="1:12" ht="13.8">
      <c r="A22" s="290">
        <f>ROW()</f>
        <v>22</v>
      </c>
      <c r="B22" s="91" t="s">
        <v>73</v>
      </c>
      <c r="C22" s="613">
        <f t="shared" si="6"/>
        <v>51</v>
      </c>
      <c r="D22" s="408"/>
      <c r="E22" s="49"/>
      <c r="F22" s="1273">
        <f>Staff!G28</f>
        <v>0</v>
      </c>
      <c r="G22" s="1273">
        <f>Staff!H28</f>
        <v>27</v>
      </c>
      <c r="H22" s="1273">
        <f>Staff!I28</f>
        <v>39</v>
      </c>
      <c r="I22" s="1273">
        <f>Staff!J28</f>
        <v>44</v>
      </c>
      <c r="J22" s="1273">
        <f>Staff!K28</f>
        <v>51</v>
      </c>
      <c r="K22" s="1273">
        <f>Staff!L28</f>
        <v>51</v>
      </c>
      <c r="L22" s="1273">
        <f>Staff!M28</f>
        <v>51</v>
      </c>
    </row>
    <row r="23" spans="1:12" ht="13.8">
      <c r="A23" s="290">
        <f>ROW()</f>
        <v>23</v>
      </c>
      <c r="B23" s="349" t="s">
        <v>165</v>
      </c>
      <c r="C23" s="611">
        <f t="shared" si="6"/>
        <v>501</v>
      </c>
      <c r="D23" s="407"/>
      <c r="E23" s="259"/>
      <c r="F23" s="295">
        <f t="shared" ref="F23:L23" si="7">SUM(F21:F22)</f>
        <v>0</v>
      </c>
      <c r="G23" s="295">
        <f t="shared" si="7"/>
        <v>302</v>
      </c>
      <c r="H23" s="295">
        <f t="shared" si="7"/>
        <v>389</v>
      </c>
      <c r="I23" s="295">
        <f t="shared" si="7"/>
        <v>444</v>
      </c>
      <c r="J23" s="295">
        <f t="shared" si="7"/>
        <v>501</v>
      </c>
      <c r="K23" s="295">
        <f t="shared" si="7"/>
        <v>501</v>
      </c>
      <c r="L23" s="295">
        <f t="shared" si="7"/>
        <v>501</v>
      </c>
    </row>
    <row r="24" spans="1:12" ht="13.8">
      <c r="A24" s="290">
        <f>ROW()</f>
        <v>24</v>
      </c>
      <c r="B24" s="366" t="s">
        <v>166</v>
      </c>
      <c r="C24" s="611">
        <f t="shared" si="6"/>
        <v>0.27272727272727271</v>
      </c>
      <c r="D24" s="51"/>
      <c r="E24" s="49"/>
      <c r="F24" s="117"/>
      <c r="G24" s="117"/>
      <c r="H24" s="551">
        <f>IFERROR(+H21/G21-1,0)</f>
        <v>0.27272727272727271</v>
      </c>
      <c r="I24" s="551">
        <f>IFERROR(+I21/H21-1,0)</f>
        <v>0.14285714285714279</v>
      </c>
      <c r="J24" s="551">
        <f>IFERROR(+J21/I21-1,0)</f>
        <v>0.125</v>
      </c>
      <c r="K24" s="551">
        <f>IFERROR(+K21/J21-1,0)</f>
        <v>0</v>
      </c>
      <c r="L24" s="551">
        <f>IFERROR(+L21/K21-1,0)</f>
        <v>0</v>
      </c>
    </row>
    <row r="25" spans="1:12" ht="13.8">
      <c r="A25" s="290">
        <f>ROW()</f>
        <v>25</v>
      </c>
      <c r="B25" s="350" t="s">
        <v>167</v>
      </c>
      <c r="C25" s="611">
        <f t="shared" si="6"/>
        <v>3</v>
      </c>
      <c r="D25" s="408"/>
      <c r="E25" s="49"/>
      <c r="F25" s="117">
        <f>+Staff!G109</f>
        <v>0</v>
      </c>
      <c r="G25" s="117">
        <f>+Staff!H109</f>
        <v>2</v>
      </c>
      <c r="H25" s="117">
        <f>+Staff!I109</f>
        <v>2</v>
      </c>
      <c r="I25" s="117">
        <f>+Staff!J109</f>
        <v>3</v>
      </c>
      <c r="J25" s="117">
        <f>+Staff!K109</f>
        <v>3</v>
      </c>
      <c r="K25" s="117">
        <f>+Staff!L109</f>
        <v>3</v>
      </c>
      <c r="L25" s="117">
        <f>+Staff!M109</f>
        <v>3</v>
      </c>
    </row>
    <row r="26" spans="1:12" ht="13.8">
      <c r="A26" s="290"/>
      <c r="B26" s="350" t="s">
        <v>1202</v>
      </c>
      <c r="C26" s="611">
        <f t="shared" si="6"/>
        <v>56.7</v>
      </c>
      <c r="D26" s="408"/>
      <c r="E26" s="49"/>
      <c r="F26" s="117">
        <f>+Staff!G110</f>
        <v>0</v>
      </c>
      <c r="G26" s="117">
        <f>+Staff!H110</f>
        <v>34.65</v>
      </c>
      <c r="H26" s="117">
        <f>+Staff!I110</f>
        <v>44.1</v>
      </c>
      <c r="I26" s="117">
        <f>+Staff!J110</f>
        <v>50.4</v>
      </c>
      <c r="J26" s="117">
        <f>+Staff!K110</f>
        <v>56.7</v>
      </c>
      <c r="K26" s="117">
        <f>+Staff!L110</f>
        <v>56.7</v>
      </c>
      <c r="L26" s="117">
        <f>+Staff!M110</f>
        <v>56.7</v>
      </c>
    </row>
    <row r="27" spans="1:12" ht="13.8">
      <c r="A27" s="290"/>
      <c r="B27" s="350" t="s">
        <v>1201</v>
      </c>
      <c r="C27" s="611">
        <f t="shared" si="6"/>
        <v>22.05</v>
      </c>
      <c r="D27" s="408"/>
      <c r="E27" s="49"/>
      <c r="F27" s="117"/>
      <c r="G27" s="117">
        <f>IFERROR(' Enrol &amp; Rev'!G68/G25,0)</f>
        <v>17.324999999999999</v>
      </c>
      <c r="H27" s="117">
        <f>IFERROR(' Enrol &amp; Rev'!H68/H25,0)</f>
        <v>22.05</v>
      </c>
      <c r="I27" s="117">
        <f>IFERROR(' Enrol &amp; Rev'!I68/I25,0)</f>
        <v>16.8</v>
      </c>
      <c r="J27" s="117">
        <f>IFERROR(' Enrol &amp; Rev'!J68/J25,0)</f>
        <v>18.900000000000002</v>
      </c>
      <c r="K27" s="117">
        <f>IFERROR(' Enrol &amp; Rev'!K68/K25,0)</f>
        <v>18.900000000000002</v>
      </c>
      <c r="L27" s="117">
        <f>IFERROR(' Enrol &amp; Rev'!L68/L25,0)</f>
        <v>18.900000000000002</v>
      </c>
    </row>
    <row r="28" spans="1:12" ht="13.8">
      <c r="A28" s="290">
        <f>ROW()</f>
        <v>28</v>
      </c>
      <c r="B28" s="350" t="s">
        <v>168</v>
      </c>
      <c r="C28" s="611">
        <f t="shared" si="6"/>
        <v>2</v>
      </c>
      <c r="D28" s="408"/>
      <c r="E28" s="49"/>
      <c r="F28" s="117">
        <f>+Staff!G123</f>
        <v>0</v>
      </c>
      <c r="G28" s="117">
        <f>+Staff!H123</f>
        <v>2</v>
      </c>
      <c r="H28" s="117">
        <f>+Staff!I123</f>
        <v>2</v>
      </c>
      <c r="I28" s="117">
        <f>+Staff!J123</f>
        <v>2</v>
      </c>
      <c r="J28" s="117">
        <f>+Staff!K123</f>
        <v>2</v>
      </c>
      <c r="K28" s="117">
        <f>+Staff!L123</f>
        <v>2</v>
      </c>
      <c r="L28" s="117">
        <f>+Staff!M123</f>
        <v>2</v>
      </c>
    </row>
    <row r="29" spans="1:12" ht="13.8">
      <c r="A29" s="290"/>
      <c r="B29" s="350" t="s">
        <v>1203</v>
      </c>
      <c r="C29" s="611">
        <f t="shared" ref="C29:C30" si="8">MAX(F29:L29)</f>
        <v>28.568070000000002</v>
      </c>
      <c r="D29" s="408"/>
      <c r="E29" s="49"/>
      <c r="F29" s="117"/>
      <c r="G29" s="117">
        <f>+' Enrol &amp; Rev'!G69</f>
        <v>17.458265000000001</v>
      </c>
      <c r="H29" s="117">
        <f>+' Enrol &amp; Rev'!H69</f>
        <v>22.219609999999999</v>
      </c>
      <c r="I29" s="117">
        <f>+' Enrol &amp; Rev'!I69</f>
        <v>25.393840000000001</v>
      </c>
      <c r="J29" s="117">
        <f>+' Enrol &amp; Rev'!J69</f>
        <v>28.568070000000002</v>
      </c>
      <c r="K29" s="117">
        <f>+' Enrol &amp; Rev'!K69</f>
        <v>28.568070000000002</v>
      </c>
      <c r="L29" s="117">
        <f>+' Enrol &amp; Rev'!L69</f>
        <v>28.568070000000002</v>
      </c>
    </row>
    <row r="30" spans="1:12" ht="13.8">
      <c r="A30" s="290"/>
      <c r="B30" s="350" t="s">
        <v>1200</v>
      </c>
      <c r="C30" s="611">
        <f t="shared" si="8"/>
        <v>14.284035000000001</v>
      </c>
      <c r="D30" s="408"/>
      <c r="E30" s="49"/>
      <c r="F30" s="117"/>
      <c r="G30" s="117">
        <f>+G29/G28</f>
        <v>8.7291325000000004</v>
      </c>
      <c r="H30" s="117">
        <f t="shared" ref="H30:L30" si="9">+H29/H28</f>
        <v>11.109805</v>
      </c>
      <c r="I30" s="117">
        <f t="shared" si="9"/>
        <v>12.69692</v>
      </c>
      <c r="J30" s="117">
        <f t="shared" si="9"/>
        <v>14.284035000000001</v>
      </c>
      <c r="K30" s="117">
        <f t="shared" si="9"/>
        <v>14.284035000000001</v>
      </c>
      <c r="L30" s="117">
        <f t="shared" si="9"/>
        <v>14.284035000000001</v>
      </c>
    </row>
    <row r="31" spans="1:12" ht="13.8">
      <c r="A31" s="290">
        <f>ROW()</f>
        <v>31</v>
      </c>
      <c r="B31" s="350" t="s">
        <v>169</v>
      </c>
      <c r="C31" s="611">
        <f>MAX(F31:L31)</f>
        <v>26</v>
      </c>
      <c r="D31" s="408"/>
      <c r="E31" s="49"/>
      <c r="F31" s="117">
        <f>+Staff!G241</f>
        <v>0</v>
      </c>
      <c r="G31" s="117">
        <f>+Staff!H241</f>
        <v>15</v>
      </c>
      <c r="H31" s="117">
        <f>+Staff!I241</f>
        <v>18</v>
      </c>
      <c r="I31" s="117">
        <f>+Staff!J241</f>
        <v>20</v>
      </c>
      <c r="J31" s="117">
        <f>+Staff!K241</f>
        <v>26</v>
      </c>
      <c r="K31" s="117">
        <f>+Staff!L241</f>
        <v>26</v>
      </c>
      <c r="L31" s="117">
        <f>+Staff!M241</f>
        <v>26</v>
      </c>
    </row>
    <row r="32" spans="1:12" ht="13.8">
      <c r="A32" s="290">
        <f>ROW()</f>
        <v>32</v>
      </c>
      <c r="B32" s="961" t="s">
        <v>170</v>
      </c>
      <c r="C32" s="614">
        <f>MAX(G32:L32)</f>
        <v>31</v>
      </c>
      <c r="D32" s="407"/>
      <c r="E32" s="962"/>
      <c r="F32" s="295">
        <f t="shared" ref="F32" si="10">SUM(F25:F31)</f>
        <v>0</v>
      </c>
      <c r="G32" s="295">
        <f>SUM(G25,G28,G31)</f>
        <v>19</v>
      </c>
      <c r="H32" s="295">
        <f t="shared" ref="H32:L32" si="11">SUM(H25,H28,H31)</f>
        <v>22</v>
      </c>
      <c r="I32" s="295">
        <f t="shared" si="11"/>
        <v>25</v>
      </c>
      <c r="J32" s="295">
        <f t="shared" si="11"/>
        <v>31</v>
      </c>
      <c r="K32" s="295">
        <f t="shared" si="11"/>
        <v>31</v>
      </c>
      <c r="L32" s="295">
        <f t="shared" si="11"/>
        <v>31</v>
      </c>
    </row>
    <row r="33" spans="1:12" ht="13.8">
      <c r="A33" s="290">
        <f>ROW()</f>
        <v>33</v>
      </c>
      <c r="B33" s="365" t="s">
        <v>171</v>
      </c>
      <c r="C33" s="611">
        <f>MAX(G33:L33)</f>
        <v>16</v>
      </c>
      <c r="D33" s="407"/>
      <c r="E33" s="259"/>
      <c r="F33" s="547"/>
      <c r="G33" s="547">
        <f t="shared" ref="G33:L33" si="12">IFERROR(+G21/G32,0)</f>
        <v>14.473684210526315</v>
      </c>
      <c r="H33" s="547">
        <f t="shared" si="12"/>
        <v>15.909090909090908</v>
      </c>
      <c r="I33" s="547">
        <f t="shared" si="12"/>
        <v>16</v>
      </c>
      <c r="J33" s="547">
        <f t="shared" si="12"/>
        <v>14.516129032258064</v>
      </c>
      <c r="K33" s="547">
        <f t="shared" si="12"/>
        <v>14.516129032258064</v>
      </c>
      <c r="L33" s="547">
        <f t="shared" si="12"/>
        <v>14.516129032258064</v>
      </c>
    </row>
    <row r="34" spans="1:12" ht="13.8">
      <c r="A34" s="290">
        <f>ROW()</f>
        <v>34</v>
      </c>
      <c r="B34" s="91" t="s">
        <v>1204</v>
      </c>
      <c r="C34" s="611">
        <f>MAX(G34:L34)</f>
        <v>25</v>
      </c>
      <c r="D34" s="51"/>
      <c r="E34" s="49"/>
      <c r="F34" s="433"/>
      <c r="G34" s="433">
        <f>' Enrol &amp; Rev'!G21</f>
        <v>25</v>
      </c>
      <c r="H34" s="433">
        <f>' Enrol &amp; Rev'!H21</f>
        <v>25</v>
      </c>
      <c r="I34" s="433">
        <f>' Enrol &amp; Rev'!I21</f>
        <v>25</v>
      </c>
      <c r="J34" s="433">
        <f>' Enrol &amp; Rev'!J21</f>
        <v>25</v>
      </c>
      <c r="K34" s="433">
        <f>' Enrol &amp; Rev'!K21</f>
        <v>25</v>
      </c>
      <c r="L34" s="433">
        <f>' Enrol &amp; Rev'!L21</f>
        <v>25</v>
      </c>
    </row>
    <row r="35" spans="1:12" ht="13.8">
      <c r="A35" s="290">
        <f>ROW()</f>
        <v>35</v>
      </c>
      <c r="B35" s="350" t="s">
        <v>172</v>
      </c>
      <c r="C35" s="611">
        <f t="shared" ref="C35:C40" si="13">MAX(G35:L35)</f>
        <v>3</v>
      </c>
      <c r="D35" s="408"/>
      <c r="E35" s="49"/>
      <c r="F35" s="117">
        <f>+Staff!G89</f>
        <v>0</v>
      </c>
      <c r="G35" s="117">
        <f>+Staff!H89</f>
        <v>2</v>
      </c>
      <c r="H35" s="117">
        <f>+Staff!I89</f>
        <v>2</v>
      </c>
      <c r="I35" s="117">
        <f>+Staff!J89</f>
        <v>3</v>
      </c>
      <c r="J35" s="117">
        <f>+Staff!K89</f>
        <v>3</v>
      </c>
      <c r="K35" s="117">
        <f>+Staff!L89</f>
        <v>3</v>
      </c>
      <c r="L35" s="117">
        <f>+Staff!M89</f>
        <v>3</v>
      </c>
    </row>
    <row r="36" spans="1:12" ht="13.8">
      <c r="A36" s="290">
        <f>ROW()</f>
        <v>36</v>
      </c>
      <c r="B36" s="349" t="s">
        <v>173</v>
      </c>
      <c r="C36" s="612">
        <f t="shared" si="13"/>
        <v>175</v>
      </c>
      <c r="D36" s="407"/>
      <c r="E36" s="259"/>
      <c r="F36" s="295">
        <f>IFERROR(F21/F35,0)</f>
        <v>0</v>
      </c>
      <c r="G36" s="295">
        <f t="shared" ref="G36:L36" si="14">IFERROR(+G21/G35,0)</f>
        <v>137.5</v>
      </c>
      <c r="H36" s="295">
        <f t="shared" si="14"/>
        <v>175</v>
      </c>
      <c r="I36" s="295">
        <f t="shared" si="14"/>
        <v>133.33333333333334</v>
      </c>
      <c r="J36" s="295">
        <f t="shared" si="14"/>
        <v>150</v>
      </c>
      <c r="K36" s="295">
        <f t="shared" si="14"/>
        <v>150</v>
      </c>
      <c r="L36" s="295">
        <f t="shared" si="14"/>
        <v>150</v>
      </c>
    </row>
    <row r="37" spans="1:12" ht="13.8">
      <c r="A37" s="290">
        <f>ROW()</f>
        <v>37</v>
      </c>
      <c r="B37" s="350" t="s">
        <v>174</v>
      </c>
      <c r="C37" s="611">
        <f t="shared" si="13"/>
        <v>11</v>
      </c>
      <c r="D37" s="408"/>
      <c r="E37" s="49"/>
      <c r="F37" s="117">
        <f>IFERROR(F32/F35,0)</f>
        <v>0</v>
      </c>
      <c r="G37" s="117">
        <f t="shared" ref="G37:L37" si="15">IFERROR(+G32/G35,0)</f>
        <v>9.5</v>
      </c>
      <c r="H37" s="117">
        <f t="shared" si="15"/>
        <v>11</v>
      </c>
      <c r="I37" s="117">
        <f t="shared" si="15"/>
        <v>8.3333333333333339</v>
      </c>
      <c r="J37" s="117">
        <f t="shared" si="15"/>
        <v>10.333333333333334</v>
      </c>
      <c r="K37" s="117">
        <f t="shared" si="15"/>
        <v>10.333333333333334</v>
      </c>
      <c r="L37" s="117">
        <f t="shared" si="15"/>
        <v>10.333333333333334</v>
      </c>
    </row>
    <row r="38" spans="1:12" ht="13.8">
      <c r="A38" s="290">
        <f>ROW()</f>
        <v>38</v>
      </c>
      <c r="B38" s="350" t="s">
        <v>175</v>
      </c>
      <c r="C38" s="613">
        <f t="shared" si="13"/>
        <v>7</v>
      </c>
      <c r="D38" s="408"/>
      <c r="E38" s="49"/>
      <c r="F38" s="117">
        <f>+Staff!G97</f>
        <v>0</v>
      </c>
      <c r="G38" s="117">
        <f>+Staff!H97</f>
        <v>4</v>
      </c>
      <c r="H38" s="117">
        <f>+Staff!I97</f>
        <v>6</v>
      </c>
      <c r="I38" s="117">
        <f>+Staff!J97</f>
        <v>7</v>
      </c>
      <c r="J38" s="117">
        <f>+Staff!K97</f>
        <v>7</v>
      </c>
      <c r="K38" s="117">
        <f>+Staff!L97</f>
        <v>7</v>
      </c>
      <c r="L38" s="117">
        <f>+Staff!M97</f>
        <v>7</v>
      </c>
    </row>
    <row r="39" spans="1:12" ht="13.8">
      <c r="A39" s="290">
        <f>ROW()</f>
        <v>39</v>
      </c>
      <c r="B39" s="349" t="s">
        <v>176</v>
      </c>
      <c r="C39" s="611">
        <f t="shared" si="13"/>
        <v>68.75</v>
      </c>
      <c r="D39" s="407"/>
      <c r="E39" s="259"/>
      <c r="F39" s="295"/>
      <c r="G39" s="295">
        <f t="shared" ref="G39:L39" si="16">IFERROR(+G21/G38,0)</f>
        <v>68.75</v>
      </c>
      <c r="H39" s="295">
        <f t="shared" si="16"/>
        <v>58.333333333333336</v>
      </c>
      <c r="I39" s="295">
        <f t="shared" si="16"/>
        <v>57.142857142857146</v>
      </c>
      <c r="J39" s="295">
        <f t="shared" si="16"/>
        <v>64.285714285714292</v>
      </c>
      <c r="K39" s="295">
        <f t="shared" si="16"/>
        <v>64.285714285714292</v>
      </c>
      <c r="L39" s="295">
        <f t="shared" si="16"/>
        <v>64.285714285714292</v>
      </c>
    </row>
    <row r="40" spans="1:12" ht="13.8">
      <c r="A40" s="290">
        <f>ROW()</f>
        <v>40</v>
      </c>
      <c r="B40" s="350" t="s">
        <v>177</v>
      </c>
      <c r="C40" s="611">
        <f t="shared" si="13"/>
        <v>4.75</v>
      </c>
      <c r="D40" s="408"/>
      <c r="E40" s="49"/>
      <c r="F40" s="433"/>
      <c r="G40" s="117">
        <f t="shared" ref="G40:L40" si="17">IFERROR(+G32/G38,0)</f>
        <v>4.75</v>
      </c>
      <c r="H40" s="117">
        <f t="shared" si="17"/>
        <v>3.6666666666666665</v>
      </c>
      <c r="I40" s="117">
        <f t="shared" si="17"/>
        <v>3.5714285714285716</v>
      </c>
      <c r="J40" s="117">
        <f t="shared" si="17"/>
        <v>4.4285714285714288</v>
      </c>
      <c r="K40" s="117">
        <f t="shared" si="17"/>
        <v>4.4285714285714288</v>
      </c>
      <c r="L40" s="117">
        <f t="shared" si="17"/>
        <v>4.4285714285714288</v>
      </c>
    </row>
    <row r="41" spans="1:12" ht="13.8">
      <c r="A41" s="290">
        <f>ROW()</f>
        <v>41</v>
      </c>
      <c r="B41" s="350" t="s">
        <v>178</v>
      </c>
      <c r="C41" s="409">
        <f t="shared" ref="C41:C46" si="18">AVERAGE(G41:L41)</f>
        <v>90436.222222222204</v>
      </c>
      <c r="D41" s="409"/>
      <c r="E41" s="92"/>
      <c r="F41" s="109"/>
      <c r="G41" s="109">
        <f>IFERROR(+Staff!H252/G35,0)</f>
        <v>99272</v>
      </c>
      <c r="H41" s="109">
        <f>IFERROR(+Staff!I252/H35,0)</f>
        <v>99272</v>
      </c>
      <c r="I41" s="109">
        <f>IFERROR(+Staff!J252/I35,0)</f>
        <v>86018.333333333328</v>
      </c>
      <c r="J41" s="109">
        <f>IFERROR(+Staff!K252/J35,0)</f>
        <v>86018.333333333328</v>
      </c>
      <c r="K41" s="109">
        <f>IFERROR(+Staff!L252/K35,0)</f>
        <v>86018.333333333328</v>
      </c>
      <c r="L41" s="109">
        <f>IFERROR(+Staff!M252/L35,0)</f>
        <v>86018.333333333328</v>
      </c>
    </row>
    <row r="42" spans="1:12" ht="13.8">
      <c r="A42" s="290">
        <f>ROW()</f>
        <v>42</v>
      </c>
      <c r="B42" s="350" t="s">
        <v>179</v>
      </c>
      <c r="C42" s="409">
        <f t="shared" si="18"/>
        <v>23158.212698412695</v>
      </c>
      <c r="D42" s="409"/>
      <c r="E42" s="49"/>
      <c r="F42" s="117"/>
      <c r="G42" s="117">
        <f>IFERROR(+Staff!H259/G38,0)</f>
        <v>20930.8</v>
      </c>
      <c r="H42" s="117">
        <f>IFERROR(+Staff!I259/H38,0)</f>
        <v>26649.333333333332</v>
      </c>
      <c r="I42" s="117">
        <f>IFERROR(+Staff!J259/I38,0)</f>
        <v>22842.285714285714</v>
      </c>
      <c r="J42" s="117">
        <f>IFERROR(+Staff!K259/J38,0)</f>
        <v>22842.285714285714</v>
      </c>
      <c r="K42" s="117">
        <f>IFERROR(+Staff!L259/K38,0)</f>
        <v>22842.285714285714</v>
      </c>
      <c r="L42" s="117">
        <f>IFERROR(+Staff!M259/L38,0)</f>
        <v>22842.285714285714</v>
      </c>
    </row>
    <row r="43" spans="1:12" ht="13.8">
      <c r="A43" s="290">
        <f>ROW()</f>
        <v>43</v>
      </c>
      <c r="B43" s="350" t="s">
        <v>180</v>
      </c>
      <c r="C43" s="409">
        <f t="shared" si="18"/>
        <v>61455.444444444445</v>
      </c>
      <c r="D43" s="409"/>
      <c r="E43" s="49"/>
      <c r="F43" s="117"/>
      <c r="G43" s="117">
        <f>IFERROR(+Staff!H274/G25,0)</f>
        <v>62011</v>
      </c>
      <c r="H43" s="117">
        <f>IFERROR(+Staff!I274/H25,0)</f>
        <v>62011</v>
      </c>
      <c r="I43" s="117">
        <f>IFERROR(+Staff!J274/I25,0)</f>
        <v>61177.666666666664</v>
      </c>
      <c r="J43" s="117">
        <f>IFERROR(+Staff!K274/J25,0)</f>
        <v>61177.666666666664</v>
      </c>
      <c r="K43" s="117">
        <f>IFERROR(+Staff!L274/K25,0)</f>
        <v>61177.666666666664</v>
      </c>
      <c r="L43" s="117">
        <f>IFERROR(+Staff!M274/L25,0)</f>
        <v>61177.666666666664</v>
      </c>
    </row>
    <row r="44" spans="1:12" ht="13.8">
      <c r="A44" s="290">
        <f>ROW()</f>
        <v>44</v>
      </c>
      <c r="B44" s="350" t="s">
        <v>181</v>
      </c>
      <c r="C44" s="409">
        <f t="shared" si="18"/>
        <v>59511</v>
      </c>
      <c r="D44" s="409"/>
      <c r="E44" s="49"/>
      <c r="F44" s="117"/>
      <c r="G44" s="117">
        <f>IFERROR(Staff!H286/G28,0)</f>
        <v>59511</v>
      </c>
      <c r="H44" s="117">
        <f>IFERROR(Staff!I286/H28,0)</f>
        <v>59511</v>
      </c>
      <c r="I44" s="117">
        <f>IFERROR(Staff!J286/I28,0)</f>
        <v>59511</v>
      </c>
      <c r="J44" s="117">
        <f>IFERROR(Staff!K286/J28,0)</f>
        <v>59511</v>
      </c>
      <c r="K44" s="117">
        <f>IFERROR(Staff!L286/K28,0)</f>
        <v>59511</v>
      </c>
      <c r="L44" s="117">
        <f>IFERROR(Staff!M286/L28,0)</f>
        <v>59511</v>
      </c>
    </row>
    <row r="45" spans="1:12" ht="13.8">
      <c r="A45" s="290">
        <f>ROW()</f>
        <v>45</v>
      </c>
      <c r="B45" s="350" t="s">
        <v>182</v>
      </c>
      <c r="C45" s="409">
        <f t="shared" si="18"/>
        <v>59511</v>
      </c>
      <c r="D45" s="409"/>
      <c r="E45" s="49"/>
      <c r="F45" s="117"/>
      <c r="G45" s="117">
        <f>IFERROR(Staff!H397/G31,0)</f>
        <v>59511</v>
      </c>
      <c r="H45" s="117">
        <f>IFERROR(Staff!I397/H31,0)</f>
        <v>59511</v>
      </c>
      <c r="I45" s="117">
        <f>IFERROR(Staff!J397/I31,0)</f>
        <v>59511</v>
      </c>
      <c r="J45" s="117">
        <f>IFERROR(Staff!K397/J31,0)</f>
        <v>59511</v>
      </c>
      <c r="K45" s="117">
        <f>IFERROR(Staff!L397/K31,0)</f>
        <v>59511</v>
      </c>
      <c r="L45" s="117">
        <f>IFERROR(Staff!M397/L31,0)</f>
        <v>59511</v>
      </c>
    </row>
    <row r="46" spans="1:12" ht="13.8">
      <c r="A46" s="290">
        <f>ROW()</f>
        <v>46</v>
      </c>
      <c r="B46" s="350" t="s">
        <v>183</v>
      </c>
      <c r="C46" s="409">
        <f t="shared" si="18"/>
        <v>349.83222102176256</v>
      </c>
      <c r="D46" s="409"/>
      <c r="E46" s="49"/>
      <c r="F46" s="117"/>
      <c r="G46" s="117">
        <f>IFERROR(+Summary!G18/G32,0)</f>
        <v>337.81578947368422</v>
      </c>
      <c r="H46" s="117">
        <f>IFERROR(+Summary!H18/H32,0)</f>
        <v>371.31818181818181</v>
      </c>
      <c r="I46" s="117">
        <f>IFERROR(+Summary!I18/I32,0)</f>
        <v>373.44</v>
      </c>
      <c r="J46" s="117">
        <f>IFERROR(+Summary!J18/J32,0)</f>
        <v>338.80645161290323</v>
      </c>
      <c r="K46" s="117">
        <f>IFERROR(+Summary!K18/K32,0)</f>
        <v>338.80645161290323</v>
      </c>
      <c r="L46" s="117">
        <f>IFERROR(+Summary!L18/L32,0)</f>
        <v>338.80645161290323</v>
      </c>
    </row>
    <row r="47" spans="1:12" ht="13.8">
      <c r="A47" s="290">
        <f>ROW()</f>
        <v>47</v>
      </c>
      <c r="B47" s="350"/>
      <c r="C47" s="367"/>
      <c r="D47" s="367"/>
      <c r="E47" s="49"/>
      <c r="F47" s="117"/>
      <c r="G47" s="117"/>
      <c r="H47" s="117"/>
      <c r="I47" s="117"/>
      <c r="J47" s="117"/>
      <c r="K47" s="117"/>
      <c r="L47" s="117"/>
    </row>
    <row r="48" spans="1:12" ht="13.8">
      <c r="A48" s="290">
        <f>ROW()</f>
        <v>48</v>
      </c>
      <c r="B48" s="350" t="s">
        <v>184</v>
      </c>
      <c r="C48" s="409">
        <f>AVERAGE(G48:L48)</f>
        <v>12945.51819577656</v>
      </c>
      <c r="D48" s="409"/>
      <c r="E48" s="368"/>
      <c r="F48" s="552"/>
      <c r="G48" s="552">
        <f>IFERROR(Summary!G35/G21,0)</f>
        <v>12282.1805</v>
      </c>
      <c r="H48" s="552">
        <f>IFERROR(Summary!H35/H21,0)</f>
        <v>13000.938312980858</v>
      </c>
      <c r="I48" s="552">
        <f>IFERROR(Summary!I35/I21,0)</f>
        <v>13056.467609910502</v>
      </c>
      <c r="J48" s="552">
        <f>IFERROR(Summary!J35/J21,0)</f>
        <v>13065.105500543999</v>
      </c>
      <c r="K48" s="552">
        <f>IFERROR(Summary!K35/K21,0)</f>
        <v>13134.208625612</v>
      </c>
      <c r="L48" s="552">
        <f>IFERROR(Summary!L35/L21,0)</f>
        <v>13134.208625612</v>
      </c>
    </row>
    <row r="49" spans="1:12" ht="13.8">
      <c r="A49" s="290">
        <f>ROW()</f>
        <v>49</v>
      </c>
      <c r="B49" s="350" t="s">
        <v>185</v>
      </c>
      <c r="C49" s="409">
        <f>AVERAGE(G49:L49)</f>
        <v>11322.478811138933</v>
      </c>
      <c r="D49" s="409"/>
      <c r="E49" s="368"/>
      <c r="F49" s="87"/>
      <c r="G49" s="87">
        <f>IFERROR(Summary!G54/G21,0)</f>
        <v>11202.92522509915</v>
      </c>
      <c r="H49" s="87">
        <f>IFERROR(Summary!H54/H21,0)</f>
        <v>11176.515539140571</v>
      </c>
      <c r="I49" s="87">
        <f>IFERROR(Summary!I54/I21,0)</f>
        <v>11051.197304844667</v>
      </c>
      <c r="J49" s="87">
        <f>IFERROR(Summary!J54/J21,0)</f>
        <v>11376.100422168505</v>
      </c>
      <c r="K49" s="87">
        <f>IFERROR(Summary!K54/K21,0)</f>
        <v>11389.627520475196</v>
      </c>
      <c r="L49" s="87">
        <f>IFERROR(Summary!L54/L21,0)</f>
        <v>11738.506855105503</v>
      </c>
    </row>
    <row r="50" spans="1:12" ht="13.8">
      <c r="A50" s="290">
        <f>ROW()</f>
        <v>50</v>
      </c>
      <c r="B50" s="963" t="s">
        <v>186</v>
      </c>
      <c r="C50" s="410">
        <f>AVERAGE(G50:L50)</f>
        <v>1623.0393846376276</v>
      </c>
      <c r="D50" s="410"/>
      <c r="E50" s="369"/>
      <c r="F50" s="964"/>
      <c r="G50" s="965">
        <f t="shared" ref="G50:L50" si="19">+G48-G49</f>
        <v>1079.2552749008501</v>
      </c>
      <c r="H50" s="965">
        <f t="shared" si="19"/>
        <v>1824.422773840286</v>
      </c>
      <c r="I50" s="965">
        <f t="shared" si="19"/>
        <v>2005.2703050658347</v>
      </c>
      <c r="J50" s="965">
        <f t="shared" si="19"/>
        <v>1689.0050783754941</v>
      </c>
      <c r="K50" s="965">
        <f t="shared" si="19"/>
        <v>1744.5811051368037</v>
      </c>
      <c r="L50" s="964">
        <f t="shared" si="19"/>
        <v>1395.7017705064973</v>
      </c>
    </row>
    <row r="51" spans="1:12" ht="13.8">
      <c r="A51" s="290">
        <f>ROW()</f>
        <v>51</v>
      </c>
      <c r="B51" s="350" t="s">
        <v>187</v>
      </c>
      <c r="C51" s="611">
        <f>MAX(G51:L51)</f>
        <v>22500</v>
      </c>
      <c r="D51" s="408"/>
      <c r="E51" s="49"/>
      <c r="F51" s="87"/>
      <c r="G51" s="87">
        <f>Facilities!G93</f>
        <v>13750</v>
      </c>
      <c r="H51" s="87">
        <f>Facilities!H93</f>
        <v>17500</v>
      </c>
      <c r="I51" s="87">
        <f>Facilities!I93</f>
        <v>20000</v>
      </c>
      <c r="J51" s="87">
        <f>Facilities!J93</f>
        <v>22500</v>
      </c>
      <c r="K51" s="87">
        <f>Facilities!K93</f>
        <v>22500</v>
      </c>
      <c r="L51" s="87">
        <f>Facilities!L93</f>
        <v>22500</v>
      </c>
    </row>
    <row r="52" spans="1:12" ht="13.8">
      <c r="A52" s="290">
        <f>ROW()</f>
        <v>52</v>
      </c>
      <c r="B52" s="350" t="s">
        <v>188</v>
      </c>
      <c r="C52" s="411">
        <f>MIN(G52:L52)</f>
        <v>50</v>
      </c>
      <c r="D52" s="411"/>
      <c r="E52" s="49"/>
      <c r="F52" s="87"/>
      <c r="G52" s="87">
        <f t="shared" ref="G52:L52" si="20">IFERROR(G51/G21,0)</f>
        <v>50</v>
      </c>
      <c r="H52" s="87">
        <f t="shared" si="20"/>
        <v>50</v>
      </c>
      <c r="I52" s="87">
        <f t="shared" si="20"/>
        <v>50</v>
      </c>
      <c r="J52" s="87">
        <f t="shared" si="20"/>
        <v>50</v>
      </c>
      <c r="K52" s="87">
        <f t="shared" si="20"/>
        <v>50</v>
      </c>
      <c r="L52" s="87">
        <f t="shared" si="20"/>
        <v>50</v>
      </c>
    </row>
    <row r="53" spans="1:12" ht="13.8">
      <c r="A53" s="290">
        <f>ROW()</f>
        <v>53</v>
      </c>
      <c r="B53" s="350" t="s">
        <v>189</v>
      </c>
      <c r="C53" s="411">
        <f>MIN(G53:L53)</f>
        <v>44.91017964071856</v>
      </c>
      <c r="D53" s="411"/>
      <c r="E53" s="49"/>
      <c r="F53" s="87"/>
      <c r="G53" s="87">
        <f t="shared" ref="G53:L53" si="21">IFERROR(+G51/G23,0)</f>
        <v>45.52980132450331</v>
      </c>
      <c r="H53" s="87">
        <f t="shared" si="21"/>
        <v>44.987146529562985</v>
      </c>
      <c r="I53" s="87">
        <f t="shared" si="21"/>
        <v>45.045045045045043</v>
      </c>
      <c r="J53" s="87">
        <f t="shared" si="21"/>
        <v>44.91017964071856</v>
      </c>
      <c r="K53" s="87">
        <f t="shared" si="21"/>
        <v>44.91017964071856</v>
      </c>
      <c r="L53" s="87">
        <f t="shared" si="21"/>
        <v>44.91017964071856</v>
      </c>
    </row>
    <row r="54" spans="1:12" ht="13.8">
      <c r="A54" s="290">
        <f>ROW()</f>
        <v>54</v>
      </c>
      <c r="B54" s="350" t="s">
        <v>190</v>
      </c>
      <c r="C54" s="409">
        <f>AVERAGE(G54:L54)</f>
        <v>0</v>
      </c>
      <c r="D54" s="411"/>
      <c r="E54" s="49"/>
      <c r="F54" s="87"/>
      <c r="G54" s="87">
        <f>+Summary!G28/Summary!G9</f>
        <v>0</v>
      </c>
      <c r="H54" s="87">
        <f>+Summary!H28/Summary!H9</f>
        <v>0</v>
      </c>
      <c r="I54" s="87">
        <f>+Summary!I28/Summary!I9</f>
        <v>0</v>
      </c>
      <c r="J54" s="87">
        <f>+Summary!J28/Summary!J9</f>
        <v>0</v>
      </c>
      <c r="K54" s="87">
        <f>+Summary!K28/Summary!K9</f>
        <v>0</v>
      </c>
      <c r="L54" s="87">
        <f>+Summary!L28/Summary!L9</f>
        <v>0</v>
      </c>
    </row>
    <row r="55" spans="1:12" ht="13.8">
      <c r="A55" s="290">
        <f>ROW()</f>
        <v>55</v>
      </c>
      <c r="B55" s="32"/>
      <c r="C55" s="32"/>
      <c r="D55" s="32"/>
      <c r="E55" s="32"/>
      <c r="F55" s="429"/>
      <c r="G55" s="429"/>
      <c r="H55" s="429"/>
      <c r="I55" s="429"/>
      <c r="J55" s="429"/>
      <c r="K55" s="429"/>
      <c r="L55" s="429"/>
    </row>
    <row r="56" spans="1:12" ht="17.399999999999999">
      <c r="A56" s="290">
        <f>ROW()</f>
        <v>56</v>
      </c>
      <c r="B56" s="1448" t="s">
        <v>191</v>
      </c>
      <c r="C56" s="1449"/>
      <c r="D56" s="1449"/>
      <c r="E56" s="1449"/>
      <c r="F56" s="1450">
        <f>Summary!F$6</f>
        <v>0</v>
      </c>
      <c r="G56" s="1450">
        <f>Summary!G$6</f>
        <v>1</v>
      </c>
      <c r="H56" s="1450">
        <f>Summary!H$6</f>
        <v>2</v>
      </c>
      <c r="I56" s="1450">
        <f>Summary!I$6</f>
        <v>3</v>
      </c>
      <c r="J56" s="1450">
        <f>Summary!J$6</f>
        <v>4</v>
      </c>
      <c r="K56" s="1450">
        <f>Summary!K$6</f>
        <v>5</v>
      </c>
      <c r="L56" s="1450">
        <f>Summary!L$6</f>
        <v>6</v>
      </c>
    </row>
    <row r="57" spans="1:12" ht="13.8">
      <c r="A57" s="290">
        <f>ROW()</f>
        <v>57</v>
      </c>
      <c r="B57" s="1451" t="s">
        <v>192</v>
      </c>
      <c r="C57" s="1452"/>
      <c r="D57" s="1452"/>
      <c r="E57" s="1452"/>
      <c r="F57" s="1453"/>
      <c r="G57" s="1453"/>
      <c r="H57" s="1453"/>
      <c r="I57" s="1453"/>
      <c r="J57" s="1453"/>
      <c r="K57" s="1453"/>
      <c r="L57" s="1453"/>
    </row>
    <row r="58" spans="1:12" ht="13.8">
      <c r="A58" s="290">
        <f>ROW()</f>
        <v>58</v>
      </c>
      <c r="B58" s="32" t="str">
        <f>+Summary!B15</f>
        <v>State &amp; Local Revenue w/o St SpEd</v>
      </c>
      <c r="C58" s="352">
        <f>IFERROR(Summary!C15/Summary!C$35,)</f>
        <v>0.90993989070413783</v>
      </c>
      <c r="D58" s="352"/>
      <c r="E58" s="352"/>
      <c r="F58" s="553">
        <f>IF(Summary!F15&gt;0,Summary!F15/Summary!F$35,0)</f>
        <v>0</v>
      </c>
      <c r="G58" s="553">
        <f>IF(Summary!G15&gt;0,Summary!G15/Summary!G$35,0)</f>
        <v>0.9367229214714764</v>
      </c>
      <c r="H58" s="553">
        <f>IF(Summary!H15&gt;0,Summary!H15/Summary!H$35,0)</f>
        <v>0.91094215877911267</v>
      </c>
      <c r="I58" s="553">
        <f>IF(Summary!I15&gt;0,Summary!I15/Summary!I$35,0)</f>
        <v>0.90800790949856047</v>
      </c>
      <c r="J58" s="553">
        <f>IF(Summary!J15&gt;0,Summary!J15/Summary!J$35,0)</f>
        <v>0.90755371244803895</v>
      </c>
      <c r="K58" s="553">
        <f>IF(Summary!K15&gt;0,Summary!K15/Summary!K$35,0)</f>
        <v>0.9039416430815822</v>
      </c>
      <c r="L58" s="553">
        <f>IF(Summary!L15&gt;0,Summary!L15/Summary!L$35,0)</f>
        <v>0.9039416430815822</v>
      </c>
    </row>
    <row r="59" spans="1:12" ht="13.8">
      <c r="A59" s="290">
        <f>ROW()</f>
        <v>59</v>
      </c>
      <c r="B59" s="32" t="str">
        <f>+Summary!B16</f>
        <v>CS Sponsorship Fee (Infl' Adj'd)</v>
      </c>
      <c r="C59" s="769">
        <f>IFERROR(Summary!C16/Summary!C$35,0)</f>
        <v>-1.1071249306470644E-2</v>
      </c>
      <c r="D59" s="352"/>
      <c r="E59" s="352"/>
      <c r="F59" s="553">
        <f>IF(Summary!F16&gt;0,Summary!F16/Summary!F$35,0)</f>
        <v>0</v>
      </c>
      <c r="G59" s="553">
        <f>IF(Summary!G16&gt;0,Summary!G16/Summary!G$35,0)</f>
        <v>0</v>
      </c>
      <c r="H59" s="553">
        <f>IF(Summary!H16&gt;0,Summary!H16/Summary!H$35,0)</f>
        <v>0</v>
      </c>
      <c r="I59" s="553">
        <f>IF(Summary!I16&gt;0,Summary!I16/Summary!I$35,0)</f>
        <v>0</v>
      </c>
      <c r="J59" s="553">
        <f>IF(Summary!J16&gt;0,Summary!J16/Summary!J$35,0)</f>
        <v>0</v>
      </c>
      <c r="K59" s="553">
        <f>IF(Summary!K16&gt;0,Summary!K16/Summary!K$35,0)</f>
        <v>0</v>
      </c>
      <c r="L59" s="553">
        <f>IF(Summary!L16&gt;0,Summary!L16/Summary!L$35,0)</f>
        <v>0</v>
      </c>
    </row>
    <row r="60" spans="1:12" ht="13.8">
      <c r="A60" s="290">
        <f>ROW()</f>
        <v>60</v>
      </c>
      <c r="B60" s="32" t="str">
        <f>+Summary!B17</f>
        <v>Title I</v>
      </c>
      <c r="C60" s="352">
        <f>IFERROR(Summary!C17/Summary!C$35,)</f>
        <v>7.3904558603819686E-3</v>
      </c>
      <c r="D60" s="352"/>
      <c r="E60" s="352"/>
      <c r="F60" s="553">
        <f>IF(Summary!F17&gt;0,Summary!F17/Summary!F$35,0)</f>
        <v>0</v>
      </c>
      <c r="G60" s="553">
        <f>IF(Summary!G17&gt;0,Summary!G17/Summary!G$35,0)</f>
        <v>7.8162016915481729E-3</v>
      </c>
      <c r="H60" s="553">
        <f>IF(Summary!H17&gt;0,Summary!H17/Summary!H$35,0)</f>
        <v>7.384082416893578E-3</v>
      </c>
      <c r="I60" s="553">
        <f>IF(Summary!I17&gt;0,Summary!I17/Summary!I$35,0)</f>
        <v>7.3526778350931051E-3</v>
      </c>
      <c r="J60" s="553">
        <f>IF(Summary!J17&gt;0,Summary!J17/Summary!J$35,0)</f>
        <v>7.3478166705965593E-3</v>
      </c>
      <c r="K60" s="553">
        <f>IF(Summary!K17&gt;0,Summary!K17/Summary!K$35,0)</f>
        <v>7.309157539404228E-3</v>
      </c>
      <c r="L60" s="553">
        <f>IF(Summary!L17&gt;0,Summary!L17/Summary!L$35,0)</f>
        <v>7.309157539404228E-3</v>
      </c>
    </row>
    <row r="61" spans="1:12" ht="13.8">
      <c r="A61" s="290">
        <f>ROW()</f>
        <v>61</v>
      </c>
      <c r="B61" s="32" t="str">
        <f>+Summary!B18</f>
        <v>Title IIA</v>
      </c>
      <c r="C61" s="352">
        <f>IFERROR(Summary!C18/Summary!C$35,)</f>
        <v>1.7968045810553661E-3</v>
      </c>
      <c r="D61" s="352"/>
      <c r="E61" s="352"/>
      <c r="F61" s="553">
        <f>IF(Summary!F18&gt;0,Summary!F18/Summary!F$35,0)</f>
        <v>0</v>
      </c>
      <c r="G61" s="553">
        <f>IF(Summary!G18&gt;0,Summary!G18/Summary!G$35,0)</f>
        <v>1.9003140362576498E-3</v>
      </c>
      <c r="H61" s="553">
        <f>IF(Summary!H18&gt;0,Summary!H18/Summary!H$35,0)</f>
        <v>1.795255037607251E-3</v>
      </c>
      <c r="I61" s="553">
        <f>IF(Summary!I18&gt;0,Summary!I18/Summary!I$35,0)</f>
        <v>1.7876197986570112E-3</v>
      </c>
      <c r="J61" s="553">
        <f>IF(Summary!J18&gt;0,Summary!J18/Summary!J$35,0)</f>
        <v>1.7864379280387885E-3</v>
      </c>
      <c r="K61" s="553">
        <f>IF(Summary!K18&gt;0,Summary!K18/Summary!K$35,0)</f>
        <v>1.777038926767653E-3</v>
      </c>
      <c r="L61" s="553">
        <f>IF(Summary!L18&gt;0,Summary!L18/Summary!L$35,0)</f>
        <v>1.777038926767653E-3</v>
      </c>
    </row>
    <row r="62" spans="1:12" ht="13.8">
      <c r="A62" s="290">
        <f>ROW()</f>
        <v>62</v>
      </c>
      <c r="B62" s="32" t="str">
        <f>+Summary!B19</f>
        <v>Title III</v>
      </c>
      <c r="C62" s="352">
        <f>IFERROR(Summary!C19/Summary!C$35,)</f>
        <v>5.5259054339397678E-4</v>
      </c>
      <c r="D62" s="352"/>
      <c r="E62" s="352"/>
      <c r="F62" s="553">
        <f>IF(Summary!F19&gt;0,Summary!F19/Summary!F$35,0)</f>
        <v>0</v>
      </c>
      <c r="G62" s="553">
        <f>IF(Summary!G19&gt;0,Summary!G19/Summary!G$35,0)</f>
        <v>5.8442391397846652E-4</v>
      </c>
      <c r="H62" s="553">
        <f>IF(Summary!H19&gt;0,Summary!H19/Summary!H$35,0)</f>
        <v>5.5211399571314683E-4</v>
      </c>
      <c r="I62" s="553">
        <f>IF(Summary!I19&gt;0,Summary!I19/Summary!I$35,0)</f>
        <v>5.4976584896144066E-4</v>
      </c>
      <c r="J62" s="553">
        <f>IF(Summary!J19&gt;0,Summary!J19/Summary!J$35,0)</f>
        <v>5.4940237564106355E-4</v>
      </c>
      <c r="K62" s="553">
        <f>IF(Summary!K19&gt;0,Summary!K19/Summary!K$35,0)</f>
        <v>5.4651180018587032E-4</v>
      </c>
      <c r="L62" s="553">
        <f>IF(Summary!L19&gt;0,Summary!L19/Summary!L$35,0)</f>
        <v>5.4651180018587032E-4</v>
      </c>
    </row>
    <row r="63" spans="1:12" ht="13.8">
      <c r="A63" s="290">
        <f>ROW()</f>
        <v>63</v>
      </c>
      <c r="B63" s="32" t="str">
        <f>+Summary!B20</f>
        <v>Title IV</v>
      </c>
      <c r="C63" s="352">
        <f>IFERROR(Summary!C20/Summary!C$35,)</f>
        <v>0</v>
      </c>
      <c r="D63" s="352"/>
      <c r="E63" s="352"/>
      <c r="F63" s="553">
        <f>IF(Summary!F20&gt;0,Summary!F20/Summary!F$35,0)</f>
        <v>0</v>
      </c>
      <c r="G63" s="553">
        <f>IF(Summary!G20&gt;0,Summary!G20/Summary!G$35,0)</f>
        <v>0</v>
      </c>
      <c r="H63" s="553">
        <f>IF(Summary!H20&gt;0,Summary!H20/Summary!H$35,0)</f>
        <v>0</v>
      </c>
      <c r="I63" s="553">
        <f>IF(Summary!I20&gt;0,Summary!I20/Summary!I$35,0)</f>
        <v>0</v>
      </c>
      <c r="J63" s="553">
        <f>IF(Summary!J20&gt;0,Summary!J20/Summary!J$35,0)</f>
        <v>0</v>
      </c>
      <c r="K63" s="553">
        <f>IF(Summary!K20&gt;0,Summary!K20/Summary!K$35,0)</f>
        <v>0</v>
      </c>
      <c r="L63" s="553">
        <f>IF(Summary!L20&gt;0,Summary!L20/Summary!L$35,0)</f>
        <v>0</v>
      </c>
    </row>
    <row r="64" spans="1:12" ht="13.8">
      <c r="A64" s="290">
        <f>ROW()</f>
        <v>64</v>
      </c>
      <c r="B64" s="32" t="str">
        <f>+Summary!B21</f>
        <v>Federal Breakfast Program</v>
      </c>
      <c r="C64" s="352">
        <f>IFERROR(Summary!C21/Summary!C$35,)</f>
        <v>0</v>
      </c>
      <c r="D64" s="352"/>
      <c r="E64" s="352"/>
      <c r="F64" s="553">
        <f>IF(Summary!F21&gt;0,Summary!F21/Summary!F$35,0)</f>
        <v>0</v>
      </c>
      <c r="G64" s="553">
        <f>IF(Summary!G21&gt;0,Summary!G21/Summary!G$35,0)</f>
        <v>0</v>
      </c>
      <c r="H64" s="553">
        <f>IF(Summary!H21&gt;0,Summary!H21/Summary!H$35,0)</f>
        <v>0</v>
      </c>
      <c r="I64" s="553">
        <f>IF(Summary!I21&gt;0,Summary!I21/Summary!I$35,0)</f>
        <v>0</v>
      </c>
      <c r="J64" s="553">
        <f>IF(Summary!J21&gt;0,Summary!J21/Summary!J$35,0)</f>
        <v>0</v>
      </c>
      <c r="K64" s="553">
        <f>IF(Summary!K21&gt;0,Summary!K21/Summary!K$35,0)</f>
        <v>0</v>
      </c>
      <c r="L64" s="553">
        <f>IF(Summary!L21&gt;0,Summary!L21/Summary!L$35,0)</f>
        <v>0</v>
      </c>
    </row>
    <row r="65" spans="1:12" ht="13.8">
      <c r="A65" s="290">
        <f>ROW()</f>
        <v>65</v>
      </c>
      <c r="B65" s="32" t="str">
        <f>+Summary!B22</f>
        <v>Federal Lunch Program</v>
      </c>
      <c r="C65" s="352">
        <f>IFERROR(Summary!C22/Summary!C$35,)</f>
        <v>1.4134246832980516E-2</v>
      </c>
      <c r="D65" s="352"/>
      <c r="E65" s="352"/>
      <c r="F65" s="553">
        <f>IF(Summary!F22&gt;0,Summary!F22/Summary!F$35,0)</f>
        <v>0</v>
      </c>
      <c r="G65" s="553">
        <f>IF(Summary!G22&gt;0,Summary!G22/Summary!G$35,0)</f>
        <v>1.4948485735085882E-2</v>
      </c>
      <c r="H65" s="553">
        <f>IF(Summary!H22&gt;0,Summary!H22/Summary!H$35,0)</f>
        <v>1.4122057622308967E-2</v>
      </c>
      <c r="I65" s="553">
        <f>IF(Summary!I22&gt;0,Summary!I22/Summary!I$35,0)</f>
        <v>1.4061996359615565E-2</v>
      </c>
      <c r="J65" s="553">
        <f>IF(Summary!J22&gt;0,Summary!J22/Summary!J$35,0)</f>
        <v>1.405269938251592E-2</v>
      </c>
      <c r="K65" s="553">
        <f>IF(Summary!K22&gt;0,Summary!K22/Summary!K$35,0)</f>
        <v>1.3978763794110586E-2</v>
      </c>
      <c r="L65" s="553">
        <f>IF(Summary!L22&gt;0,Summary!L22/Summary!L$35,0)</f>
        <v>1.3978763794110586E-2</v>
      </c>
    </row>
    <row r="66" spans="1:12" ht="13.8">
      <c r="A66" s="290">
        <f>ROW()</f>
        <v>66</v>
      </c>
      <c r="B66" s="32" t="str">
        <f>+Summary!B23</f>
        <v>IDEA</v>
      </c>
      <c r="C66" s="352">
        <f>IFERROR(Summary!C23/Summary!C$35,)</f>
        <v>9.7484731833350907E-3</v>
      </c>
      <c r="D66" s="352"/>
      <c r="E66" s="352"/>
      <c r="F66" s="553">
        <f>IF(Summary!F23&gt;0,Summary!F23/Summary!F$35,0)</f>
        <v>0</v>
      </c>
      <c r="G66" s="553">
        <f>IF(Summary!G23&gt;0,Summary!G23/Summary!G$35,0)</f>
        <v>1.0310058543757763E-2</v>
      </c>
      <c r="H66" s="553">
        <f>IF(Summary!H23&gt;0,Summary!H23/Summary!H$35,0)</f>
        <v>9.7400662130336848E-3</v>
      </c>
      <c r="I66" s="553">
        <f>IF(Summary!I23&gt;0,Summary!I23/Summary!I$35,0)</f>
        <v>9.6986416068524997E-3</v>
      </c>
      <c r="J66" s="553">
        <f>IF(Summary!J23&gt;0,Summary!J23/Summary!J$35,0)</f>
        <v>9.6922294270587739E-3</v>
      </c>
      <c r="K66" s="553">
        <f>IF(Summary!K23&gt;0,Summary!K23/Summary!K$35,0)</f>
        <v>9.6412356168203896E-3</v>
      </c>
      <c r="L66" s="553">
        <f>IF(Summary!L23&gt;0,Summary!L23/Summary!L$35,0)</f>
        <v>9.6412356168203896E-3</v>
      </c>
    </row>
    <row r="67" spans="1:12" ht="13.8">
      <c r="A67" s="290">
        <f>ROW()</f>
        <v>67</v>
      </c>
      <c r="B67" s="32" t="str">
        <f>+Summary!B24</f>
        <v>State Special Education Funding</v>
      </c>
      <c r="C67" s="352">
        <f>IFERROR(Summary!C24/Summary!C$35,)</f>
        <v>3.022971157919983E-2</v>
      </c>
      <c r="D67" s="352"/>
      <c r="E67" s="352"/>
      <c r="F67" s="553">
        <f>IF(Summary!F24&gt;0,Summary!F24/Summary!F$35,0)</f>
        <v>0</v>
      </c>
      <c r="G67" s="553">
        <f>IF(Summary!G24&gt;0,Summary!G24/Summary!G$35,0)</f>
        <v>0</v>
      </c>
      <c r="H67" s="553">
        <f>IF(Summary!H24&gt;0,Summary!H24/Summary!H$35,0)</f>
        <v>2.9279040545860675E-2</v>
      </c>
      <c r="I67" s="553">
        <f>IF(Summary!I24&gt;0,Summary!I24/Summary!I$35,0)</f>
        <v>3.2467529707516797E-2</v>
      </c>
      <c r="J67" s="553">
        <f>IF(Summary!J24&gt;0,Summary!J24/Summary!J$35,0)</f>
        <v>3.2961080948184396E-2</v>
      </c>
      <c r="K67" s="553">
        <f>IF(Summary!K24&gt;0,Summary!K24/Summary!K$35,0)</f>
        <v>3.6886120344949654E-2</v>
      </c>
      <c r="L67" s="553">
        <f>IF(Summary!L24&gt;0,Summary!L24/Summary!L$35,0)</f>
        <v>3.6886120344949654E-2</v>
      </c>
    </row>
    <row r="68" spans="1:12" ht="13.8">
      <c r="A68" s="290">
        <f>ROW()</f>
        <v>68</v>
      </c>
      <c r="B68" s="32" t="str">
        <f>+Summary!B25</f>
        <v>"Replication &amp; Expansion" start-up funds</v>
      </c>
      <c r="C68" s="352">
        <f>IFERROR(Summary!C25/Summary!C$35,)</f>
        <v>0</v>
      </c>
      <c r="D68" s="352"/>
      <c r="E68" s="352"/>
      <c r="F68" s="553">
        <f>IF(Summary!F25&gt;0,Summary!F25/Summary!F$35,0)</f>
        <v>0</v>
      </c>
      <c r="G68" s="553">
        <f>IF(Summary!G25&gt;0,Summary!G25/Summary!G$35,0)</f>
        <v>0</v>
      </c>
      <c r="H68" s="553">
        <f>IF(Summary!H25&gt;0,Summary!H25/Summary!H$35,0)</f>
        <v>0</v>
      </c>
      <c r="I68" s="553">
        <f>IF(Summary!I25&gt;0,Summary!I25/Summary!I$35,0)</f>
        <v>0</v>
      </c>
      <c r="J68" s="553">
        <f>IF(Summary!J25&gt;0,Summary!J25/Summary!J$35,0)</f>
        <v>0</v>
      </c>
      <c r="K68" s="553">
        <f>IF(Summary!K25&gt;0,Summary!K25/Summary!K$35,0)</f>
        <v>0</v>
      </c>
      <c r="L68" s="553">
        <f>IF(Summary!L25&gt;0,Summary!L25/Summary!L$35,0)</f>
        <v>0</v>
      </c>
    </row>
    <row r="69" spans="1:12" ht="13.8">
      <c r="A69" s="290">
        <f>ROW()</f>
        <v>69</v>
      </c>
      <c r="B69" s="32" t="str">
        <f>+Summary!B26</f>
        <v>Charter School Program (CSP) Grant (w/ltr)</v>
      </c>
      <c r="C69" s="352">
        <f>IFERROR(Summary!C26/Summary!C$35,)</f>
        <v>0</v>
      </c>
      <c r="D69" s="352"/>
      <c r="E69" s="352"/>
      <c r="F69" s="553">
        <f>IF(Summary!F26&gt;0,Summary!F26/Summary!F$35,0)</f>
        <v>0</v>
      </c>
      <c r="G69" s="553">
        <f>IF(Summary!G26&gt;0,Summary!G26/Summary!G$35,0)</f>
        <v>0</v>
      </c>
      <c r="H69" s="553">
        <f>IF(Summary!H26&gt;0,Summary!H26/Summary!H$35,0)</f>
        <v>0</v>
      </c>
      <c r="I69" s="553">
        <f>IF(Summary!I26&gt;0,Summary!I26/Summary!I$35,0)</f>
        <v>0</v>
      </c>
      <c r="J69" s="553">
        <f>IF(Summary!J26&gt;0,Summary!J26/Summary!J$35,0)</f>
        <v>0</v>
      </c>
      <c r="K69" s="553">
        <f>IF(Summary!K26&gt;0,Summary!K26/Summary!K$35,0)</f>
        <v>0</v>
      </c>
      <c r="L69" s="553">
        <f>IF(Summary!L26&gt;0,Summary!L26/Summary!L$35,0)</f>
        <v>0</v>
      </c>
    </row>
    <row r="70" spans="1:12" ht="13.8">
      <c r="A70" s="290">
        <f>ROW()</f>
        <v>70</v>
      </c>
      <c r="B70" s="32" t="str">
        <f>+Summary!B27</f>
        <v>Other start-up funds (incl' SEA grants)</v>
      </c>
      <c r="C70" s="352">
        <f>IFERROR(Summary!C27/Summary!C$35,)</f>
        <v>0</v>
      </c>
      <c r="D70" s="352"/>
      <c r="E70" s="352"/>
      <c r="F70" s="553">
        <f>IF(Summary!F27&gt;0,Summary!F27/Summary!F$35,0)</f>
        <v>0</v>
      </c>
      <c r="G70" s="553">
        <f>IF(Summary!G27&gt;0,Summary!G27/Summary!G$35,0)</f>
        <v>0</v>
      </c>
      <c r="H70" s="553">
        <f>IF(Summary!H27&gt;0,Summary!H27/Summary!H$35,0)</f>
        <v>0</v>
      </c>
      <c r="I70" s="553">
        <f>IF(Summary!I27&gt;0,Summary!I27/Summary!I$35,0)</f>
        <v>0</v>
      </c>
      <c r="J70" s="553">
        <f>IF(Summary!J27&gt;0,Summary!J27/Summary!J$35,0)</f>
        <v>0</v>
      </c>
      <c r="K70" s="553">
        <f>IF(Summary!K27&gt;0,Summary!K27/Summary!K$35,0)</f>
        <v>0</v>
      </c>
      <c r="L70" s="553">
        <f>IF(Summary!L27&gt;0,Summary!L27/Summary!L$35,0)</f>
        <v>0</v>
      </c>
    </row>
    <row r="71" spans="1:12" ht="13.8">
      <c r="A71" s="290">
        <f>ROW()</f>
        <v>71</v>
      </c>
      <c r="B71" s="32" t="str">
        <f>+Summary!B28</f>
        <v>Student fees (Net)</v>
      </c>
      <c r="C71" s="352">
        <f>IFERROR(Summary!C28/Summary!C$35,)</f>
        <v>0</v>
      </c>
      <c r="D71" s="352"/>
      <c r="E71" s="352"/>
      <c r="F71" s="553">
        <f>IF(Summary!F28&gt;0,Summary!F28/Summary!F$35,0)</f>
        <v>0</v>
      </c>
      <c r="G71" s="553">
        <f>IF(Summary!G28&gt;0,Summary!G28/Summary!G$35,0)</f>
        <v>0</v>
      </c>
      <c r="H71" s="553">
        <f>IF(Summary!H28&gt;0,Summary!H28/Summary!H$35,0)</f>
        <v>0</v>
      </c>
      <c r="I71" s="553">
        <f>IF(Summary!I28&gt;0,Summary!I28/Summary!I$35,0)</f>
        <v>0</v>
      </c>
      <c r="J71" s="553">
        <f>IF(Summary!J28&gt;0,Summary!J28/Summary!J$35,0)</f>
        <v>0</v>
      </c>
      <c r="K71" s="553">
        <f>IF(Summary!K28&gt;0,Summary!K28/Summary!K$35,0)</f>
        <v>0</v>
      </c>
      <c r="L71" s="553">
        <f>IF(Summary!L28&gt;0,Summary!L28/Summary!L$35,0)</f>
        <v>0</v>
      </c>
    </row>
    <row r="72" spans="1:12" ht="13.8">
      <c r="A72" s="290">
        <f>ROW()</f>
        <v>72</v>
      </c>
      <c r="B72" s="32" t="str">
        <f>+Summary!B29</f>
        <v>Food Services</v>
      </c>
      <c r="C72" s="352">
        <f>IFERROR(Summary!C29/Summary!C$35,)</f>
        <v>3.7279076021986109E-2</v>
      </c>
      <c r="D72" s="352"/>
      <c r="E72" s="352"/>
      <c r="F72" s="553">
        <f>IF(Summary!F29&gt;0,Summary!F29/Summary!F$35,0)</f>
        <v>0</v>
      </c>
      <c r="G72" s="553">
        <f>IF(Summary!G29&gt;0,Summary!G29/Summary!G$35,0)</f>
        <v>3.9426631126289018E-2</v>
      </c>
      <c r="H72" s="553">
        <f>IF(Summary!H29&gt;0,Summary!H29/Summary!H$35,0)</f>
        <v>3.7246926978839898E-2</v>
      </c>
      <c r="I72" s="553">
        <f>IF(Summary!I29&gt;0,Summary!I29/Summary!I$35,0)</f>
        <v>3.7088515398486052E-2</v>
      </c>
      <c r="J72" s="553">
        <f>IF(Summary!J29&gt;0,Summary!J29/Summary!J$35,0)</f>
        <v>3.7063994621385737E-2</v>
      </c>
      <c r="K72" s="553">
        <f>IF(Summary!K29&gt;0,Summary!K29/Summary!K$35,0)</f>
        <v>3.6868989506966675E-2</v>
      </c>
      <c r="L72" s="553">
        <f>IF(Summary!L29&gt;0,Summary!L29/Summary!L$35,0)</f>
        <v>3.6868989506966675E-2</v>
      </c>
    </row>
    <row r="73" spans="1:12" ht="13.8">
      <c r="A73" s="290">
        <f>ROW()</f>
        <v>73</v>
      </c>
      <c r="B73" s="32" t="str">
        <f>+Summary!B30</f>
        <v>Transportation</v>
      </c>
      <c r="C73" s="352">
        <f>IFERROR(Summary!C30/Summary!C$35,)</f>
        <v>0</v>
      </c>
      <c r="D73" s="352"/>
      <c r="E73" s="352"/>
      <c r="F73" s="553">
        <f>IF(Summary!F30&gt;0,Summary!F30/Summary!F$35,0)</f>
        <v>0</v>
      </c>
      <c r="G73" s="553">
        <f>IF(Summary!G30&gt;0,Summary!G30/Summary!G$35,0)</f>
        <v>0</v>
      </c>
      <c r="H73" s="553">
        <f>IF(Summary!H30&gt;0,Summary!H30/Summary!H$35,0)</f>
        <v>0</v>
      </c>
      <c r="I73" s="553">
        <f>IF(Summary!I30&gt;0,Summary!I30/Summary!I$35,0)</f>
        <v>0</v>
      </c>
      <c r="J73" s="553">
        <f>IF(Summary!J30&gt;0,Summary!J30/Summary!J$35,0)</f>
        <v>0</v>
      </c>
      <c r="K73" s="553">
        <f>IF(Summary!K30&gt;0,Summary!K30/Summary!K$35,0)</f>
        <v>0</v>
      </c>
      <c r="L73" s="553">
        <f>IF(Summary!L30&gt;0,Summary!L30/Summary!L$35,0)</f>
        <v>0</v>
      </c>
    </row>
    <row r="74" spans="1:12" ht="13.8">
      <c r="A74" s="290">
        <f>ROW()</f>
        <v>74</v>
      </c>
      <c r="B74" s="32" t="str">
        <f>+Summary!B31</f>
        <v>Investment Income</v>
      </c>
      <c r="C74" s="352">
        <f>IFERROR(Summary!C31/Summary!C$35,)</f>
        <v>0</v>
      </c>
      <c r="D74" s="352"/>
      <c r="E74" s="352"/>
      <c r="F74" s="553">
        <f>IF(Summary!F31&gt;0,Summary!F31/Summary!F$35,0)</f>
        <v>0</v>
      </c>
      <c r="G74" s="553">
        <f>IF(Summary!G31&gt;0,Summary!G31/Summary!G$35,0)</f>
        <v>0</v>
      </c>
      <c r="H74" s="553">
        <f>IF(Summary!H31&gt;0,Summary!H31/Summary!H$35,0)</f>
        <v>0</v>
      </c>
      <c r="I74" s="553">
        <f>IF(Summary!I31&gt;0,Summary!I31/Summary!I$35,0)</f>
        <v>0</v>
      </c>
      <c r="J74" s="553">
        <f>IF(Summary!J31&gt;0,Summary!J31/Summary!J$35,0)</f>
        <v>0</v>
      </c>
      <c r="K74" s="553">
        <f>IF(Summary!K31&gt;0,Summary!K31/Summary!K$35,0)</f>
        <v>0</v>
      </c>
      <c r="L74" s="553">
        <f>IF(Summary!L31&gt;0,Summary!L31/Summary!L$35,0)</f>
        <v>0</v>
      </c>
    </row>
    <row r="75" spans="1:12" ht="13.8">
      <c r="A75" s="290">
        <f>ROW()</f>
        <v>75</v>
      </c>
      <c r="B75" s="32" t="str">
        <f>+Summary!B32</f>
        <v>School level fundraising</v>
      </c>
      <c r="C75" s="352">
        <f>IFERROR(Summary!C32/Summary!C$35,)</f>
        <v>0</v>
      </c>
      <c r="D75" s="352"/>
      <c r="E75" s="352"/>
      <c r="F75" s="553">
        <f>IF(Summary!F32&gt;0,Summary!F32/Summary!F$35,0)</f>
        <v>0</v>
      </c>
      <c r="G75" s="553">
        <f>IF(Summary!G32&gt;0,Summary!G32/Summary!G$35,0)</f>
        <v>0</v>
      </c>
      <c r="H75" s="553">
        <f>IF(Summary!H32&gt;0,Summary!H32/Summary!H$35,0)</f>
        <v>0</v>
      </c>
      <c r="I75" s="553">
        <f>IF(Summary!I32&gt;0,Summary!I32/Summary!I$35,0)</f>
        <v>0</v>
      </c>
      <c r="J75" s="553">
        <f>IF(Summary!J32&gt;0,Summary!J32/Summary!J$35,0)</f>
        <v>0</v>
      </c>
      <c r="K75" s="553">
        <f>IF(Summary!K32&gt;0,Summary!K32/Summary!K$35,0)</f>
        <v>0</v>
      </c>
      <c r="L75" s="553">
        <f>IF(Summary!L32&gt;0,Summary!L32/Summary!L$35,0)</f>
        <v>0</v>
      </c>
    </row>
    <row r="76" spans="1:12" ht="13.8">
      <c r="A76" s="290">
        <f>ROW()</f>
        <v>76</v>
      </c>
      <c r="B76" s="32" t="str">
        <f>+Summary!B33</f>
        <v>Private fundraising (foundations, corporate)</v>
      </c>
      <c r="C76" s="352">
        <f>IFERROR(Summary!C33/Summary!C$35,)</f>
        <v>0</v>
      </c>
      <c r="D76" s="352"/>
      <c r="E76" s="352"/>
      <c r="F76" s="553">
        <f>IF(Summary!F33&gt;0,Summary!F33/Summary!F$35,0)</f>
        <v>0</v>
      </c>
      <c r="G76" s="553">
        <f>IF(Summary!G33&gt;0,Summary!G33/Summary!G$35,0)</f>
        <v>0</v>
      </c>
      <c r="H76" s="553">
        <f>IF(Summary!H33&gt;0,Summary!H33/Summary!H$35,0)</f>
        <v>0</v>
      </c>
      <c r="I76" s="553">
        <f>IF(Summary!I33&gt;0,Summary!I33/Summary!I$35,0)</f>
        <v>0</v>
      </c>
      <c r="J76" s="553">
        <f>IF(Summary!J33&gt;0,Summary!J33/Summary!J$35,0)</f>
        <v>0</v>
      </c>
      <c r="K76" s="553">
        <f>IF(Summary!K33&gt;0,Summary!K33/Summary!K$35,0)</f>
        <v>0</v>
      </c>
      <c r="L76" s="553">
        <f>IF(Summary!L33&gt;0,Summary!L33/Summary!L$35,0)</f>
        <v>0</v>
      </c>
    </row>
    <row r="77" spans="1:12" ht="13.8">
      <c r="A77" s="290">
        <f>ROW()</f>
        <v>77</v>
      </c>
      <c r="B77" s="32" t="str">
        <f>+Summary!B34</f>
        <v>Private fundraising (individuals)</v>
      </c>
      <c r="C77" s="352">
        <f>IFERROR(Summary!C34/Summary!C$35,)</f>
        <v>0</v>
      </c>
      <c r="D77" s="352"/>
      <c r="E77" s="352"/>
      <c r="F77" s="553">
        <f>IF(Summary!F34&gt;0,Summary!F34/Summary!F$35,0)</f>
        <v>0</v>
      </c>
      <c r="G77" s="553">
        <f>IF(Summary!G34&gt;0,Summary!G34/Summary!G$35,0)</f>
        <v>0</v>
      </c>
      <c r="H77" s="553">
        <f>IF(Summary!H34&gt;0,Summary!H34/Summary!H$35,0)</f>
        <v>0</v>
      </c>
      <c r="I77" s="553">
        <f>IF(Summary!I34&gt;0,Summary!I34/Summary!I$35,0)</f>
        <v>0</v>
      </c>
      <c r="J77" s="553">
        <f>IF(Summary!J34&gt;0,Summary!J34/Summary!J$35,0)</f>
        <v>0</v>
      </c>
      <c r="K77" s="553">
        <f>IF(Summary!K34&gt;0,Summary!K34/Summary!K$35,0)</f>
        <v>0</v>
      </c>
      <c r="L77" s="553">
        <f>IF(Summary!L34&gt;0,Summary!L34/Summary!L$35,0)</f>
        <v>0</v>
      </c>
    </row>
    <row r="78" spans="1:12" ht="13.8">
      <c r="A78" s="290">
        <f>ROW()</f>
        <v>78</v>
      </c>
      <c r="B78" s="697" t="s">
        <v>102</v>
      </c>
      <c r="C78" s="585">
        <f>IFERROR(Summary!C35/Summary!C$35,0)</f>
        <v>1</v>
      </c>
      <c r="D78" s="585"/>
      <c r="E78" s="585"/>
      <c r="F78" s="966">
        <f>IF(Summary!F35&gt;0,Summary!F35/Summary!F$35,0)</f>
        <v>0</v>
      </c>
      <c r="G78" s="966">
        <f>IF(Summary!G35&gt;0,Summary!G35/Summary!G$35,0)</f>
        <v>1</v>
      </c>
      <c r="H78" s="966">
        <f>IF(Summary!H35&gt;0,Summary!H35/Summary!H$35,0)</f>
        <v>1</v>
      </c>
      <c r="I78" s="966">
        <f>IF(Summary!I35&gt;0,Summary!I35/Summary!I$35,0)</f>
        <v>1</v>
      </c>
      <c r="J78" s="966">
        <f>IF(Summary!J35&gt;0,Summary!J35/Summary!J$35,0)</f>
        <v>1</v>
      </c>
      <c r="K78" s="966">
        <f>IF(Summary!K35&gt;0,Summary!K35/Summary!K$35,0)</f>
        <v>1</v>
      </c>
      <c r="L78" s="966">
        <f>IF(Summary!L35&gt;0,Summary!L35/Summary!L$35,0)</f>
        <v>1</v>
      </c>
    </row>
    <row r="79" spans="1:12" ht="13.8">
      <c r="A79" s="290">
        <f>ROW()</f>
        <v>79</v>
      </c>
      <c r="B79" s="32"/>
      <c r="C79" s="54"/>
      <c r="D79" s="54"/>
      <c r="E79" s="54"/>
      <c r="F79" s="434"/>
      <c r="G79" s="434"/>
      <c r="H79" s="434"/>
      <c r="I79" s="434"/>
      <c r="J79" s="434"/>
      <c r="K79" s="434"/>
      <c r="L79" s="434"/>
    </row>
    <row r="80" spans="1:12" ht="15.6">
      <c r="A80" s="290">
        <f>ROW()</f>
        <v>80</v>
      </c>
      <c r="B80" s="1454" t="s">
        <v>109</v>
      </c>
      <c r="C80" s="1455"/>
      <c r="D80" s="1455"/>
      <c r="E80" s="1455"/>
      <c r="F80" s="1456">
        <f>Summary!F$6</f>
        <v>0</v>
      </c>
      <c r="G80" s="1456">
        <f>Summary!G$6</f>
        <v>1</v>
      </c>
      <c r="H80" s="1456">
        <f>Summary!H$6</f>
        <v>2</v>
      </c>
      <c r="I80" s="1456">
        <f>Summary!I$6</f>
        <v>3</v>
      </c>
      <c r="J80" s="1456">
        <f>Summary!J$6</f>
        <v>4</v>
      </c>
      <c r="K80" s="1456">
        <f>Summary!K$6</f>
        <v>5</v>
      </c>
      <c r="L80" s="1456">
        <f>Summary!L$6</f>
        <v>6</v>
      </c>
    </row>
    <row r="81" spans="1:12" ht="13.8">
      <c r="A81" s="290">
        <f>ROW()</f>
        <v>81</v>
      </c>
      <c r="B81" s="30" t="s">
        <v>110</v>
      </c>
      <c r="C81" s="353">
        <f>IFERROR(Summary!C44/Summary!C$35,0)</f>
        <v>0.63693965881782422</v>
      </c>
      <c r="D81" s="353"/>
      <c r="E81" s="353"/>
      <c r="F81" s="571">
        <f>IFERROR(Summary!F44/Summary!F$35,0)</f>
        <v>0</v>
      </c>
      <c r="G81" s="571">
        <f>IFERROR(Summary!G44/Summary!G$35,0)</f>
        <v>0.63636094517303488</v>
      </c>
      <c r="H81" s="571">
        <f>IFERROR(Summary!H44/Summary!H$35,0)</f>
        <v>0.63415174006941999</v>
      </c>
      <c r="I81" s="571">
        <f>IFERROR(Summary!I44/Summary!I$35,0)</f>
        <v>0.62299294822466589</v>
      </c>
      <c r="J81" s="571">
        <f>IFERROR(Summary!J44/Summary!J$35,0)</f>
        <v>0.64341857610746789</v>
      </c>
      <c r="K81" s="571">
        <f>IFERROR(Summary!K44/Summary!K$35,0)</f>
        <v>0.64075142411055996</v>
      </c>
      <c r="L81" s="571">
        <f>IFERROR(Summary!L44/Summary!L$35,0)</f>
        <v>0.64148385724893042</v>
      </c>
    </row>
    <row r="82" spans="1:12" ht="13.8">
      <c r="A82" s="290">
        <f>ROW()</f>
        <v>82</v>
      </c>
      <c r="B82" s="30" t="s">
        <v>45</v>
      </c>
      <c r="C82" s="353">
        <f>IFERROR(Summary!C45/Summary!C$35,0)</f>
        <v>9.3927721816927059E-2</v>
      </c>
      <c r="D82" s="353"/>
      <c r="E82" s="353"/>
      <c r="F82" s="571">
        <f>IFERROR(Summary!F45/Summary!F$35,0)</f>
        <v>0</v>
      </c>
      <c r="G82" s="571">
        <f>IFERROR(Summary!G45/Summary!G$35,0)</f>
        <v>9.1962498027121475E-2</v>
      </c>
      <c r="H82" s="571">
        <f>IFERROR(Summary!H45/Summary!H$35,0)</f>
        <v>8.9308169306572538E-2</v>
      </c>
      <c r="I82" s="571">
        <f>IFERROR(Summary!I45/Summary!I$35,0)</f>
        <v>9.1416900471151363E-2</v>
      </c>
      <c r="J82" s="571">
        <f>IFERROR(Summary!J45/Summary!J$35,0)</f>
        <v>9.3914399386128999E-2</v>
      </c>
      <c r="K82" s="571">
        <f>IFERROR(Summary!K45/Summary!K$35,0)</f>
        <v>9.6037465649836604E-2</v>
      </c>
      <c r="L82" s="571">
        <f>IFERROR(Summary!L45/Summary!L$35,0)</f>
        <v>9.8729451325734352E-2</v>
      </c>
    </row>
    <row r="83" spans="1:12" ht="13.8">
      <c r="A83" s="290">
        <f>ROW()</f>
        <v>83</v>
      </c>
      <c r="B83" s="30" t="s">
        <v>111</v>
      </c>
      <c r="C83" s="353">
        <f>IFERROR(Summary!C46/Summary!C$35,0)</f>
        <v>0.11031459592019618</v>
      </c>
      <c r="D83" s="353"/>
      <c r="E83" s="353"/>
      <c r="F83" s="571">
        <f>IFERROR(Summary!F46/Summary!F$35,0)</f>
        <v>0</v>
      </c>
      <c r="G83" s="571">
        <f>IFERROR(Summary!G46/Summary!G$35,0)</f>
        <v>0.11625312785461832</v>
      </c>
      <c r="H83" s="571">
        <f>IFERROR(Summary!H46/Summary!H$35,0)</f>
        <v>0.1053299820942164</v>
      </c>
      <c r="I83" s="571">
        <f>IFERROR(Summary!I46/Summary!I$35,0)</f>
        <v>0.10582927402440601</v>
      </c>
      <c r="J83" s="571">
        <f>IFERROR(Summary!J46/Summary!J$35,0)</f>
        <v>0.10803857919240124</v>
      </c>
      <c r="K83" s="571">
        <f>IFERROR(Summary!K46/Summary!K$35,0)</f>
        <v>0.10960087765672112</v>
      </c>
      <c r="L83" s="571">
        <f>IFERROR(Summary!L46/Summary!L$35,0)</f>
        <v>0.1176996140676813</v>
      </c>
    </row>
    <row r="84" spans="1:12" ht="13.8">
      <c r="A84" s="290">
        <f>ROW()</f>
        <v>84</v>
      </c>
      <c r="B84" s="30" t="s">
        <v>193</v>
      </c>
      <c r="C84" s="353">
        <f>IFERROR(Summary!C47/Summary!C$35,0)</f>
        <v>0</v>
      </c>
      <c r="D84" s="353"/>
      <c r="E84" s="353"/>
      <c r="F84" s="571">
        <f>IFERROR(Summary!F47/Summary!F$35,0)</f>
        <v>0</v>
      </c>
      <c r="G84" s="571">
        <f>IFERROR(Summary!G47/Summary!G$35,0)</f>
        <v>0</v>
      </c>
      <c r="H84" s="571">
        <f>IFERROR(Summary!H47/Summary!H$35,0)</f>
        <v>0</v>
      </c>
      <c r="I84" s="571">
        <f>IFERROR(Summary!I47/Summary!I$35,0)</f>
        <v>0</v>
      </c>
      <c r="J84" s="571">
        <f>IFERROR(Summary!J47/Summary!J$35,0)</f>
        <v>0</v>
      </c>
      <c r="K84" s="571">
        <f>IFERROR(Summary!K47/Summary!K$35,0)</f>
        <v>0</v>
      </c>
      <c r="L84" s="571">
        <f>IFERROR(Summary!L47/Summary!L$35,0)</f>
        <v>0</v>
      </c>
    </row>
    <row r="85" spans="1:12" ht="13.8">
      <c r="A85" s="290">
        <f>ROW()</f>
        <v>85</v>
      </c>
      <c r="B85" s="32" t="s">
        <v>53</v>
      </c>
      <c r="C85" s="353">
        <f>IFERROR(Summary!C48/Summary!C$35,0)</f>
        <v>9.7242840268183797E-4</v>
      </c>
      <c r="D85" s="352"/>
      <c r="E85" s="352"/>
      <c r="F85" s="553">
        <f>IFERROR(Summary!F48/Summary!F$35,0)</f>
        <v>0</v>
      </c>
      <c r="G85" s="553">
        <f>IFERROR(Summary!G48/Summary!G$35,0)</f>
        <v>1.4803412294598815E-3</v>
      </c>
      <c r="H85" s="553">
        <f>IFERROR(Summary!H48/Summary!H$35,0)</f>
        <v>1.098821788228211E-3</v>
      </c>
      <c r="I85" s="553">
        <f>IFERROR(Summary!I48/Summary!I$35,0)</f>
        <v>9.5737992644441474E-4</v>
      </c>
      <c r="J85" s="553">
        <f>IFERROR(Summary!J48/Summary!J$35,0)</f>
        <v>8.5044174428200914E-4</v>
      </c>
      <c r="K85" s="553">
        <f>IFERROR(Summary!K48/Summary!K$35,0)</f>
        <v>8.4596730780141531E-4</v>
      </c>
      <c r="L85" s="553">
        <f>IFERROR(Summary!L48/Summary!L$35,0)</f>
        <v>8.4596730780141531E-4</v>
      </c>
    </row>
    <row r="86" spans="1:12" ht="13.8">
      <c r="A86" s="290">
        <f>ROW()</f>
        <v>86</v>
      </c>
      <c r="B86" s="32" t="s">
        <v>113</v>
      </c>
      <c r="C86" s="353">
        <f>IFERROR(Summary!C49/Summary!C$35,0)</f>
        <v>2.6766132301667703E-2</v>
      </c>
      <c r="D86" s="352"/>
      <c r="E86" s="352"/>
      <c r="F86" s="553">
        <f>IFERROR(Summary!F49/Summary!F$35,0)</f>
        <v>0</v>
      </c>
      <c r="G86" s="553">
        <f>IFERROR(Summary!G49/Summary!G$35,0)</f>
        <v>5.9972447420262573E-2</v>
      </c>
      <c r="H86" s="553">
        <f>IFERROR(Summary!H49/Summary!H$35,0)</f>
        <v>2.5118241962555733E-2</v>
      </c>
      <c r="I86" s="553">
        <f>IFERROR(Summary!I49/Summary!I$35,0)</f>
        <v>2.1034434800589162E-2</v>
      </c>
      <c r="J86" s="553">
        <f>IFERROR(Summary!J49/Summary!J$35,0)</f>
        <v>2.0673246621460646E-2</v>
      </c>
      <c r="K86" s="553">
        <f>IFERROR(Summary!K49/Summary!K$35,0)</f>
        <v>1.6014161136680791E-2</v>
      </c>
      <c r="L86" s="553">
        <f>IFERROR(Summary!L49/Summary!L$35,0)</f>
        <v>3.0935966987163006E-2</v>
      </c>
    </row>
    <row r="87" spans="1:12" ht="13.8">
      <c r="A87" s="290">
        <f>ROW()</f>
        <v>87</v>
      </c>
      <c r="B87" s="32" t="s">
        <v>96</v>
      </c>
      <c r="C87" s="353">
        <f>IFERROR(Summary!C50/Summary!C$35,0)</f>
        <v>0</v>
      </c>
      <c r="D87" s="352"/>
      <c r="E87" s="352"/>
      <c r="F87" s="553">
        <f>IFERROR(Summary!F50/Summary!F$35,0)</f>
        <v>0</v>
      </c>
      <c r="G87" s="553">
        <f>IFERROR(Summary!G50/Summary!G$35,0)</f>
        <v>0</v>
      </c>
      <c r="H87" s="553">
        <f>IFERROR(Summary!H50/Summary!H$35,0)</f>
        <v>0</v>
      </c>
      <c r="I87" s="553">
        <f>IFERROR(Summary!I50/Summary!I$35,0)</f>
        <v>0</v>
      </c>
      <c r="J87" s="553">
        <f>IFERROR(Summary!J50/Summary!J$35,0)</f>
        <v>0</v>
      </c>
      <c r="K87" s="553">
        <f>IFERROR(Summary!K50/Summary!K$35,0)</f>
        <v>0</v>
      </c>
      <c r="L87" s="553">
        <f>IFERROR(Summary!L50/Summary!L$35,0)</f>
        <v>0</v>
      </c>
    </row>
    <row r="88" spans="1:12" ht="13.8">
      <c r="A88" s="290">
        <f>ROW()</f>
        <v>88</v>
      </c>
      <c r="B88" s="32" t="s">
        <v>51</v>
      </c>
      <c r="C88" s="353">
        <f>IFERROR(Summary!C52/Summary!C$35,0)</f>
        <v>4.3191783042877997E-3</v>
      </c>
      <c r="D88" s="352"/>
      <c r="E88" s="352"/>
      <c r="F88" s="553">
        <f>IFERROR(Summary!F52/Summary!F$35,0)</f>
        <v>0</v>
      </c>
      <c r="G88" s="553">
        <f>IFERROR(Summary!G52/Summary!G$35,0)</f>
        <v>6.0990058653747114E-3</v>
      </c>
      <c r="H88" s="553">
        <f>IFERROR(Summary!H52/Summary!H$35,0)</f>
        <v>4.6629601405252363E-3</v>
      </c>
      <c r="I88" s="553">
        <f>IFERROR(Summary!I52/Summary!I$35,0)</f>
        <v>4.184619579535304E-3</v>
      </c>
      <c r="J88" s="553">
        <f>IFERROR(Summary!J52/Summary!J$35,0)</f>
        <v>3.8287187023246733E-3</v>
      </c>
      <c r="K88" s="553">
        <f>IFERROR(Summary!K52/Summary!K$35,0)</f>
        <v>3.9228318705581949E-3</v>
      </c>
      <c r="L88" s="553">
        <f>IFERROR(Summary!L52/Summary!L$35,0)</f>
        <v>4.0405168266749412E-3</v>
      </c>
    </row>
    <row r="89" spans="1:12" ht="13.8">
      <c r="A89" s="290">
        <f>ROW()</f>
        <v>89</v>
      </c>
      <c r="B89" s="32" t="s">
        <v>194</v>
      </c>
      <c r="C89" s="353">
        <f>IFERROR(Summary!#REF!/Summary!C$35,0)</f>
        <v>0</v>
      </c>
      <c r="D89" s="352"/>
      <c r="E89" s="352"/>
      <c r="F89" s="553">
        <f>IFERROR(Summary!#REF!/Summary!F$35,0)</f>
        <v>0</v>
      </c>
      <c r="G89" s="553">
        <f>IFERROR(Summary!#REF!/Summary!G$35,0)</f>
        <v>0</v>
      </c>
      <c r="H89" s="553">
        <f>IFERROR(Summary!#REF!/Summary!H$35,0)</f>
        <v>0</v>
      </c>
      <c r="I89" s="553">
        <f>IFERROR(Summary!#REF!/Summary!I$35,0)</f>
        <v>0</v>
      </c>
      <c r="J89" s="553">
        <f>IFERROR(Summary!#REF!/Summary!J$35,0)</f>
        <v>0</v>
      </c>
      <c r="K89" s="553">
        <f>IFERROR(Summary!#REF!/Summary!K$35,0)</f>
        <v>0</v>
      </c>
      <c r="L89" s="553">
        <f>IFERROR(Summary!#REF!/Summary!L$35,0)</f>
        <v>0</v>
      </c>
    </row>
    <row r="90" spans="1:12" ht="14.4" thickBot="1">
      <c r="A90" s="290">
        <f>ROW()</f>
        <v>90</v>
      </c>
      <c r="B90" s="1104" t="s">
        <v>114</v>
      </c>
      <c r="C90" s="585">
        <f>IFERROR(Summary!C54/Summary!C$35,0)</f>
        <v>0.87323971556358493</v>
      </c>
      <c r="D90" s="585"/>
      <c r="E90" s="585"/>
      <c r="F90" s="966">
        <f>IFERROR(Summary!F54/Summary!F$35,0)</f>
        <v>0</v>
      </c>
      <c r="G90" s="966">
        <f>IFERROR(Summary!G54/Summary!G$35,0)</f>
        <v>0.91212836556987176</v>
      </c>
      <c r="H90" s="966">
        <f>IFERROR(Summary!H54/Summary!H$35,0)</f>
        <v>0.85966991536151804</v>
      </c>
      <c r="I90" s="966">
        <f>IFERROR(Summary!I54/Summary!I$35,0)</f>
        <v>0.84641555702679216</v>
      </c>
      <c r="J90" s="966">
        <f>IFERROR(Summary!J54/Summary!J$35,0)</f>
        <v>0.87072396175406552</v>
      </c>
      <c r="K90" s="966">
        <f>IFERROR(Summary!K54/Summary!K$35,0)</f>
        <v>0.86717272773215803</v>
      </c>
      <c r="L90" s="966">
        <f>IFERROR(Summary!L54/Summary!L$35,0)</f>
        <v>0.89373537376398549</v>
      </c>
    </row>
    <row r="91" spans="1:12" ht="14.4" thickBot="1">
      <c r="A91" s="290">
        <f>ROW()</f>
        <v>91</v>
      </c>
      <c r="B91" s="355" t="s">
        <v>195</v>
      </c>
      <c r="C91" s="356">
        <f>IFERROR(Summary!C60/Summary!C$35,0)</f>
        <v>0.12676028443641502</v>
      </c>
      <c r="D91" s="356"/>
      <c r="E91" s="356"/>
      <c r="F91" s="554">
        <f>IFERROR(Summary!F60/Summary!F$35,0)</f>
        <v>0</v>
      </c>
      <c r="G91" s="554">
        <f>IFERROR(Summary!G60/Summary!G$35,0)</f>
        <v>6.962906711873082E-2</v>
      </c>
      <c r="H91" s="554">
        <f>IFERROR(Summary!H60/Summary!H$35,0)</f>
        <v>0.12313668633125158</v>
      </c>
      <c r="I91" s="554">
        <f>IFERROR(Summary!I60/Summary!I$35,0)</f>
        <v>0.13665613183267195</v>
      </c>
      <c r="J91" s="554">
        <f>IFERROR(Summary!J60/Summary!J$35,0)</f>
        <v>0.11186155901085315</v>
      </c>
      <c r="K91" s="554">
        <f>IFERROR(Summary!K60/Summary!K$35,0)</f>
        <v>0.11548381771319875</v>
      </c>
      <c r="L91" s="554">
        <f>IFERROR(Summary!L60/Summary!L$35,0)</f>
        <v>8.8389918760734806E-2</v>
      </c>
    </row>
    <row r="92" spans="1:12" ht="14.4">
      <c r="A92" s="290">
        <f>ROW()</f>
        <v>92</v>
      </c>
      <c r="B92" s="154" t="s">
        <v>118</v>
      </c>
      <c r="C92" s="608"/>
      <c r="D92" s="608"/>
      <c r="E92" s="608"/>
      <c r="F92" s="113">
        <f>+Summary!F61</f>
        <v>0</v>
      </c>
      <c r="G92" s="113">
        <f>+Summary!G61</f>
        <v>855.19677039886687</v>
      </c>
      <c r="H92" s="113">
        <f>+Summary!H61</f>
        <v>1600.892463057475</v>
      </c>
      <c r="I92" s="113">
        <f>+Summary!I61</f>
        <v>1784.2463589689405</v>
      </c>
      <c r="J92" s="113">
        <f>+Summary!J61</f>
        <v>1461.4830699321246</v>
      </c>
      <c r="K92" s="113">
        <f>+Summary!K61</f>
        <v>1516.788554727299</v>
      </c>
      <c r="L92" s="113">
        <f>+Summary!L61</f>
        <v>1160.931633404387</v>
      </c>
    </row>
    <row r="93" spans="1:12" ht="13.8">
      <c r="A93" s="290">
        <f>ROW()</f>
        <v>93</v>
      </c>
      <c r="B93" s="30" t="s">
        <v>1193</v>
      </c>
      <c r="C93" s="52"/>
      <c r="D93" s="52"/>
      <c r="E93" s="52"/>
      <c r="F93" s="1457">
        <f>IFERROR(Summary!F$45/Summary!F$15,0)</f>
        <v>0</v>
      </c>
      <c r="G93" s="1457">
        <f>IFERROR(Summary!G$45/Summary!G$15,0)</f>
        <v>9.817470664928292E-2</v>
      </c>
      <c r="H93" s="1457">
        <f>IFERROR(Summary!H$45/Summary!H$15,0)</f>
        <v>9.8039341406997271E-2</v>
      </c>
      <c r="I93" s="1457">
        <f>IFERROR(Summary!I$45/Summary!I$15,0)</f>
        <v>0.10067852880448537</v>
      </c>
      <c r="J93" s="1457">
        <f>IFERROR(Summary!J$45/Summary!J$15,0)</f>
        <v>0.10348081672522053</v>
      </c>
      <c r="K93" s="1457">
        <f>IFERROR(Summary!K$45/Summary!K$15,0)</f>
        <v>0.10624299299060953</v>
      </c>
      <c r="L93" s="1457">
        <f>IFERROR(Summary!L$45/Summary!L$15,0)</f>
        <v>0.10922104549709727</v>
      </c>
    </row>
    <row r="94" spans="1:12" ht="13.8">
      <c r="A94" s="290">
        <f>ROW()</f>
        <v>94</v>
      </c>
      <c r="B94" s="32" t="s">
        <v>196</v>
      </c>
      <c r="C94" s="92">
        <f>+C18</f>
        <v>0</v>
      </c>
      <c r="D94" s="92"/>
      <c r="E94" s="92"/>
      <c r="F94" s="109">
        <f t="shared" ref="F94:L94" si="22">+F18</f>
        <v>0</v>
      </c>
      <c r="G94" s="109">
        <f t="shared" si="22"/>
        <v>235179.11185968839</v>
      </c>
      <c r="H94" s="109">
        <f t="shared" si="22"/>
        <v>795491.47392980463</v>
      </c>
      <c r="I94" s="109">
        <f t="shared" si="22"/>
        <v>1509190.0175173809</v>
      </c>
      <c r="J94" s="109">
        <f t="shared" si="22"/>
        <v>2166857.3989868369</v>
      </c>
      <c r="K94" s="109">
        <f t="shared" si="22"/>
        <v>2849412.2486141212</v>
      </c>
      <c r="L94" s="109">
        <f t="shared" si="22"/>
        <v>3371831.4836460953</v>
      </c>
    </row>
    <row r="95" spans="1:12" ht="13.8">
      <c r="A95" s="290">
        <f>ROW()</f>
        <v>95</v>
      </c>
      <c r="B95" s="32"/>
      <c r="C95" s="32"/>
      <c r="D95" s="32"/>
      <c r="E95" s="32"/>
      <c r="F95" s="429"/>
      <c r="G95" s="429"/>
      <c r="H95" s="429"/>
      <c r="I95" s="429"/>
      <c r="J95" s="429"/>
      <c r="K95" s="429"/>
      <c r="L95" s="429"/>
    </row>
    <row r="96" spans="1:12" ht="17.399999999999999">
      <c r="A96" s="290">
        <f>ROW()</f>
        <v>96</v>
      </c>
      <c r="B96" s="1448" t="s">
        <v>197</v>
      </c>
      <c r="C96" s="1449"/>
      <c r="D96" s="1449"/>
      <c r="E96" s="1449"/>
      <c r="F96" s="1450">
        <f>Summary!F6</f>
        <v>0</v>
      </c>
      <c r="G96" s="1458">
        <f>Summary!G6</f>
        <v>1</v>
      </c>
      <c r="H96" s="1458">
        <f>Summary!H6</f>
        <v>2</v>
      </c>
      <c r="I96" s="1458">
        <f>Summary!I6</f>
        <v>3</v>
      </c>
      <c r="J96" s="1458">
        <f>Summary!J6</f>
        <v>4</v>
      </c>
      <c r="K96" s="1458">
        <f>Summary!K6</f>
        <v>5</v>
      </c>
      <c r="L96" s="1458">
        <f>Summary!L6</f>
        <v>6</v>
      </c>
    </row>
    <row r="97" spans="1:12" ht="13.8">
      <c r="A97" s="290">
        <f>ROW()</f>
        <v>97</v>
      </c>
      <c r="B97" s="1454" t="s">
        <v>198</v>
      </c>
      <c r="C97" s="1459" t="s">
        <v>199</v>
      </c>
      <c r="D97" s="1460"/>
      <c r="E97" s="1460"/>
      <c r="F97" s="1461"/>
      <c r="G97" s="1461"/>
      <c r="H97" s="1461"/>
      <c r="I97" s="1461"/>
      <c r="J97" s="1461"/>
      <c r="K97" s="1461"/>
      <c r="L97" s="1461"/>
    </row>
    <row r="98" spans="1:12" ht="13.8">
      <c r="A98" s="290">
        <f>ROW()</f>
        <v>98</v>
      </c>
      <c r="B98" s="32" t="str">
        <f>+B58</f>
        <v>State &amp; Local Revenue w/o St SpEd</v>
      </c>
      <c r="C98" s="55">
        <f t="shared" ref="C98:C115" si="23">AVERAGE(G98:L98)</f>
        <v>11800.979987443226</v>
      </c>
      <c r="D98" s="351"/>
      <c r="E98" s="352"/>
      <c r="F98" s="552"/>
      <c r="G98" s="552">
        <f>IFERROR(Summary!G15/G$21,0)</f>
        <v>11505</v>
      </c>
      <c r="H98" s="552">
        <f>IFERROR(Summary!H15/H$21,0)</f>
        <v>11843.102812980858</v>
      </c>
      <c r="I98" s="552">
        <f>IFERROR(Summary!I15/I$21,0)</f>
        <v>11855.3758599105</v>
      </c>
      <c r="J98" s="552">
        <f>IFERROR(Summary!J15/J$21,0)</f>
        <v>11857.285000544</v>
      </c>
      <c r="K98" s="552">
        <f>IFERROR(Summary!K15/K$21,0)</f>
        <v>11872.558125612</v>
      </c>
      <c r="L98" s="552">
        <f>IFERROR(Summary!L15/L$21,0)</f>
        <v>11872.558125612</v>
      </c>
    </row>
    <row r="99" spans="1:12" ht="13.8">
      <c r="A99" s="290">
        <f>ROW()</f>
        <v>99</v>
      </c>
      <c r="B99" s="32" t="str">
        <f>+B59</f>
        <v>CS Sponsorship Fee (Infl' Adj'd)</v>
      </c>
      <c r="C99" s="51">
        <f t="shared" si="23"/>
        <v>-143.8125</v>
      </c>
      <c r="D99" s="51"/>
      <c r="E99" s="352"/>
      <c r="F99" s="87"/>
      <c r="G99" s="87">
        <f>IFERROR(Summary!G16/G$21,0)</f>
        <v>-143.8125</v>
      </c>
      <c r="H99" s="87">
        <f>IFERROR(Summary!H16/H$21,0)</f>
        <v>-143.8125</v>
      </c>
      <c r="I99" s="87">
        <f>IFERROR(Summary!I16/I$21,0)</f>
        <v>-143.8125</v>
      </c>
      <c r="J99" s="87">
        <f>IFERROR(Summary!J16/J$21,0)</f>
        <v>-143.8125</v>
      </c>
      <c r="K99" s="87">
        <f>IFERROR(Summary!K16/K$21,0)</f>
        <v>-143.8125</v>
      </c>
      <c r="L99" s="87">
        <f>IFERROR(Summary!L16/L$21,0)</f>
        <v>-143.8125</v>
      </c>
    </row>
    <row r="100" spans="1:12" ht="13.8">
      <c r="A100" s="290">
        <f>ROW()</f>
        <v>100</v>
      </c>
      <c r="B100" s="32" t="s">
        <v>90</v>
      </c>
      <c r="C100" s="51">
        <f t="shared" si="23"/>
        <v>367.35770833333328</v>
      </c>
      <c r="D100" s="51"/>
      <c r="E100" s="352"/>
      <c r="F100" s="87"/>
      <c r="G100" s="87">
        <f>IFERROR(Summary!G24/G$21,0)</f>
        <v>0</v>
      </c>
      <c r="H100" s="87">
        <f>IFERROR(Summary!H24/H$21,0)</f>
        <v>380.65499999999997</v>
      </c>
      <c r="I100" s="87">
        <f>IFERROR(Summary!I24/I$21,0)</f>
        <v>423.91125</v>
      </c>
      <c r="J100" s="87">
        <f>IFERROR(Summary!J24/J$21,0)</f>
        <v>430.64</v>
      </c>
      <c r="K100" s="87">
        <f>IFERROR(Summary!K24/K$21,0)</f>
        <v>484.47</v>
      </c>
      <c r="L100" s="87">
        <f>IFERROR(Summary!L24/L$21,0)</f>
        <v>484.47</v>
      </c>
    </row>
    <row r="101" spans="1:12" ht="13.8">
      <c r="A101" s="290">
        <f>ROW()</f>
        <v>101</v>
      </c>
      <c r="B101" s="32" t="s">
        <v>83</v>
      </c>
      <c r="C101" s="51">
        <f t="shared" si="23"/>
        <v>96</v>
      </c>
      <c r="D101" s="51"/>
      <c r="E101" s="352"/>
      <c r="F101" s="87"/>
      <c r="G101" s="87">
        <f>IFERROR(Summary!G17/G$21,0)</f>
        <v>96</v>
      </c>
      <c r="H101" s="87">
        <f>IFERROR(Summary!H17/H$21,0)</f>
        <v>96</v>
      </c>
      <c r="I101" s="87">
        <f>IFERROR(Summary!I17/I$21,0)</f>
        <v>96</v>
      </c>
      <c r="J101" s="87">
        <f>IFERROR(Summary!J17/J$21,0)</f>
        <v>96</v>
      </c>
      <c r="K101" s="87">
        <f>IFERROR(Summary!K17/K$21,0)</f>
        <v>96</v>
      </c>
      <c r="L101" s="87">
        <f>IFERROR(Summary!L17/L$21,0)</f>
        <v>96</v>
      </c>
    </row>
    <row r="102" spans="1:12" ht="13.8">
      <c r="A102" s="290">
        <f>ROW()</f>
        <v>102</v>
      </c>
      <c r="B102" s="32" t="s">
        <v>84</v>
      </c>
      <c r="C102" s="51">
        <f t="shared" si="23"/>
        <v>23.34</v>
      </c>
      <c r="D102" s="51"/>
      <c r="E102" s="352"/>
      <c r="F102" s="87"/>
      <c r="G102" s="87">
        <f>IFERROR(Summary!G18/G$21,0)</f>
        <v>23.34</v>
      </c>
      <c r="H102" s="87">
        <f>IFERROR(Summary!H18/H$21,0)</f>
        <v>23.34</v>
      </c>
      <c r="I102" s="87">
        <f>IFERROR(Summary!I18/I$21,0)</f>
        <v>23.34</v>
      </c>
      <c r="J102" s="87">
        <f>IFERROR(Summary!J18/J$21,0)</f>
        <v>23.34</v>
      </c>
      <c r="K102" s="87">
        <f>IFERROR(Summary!K18/K$21,0)</f>
        <v>23.34</v>
      </c>
      <c r="L102" s="87">
        <f>IFERROR(Summary!L18/L$21,0)</f>
        <v>23.34</v>
      </c>
    </row>
    <row r="103" spans="1:12" ht="13.8">
      <c r="A103" s="290">
        <f>ROW()</f>
        <v>103</v>
      </c>
      <c r="B103" s="32" t="s">
        <v>85</v>
      </c>
      <c r="C103" s="51">
        <f t="shared" si="23"/>
        <v>7.1779999999999999</v>
      </c>
      <c r="D103" s="51"/>
      <c r="E103" s="352"/>
      <c r="F103" s="87"/>
      <c r="G103" s="87">
        <f>IFERROR(Summary!G19/G$21,0)</f>
        <v>7.177999999999999</v>
      </c>
      <c r="H103" s="87">
        <f>IFERROR(Summary!H19/H$21,0)</f>
        <v>7.177999999999999</v>
      </c>
      <c r="I103" s="87">
        <f>IFERROR(Summary!I19/I$21,0)</f>
        <v>7.1779999999999999</v>
      </c>
      <c r="J103" s="87">
        <f>IFERROR(Summary!J19/J$21,0)</f>
        <v>7.1779999999999999</v>
      </c>
      <c r="K103" s="87">
        <f>IFERROR(Summary!K19/K$21,0)</f>
        <v>7.1779999999999999</v>
      </c>
      <c r="L103" s="87">
        <f>IFERROR(Summary!L19/L$21,0)</f>
        <v>7.1779999999999999</v>
      </c>
    </row>
    <row r="104" spans="1:12" ht="13.8">
      <c r="A104" s="290">
        <f>ROW()</f>
        <v>104</v>
      </c>
      <c r="B104" s="32" t="s">
        <v>87</v>
      </c>
      <c r="C104" s="51">
        <f t="shared" si="23"/>
        <v>0</v>
      </c>
      <c r="D104" s="51"/>
      <c r="E104" s="352"/>
      <c r="F104" s="87"/>
      <c r="G104" s="87">
        <f>IFERROR(Summary!G21/G$21,0)</f>
        <v>0</v>
      </c>
      <c r="H104" s="87">
        <f>IFERROR(Summary!H21/H$21,0)</f>
        <v>0</v>
      </c>
      <c r="I104" s="87">
        <f>IFERROR(Summary!I21/I$21,0)</f>
        <v>0</v>
      </c>
      <c r="J104" s="87">
        <f>IFERROR(Summary!J21/J$21,0)</f>
        <v>0</v>
      </c>
      <c r="K104" s="87">
        <f>IFERROR(Summary!K21/K$21,0)</f>
        <v>0</v>
      </c>
      <c r="L104" s="87">
        <f>IFERROR(Summary!L21/L$21,0)</f>
        <v>0</v>
      </c>
    </row>
    <row r="105" spans="1:12" ht="13.8">
      <c r="A105" s="290">
        <f>ROW()</f>
        <v>105</v>
      </c>
      <c r="B105" s="32" t="s">
        <v>88</v>
      </c>
      <c r="C105" s="51">
        <f t="shared" si="23"/>
        <v>183.6</v>
      </c>
      <c r="D105" s="51"/>
      <c r="E105" s="352"/>
      <c r="F105" s="87"/>
      <c r="G105" s="87">
        <f>IFERROR(Summary!G22/G$21,0)</f>
        <v>183.6</v>
      </c>
      <c r="H105" s="87">
        <f>IFERROR(Summary!H22/H$21,0)</f>
        <v>183.6</v>
      </c>
      <c r="I105" s="87">
        <f>IFERROR(Summary!I22/I$21,0)</f>
        <v>183.6</v>
      </c>
      <c r="J105" s="87">
        <f>IFERROR(Summary!J22/J$21,0)</f>
        <v>183.6</v>
      </c>
      <c r="K105" s="87">
        <f>IFERROR(Summary!K22/K$21,0)</f>
        <v>183.6</v>
      </c>
      <c r="L105" s="87">
        <f>IFERROR(Summary!L22/L$21,0)</f>
        <v>183.6</v>
      </c>
    </row>
    <row r="106" spans="1:12" ht="13.8">
      <c r="A106" s="290">
        <f>ROW()</f>
        <v>106</v>
      </c>
      <c r="B106" s="32" t="s">
        <v>89</v>
      </c>
      <c r="C106" s="51">
        <f t="shared" si="23"/>
        <v>126.63</v>
      </c>
      <c r="D106" s="51"/>
      <c r="E106" s="352"/>
      <c r="F106" s="87"/>
      <c r="G106" s="87">
        <f>IFERROR(Summary!G23/G$21,0)</f>
        <v>126.63</v>
      </c>
      <c r="H106" s="87">
        <f>IFERROR(Summary!H23/H$21,0)</f>
        <v>126.63</v>
      </c>
      <c r="I106" s="87">
        <f>IFERROR(Summary!I23/I$21,0)</f>
        <v>126.63</v>
      </c>
      <c r="J106" s="87">
        <f>IFERROR(Summary!J23/J$21,0)</f>
        <v>126.63</v>
      </c>
      <c r="K106" s="87">
        <f>IFERROR(Summary!K23/K$21,0)</f>
        <v>126.63</v>
      </c>
      <c r="L106" s="87">
        <f>IFERROR(Summary!L23/L$21,0)</f>
        <v>126.63</v>
      </c>
    </row>
    <row r="107" spans="1:12" ht="13.8">
      <c r="A107" s="290">
        <f>ROW()</f>
        <v>107</v>
      </c>
      <c r="B107" s="32" t="s">
        <v>96</v>
      </c>
      <c r="C107" s="51">
        <f t="shared" si="23"/>
        <v>0</v>
      </c>
      <c r="D107" s="51"/>
      <c r="E107" s="352"/>
      <c r="F107" s="87"/>
      <c r="G107" s="87">
        <f>IFERROR(Summary!G30/G$21,0)</f>
        <v>0</v>
      </c>
      <c r="H107" s="87">
        <f>IFERROR(Summary!H30/H$21,0)</f>
        <v>0</v>
      </c>
      <c r="I107" s="87">
        <f>IFERROR(Summary!I30/I$21,0)</f>
        <v>0</v>
      </c>
      <c r="J107" s="87">
        <f>IFERROR(Summary!J30/J$21,0)</f>
        <v>0</v>
      </c>
      <c r="K107" s="87">
        <f>IFERROR(Summary!K30/K$21,0)</f>
        <v>0</v>
      </c>
      <c r="L107" s="87">
        <f>IFERROR(Summary!L30/L$21,0)</f>
        <v>0</v>
      </c>
    </row>
    <row r="108" spans="1:12" ht="13.8">
      <c r="A108" s="290">
        <f>ROW()</f>
        <v>108</v>
      </c>
      <c r="B108" s="32" t="s">
        <v>200</v>
      </c>
      <c r="C108" s="51">
        <f t="shared" si="23"/>
        <v>0</v>
      </c>
      <c r="D108" s="51"/>
      <c r="E108" s="352"/>
      <c r="F108" s="87"/>
      <c r="G108" s="87">
        <f>IFERROR(Summary!G25/G$21,0)</f>
        <v>0</v>
      </c>
      <c r="H108" s="87">
        <f>IFERROR(Summary!H25/H$21,0)</f>
        <v>0</v>
      </c>
      <c r="I108" s="87">
        <f>IFERROR(Summary!I25/I$21,0)</f>
        <v>0</v>
      </c>
      <c r="J108" s="87">
        <f>IFERROR(Summary!J25/J$21,0)</f>
        <v>0</v>
      </c>
      <c r="K108" s="87">
        <f>IFERROR(Summary!K25/K$21,0)</f>
        <v>0</v>
      </c>
      <c r="L108" s="87">
        <f>IFERROR(Summary!L25/L$21,0)</f>
        <v>0</v>
      </c>
    </row>
    <row r="109" spans="1:12" ht="13.8">
      <c r="A109" s="290">
        <f>ROW()</f>
        <v>109</v>
      </c>
      <c r="B109" s="32" t="s">
        <v>201</v>
      </c>
      <c r="C109" s="51">
        <f t="shared" si="23"/>
        <v>0</v>
      </c>
      <c r="D109" s="51"/>
      <c r="E109" s="352"/>
      <c r="F109" s="87"/>
      <c r="G109" s="87">
        <f>IFERROR(Summary!G27/G$21,0)</f>
        <v>0</v>
      </c>
      <c r="H109" s="87">
        <f>IFERROR(Summary!H27/H$21,0)</f>
        <v>0</v>
      </c>
      <c r="I109" s="87">
        <f>IFERROR(Summary!I27/I$21,0)</f>
        <v>0</v>
      </c>
      <c r="J109" s="87">
        <f>IFERROR(Summary!J27/J$21,0)</f>
        <v>0</v>
      </c>
      <c r="K109" s="87">
        <f>IFERROR(Summary!K27/K$21,0)</f>
        <v>0</v>
      </c>
      <c r="L109" s="87">
        <f>IFERROR(Summary!L27/L$21,0)</f>
        <v>0</v>
      </c>
    </row>
    <row r="110" spans="1:12" ht="13.8">
      <c r="A110" s="290">
        <f>ROW()</f>
        <v>110</v>
      </c>
      <c r="B110" s="32" t="s">
        <v>202</v>
      </c>
      <c r="C110" s="51">
        <f t="shared" si="23"/>
        <v>0</v>
      </c>
      <c r="D110" s="51"/>
      <c r="E110" s="352"/>
      <c r="F110" s="87"/>
      <c r="G110" s="87">
        <f>IFERROR(Summary!G28/G$21,0)</f>
        <v>0</v>
      </c>
      <c r="H110" s="87">
        <f>IFERROR(Summary!H28/H$21,0)</f>
        <v>0</v>
      </c>
      <c r="I110" s="87">
        <f>IFERROR(Summary!I28/I$21,0)</f>
        <v>0</v>
      </c>
      <c r="J110" s="87">
        <f>IFERROR(Summary!J28/J$21,0)</f>
        <v>0</v>
      </c>
      <c r="K110" s="87">
        <f>IFERROR(Summary!K28/K$21,0)</f>
        <v>0</v>
      </c>
      <c r="L110" s="87">
        <f>IFERROR(Summary!L28/L$21,0)</f>
        <v>0</v>
      </c>
    </row>
    <row r="111" spans="1:12" ht="13.8">
      <c r="A111" s="290">
        <f>ROW()</f>
        <v>111</v>
      </c>
      <c r="B111" s="32" t="s">
        <v>97</v>
      </c>
      <c r="C111" s="51">
        <f t="shared" si="23"/>
        <v>0</v>
      </c>
      <c r="D111" s="51"/>
      <c r="E111" s="352"/>
      <c r="F111" s="87"/>
      <c r="G111" s="87">
        <f>IFERROR(Summary!G31/G$21,0)</f>
        <v>0</v>
      </c>
      <c r="H111" s="87">
        <f>IFERROR(Summary!H31/H$21,0)</f>
        <v>0</v>
      </c>
      <c r="I111" s="87">
        <f>IFERROR(Summary!I31/I$21,0)</f>
        <v>0</v>
      </c>
      <c r="J111" s="87">
        <f>IFERROR(Summary!J31/J$21,0)</f>
        <v>0</v>
      </c>
      <c r="K111" s="87">
        <f>IFERROR(Summary!K31/K$21,0)</f>
        <v>0</v>
      </c>
      <c r="L111" s="87">
        <f>IFERROR(Summary!L31/L$21,0)</f>
        <v>0</v>
      </c>
    </row>
    <row r="112" spans="1:12" ht="13.8">
      <c r="A112" s="290">
        <f>ROW()</f>
        <v>112</v>
      </c>
      <c r="B112" s="32" t="s">
        <v>98</v>
      </c>
      <c r="C112" s="51">
        <f t="shared" si="23"/>
        <v>0</v>
      </c>
      <c r="D112" s="51"/>
      <c r="E112" s="352"/>
      <c r="F112" s="87"/>
      <c r="G112" s="87">
        <f>IFERROR(Summary!G32/G$21,0)</f>
        <v>0</v>
      </c>
      <c r="H112" s="87">
        <f>IFERROR(Summary!H32/H$21,0)</f>
        <v>0</v>
      </c>
      <c r="I112" s="87">
        <f>IFERROR(Summary!I32/I$21,0)</f>
        <v>0</v>
      </c>
      <c r="J112" s="87">
        <f>IFERROR(Summary!J32/J$21,0)</f>
        <v>0</v>
      </c>
      <c r="K112" s="87">
        <f>IFERROR(Summary!K32/K$21,0)</f>
        <v>0</v>
      </c>
      <c r="L112" s="87">
        <f>IFERROR(Summary!L32/L$21,0)</f>
        <v>0</v>
      </c>
    </row>
    <row r="113" spans="1:12" ht="13.8">
      <c r="A113" s="290">
        <f>ROW()</f>
        <v>113</v>
      </c>
      <c r="B113" s="32" t="s">
        <v>99</v>
      </c>
      <c r="C113" s="51">
        <f t="shared" si="23"/>
        <v>0</v>
      </c>
      <c r="D113" s="51"/>
      <c r="E113" s="352"/>
      <c r="F113" s="87"/>
      <c r="G113" s="87">
        <f>IFERROR(Summary!G33/G$21,0)</f>
        <v>0</v>
      </c>
      <c r="H113" s="87">
        <f>IFERROR(Summary!H33/H$21,0)</f>
        <v>0</v>
      </c>
      <c r="I113" s="87">
        <f>IFERROR(Summary!I33/I$21,0)</f>
        <v>0</v>
      </c>
      <c r="J113" s="87">
        <f>IFERROR(Summary!J33/J$21,0)</f>
        <v>0</v>
      </c>
      <c r="K113" s="87">
        <f>IFERROR(Summary!K33/K$21,0)</f>
        <v>0</v>
      </c>
      <c r="L113" s="87">
        <f>IFERROR(Summary!L33/L$21,0)</f>
        <v>0</v>
      </c>
    </row>
    <row r="114" spans="1:12" ht="13.8">
      <c r="A114" s="290">
        <f>ROW()</f>
        <v>114</v>
      </c>
      <c r="B114" s="32" t="s">
        <v>101</v>
      </c>
      <c r="C114" s="51">
        <f t="shared" si="23"/>
        <v>0</v>
      </c>
      <c r="D114" s="51"/>
      <c r="E114" s="352"/>
      <c r="F114" s="87"/>
      <c r="G114" s="87">
        <f>IFERROR(Summary!#REF!/G$21,0)</f>
        <v>0</v>
      </c>
      <c r="H114" s="87">
        <f>IFERROR(Summary!#REF!/H$21,0)</f>
        <v>0</v>
      </c>
      <c r="I114" s="87">
        <f>IFERROR(Summary!#REF!/I$21,0)</f>
        <v>0</v>
      </c>
      <c r="J114" s="87">
        <f>IFERROR(Summary!#REF!/J$21,0)</f>
        <v>0</v>
      </c>
      <c r="K114" s="87">
        <f>IFERROR(Summary!#REF!/K$21,0)</f>
        <v>0</v>
      </c>
      <c r="L114" s="87">
        <f>IFERROR(Summary!#REF!/L$21,0)</f>
        <v>0</v>
      </c>
    </row>
    <row r="115" spans="1:12" ht="13.8">
      <c r="A115" s="290">
        <f>ROW()</f>
        <v>115</v>
      </c>
      <c r="B115" s="30" t="s">
        <v>203</v>
      </c>
      <c r="C115" s="607">
        <f t="shared" si="23"/>
        <v>12461.273195776559</v>
      </c>
      <c r="D115" s="607"/>
      <c r="E115" s="607"/>
      <c r="F115" s="959"/>
      <c r="G115" s="959">
        <f t="shared" ref="G115:L115" si="24">SUM(G98:G114)</f>
        <v>11797.9355</v>
      </c>
      <c r="H115" s="959">
        <f t="shared" si="24"/>
        <v>12516.693312980859</v>
      </c>
      <c r="I115" s="959">
        <f t="shared" si="24"/>
        <v>12572.222609910499</v>
      </c>
      <c r="J115" s="959">
        <f t="shared" si="24"/>
        <v>12580.860500543999</v>
      </c>
      <c r="K115" s="959">
        <f t="shared" si="24"/>
        <v>12649.963625611999</v>
      </c>
      <c r="L115" s="959">
        <f t="shared" si="24"/>
        <v>12649.963625611999</v>
      </c>
    </row>
    <row r="116" spans="1:12" ht="13.8">
      <c r="A116" s="290">
        <f>ROW()</f>
        <v>116</v>
      </c>
      <c r="B116" s="32"/>
      <c r="C116" s="54"/>
      <c r="D116" s="54"/>
      <c r="E116" s="54"/>
      <c r="F116" s="429"/>
      <c r="G116" s="429"/>
      <c r="H116" s="429"/>
      <c r="I116" s="429"/>
      <c r="J116" s="429"/>
      <c r="K116" s="429"/>
      <c r="L116" s="429"/>
    </row>
    <row r="117" spans="1:12" ht="15.6">
      <c r="A117" s="290">
        <f>ROW()</f>
        <v>117</v>
      </c>
      <c r="B117" s="1454" t="s">
        <v>204</v>
      </c>
      <c r="C117" s="1455"/>
      <c r="D117" s="1455"/>
      <c r="E117" s="1455"/>
      <c r="F117" s="1456">
        <f>Summary!F$6</f>
        <v>0</v>
      </c>
      <c r="G117" s="1456">
        <f>Summary!G$6</f>
        <v>1</v>
      </c>
      <c r="H117" s="1456">
        <f>Summary!H$6</f>
        <v>2</v>
      </c>
      <c r="I117" s="1456">
        <f>Summary!I$6</f>
        <v>3</v>
      </c>
      <c r="J117" s="1456">
        <f>Summary!J$6</f>
        <v>4</v>
      </c>
      <c r="K117" s="1456">
        <f>Summary!K$6</f>
        <v>5</v>
      </c>
      <c r="L117" s="1456">
        <f>Summary!L$6</f>
        <v>6</v>
      </c>
    </row>
    <row r="118" spans="1:12" ht="13.8">
      <c r="A118" s="290">
        <f>ROW()</f>
        <v>118</v>
      </c>
      <c r="B118" s="32" t="s">
        <v>110</v>
      </c>
      <c r="C118" s="209">
        <f t="shared" ref="C118:C127" si="25">AVERAGE(G118:L118)</f>
        <v>8240.3386942542547</v>
      </c>
      <c r="D118" s="55"/>
      <c r="E118" s="352"/>
      <c r="F118" s="87"/>
      <c r="G118" s="87">
        <f>IFERROR(Summary!G44/G$21,0)</f>
        <v>7815.8999917658184</v>
      </c>
      <c r="H118" s="87">
        <f>IFERROR(Summary!H44/H$21,0)</f>
        <v>8244.5676537119998</v>
      </c>
      <c r="I118" s="87">
        <f>IFERROR(Summary!I44/I$21,0)</f>
        <v>8134.0872496980001</v>
      </c>
      <c r="J118" s="87">
        <f>IFERROR(Summary!J44/J$21,0)</f>
        <v>8406.3315778538672</v>
      </c>
      <c r="K118" s="87">
        <f>IFERROR(Summary!K44/K$21,0)</f>
        <v>8415.7628814260897</v>
      </c>
      <c r="L118" s="87">
        <f>IFERROR(Summary!L44/L$21,0)</f>
        <v>8425.3828110697577</v>
      </c>
    </row>
    <row r="119" spans="1:12" ht="13.8">
      <c r="A119" s="290">
        <f>ROW()</f>
        <v>119</v>
      </c>
      <c r="B119" s="32" t="s">
        <v>45</v>
      </c>
      <c r="C119" s="51">
        <f t="shared" si="25"/>
        <v>1211.5471094874001</v>
      </c>
      <c r="D119" s="51"/>
      <c r="E119" s="352"/>
      <c r="F119" s="87"/>
      <c r="G119" s="87">
        <f>IFERROR(Summary!G45/G$21,0)</f>
        <v>1129.5</v>
      </c>
      <c r="H119" s="87">
        <f>IFERROR(Summary!H45/H$21,0)</f>
        <v>1161.0899999999999</v>
      </c>
      <c r="I119" s="87">
        <f>IFERROR(Summary!I45/I$21,0)</f>
        <v>1193.5817999999999</v>
      </c>
      <c r="J119" s="87">
        <f>IFERROR(Summary!J45/J$21,0)</f>
        <v>1227.001536</v>
      </c>
      <c r="K119" s="87">
        <f>IFERROR(Summary!K45/K$21,0)</f>
        <v>1261.3761097199999</v>
      </c>
      <c r="L119" s="87">
        <f>IFERROR(Summary!L45/L$21,0)</f>
        <v>1296.7332112044003</v>
      </c>
    </row>
    <row r="120" spans="1:12" ht="13.8">
      <c r="A120" s="290">
        <f>ROW()</f>
        <v>120</v>
      </c>
      <c r="B120" s="32" t="s">
        <v>111</v>
      </c>
      <c r="C120" s="51">
        <f t="shared" si="25"/>
        <v>1429.32241708073</v>
      </c>
      <c r="D120" s="51"/>
      <c r="E120" s="352"/>
      <c r="F120" s="87"/>
      <c r="G120" s="87">
        <f>IFERROR(Summary!G46/G$21,0)</f>
        <v>1427.8419000000001</v>
      </c>
      <c r="H120" s="87">
        <f>IFERROR(Summary!H46/H$21,0)</f>
        <v>1369.3885997142856</v>
      </c>
      <c r="I120" s="87">
        <f>IFERROR(Summary!I46/I$21,0)</f>
        <v>1381.7564884799999</v>
      </c>
      <c r="J120" s="87">
        <f>IFERROR(Summary!J46/J$21,0)</f>
        <v>1411.5354352776001</v>
      </c>
      <c r="K120" s="87">
        <f>IFERROR(Summary!K46/K$21,0)</f>
        <v>1439.520792693552</v>
      </c>
      <c r="L120" s="87">
        <f>IFERROR(Summary!L46/L$21,0)</f>
        <v>1545.8912863189432</v>
      </c>
    </row>
    <row r="121" spans="1:12" ht="13.8">
      <c r="A121" s="290">
        <f>ROW()</f>
        <v>121</v>
      </c>
      <c r="B121" s="32" t="s">
        <v>193</v>
      </c>
      <c r="C121" s="51">
        <f t="shared" si="25"/>
        <v>0</v>
      </c>
      <c r="D121" s="51"/>
      <c r="E121" s="352"/>
      <c r="F121" s="87"/>
      <c r="G121" s="87">
        <f>IFERROR(Summary!G47/G$21,0)</f>
        <v>0</v>
      </c>
      <c r="H121" s="87">
        <f>IFERROR(Summary!H47/H$21,0)</f>
        <v>0</v>
      </c>
      <c r="I121" s="87">
        <f>IFERROR(Summary!I47/I$21,0)</f>
        <v>0</v>
      </c>
      <c r="J121" s="87">
        <f>IFERROR(Summary!J47/J$21,0)</f>
        <v>0</v>
      </c>
      <c r="K121" s="87">
        <f>IFERROR(Summary!K47/K$21,0)</f>
        <v>0</v>
      </c>
      <c r="L121" s="87">
        <f>IFERROR(Summary!L47/L$21,0)</f>
        <v>0</v>
      </c>
    </row>
    <row r="122" spans="1:12" ht="13.8">
      <c r="A122" s="290">
        <f>ROW()</f>
        <v>122</v>
      </c>
      <c r="B122" s="32" t="s">
        <v>53</v>
      </c>
      <c r="C122" s="51">
        <f t="shared" si="25"/>
        <v>13.050144300144302</v>
      </c>
      <c r="D122" s="51"/>
      <c r="E122" s="352"/>
      <c r="F122" s="87"/>
      <c r="G122" s="87">
        <f>IFERROR(Summary!G48/G$21,0)</f>
        <v>18.181818181818183</v>
      </c>
      <c r="H122" s="87">
        <f>IFERROR(Summary!H48/H$21,0)</f>
        <v>14.285714285714286</v>
      </c>
      <c r="I122" s="87">
        <f>IFERROR(Summary!I48/I$21,0)</f>
        <v>12.5</v>
      </c>
      <c r="J122" s="87">
        <f>IFERROR(Summary!J48/J$21,0)</f>
        <v>11.111111111111111</v>
      </c>
      <c r="K122" s="87">
        <f>IFERROR(Summary!K48/K$21,0)</f>
        <v>11.111111111111111</v>
      </c>
      <c r="L122" s="87">
        <f>IFERROR(Summary!L48/L$21,0)</f>
        <v>11.111111111111111</v>
      </c>
    </row>
    <row r="123" spans="1:12" ht="13.8">
      <c r="A123" s="290">
        <f>ROW()</f>
        <v>123</v>
      </c>
      <c r="B123" s="32" t="s">
        <v>113</v>
      </c>
      <c r="C123" s="51">
        <f t="shared" si="25"/>
        <v>370.75658018678854</v>
      </c>
      <c r="D123" s="51"/>
      <c r="E123" s="352"/>
      <c r="F123" s="87"/>
      <c r="G123" s="87">
        <f>IFERROR(Summary!G49/G$21,0)</f>
        <v>736.59242424242427</v>
      </c>
      <c r="H123" s="87">
        <f>IFERROR(Summary!H49/H$21,0)</f>
        <v>326.56071428571431</v>
      </c>
      <c r="I123" s="87">
        <f>IFERROR(Summary!I49/I$21,0)</f>
        <v>274.63541666666663</v>
      </c>
      <c r="J123" s="87">
        <f>IFERROR(Summary!J49/J$21,0)</f>
        <v>270.09814814814814</v>
      </c>
      <c r="K123" s="87">
        <f>IFERROR(Summary!K49/K$21,0)</f>
        <v>210.33333333333334</v>
      </c>
      <c r="L123" s="87">
        <f>IFERROR(Summary!L49/L$21,0)</f>
        <v>406.31944444444446</v>
      </c>
    </row>
    <row r="124" spans="1:12" ht="13.8">
      <c r="A124" s="290">
        <f>ROW()</f>
        <v>124</v>
      </c>
      <c r="B124" s="32" t="s">
        <v>96</v>
      </c>
      <c r="C124" s="51">
        <f t="shared" si="25"/>
        <v>0</v>
      </c>
      <c r="D124" s="51"/>
      <c r="E124" s="352"/>
      <c r="F124" s="87"/>
      <c r="G124" s="87">
        <f>IFERROR(Summary!G50/G$21,0)</f>
        <v>0</v>
      </c>
      <c r="H124" s="87">
        <f>IFERROR(Summary!H50/H$21,0)</f>
        <v>0</v>
      </c>
      <c r="I124" s="87">
        <f>IFERROR(Summary!I50/I$21,0)</f>
        <v>0</v>
      </c>
      <c r="J124" s="87">
        <f>IFERROR(Summary!J50/J$21,0)</f>
        <v>0</v>
      </c>
      <c r="K124" s="87">
        <f>IFERROR(Summary!K50/K$21,0)</f>
        <v>0</v>
      </c>
      <c r="L124" s="87">
        <f>IFERROR(Summary!L50/L$21,0)</f>
        <v>0</v>
      </c>
    </row>
    <row r="125" spans="1:12" ht="13.8">
      <c r="A125" s="290">
        <f>ROW()</f>
        <v>125</v>
      </c>
      <c r="B125" s="32" t="s">
        <v>51</v>
      </c>
      <c r="C125" s="51">
        <f t="shared" si="25"/>
        <v>57.46386582961356</v>
      </c>
      <c r="D125" s="51"/>
      <c r="E125" s="352"/>
      <c r="F125" s="87"/>
      <c r="G125" s="87">
        <f>IFERROR(Summary!G52/G$21,0)</f>
        <v>74.909090909090907</v>
      </c>
      <c r="H125" s="87">
        <f>IFERROR(Summary!H52/H$21,0)</f>
        <v>60.622857142857143</v>
      </c>
      <c r="I125" s="87">
        <f>IFERROR(Summary!I52/I$21,0)</f>
        <v>54.63635</v>
      </c>
      <c r="J125" s="87">
        <f>IFERROR(Summary!J52/J$21,0)</f>
        <v>50.022613777777771</v>
      </c>
      <c r="K125" s="87">
        <f>IFERROR(Summary!K52/K$21,0)</f>
        <v>51.523292191111103</v>
      </c>
      <c r="L125" s="87">
        <f>IFERROR(Summary!L52/L$21,0)</f>
        <v>53.068990956844445</v>
      </c>
    </row>
    <row r="126" spans="1:12" ht="13.8">
      <c r="A126" s="290">
        <f>ROW()</f>
        <v>126</v>
      </c>
      <c r="B126" s="32" t="s">
        <v>194</v>
      </c>
      <c r="C126" s="51">
        <f t="shared" si="25"/>
        <v>0</v>
      </c>
      <c r="D126" s="51"/>
      <c r="E126" s="352"/>
      <c r="F126" s="87"/>
      <c r="G126" s="87">
        <f>IFERROR(Summary!#REF!/G$21,0)</f>
        <v>0</v>
      </c>
      <c r="H126" s="87">
        <f>IFERROR(Summary!#REF!/H$21,0)</f>
        <v>0</v>
      </c>
      <c r="I126" s="87">
        <f>IFERROR(Summary!#REF!/I$21,0)</f>
        <v>0</v>
      </c>
      <c r="J126" s="87">
        <f>IFERROR(Summary!#REF!/J$21,0)</f>
        <v>0</v>
      </c>
      <c r="K126" s="87">
        <f>IFERROR(Summary!#REF!/K$21,0)</f>
        <v>0</v>
      </c>
      <c r="L126" s="87">
        <f>IFERROR(Summary!#REF!/L$21,0)</f>
        <v>0</v>
      </c>
    </row>
    <row r="127" spans="1:12" ht="13.8">
      <c r="A127" s="290">
        <f>ROW()</f>
        <v>127</v>
      </c>
      <c r="B127" s="30" t="s">
        <v>205</v>
      </c>
      <c r="C127" s="607">
        <f t="shared" si="25"/>
        <v>11322.478811138933</v>
      </c>
      <c r="D127" s="607"/>
      <c r="E127" s="607"/>
      <c r="F127" s="959"/>
      <c r="G127" s="959">
        <f t="shared" ref="G127:L127" si="26">SUM(G118:G126)</f>
        <v>11202.92522509915</v>
      </c>
      <c r="H127" s="959">
        <f t="shared" si="26"/>
        <v>11176.51553914057</v>
      </c>
      <c r="I127" s="959">
        <f t="shared" si="26"/>
        <v>11051.197304844667</v>
      </c>
      <c r="J127" s="959">
        <f t="shared" si="26"/>
        <v>11376.100422168503</v>
      </c>
      <c r="K127" s="959">
        <f t="shared" si="26"/>
        <v>11389.6275204752</v>
      </c>
      <c r="L127" s="959">
        <f t="shared" si="26"/>
        <v>11738.506855105503</v>
      </c>
    </row>
    <row r="128" spans="1:12" ht="14.4" thickBot="1">
      <c r="A128" s="290">
        <f>ROW()</f>
        <v>128</v>
      </c>
      <c r="B128" s="30"/>
      <c r="C128" s="354"/>
      <c r="D128" s="354"/>
      <c r="E128" s="353"/>
      <c r="F128" s="543"/>
      <c r="G128" s="543"/>
      <c r="H128" s="543"/>
      <c r="I128" s="543"/>
      <c r="J128" s="543"/>
      <c r="K128" s="543"/>
      <c r="L128" s="543"/>
    </row>
    <row r="129" spans="1:12" ht="14.4" thickBot="1">
      <c r="A129" s="290">
        <f>ROW()</f>
        <v>129</v>
      </c>
      <c r="B129" s="355" t="s">
        <v>206</v>
      </c>
      <c r="C129" s="610">
        <f>C115-C127</f>
        <v>1138.7943846376256</v>
      </c>
      <c r="D129" s="370"/>
      <c r="E129" s="370"/>
      <c r="F129" s="556"/>
      <c r="G129" s="1040">
        <f t="shared" ref="G129:L129" si="27">G115-G127</f>
        <v>595.01027490084925</v>
      </c>
      <c r="H129" s="1040">
        <f t="shared" si="27"/>
        <v>1340.1777738402889</v>
      </c>
      <c r="I129" s="1040">
        <f t="shared" si="27"/>
        <v>1521.0253050658321</v>
      </c>
      <c r="J129" s="1040">
        <f t="shared" si="27"/>
        <v>1204.7600783754951</v>
      </c>
      <c r="K129" s="1040">
        <f t="shared" si="27"/>
        <v>1260.3361051367992</v>
      </c>
      <c r="L129" s="1040">
        <f t="shared" si="27"/>
        <v>911.45677050649647</v>
      </c>
    </row>
    <row r="130" spans="1:12" ht="14.4">
      <c r="A130" s="290">
        <f>ROW()</f>
        <v>130</v>
      </c>
      <c r="B130" s="154" t="s">
        <v>207</v>
      </c>
      <c r="C130" s="357"/>
      <c r="D130" s="357"/>
      <c r="E130" s="357"/>
      <c r="F130" s="555"/>
      <c r="G130" s="113">
        <f t="shared" ref="G130:L130" si="28">G129/G21</f>
        <v>2.1636737269121791</v>
      </c>
      <c r="H130" s="113">
        <f t="shared" si="28"/>
        <v>3.8290793538293966</v>
      </c>
      <c r="I130" s="113">
        <f t="shared" si="28"/>
        <v>3.80256326266458</v>
      </c>
      <c r="J130" s="113">
        <f t="shared" si="28"/>
        <v>2.6772446186122116</v>
      </c>
      <c r="K130" s="113">
        <f t="shared" si="28"/>
        <v>2.8007469003039982</v>
      </c>
      <c r="L130" s="113">
        <f t="shared" si="28"/>
        <v>2.0254594900144367</v>
      </c>
    </row>
    <row r="131" spans="1:12" ht="14.4">
      <c r="A131" s="290">
        <f>ROW()</f>
        <v>131</v>
      </c>
      <c r="B131" s="371" t="s">
        <v>208</v>
      </c>
      <c r="C131" s="372"/>
      <c r="D131" s="372"/>
      <c r="E131" s="372"/>
      <c r="F131" s="557"/>
      <c r="G131" s="609">
        <f t="shared" ref="G131:L131" si="29">IFERROR(+G129/G115,0)</f>
        <v>5.0433423279933109E-2</v>
      </c>
      <c r="H131" s="609">
        <f t="shared" si="29"/>
        <v>0.10707123202023432</v>
      </c>
      <c r="I131" s="609">
        <f t="shared" si="29"/>
        <v>0.12098300771948073</v>
      </c>
      <c r="J131" s="609">
        <f t="shared" si="29"/>
        <v>9.5761341469719111E-2</v>
      </c>
      <c r="K131" s="609">
        <f t="shared" si="29"/>
        <v>9.9631599144288041E-2</v>
      </c>
      <c r="L131" s="609">
        <f t="shared" si="29"/>
        <v>7.2052125799089053E-2</v>
      </c>
    </row>
  </sheetData>
  <sheetProtection sheet="1" objects="1" scenarios="1"/>
  <conditionalFormatting sqref="C1">
    <cfRule type="expression" dxfId="18" priority="18" stopIfTrue="1">
      <formula>MOD(ROW(),2)=0</formula>
    </cfRule>
  </conditionalFormatting>
  <conditionalFormatting sqref="C58:C77">
    <cfRule type="cellIs" dxfId="17" priority="2" stopIfTrue="1" operator="equal">
      <formula>0</formula>
    </cfRule>
  </conditionalFormatting>
  <conditionalFormatting sqref="C81:C89">
    <cfRule type="cellIs" dxfId="16" priority="12" stopIfTrue="1" operator="equal">
      <formula>0</formula>
    </cfRule>
  </conditionalFormatting>
  <conditionalFormatting sqref="C98:C115">
    <cfRule type="cellIs" dxfId="15" priority="14" stopIfTrue="1" operator="equal">
      <formula>0</formula>
    </cfRule>
  </conditionalFormatting>
  <conditionalFormatting sqref="C118:C126">
    <cfRule type="cellIs" dxfId="14" priority="15" stopIfTrue="1" operator="equal">
      <formula>0</formula>
    </cfRule>
  </conditionalFormatting>
  <conditionalFormatting sqref="F58:L77">
    <cfRule type="cellIs" dxfId="13" priority="1" stopIfTrue="1" operator="equal">
      <formula>0</formula>
    </cfRule>
  </conditionalFormatting>
  <conditionalFormatting sqref="F81:L89">
    <cfRule type="cellIs" dxfId="12" priority="11" stopIfTrue="1" operator="equal">
      <formula>0</formula>
    </cfRule>
  </conditionalFormatting>
  <conditionalFormatting sqref="G98:L114">
    <cfRule type="cellIs" dxfId="11" priority="13" stopIfTrue="1" operator="equal">
      <formula>0</formula>
    </cfRule>
  </conditionalFormatting>
  <conditionalFormatting sqref="G118:L126">
    <cfRule type="cellIs" dxfId="10" priority="16" stopIfTrue="1" operator="equal">
      <formula>0</formula>
    </cfRule>
  </conditionalFormatting>
  <conditionalFormatting sqref="L1">
    <cfRule type="expression" dxfId="9" priority="19" stopIfTrue="1">
      <formula>MOD(ROW(),2)=0</formula>
    </cfRule>
  </conditionalFormatting>
  <pageMargins left="0.25" right="0.25" top="0.5" bottom="0.44999999999999996" header="0.25" footer="0.25"/>
  <pageSetup scale="75" orientation="landscape" r:id="rId1"/>
  <headerFooter alignWithMargins="0">
    <oddHeader xml:space="preserve">&amp;L &amp;C &amp;R </oddHeader>
    <oddFooter>&amp;L&amp;7&amp;D  at &amp;T Mike 702.486.8879&amp;C&amp;7&amp;F  &amp;A&amp;R&amp;7Page &amp;P of &amp;N</oddFooter>
  </headerFooter>
  <rowBreaks count="2" manualBreakCount="2">
    <brk id="54" max="11" man="1"/>
    <brk id="95"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3B76B-9BAC-42A1-8A06-D975BF859516}">
  <sheetPr codeName="Sheet28">
    <tabColor theme="0" tint="-0.34998626667073579"/>
  </sheetPr>
  <dimension ref="B3:R4"/>
  <sheetViews>
    <sheetView workbookViewId="0"/>
  </sheetViews>
  <sheetFormatPr defaultRowHeight="14.4"/>
  <sheetData>
    <row r="3" spans="2:18" ht="36.6">
      <c r="B3" s="1391" t="s">
        <v>1171</v>
      </c>
      <c r="C3" s="805"/>
      <c r="D3" s="805"/>
      <c r="E3" s="805"/>
      <c r="F3" s="805"/>
      <c r="G3" s="805"/>
      <c r="H3" s="805"/>
      <c r="I3" s="805"/>
      <c r="J3" s="805"/>
      <c r="K3" s="805"/>
      <c r="L3" s="805"/>
      <c r="M3" s="805"/>
      <c r="N3" s="805"/>
      <c r="O3" s="805"/>
      <c r="P3" s="805"/>
      <c r="Q3" s="805"/>
      <c r="R3" s="805"/>
    </row>
    <row r="4" spans="2:18" ht="36.6">
      <c r="B4" s="1390" t="s">
        <v>1170</v>
      </c>
    </row>
  </sheetData>
  <sheetProtection algorithmName="SHA-512" hashValue="tmy4Hq6K/P6TOFWFRPoTTF/n7bP5OxmUorCXQdUCQXOqse0rU3HIRbn5iZF75kJxQ9lm2XM1hVHGSc6RTcrL6w==" saltValue="iNpppoo+W4YM8JXPcGzU6g==" spinCount="100000" sheet="1" objects="1" scenario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0" tint="-0.499984740745262"/>
  </sheetPr>
  <dimension ref="A1:AB455"/>
  <sheetViews>
    <sheetView topLeftCell="A3" zoomScale="65" zoomScaleNormal="160" workbookViewId="0">
      <selection activeCell="A16" sqref="A16:XFD16"/>
    </sheetView>
  </sheetViews>
  <sheetFormatPr defaultColWidth="8.6640625" defaultRowHeight="14.4" outlineLevelRow="3" outlineLevelCol="1"/>
  <cols>
    <col min="1" max="1" width="5.5546875" customWidth="1"/>
    <col min="2" max="2" width="12.6640625" customWidth="1" outlineLevel="1"/>
    <col min="3" max="3" width="23" customWidth="1" outlineLevel="1"/>
    <col min="4" max="4" width="12.6640625" customWidth="1" outlineLevel="1"/>
    <col min="5" max="5" width="14.44140625" customWidth="1" outlineLevel="1"/>
    <col min="6" max="8" width="10.6640625" customWidth="1" outlineLevel="1"/>
    <col min="9" max="9" width="10" customWidth="1" outlineLevel="1"/>
    <col min="10" max="10" width="13.5546875" customWidth="1" outlineLevel="1"/>
    <col min="11" max="12" width="8.6640625" customWidth="1" outlineLevel="1"/>
    <col min="13" max="13" width="11.33203125" customWidth="1"/>
    <col min="14" max="14" width="8.6640625" customWidth="1"/>
    <col min="15" max="15" width="13.6640625" customWidth="1"/>
    <col min="16" max="16" width="10.5546875" style="3" customWidth="1"/>
    <col min="17" max="17" width="13.33203125" customWidth="1"/>
    <col min="18" max="18" width="13" customWidth="1"/>
    <col min="19" max="19" width="10.33203125" customWidth="1"/>
    <col min="20" max="20" width="12.33203125" customWidth="1"/>
    <col min="21" max="21" width="11" customWidth="1"/>
    <col min="22" max="22" width="11.6640625" customWidth="1"/>
    <col min="23" max="27" width="8.6640625" customWidth="1"/>
  </cols>
  <sheetData>
    <row r="1" spans="1:22" ht="15.6">
      <c r="A1" s="20" t="s">
        <v>838</v>
      </c>
      <c r="B1" s="20"/>
      <c r="J1" s="347" t="s">
        <v>1</v>
      </c>
      <c r="P1"/>
      <c r="Q1" s="22"/>
      <c r="V1" s="313"/>
    </row>
    <row r="2" spans="1:22" ht="15.6">
      <c r="A2" s="1311" t="str">
        <f>SchoolName</f>
        <v>Pahrump Valley Academy</v>
      </c>
      <c r="B2" s="1311"/>
      <c r="P2"/>
    </row>
    <row r="3" spans="1:22">
      <c r="A3" s="18"/>
      <c r="O3" s="3"/>
      <c r="P3"/>
    </row>
    <row r="4" spans="1:22">
      <c r="A4" s="19"/>
      <c r="O4" s="3"/>
      <c r="P4"/>
    </row>
    <row r="5" spans="1:22">
      <c r="A5" s="921"/>
      <c r="O5" s="3"/>
      <c r="P5"/>
    </row>
    <row r="6" spans="1:22">
      <c r="O6" s="649"/>
      <c r="P6" s="32"/>
      <c r="Q6" s="32"/>
      <c r="R6" s="32"/>
      <c r="S6" s="32"/>
      <c r="T6" s="32"/>
      <c r="U6" s="32"/>
      <c r="V6" s="32"/>
    </row>
    <row r="7" spans="1:22" ht="15.6">
      <c r="B7" s="1315" t="s">
        <v>1158</v>
      </c>
      <c r="C7" s="1315"/>
      <c r="D7" s="1316"/>
      <c r="E7" s="1316"/>
      <c r="F7" s="318"/>
      <c r="O7" s="649"/>
      <c r="P7" s="32"/>
      <c r="Q7" s="32"/>
      <c r="R7" s="32"/>
      <c r="S7" s="32"/>
      <c r="T7" s="32"/>
      <c r="U7" s="32"/>
      <c r="V7" s="32"/>
    </row>
    <row r="8" spans="1:22" ht="15.6">
      <c r="B8" s="318" t="s">
        <v>1161</v>
      </c>
      <c r="C8" s="330"/>
      <c r="D8" s="318"/>
      <c r="E8" s="318"/>
      <c r="F8" s="318"/>
      <c r="O8" s="649"/>
      <c r="P8" s="32"/>
      <c r="Q8" s="32"/>
      <c r="R8" s="32"/>
      <c r="S8" s="32"/>
      <c r="T8" s="32"/>
      <c r="U8" s="32"/>
      <c r="V8" s="32"/>
    </row>
    <row r="9" spans="1:22" ht="15.6">
      <c r="B9" s="330" t="s">
        <v>839</v>
      </c>
      <c r="C9" s="330"/>
      <c r="O9" s="649"/>
      <c r="P9" s="32"/>
      <c r="Q9" s="32"/>
      <c r="R9" s="32"/>
      <c r="S9" s="32"/>
      <c r="T9" s="32"/>
      <c r="U9" s="32"/>
      <c r="V9" s="32"/>
    </row>
    <row r="10" spans="1:22" ht="15.6">
      <c r="B10" s="1304" t="s">
        <v>1191</v>
      </c>
      <c r="C10" s="784"/>
      <c r="D10" s="771"/>
      <c r="E10" s="771"/>
      <c r="G10" s="1" t="s">
        <v>842</v>
      </c>
      <c r="O10" s="649"/>
      <c r="P10" s="32"/>
      <c r="Q10" s="32"/>
      <c r="R10" s="32"/>
      <c r="S10" s="32"/>
      <c r="T10" s="32"/>
      <c r="U10" s="32"/>
      <c r="V10" s="32"/>
    </row>
    <row r="11" spans="1:22" ht="15.6">
      <c r="B11" s="780" t="s">
        <v>840</v>
      </c>
      <c r="C11" s="780"/>
      <c r="D11" s="782" t="s">
        <v>841</v>
      </c>
      <c r="E11" s="782" t="s">
        <v>842</v>
      </c>
      <c r="F11" s="906" t="s">
        <v>918</v>
      </c>
      <c r="G11" s="906" t="s">
        <v>907</v>
      </c>
      <c r="H11" s="906" t="s">
        <v>919</v>
      </c>
      <c r="O11" s="649"/>
      <c r="P11" s="32"/>
      <c r="Q11" s="32"/>
      <c r="R11" s="32"/>
      <c r="S11" s="32"/>
      <c r="T11" s="32"/>
      <c r="U11" s="32"/>
      <c r="V11" s="32"/>
    </row>
    <row r="12" spans="1:22" ht="15.6">
      <c r="A12" s="318">
        <v>1</v>
      </c>
      <c r="B12" s="318" t="s">
        <v>278</v>
      </c>
      <c r="C12" s="318"/>
      <c r="D12" s="919">
        <v>9632</v>
      </c>
      <c r="E12" s="799">
        <v>10114</v>
      </c>
      <c r="F12" s="1403"/>
      <c r="G12" s="1404"/>
      <c r="H12" s="1404"/>
      <c r="I12" t="s">
        <v>843</v>
      </c>
      <c r="O12" s="649"/>
      <c r="P12" s="32"/>
      <c r="Q12" s="32"/>
      <c r="R12" s="32"/>
      <c r="S12" s="32"/>
      <c r="T12" s="32"/>
      <c r="U12" s="32"/>
      <c r="V12" s="32"/>
    </row>
    <row r="13" spans="1:22" ht="15.6">
      <c r="A13" s="318">
        <f>1+A12</f>
        <v>2</v>
      </c>
      <c r="B13" s="1008" t="s">
        <v>844</v>
      </c>
      <c r="C13" s="1008"/>
      <c r="D13" s="920">
        <v>10157</v>
      </c>
      <c r="E13" s="807">
        <v>10662</v>
      </c>
      <c r="F13" s="1404"/>
      <c r="G13" s="1404"/>
      <c r="H13" s="1404"/>
      <c r="O13" s="649"/>
      <c r="P13" s="32"/>
      <c r="Q13" s="32"/>
      <c r="R13" s="32"/>
      <c r="S13" s="32"/>
      <c r="T13" s="32"/>
      <c r="U13" s="32"/>
      <c r="V13" s="32"/>
    </row>
    <row r="14" spans="1:22" ht="15.6">
      <c r="A14" s="318">
        <f t="shared" ref="A14:A15" si="0">1+A13</f>
        <v>3</v>
      </c>
      <c r="B14" s="1008" t="s">
        <v>845</v>
      </c>
      <c r="C14" s="1008"/>
      <c r="D14" s="920">
        <v>8966</v>
      </c>
      <c r="E14" s="807">
        <v>9497</v>
      </c>
      <c r="F14" s="1405">
        <f>+$E14*E27</f>
        <v>4273.6500000000005</v>
      </c>
      <c r="G14" s="1405">
        <f>+E14*E28</f>
        <v>3323.95</v>
      </c>
      <c r="H14" s="1405">
        <f>+E14*E29</f>
        <v>1139.6399999999999</v>
      </c>
      <c r="O14" s="649"/>
      <c r="P14" s="32"/>
      <c r="Q14" s="32"/>
      <c r="R14" s="32"/>
      <c r="S14" s="32"/>
      <c r="T14" s="32"/>
      <c r="U14" s="32"/>
      <c r="V14" s="32"/>
    </row>
    <row r="15" spans="1:22" ht="15.6">
      <c r="A15" s="318">
        <f t="shared" si="0"/>
        <v>4</v>
      </c>
      <c r="B15" s="1008" t="s">
        <v>846</v>
      </c>
      <c r="C15" s="1008"/>
      <c r="D15" s="920">
        <v>9670</v>
      </c>
      <c r="E15" s="807">
        <v>11567</v>
      </c>
      <c r="F15" s="1404"/>
      <c r="G15" s="1404"/>
      <c r="H15" s="1404"/>
      <c r="O15" s="649"/>
      <c r="P15" s="32"/>
      <c r="Q15" s="32"/>
      <c r="R15" s="32"/>
      <c r="S15" s="32"/>
      <c r="T15" s="32"/>
      <c r="U15" s="32"/>
      <c r="V15" s="32"/>
    </row>
    <row r="16" spans="1:22" ht="15.6">
      <c r="A16" s="318">
        <f>1+A15</f>
        <v>5</v>
      </c>
      <c r="B16" s="1008" t="s">
        <v>847</v>
      </c>
      <c r="C16" s="1008"/>
      <c r="D16" s="920">
        <v>8966</v>
      </c>
      <c r="E16" s="807">
        <v>11505</v>
      </c>
      <c r="F16" s="1404"/>
      <c r="G16" s="1404"/>
      <c r="H16" s="1404"/>
      <c r="O16" s="649"/>
      <c r="P16" s="32"/>
      <c r="Q16" s="32"/>
      <c r="R16" s="32"/>
      <c r="S16" s="32"/>
      <c r="T16" s="32"/>
      <c r="U16" s="32"/>
      <c r="V16" s="32"/>
    </row>
    <row r="17" spans="1:22" ht="15.6">
      <c r="A17" s="318">
        <f>1+A16</f>
        <v>6</v>
      </c>
      <c r="B17" s="1008" t="s">
        <v>848</v>
      </c>
      <c r="C17" s="1008"/>
      <c r="D17" s="920">
        <v>8966</v>
      </c>
      <c r="E17" s="807">
        <v>9705</v>
      </c>
      <c r="F17" s="1404"/>
      <c r="G17" s="1404"/>
      <c r="H17" s="1404"/>
      <c r="O17" s="649"/>
      <c r="P17" s="32"/>
      <c r="Q17" s="32"/>
      <c r="R17" s="32"/>
      <c r="S17" s="32"/>
      <c r="T17" s="32"/>
      <c r="U17" s="32"/>
      <c r="V17" s="32"/>
    </row>
    <row r="18" spans="1:22" ht="15.6">
      <c r="A18" s="318">
        <f>1+A17</f>
        <v>7</v>
      </c>
      <c r="B18" s="1008" t="s">
        <v>849</v>
      </c>
      <c r="C18" s="1008"/>
      <c r="D18" s="920">
        <v>9674</v>
      </c>
      <c r="E18" s="807">
        <v>9705</v>
      </c>
      <c r="F18" s="1404"/>
      <c r="G18" s="1404"/>
      <c r="H18" s="1404"/>
      <c r="O18" s="649"/>
      <c r="P18" s="32"/>
      <c r="Q18" s="32"/>
      <c r="R18" s="32"/>
      <c r="S18" s="32"/>
      <c r="T18" s="32"/>
      <c r="U18" s="32"/>
      <c r="V18" s="32"/>
    </row>
    <row r="19" spans="1:22" ht="15.6">
      <c r="A19" s="318">
        <f>1+A18</f>
        <v>8</v>
      </c>
      <c r="B19" s="1008" t="s">
        <v>850</v>
      </c>
      <c r="C19" s="1008"/>
      <c r="D19" s="920">
        <v>12982</v>
      </c>
      <c r="E19" s="807">
        <v>14861</v>
      </c>
      <c r="F19" s="1404"/>
      <c r="G19" s="1404"/>
      <c r="H19" s="1404"/>
      <c r="O19" s="649"/>
      <c r="P19" s="32"/>
      <c r="Q19" s="32"/>
      <c r="R19" s="32"/>
      <c r="S19" s="32"/>
      <c r="T19" s="32"/>
      <c r="U19" s="32"/>
      <c r="V19" s="32"/>
    </row>
    <row r="20" spans="1:22" ht="15.6">
      <c r="A20" s="318">
        <f>1+A19</f>
        <v>9</v>
      </c>
      <c r="B20" s="1008" t="s">
        <v>1163</v>
      </c>
      <c r="C20" s="315"/>
      <c r="D20" s="1319">
        <v>8966</v>
      </c>
      <c r="E20" s="1320">
        <v>9414</v>
      </c>
      <c r="F20" s="1404"/>
      <c r="G20" s="1404"/>
      <c r="H20" s="1404"/>
      <c r="I20" t="s">
        <v>1162</v>
      </c>
      <c r="O20" s="649"/>
      <c r="P20" s="32"/>
      <c r="Q20" s="32"/>
      <c r="R20" s="32"/>
      <c r="S20" s="32"/>
      <c r="T20" s="32"/>
      <c r="U20" s="32"/>
      <c r="V20" s="32"/>
    </row>
    <row r="21" spans="1:22">
      <c r="I21" t="s">
        <v>862</v>
      </c>
      <c r="O21" s="649"/>
      <c r="P21" s="32"/>
      <c r="Q21" s="32"/>
      <c r="R21" s="32"/>
      <c r="S21" s="32"/>
      <c r="T21" s="32"/>
      <c r="U21" s="32"/>
      <c r="V21" s="32"/>
    </row>
    <row r="22" spans="1:22">
      <c r="I22" t="s">
        <v>863</v>
      </c>
      <c r="O22" s="649"/>
      <c r="P22" s="32"/>
      <c r="Q22" s="32"/>
      <c r="R22" s="32"/>
      <c r="S22" s="32"/>
      <c r="T22" s="32"/>
      <c r="U22" s="32"/>
      <c r="V22" s="32"/>
    </row>
    <row r="23" spans="1:22">
      <c r="O23" s="649"/>
      <c r="P23" s="32"/>
      <c r="Q23" s="32"/>
      <c r="R23" s="32"/>
      <c r="S23" s="32"/>
      <c r="T23" s="32"/>
      <c r="U23" s="32"/>
      <c r="V23" s="32"/>
    </row>
    <row r="24" spans="1:22" ht="15.6">
      <c r="B24" s="810" t="s">
        <v>852</v>
      </c>
      <c r="C24" s="810"/>
      <c r="D24" s="811"/>
      <c r="E24" s="811"/>
      <c r="O24" s="649"/>
      <c r="P24" s="32"/>
      <c r="Q24" s="32"/>
      <c r="R24" s="32"/>
      <c r="S24" s="32"/>
      <c r="T24" s="32"/>
      <c r="U24" s="32"/>
      <c r="V24" s="32"/>
    </row>
    <row r="25" spans="1:22" ht="15.6">
      <c r="B25" s="1305" t="s">
        <v>1192</v>
      </c>
      <c r="C25" s="777"/>
      <c r="D25" s="782" t="s">
        <v>841</v>
      </c>
      <c r="E25" s="782" t="s">
        <v>842</v>
      </c>
      <c r="O25" s="649"/>
      <c r="P25" s="32"/>
      <c r="Q25" s="32"/>
      <c r="R25" s="32"/>
      <c r="S25" s="32"/>
      <c r="T25" s="32"/>
      <c r="U25" s="32"/>
      <c r="V25" s="32"/>
    </row>
    <row r="26" spans="1:22" ht="15.6">
      <c r="B26" s="785" t="s">
        <v>853</v>
      </c>
      <c r="C26" s="785"/>
      <c r="D26" s="1307">
        <v>3845</v>
      </c>
      <c r="E26" s="1307">
        <v>3845</v>
      </c>
      <c r="I26" t="s">
        <v>854</v>
      </c>
      <c r="O26" s="649"/>
      <c r="P26" s="32"/>
      <c r="Q26" s="32"/>
      <c r="R26" s="32"/>
      <c r="S26" s="32"/>
      <c r="T26" s="32"/>
      <c r="U26" s="32"/>
      <c r="V26" s="32"/>
    </row>
    <row r="27" spans="1:22" ht="15.6">
      <c r="B27" s="806" t="s">
        <v>855</v>
      </c>
      <c r="C27" s="806"/>
      <c r="D27" s="856">
        <v>0.45</v>
      </c>
      <c r="E27" s="856">
        <v>0.45</v>
      </c>
      <c r="O27" s="649"/>
      <c r="P27" s="32"/>
      <c r="Q27" s="32"/>
      <c r="R27" s="32"/>
      <c r="S27" s="32"/>
      <c r="T27" s="32"/>
      <c r="U27" s="32"/>
      <c r="V27" s="32"/>
    </row>
    <row r="28" spans="1:22" ht="15.6">
      <c r="B28" s="806" t="s">
        <v>1159</v>
      </c>
      <c r="C28" s="806"/>
      <c r="D28" s="856">
        <v>0.35</v>
      </c>
      <c r="E28" s="856">
        <v>0.35</v>
      </c>
      <c r="I28" s="1321" t="s">
        <v>1164</v>
      </c>
      <c r="O28" s="649"/>
      <c r="P28" s="32"/>
      <c r="Q28" s="32"/>
      <c r="R28" s="32"/>
      <c r="S28" s="32"/>
      <c r="T28" s="32"/>
      <c r="U28" s="32"/>
      <c r="V28" s="32"/>
    </row>
    <row r="29" spans="1:22" ht="15.6">
      <c r="B29" s="806" t="s">
        <v>856</v>
      </c>
      <c r="C29" s="806"/>
      <c r="D29" s="856">
        <v>0.12</v>
      </c>
      <c r="E29" s="856">
        <v>0.12</v>
      </c>
      <c r="O29" s="649"/>
      <c r="P29" s="32"/>
      <c r="Q29" s="32"/>
      <c r="R29" s="32"/>
      <c r="S29" s="32"/>
      <c r="T29" s="32"/>
      <c r="U29" s="32"/>
      <c r="V29" s="32"/>
    </row>
    <row r="30" spans="1:22">
      <c r="O30" s="649"/>
      <c r="P30" s="32"/>
      <c r="Q30" s="32"/>
      <c r="R30" s="32"/>
      <c r="S30" s="32"/>
      <c r="T30" s="32"/>
      <c r="U30" s="32"/>
      <c r="V30" s="32"/>
    </row>
    <row r="31" spans="1:22" ht="15.6">
      <c r="B31" s="318"/>
      <c r="O31" s="649"/>
      <c r="P31" s="32"/>
      <c r="Q31" s="32"/>
      <c r="R31" s="32"/>
      <c r="S31" s="32"/>
      <c r="T31" s="32"/>
      <c r="U31" s="32"/>
      <c r="V31" s="32"/>
    </row>
    <row r="32" spans="1:22">
      <c r="O32" s="649"/>
      <c r="P32" s="32"/>
      <c r="Q32" s="32"/>
      <c r="R32" s="32"/>
      <c r="S32" s="32"/>
      <c r="T32" s="32"/>
      <c r="U32" s="32"/>
      <c r="V32" s="32"/>
    </row>
    <row r="33" spans="1:22" hidden="1" outlineLevel="1">
      <c r="O33" s="649"/>
      <c r="P33" s="32"/>
      <c r="Q33" s="32"/>
      <c r="R33" s="32"/>
      <c r="S33" s="32"/>
      <c r="T33" s="32"/>
      <c r="U33" s="32"/>
      <c r="V33" s="32"/>
    </row>
    <row r="34" spans="1:22" hidden="1" outlineLevel="1">
      <c r="O34" s="649"/>
      <c r="P34" s="32"/>
      <c r="Q34" s="32"/>
      <c r="R34" s="32"/>
      <c r="S34" s="32"/>
      <c r="T34" s="32"/>
      <c r="U34" s="32"/>
      <c r="V34" s="32"/>
    </row>
    <row r="35" spans="1:22" hidden="1" outlineLevel="1">
      <c r="O35" s="649"/>
      <c r="P35" s="32"/>
      <c r="Q35" s="32"/>
      <c r="R35" s="32"/>
      <c r="S35" s="32"/>
      <c r="T35" s="32"/>
      <c r="U35" s="32"/>
      <c r="V35" s="32"/>
    </row>
    <row r="36" spans="1:22" hidden="1" outlineLevel="1">
      <c r="O36" s="649"/>
      <c r="P36" s="32"/>
      <c r="Q36" s="32"/>
      <c r="R36" s="32"/>
      <c r="S36" s="32"/>
      <c r="T36" s="32"/>
      <c r="U36" s="32"/>
      <c r="V36" s="32"/>
    </row>
    <row r="37" spans="1:22" hidden="1" outlineLevel="1">
      <c r="O37" s="649"/>
      <c r="P37" s="32"/>
      <c r="Q37" s="32"/>
      <c r="R37" s="32"/>
      <c r="S37" s="32"/>
      <c r="T37" s="32"/>
      <c r="U37" s="32"/>
      <c r="V37" s="32"/>
    </row>
    <row r="38" spans="1:22" hidden="1" outlineLevel="1">
      <c r="O38" s="649"/>
      <c r="P38" s="32"/>
      <c r="Q38" s="32"/>
      <c r="R38" s="32"/>
      <c r="S38" s="32"/>
      <c r="T38" s="32"/>
      <c r="U38" s="32"/>
      <c r="V38" s="32"/>
    </row>
    <row r="39" spans="1:22" hidden="1" outlineLevel="1">
      <c r="O39" s="649"/>
      <c r="P39" s="32"/>
      <c r="Q39" s="32"/>
      <c r="R39" s="32"/>
      <c r="S39" s="32"/>
      <c r="T39" s="32"/>
      <c r="U39" s="32"/>
      <c r="V39" s="32"/>
    </row>
    <row r="40" spans="1:22" hidden="1" outlineLevel="1">
      <c r="O40" s="649"/>
      <c r="P40" s="32"/>
      <c r="Q40" s="32"/>
      <c r="R40" s="32"/>
      <c r="S40" s="32"/>
      <c r="T40" s="32"/>
      <c r="U40" s="32"/>
      <c r="V40" s="32"/>
    </row>
    <row r="41" spans="1:22" ht="15.6" hidden="1" outlineLevel="1">
      <c r="B41" s="1263" t="s">
        <v>857</v>
      </c>
      <c r="O41" s="32"/>
      <c r="P41" s="270"/>
      <c r="Q41" s="270"/>
      <c r="R41" s="270"/>
      <c r="S41" s="270"/>
      <c r="T41" s="270"/>
      <c r="U41" s="270"/>
      <c r="V41" s="270"/>
    </row>
    <row r="42" spans="1:22" ht="15.6" hidden="1" outlineLevel="1">
      <c r="B42" s="786" t="s">
        <v>1157</v>
      </c>
      <c r="C42" s="786"/>
      <c r="D42" s="787"/>
      <c r="E42" s="787"/>
      <c r="F42" s="787"/>
      <c r="G42" s="787"/>
      <c r="H42" s="787"/>
      <c r="I42" s="787"/>
      <c r="J42" s="788"/>
      <c r="O42" s="32"/>
      <c r="P42" s="25"/>
      <c r="Q42" s="25"/>
      <c r="R42" s="25"/>
      <c r="S42" s="25"/>
      <c r="T42" s="25"/>
      <c r="U42" s="25"/>
      <c r="V42" s="25"/>
    </row>
    <row r="43" spans="1:22" ht="15.6" hidden="1" outlineLevel="1">
      <c r="A43" s="318"/>
      <c r="B43" s="318"/>
      <c r="C43" s="318"/>
      <c r="D43" s="318"/>
      <c r="E43" s="318"/>
      <c r="F43" s="318"/>
      <c r="G43" s="318"/>
      <c r="H43" s="318"/>
      <c r="I43" s="318"/>
      <c r="O43" s="318"/>
      <c r="P43" s="319"/>
      <c r="Q43" s="648"/>
      <c r="R43" s="319"/>
      <c r="S43" s="319"/>
      <c r="T43" s="319"/>
      <c r="U43" s="319"/>
      <c r="V43" s="319"/>
    </row>
    <row r="44" spans="1:22" ht="15.6" hidden="1" outlineLevel="1">
      <c r="A44" s="318"/>
      <c r="B44" s="789" t="s">
        <v>1158</v>
      </c>
      <c r="C44" s="789"/>
      <c r="D44" s="790"/>
      <c r="E44" s="790"/>
      <c r="F44" s="790"/>
      <c r="G44" s="790"/>
      <c r="H44" s="790"/>
      <c r="I44" s="790"/>
      <c r="J44" s="791"/>
      <c r="O44" s="318"/>
      <c r="P44" s="321"/>
      <c r="Q44" s="319"/>
      <c r="R44" s="319"/>
      <c r="S44" s="319"/>
      <c r="T44" s="319"/>
      <c r="U44" s="319"/>
      <c r="V44" s="319"/>
    </row>
    <row r="45" spans="1:22" ht="15.6" hidden="1" outlineLevel="1">
      <c r="A45" s="318"/>
      <c r="O45" s="318"/>
      <c r="P45" s="321"/>
      <c r="Q45" s="321"/>
      <c r="R45" s="321"/>
      <c r="S45" s="1865"/>
      <c r="T45" s="1865"/>
      <c r="U45" s="318"/>
      <c r="V45" s="318"/>
    </row>
    <row r="46" spans="1:22" ht="15.6" hidden="1" outlineLevel="1">
      <c r="A46" s="318"/>
      <c r="B46" t="s">
        <v>858</v>
      </c>
      <c r="D46" s="992">
        <v>1</v>
      </c>
      <c r="E46" t="s">
        <v>859</v>
      </c>
      <c r="O46" s="318"/>
      <c r="P46" s="321"/>
      <c r="Q46" s="321"/>
      <c r="R46" s="321"/>
      <c r="S46" s="1313"/>
      <c r="T46" s="1313"/>
      <c r="U46" s="318"/>
      <c r="V46" s="318"/>
    </row>
    <row r="47" spans="1:22" ht="15.6" hidden="1" outlineLevel="1">
      <c r="A47" s="318"/>
      <c r="B47" t="s">
        <v>858</v>
      </c>
      <c r="D47" s="860">
        <v>0.99309999999999998</v>
      </c>
      <c r="E47" t="s">
        <v>860</v>
      </c>
      <c r="O47" s="318"/>
      <c r="P47" s="321"/>
      <c r="Q47" s="321"/>
      <c r="R47" s="321"/>
      <c r="S47" s="1313"/>
      <c r="T47" s="1313"/>
      <c r="U47" s="318"/>
      <c r="V47" s="318"/>
    </row>
    <row r="48" spans="1:22" ht="15.6" hidden="1" outlineLevel="1">
      <c r="A48" s="318"/>
      <c r="D48" s="782" t="s">
        <v>841</v>
      </c>
      <c r="E48" s="782" t="s">
        <v>842</v>
      </c>
      <c r="O48" s="318"/>
      <c r="P48" s="321"/>
      <c r="Q48" s="321"/>
      <c r="R48" s="321"/>
      <c r="S48" s="1313"/>
      <c r="T48" s="1313"/>
      <c r="U48" s="318"/>
      <c r="V48" s="318"/>
    </row>
    <row r="49" spans="1:22" ht="15.6" hidden="1" outlineLevel="1">
      <c r="A49" s="425"/>
      <c r="B49" s="809" t="s">
        <v>862</v>
      </c>
      <c r="C49" s="809"/>
      <c r="D49" s="808">
        <v>8966</v>
      </c>
      <c r="E49" s="808">
        <v>9414</v>
      </c>
      <c r="O49" s="318"/>
      <c r="P49" s="321"/>
      <c r="Q49" s="321"/>
      <c r="R49" s="321"/>
      <c r="S49" s="1313"/>
      <c r="T49" s="1313"/>
      <c r="U49" s="318"/>
      <c r="V49" s="318"/>
    </row>
    <row r="50" spans="1:22" ht="15.6" hidden="1" outlineLevel="1">
      <c r="A50" s="425"/>
      <c r="B50" s="809" t="s">
        <v>863</v>
      </c>
      <c r="C50" s="330"/>
      <c r="D50" s="783">
        <f>+D49*$D$46</f>
        <v>8966</v>
      </c>
      <c r="E50" s="783">
        <f>+E49*$D$46</f>
        <v>9414</v>
      </c>
      <c r="O50" s="318"/>
      <c r="P50" s="321"/>
      <c r="Q50" s="321"/>
      <c r="R50" s="321"/>
      <c r="S50" s="1313"/>
      <c r="T50" s="1313"/>
      <c r="U50" s="318"/>
      <c r="V50" s="318"/>
    </row>
    <row r="51" spans="1:22" ht="15.6" hidden="1" outlineLevel="1">
      <c r="A51" s="425"/>
      <c r="E51" s="861"/>
      <c r="O51" s="318"/>
      <c r="P51" s="321"/>
      <c r="Q51" s="321"/>
      <c r="R51" s="321"/>
      <c r="S51" s="1313"/>
      <c r="T51" s="1313"/>
      <c r="U51" s="318"/>
      <c r="V51" s="318"/>
    </row>
    <row r="52" spans="1:22" ht="15.6" hidden="1" outlineLevel="1">
      <c r="A52" s="425"/>
      <c r="B52" s="330" t="s">
        <v>839</v>
      </c>
      <c r="C52" s="330"/>
      <c r="O52" s="318"/>
      <c r="P52" s="321"/>
      <c r="Q52" s="321"/>
      <c r="R52" s="321"/>
      <c r="S52" s="1313"/>
      <c r="T52" s="1313"/>
      <c r="U52" s="318"/>
      <c r="V52" s="318"/>
    </row>
    <row r="53" spans="1:22" ht="15.6" hidden="1" outlineLevel="1">
      <c r="A53" s="425"/>
      <c r="B53" s="784" t="s">
        <v>864</v>
      </c>
      <c r="C53" s="784"/>
      <c r="D53" s="771"/>
      <c r="E53" s="771"/>
      <c r="O53" s="318"/>
      <c r="P53" s="321"/>
      <c r="Q53" s="321"/>
      <c r="R53" s="321"/>
      <c r="S53" s="1313"/>
      <c r="T53" s="1313"/>
      <c r="U53" s="318"/>
      <c r="V53" s="318"/>
    </row>
    <row r="54" spans="1:22" ht="15.6" hidden="1" outlineLevel="1">
      <c r="A54" s="425"/>
      <c r="B54" s="780" t="s">
        <v>840</v>
      </c>
      <c r="C54" s="780"/>
      <c r="D54" s="782" t="s">
        <v>841</v>
      </c>
      <c r="E54" s="782" t="s">
        <v>842</v>
      </c>
      <c r="F54" s="986" t="s">
        <v>865</v>
      </c>
      <c r="O54" s="318"/>
      <c r="P54" s="321"/>
      <c r="Q54" s="321"/>
      <c r="R54" s="321"/>
      <c r="S54" s="1313"/>
      <c r="T54" s="1313"/>
      <c r="U54" s="318"/>
      <c r="V54" s="318"/>
    </row>
    <row r="55" spans="1:22" ht="15.6" hidden="1" outlineLevel="1">
      <c r="A55" s="425"/>
      <c r="B55" s="987" t="s">
        <v>866</v>
      </c>
      <c r="C55" s="987"/>
      <c r="D55" s="919">
        <v>7494</v>
      </c>
      <c r="E55" s="799">
        <v>7594</v>
      </c>
      <c r="F55" s="985">
        <f t="shared" ref="F55:F61" si="1">E55/D55-1</f>
        <v>1.3344008540165486E-2</v>
      </c>
      <c r="O55" s="318"/>
      <c r="P55" s="321"/>
      <c r="Q55" s="321"/>
      <c r="R55" s="321"/>
      <c r="S55" s="1313"/>
      <c r="T55" s="1313"/>
      <c r="U55" s="318"/>
      <c r="V55" s="318"/>
    </row>
    <row r="56" spans="1:22" ht="15.6" hidden="1" outlineLevel="1">
      <c r="A56" s="425"/>
      <c r="B56" s="988" t="s">
        <v>867</v>
      </c>
      <c r="C56" s="988"/>
      <c r="D56" s="920">
        <v>8093</v>
      </c>
      <c r="E56" s="807">
        <v>8197</v>
      </c>
      <c r="F56" s="985">
        <f t="shared" si="1"/>
        <v>1.2850611639688703E-2</v>
      </c>
      <c r="O56" s="318"/>
      <c r="P56" s="321"/>
      <c r="Q56" s="321"/>
      <c r="R56" s="321"/>
      <c r="S56" s="1313"/>
      <c r="T56" s="1313"/>
      <c r="U56" s="318"/>
      <c r="V56" s="318"/>
    </row>
    <row r="57" spans="1:22" ht="15.6" hidden="1" outlineLevel="1">
      <c r="A57" s="425"/>
      <c r="B57" s="988" t="s">
        <v>868</v>
      </c>
      <c r="C57" s="988"/>
      <c r="D57" s="920">
        <v>7197</v>
      </c>
      <c r="E57" s="807">
        <v>7293</v>
      </c>
      <c r="F57" s="985">
        <f t="shared" si="1"/>
        <v>1.3338891204668579E-2</v>
      </c>
      <c r="O57" s="318"/>
      <c r="P57" s="321"/>
      <c r="Q57" s="321"/>
      <c r="R57" s="321"/>
      <c r="S57" s="1313"/>
      <c r="T57" s="1313"/>
      <c r="U57" s="318"/>
      <c r="V57" s="318"/>
    </row>
    <row r="58" spans="1:22" ht="15.6" hidden="1" outlineLevel="1">
      <c r="A58" s="425"/>
      <c r="B58" s="988" t="s">
        <v>869</v>
      </c>
      <c r="C58" s="988"/>
      <c r="D58" s="920">
        <v>7715</v>
      </c>
      <c r="E58" s="807">
        <v>7818</v>
      </c>
      <c r="F58" s="985">
        <f t="shared" si="1"/>
        <v>1.335061568373308E-2</v>
      </c>
      <c r="O58" s="318"/>
      <c r="P58" s="321"/>
      <c r="Q58" s="321"/>
      <c r="R58" s="321"/>
      <c r="S58" s="1313"/>
      <c r="T58" s="1313"/>
      <c r="U58" s="318"/>
      <c r="V58" s="318"/>
    </row>
    <row r="59" spans="1:22" ht="15.6" hidden="1" outlineLevel="1">
      <c r="A59" s="425"/>
      <c r="B59" s="988" t="s">
        <v>847</v>
      </c>
      <c r="C59" s="988"/>
      <c r="D59" s="920">
        <v>8764</v>
      </c>
      <c r="E59" s="807">
        <v>8881</v>
      </c>
      <c r="F59" s="985">
        <f>E59/D59-1</f>
        <v>1.3350068461889464E-2</v>
      </c>
      <c r="O59" s="318"/>
      <c r="P59" s="321"/>
      <c r="Q59" s="321"/>
      <c r="R59" s="321"/>
      <c r="S59" s="1313"/>
      <c r="T59" s="1313"/>
      <c r="U59" s="318"/>
      <c r="V59" s="318"/>
    </row>
    <row r="60" spans="1:22" ht="15.6" hidden="1" outlineLevel="1">
      <c r="A60" s="425"/>
      <c r="B60" s="988" t="s">
        <v>870</v>
      </c>
      <c r="C60" s="988"/>
      <c r="D60" s="920">
        <v>6980</v>
      </c>
      <c r="E60" s="807">
        <v>7074</v>
      </c>
      <c r="F60" s="985">
        <f t="shared" si="1"/>
        <v>1.346704871060167E-2</v>
      </c>
      <c r="O60" s="318"/>
      <c r="P60" s="321"/>
      <c r="Q60" s="321"/>
      <c r="R60" s="321"/>
      <c r="S60" s="1313"/>
      <c r="T60" s="1313"/>
      <c r="U60" s="318"/>
      <c r="V60" s="318"/>
    </row>
    <row r="61" spans="1:22" ht="15.6" hidden="1" outlineLevel="1">
      <c r="A61" s="425"/>
      <c r="B61" s="988" t="s">
        <v>871</v>
      </c>
      <c r="C61" s="988"/>
      <c r="D61" s="920">
        <v>10367</v>
      </c>
      <c r="E61" s="807">
        <v>10501</v>
      </c>
      <c r="F61" s="985">
        <f t="shared" si="1"/>
        <v>1.2925629400983851E-2</v>
      </c>
      <c r="O61" s="318"/>
      <c r="P61" s="321"/>
      <c r="Q61" s="321"/>
      <c r="R61" s="321"/>
      <c r="S61" s="1313"/>
      <c r="T61" s="1313"/>
      <c r="U61" s="318"/>
      <c r="V61" s="318"/>
    </row>
    <row r="62" spans="1:22" ht="15.6" hidden="1" outlineLevel="1">
      <c r="A62" s="425"/>
      <c r="O62" s="318"/>
      <c r="P62" s="321"/>
      <c r="Q62" s="321"/>
      <c r="R62" s="321"/>
      <c r="S62" s="1313"/>
      <c r="T62" s="1313"/>
      <c r="U62" s="318"/>
      <c r="V62" s="318"/>
    </row>
    <row r="63" spans="1:22" ht="15.6" hidden="1" outlineLevel="1">
      <c r="A63" s="425"/>
      <c r="B63" s="330" t="s">
        <v>839</v>
      </c>
      <c r="C63" s="330"/>
      <c r="O63" s="318"/>
      <c r="P63" s="321"/>
      <c r="Q63" s="321"/>
      <c r="R63" s="321"/>
      <c r="S63" s="1313"/>
      <c r="T63" s="1313"/>
      <c r="U63" s="318"/>
      <c r="V63" s="318"/>
    </row>
    <row r="64" spans="1:22" ht="15.6" hidden="1" outlineLevel="1">
      <c r="A64" s="425"/>
      <c r="B64" s="784" t="s">
        <v>872</v>
      </c>
      <c r="C64" s="784"/>
      <c r="D64" s="771"/>
      <c r="E64" s="771"/>
      <c r="O64" s="318"/>
      <c r="P64" s="321"/>
      <c r="Q64" s="321"/>
      <c r="R64" s="321"/>
      <c r="S64" s="1313"/>
      <c r="T64" s="1313"/>
      <c r="U64" s="318"/>
      <c r="V64" s="318"/>
    </row>
    <row r="65" spans="1:22" ht="15.6" hidden="1" outlineLevel="1">
      <c r="A65" s="425"/>
      <c r="B65" s="330"/>
      <c r="C65" s="330"/>
      <c r="E65" s="771"/>
      <c r="O65" s="318"/>
      <c r="P65" s="321"/>
      <c r="Q65" s="321"/>
      <c r="R65" s="321"/>
      <c r="S65" s="1313"/>
      <c r="T65" s="1313"/>
      <c r="U65" s="318"/>
      <c r="V65" s="318"/>
    </row>
    <row r="66" spans="1:22" ht="25.5" hidden="1" customHeight="1" outlineLevel="1">
      <c r="A66" s="425"/>
      <c r="B66" s="780" t="s">
        <v>840</v>
      </c>
      <c r="C66" s="780"/>
      <c r="D66" s="1007" t="s">
        <v>873</v>
      </c>
      <c r="E66" s="782" t="s">
        <v>861</v>
      </c>
      <c r="F66" s="986" t="s">
        <v>865</v>
      </c>
      <c r="O66" s="318"/>
      <c r="P66" s="321"/>
      <c r="Q66" s="321"/>
      <c r="R66" s="321"/>
      <c r="S66" s="1313"/>
      <c r="T66" s="1313"/>
      <c r="U66" s="318"/>
      <c r="V66" s="318"/>
    </row>
    <row r="67" spans="1:22" ht="15.6" hidden="1" outlineLevel="1">
      <c r="A67" s="425"/>
      <c r="B67" s="318" t="s">
        <v>866</v>
      </c>
      <c r="C67" s="318"/>
      <c r="D67" s="424">
        <f t="shared" ref="D67:E70" si="2">+D55*$D$46</f>
        <v>7494</v>
      </c>
      <c r="E67" s="799">
        <f t="shared" si="2"/>
        <v>7594</v>
      </c>
      <c r="F67" s="985">
        <f t="shared" ref="F67:F73" si="3">E67/D67-1</f>
        <v>1.3344008540165486E-2</v>
      </c>
      <c r="O67" s="318"/>
      <c r="P67" s="321"/>
      <c r="Q67" s="321"/>
      <c r="R67" s="321"/>
      <c r="S67" s="1313"/>
      <c r="T67" s="1313"/>
      <c r="U67" s="318"/>
      <c r="V67" s="318"/>
    </row>
    <row r="68" spans="1:22" ht="15.6" hidden="1" outlineLevel="1">
      <c r="A68" s="425"/>
      <c r="B68" s="1008" t="s">
        <v>844</v>
      </c>
      <c r="C68" s="1008"/>
      <c r="D68" s="909">
        <f t="shared" si="2"/>
        <v>8093</v>
      </c>
      <c r="E68" s="807">
        <f t="shared" si="2"/>
        <v>8197</v>
      </c>
      <c r="F68" s="985">
        <f t="shared" si="3"/>
        <v>1.2850611639688703E-2</v>
      </c>
      <c r="O68" s="318"/>
      <c r="P68" s="321"/>
      <c r="Q68" s="321"/>
      <c r="R68" s="321"/>
      <c r="S68" s="1313"/>
      <c r="T68" s="1313"/>
      <c r="U68" s="318"/>
      <c r="V68" s="318"/>
    </row>
    <row r="69" spans="1:22" ht="15.6" hidden="1" outlineLevel="1">
      <c r="A69" s="425"/>
      <c r="B69" s="1008" t="s">
        <v>845</v>
      </c>
      <c r="C69" s="1008"/>
      <c r="D69" s="909">
        <f t="shared" si="2"/>
        <v>7197</v>
      </c>
      <c r="E69" s="807">
        <f t="shared" si="2"/>
        <v>7293</v>
      </c>
      <c r="F69" s="985">
        <f t="shared" si="3"/>
        <v>1.3338891204668579E-2</v>
      </c>
      <c r="O69" s="318"/>
      <c r="P69" s="321"/>
      <c r="Q69" s="321"/>
      <c r="R69" s="321"/>
      <c r="S69" s="1313"/>
      <c r="T69" s="1313"/>
      <c r="U69" s="318"/>
      <c r="V69" s="318"/>
    </row>
    <row r="70" spans="1:22" ht="15.6" hidden="1" outlineLevel="1">
      <c r="A70" s="425"/>
      <c r="B70" s="1008" t="s">
        <v>846</v>
      </c>
      <c r="C70" s="1008"/>
      <c r="D70" s="909">
        <f t="shared" si="2"/>
        <v>7715</v>
      </c>
      <c r="E70" s="807">
        <f t="shared" si="2"/>
        <v>7818</v>
      </c>
      <c r="F70" s="985">
        <f t="shared" si="3"/>
        <v>1.335061568373308E-2</v>
      </c>
      <c r="O70" s="318"/>
      <c r="P70" s="321"/>
      <c r="Q70" s="321"/>
      <c r="R70" s="321"/>
      <c r="S70" s="1313"/>
      <c r="T70" s="1313"/>
      <c r="U70" s="318"/>
      <c r="V70" s="318"/>
    </row>
    <row r="71" spans="1:22" ht="15.6" hidden="1" outlineLevel="1">
      <c r="A71" s="425"/>
      <c r="B71" s="1008" t="s">
        <v>847</v>
      </c>
      <c r="C71" s="1008"/>
      <c r="D71" s="909">
        <v>8764</v>
      </c>
      <c r="E71" s="807">
        <v>8881</v>
      </c>
      <c r="F71" s="985">
        <f>E71/D71-1</f>
        <v>1.3350068461889464E-2</v>
      </c>
      <c r="O71" s="318"/>
      <c r="P71" s="321"/>
      <c r="Q71" s="321"/>
      <c r="R71" s="321"/>
      <c r="S71" s="1313"/>
      <c r="T71" s="1313"/>
      <c r="U71" s="318"/>
      <c r="V71" s="318"/>
    </row>
    <row r="72" spans="1:22" ht="15.6" hidden="1" outlineLevel="1">
      <c r="A72" s="425"/>
      <c r="B72" s="1008" t="s">
        <v>874</v>
      </c>
      <c r="C72" s="1008"/>
      <c r="D72" s="909">
        <f>+D60*$D$46</f>
        <v>6980</v>
      </c>
      <c r="E72" s="807">
        <f>+E60*$D$46</f>
        <v>7074</v>
      </c>
      <c r="F72" s="985">
        <f>E72/D72-1</f>
        <v>1.346704871060167E-2</v>
      </c>
      <c r="O72" s="318"/>
      <c r="P72" s="321"/>
      <c r="Q72" s="321"/>
      <c r="R72" s="321"/>
      <c r="S72" s="1313"/>
      <c r="T72" s="1313"/>
      <c r="U72" s="318"/>
      <c r="V72" s="318"/>
    </row>
    <row r="73" spans="1:22" ht="15.6" hidden="1" outlineLevel="1">
      <c r="A73" s="425"/>
      <c r="B73" s="1009" t="s">
        <v>850</v>
      </c>
      <c r="C73" s="1009"/>
      <c r="D73" s="1010">
        <f>+D61*$D$46</f>
        <v>10367</v>
      </c>
      <c r="E73" s="1011">
        <f>+E61*$D$46</f>
        <v>10501</v>
      </c>
      <c r="F73" s="1012">
        <f t="shared" si="3"/>
        <v>1.2925629400983851E-2</v>
      </c>
      <c r="O73" s="318"/>
      <c r="P73" s="321"/>
      <c r="Q73" s="321"/>
      <c r="R73" s="321"/>
      <c r="S73" s="1313"/>
      <c r="T73" s="1313"/>
      <c r="U73" s="318"/>
      <c r="V73" s="318"/>
    </row>
    <row r="74" spans="1:22" ht="15.6" hidden="1" outlineLevel="1">
      <c r="A74" s="425"/>
      <c r="O74" s="318"/>
      <c r="P74" s="321"/>
      <c r="Q74" s="321"/>
      <c r="R74" s="321"/>
      <c r="S74" s="1313"/>
      <c r="T74" s="1313"/>
      <c r="U74" s="318"/>
      <c r="V74" s="318"/>
    </row>
    <row r="75" spans="1:22" ht="15.6" hidden="1" outlineLevel="1">
      <c r="A75" s="425"/>
      <c r="B75" s="810" t="s">
        <v>852</v>
      </c>
      <c r="C75" s="810"/>
      <c r="D75" s="811"/>
      <c r="E75" s="811"/>
      <c r="G75" s="782" t="s">
        <v>875</v>
      </c>
      <c r="O75" s="318"/>
      <c r="P75" s="321"/>
      <c r="Q75" s="321"/>
      <c r="R75" s="321"/>
      <c r="S75" s="1313"/>
      <c r="T75" s="1313"/>
      <c r="U75" s="318"/>
      <c r="V75" s="318"/>
    </row>
    <row r="76" spans="1:22" ht="15.6" hidden="1" outlineLevel="1">
      <c r="A76" s="425"/>
      <c r="B76" s="777" t="s">
        <v>876</v>
      </c>
      <c r="C76" s="777"/>
      <c r="D76" s="778"/>
      <c r="E76" s="805"/>
      <c r="H76">
        <v>7197</v>
      </c>
      <c r="O76" s="318"/>
      <c r="P76" s="321"/>
      <c r="Q76" s="321"/>
      <c r="R76" s="321"/>
      <c r="S76" s="1313"/>
      <c r="T76" s="1313"/>
      <c r="U76" s="318"/>
      <c r="V76" s="318"/>
    </row>
    <row r="77" spans="1:22" ht="15.6" hidden="1" outlineLevel="1">
      <c r="A77" s="425"/>
      <c r="B77" s="785" t="s">
        <v>853</v>
      </c>
      <c r="C77" s="785"/>
      <c r="D77" s="1266">
        <v>0.38284007225232736</v>
      </c>
      <c r="E77" s="1267">
        <v>0.33</v>
      </c>
      <c r="F77" t="s">
        <v>877</v>
      </c>
      <c r="G77" s="1016">
        <f>+$D$69*D77</f>
        <v>2755.3</v>
      </c>
      <c r="H77" s="1017">
        <f>+$H$76+G77</f>
        <v>9952.2999999999993</v>
      </c>
      <c r="O77" s="318"/>
      <c r="P77" s="321"/>
      <c r="Q77" s="321"/>
      <c r="R77" s="321"/>
      <c r="S77" s="1313"/>
      <c r="T77" s="1313"/>
      <c r="U77" s="318"/>
      <c r="V77" s="318"/>
    </row>
    <row r="78" spans="1:22" ht="15.6" hidden="1" outlineLevel="1">
      <c r="A78" s="425"/>
      <c r="B78" s="806" t="s">
        <v>855</v>
      </c>
      <c r="C78" s="806"/>
      <c r="D78" s="856">
        <v>0.24</v>
      </c>
      <c r="E78" s="856">
        <v>0.23</v>
      </c>
      <c r="G78" s="424">
        <f>+$D$69*D78</f>
        <v>1727.28</v>
      </c>
      <c r="H78" s="1017">
        <f>+$H$76+G78</f>
        <v>8924.2800000000007</v>
      </c>
      <c r="O78" s="318"/>
      <c r="P78" s="321"/>
      <c r="Q78" s="321"/>
      <c r="R78" s="321"/>
      <c r="S78" s="1313"/>
      <c r="T78" s="1313"/>
      <c r="U78" s="318"/>
      <c r="V78" s="318"/>
    </row>
    <row r="79" spans="1:22" ht="15.6" hidden="1" outlineLevel="1">
      <c r="A79" s="425"/>
      <c r="B79" s="806" t="s">
        <v>1159</v>
      </c>
      <c r="C79" s="806"/>
      <c r="D79" s="856">
        <v>0.03</v>
      </c>
      <c r="E79" s="856">
        <v>0.03</v>
      </c>
      <c r="G79" s="424">
        <f>+$D$69*D79</f>
        <v>215.91</v>
      </c>
      <c r="H79" s="1017">
        <f>+$H$76+G79</f>
        <v>7412.91</v>
      </c>
      <c r="I79" s="1018" t="s">
        <v>1226</v>
      </c>
      <c r="O79" s="318"/>
      <c r="P79" s="321"/>
      <c r="Q79" s="321"/>
      <c r="R79" s="321"/>
      <c r="S79" s="1313"/>
      <c r="T79" s="1313"/>
      <c r="U79" s="318"/>
      <c r="V79" s="318"/>
    </row>
    <row r="80" spans="1:22" ht="15.6" hidden="1" outlineLevel="1">
      <c r="A80" s="426"/>
      <c r="B80" s="806" t="s">
        <v>856</v>
      </c>
      <c r="C80" s="806"/>
      <c r="D80" s="856">
        <v>0.12</v>
      </c>
      <c r="E80" s="856">
        <v>0.12</v>
      </c>
      <c r="G80" s="424">
        <f>+$D$69*D80</f>
        <v>863.64</v>
      </c>
      <c r="H80" s="1017">
        <f>+$H$76+G80</f>
        <v>8060.64</v>
      </c>
      <c r="O80" s="650"/>
      <c r="P80" s="324"/>
      <c r="Q80" s="981"/>
      <c r="R80" s="982"/>
      <c r="S80" s="983"/>
      <c r="T80" s="982"/>
      <c r="U80" s="318"/>
      <c r="V80" s="318"/>
    </row>
    <row r="81" spans="1:22" ht="15.6" hidden="1" outlineLevel="1">
      <c r="A81" s="318"/>
      <c r="H81" s="873"/>
      <c r="I81" s="872"/>
      <c r="J81" s="873"/>
      <c r="K81" s="878"/>
      <c r="L81" s="873"/>
      <c r="M81" s="872"/>
      <c r="O81" s="325"/>
      <c r="P81" s="326"/>
      <c r="Q81" s="327"/>
      <c r="R81" s="327"/>
      <c r="S81" s="327"/>
      <c r="T81" s="327"/>
      <c r="U81" s="318"/>
      <c r="V81" s="318"/>
    </row>
    <row r="82" spans="1:22" ht="15.6" hidden="1" outlineLevel="2">
      <c r="A82" s="318"/>
      <c r="B82" s="780" t="s">
        <v>878</v>
      </c>
      <c r="C82" s="780"/>
      <c r="D82" s="345"/>
      <c r="O82" s="325"/>
      <c r="P82" s="326"/>
      <c r="Q82" s="327"/>
      <c r="R82" s="327"/>
      <c r="S82" s="327"/>
      <c r="T82" s="327"/>
      <c r="U82" s="318"/>
      <c r="V82" s="318"/>
    </row>
    <row r="83" spans="1:22" ht="15.6" hidden="1" outlineLevel="2">
      <c r="A83" s="318"/>
      <c r="B83" s="835" t="s">
        <v>879</v>
      </c>
      <c r="C83" s="835"/>
      <c r="D83" s="935">
        <f>+J170</f>
        <v>150</v>
      </c>
      <c r="E83" s="1"/>
      <c r="F83" s="864"/>
      <c r="S83" s="327"/>
      <c r="T83" s="327"/>
      <c r="U83" s="318"/>
      <c r="V83" s="318"/>
    </row>
    <row r="84" spans="1:22" ht="15.6" hidden="1" outlineLevel="2">
      <c r="A84" s="318"/>
      <c r="B84" s="834" t="s">
        <v>880</v>
      </c>
      <c r="C84" s="834"/>
      <c r="D84" s="936">
        <f>+J205</f>
        <v>327</v>
      </c>
      <c r="I84" s="326"/>
      <c r="S84" s="327"/>
      <c r="T84" s="327"/>
      <c r="U84" s="318"/>
      <c r="V84" s="318"/>
    </row>
    <row r="85" spans="1:22" ht="15.6" hidden="1" outlineLevel="2">
      <c r="A85" s="318"/>
      <c r="B85" s="836"/>
      <c r="C85" s="836"/>
      <c r="D85" s="816">
        <f>SUM(D83:D84)</f>
        <v>477</v>
      </c>
      <c r="F85" s="1"/>
      <c r="I85" s="326"/>
      <c r="S85" s="327"/>
      <c r="T85" s="327"/>
      <c r="U85" s="318"/>
      <c r="V85" s="318"/>
    </row>
    <row r="86" spans="1:22" ht="15.6" hidden="1" outlineLevel="2">
      <c r="A86" s="318"/>
      <c r="D86" s="4"/>
      <c r="F86" s="1"/>
      <c r="I86" s="326"/>
      <c r="S86" s="327"/>
      <c r="T86" s="327"/>
      <c r="U86" s="318"/>
      <c r="V86" s="318"/>
    </row>
    <row r="87" spans="1:22" ht="15.6" hidden="1" outlineLevel="2">
      <c r="A87" s="318"/>
      <c r="B87" s="874" t="s">
        <v>881</v>
      </c>
      <c r="C87" s="874"/>
      <c r="D87" s="874"/>
      <c r="F87" s="1"/>
      <c r="I87" s="326"/>
      <c r="S87" s="327"/>
      <c r="T87" s="327"/>
      <c r="U87" s="318"/>
      <c r="V87" s="318"/>
    </row>
    <row r="88" spans="1:22" ht="15.6" hidden="1" outlineLevel="2">
      <c r="A88" s="318"/>
      <c r="B88" s="870" t="s">
        <v>882</v>
      </c>
      <c r="C88" s="871"/>
      <c r="D88" s="871"/>
      <c r="F88" s="1"/>
      <c r="I88" s="326"/>
      <c r="S88" s="327"/>
      <c r="T88" s="327"/>
      <c r="U88" s="318"/>
      <c r="V88" s="318"/>
    </row>
    <row r="89" spans="1:22" ht="15.6" hidden="1" outlineLevel="2">
      <c r="A89" s="318"/>
      <c r="B89" s="872"/>
      <c r="C89" s="873"/>
      <c r="D89" s="872"/>
      <c r="F89" s="1"/>
      <c r="S89" s="327"/>
      <c r="T89" s="327"/>
      <c r="U89" s="318"/>
      <c r="V89" s="318"/>
    </row>
    <row r="90" spans="1:22" ht="15.6" hidden="1" outlineLevel="2">
      <c r="A90" s="318"/>
      <c r="B90" s="886" t="s">
        <v>883</v>
      </c>
      <c r="C90" s="873"/>
      <c r="D90" s="887">
        <v>500</v>
      </c>
      <c r="F90" s="1"/>
      <c r="S90" s="327"/>
      <c r="T90" s="327"/>
      <c r="U90" s="318"/>
      <c r="V90" s="318"/>
    </row>
    <row r="91" spans="1:22" ht="15.6" hidden="1" outlineLevel="2">
      <c r="A91" s="318"/>
      <c r="B91" s="886" t="s">
        <v>884</v>
      </c>
      <c r="C91" s="873"/>
      <c r="D91" s="887">
        <v>250</v>
      </c>
      <c r="F91" s="1"/>
      <c r="S91" s="327"/>
      <c r="T91" s="327"/>
      <c r="U91" s="318"/>
      <c r="V91" s="318"/>
    </row>
    <row r="92" spans="1:22" ht="15.6" hidden="1" outlineLevel="2">
      <c r="A92" s="318"/>
      <c r="B92" s="886" t="s">
        <v>885</v>
      </c>
      <c r="C92" s="873"/>
      <c r="D92" s="937">
        <f>SUM(B97,B99,B101,B103)</f>
        <v>318</v>
      </c>
      <c r="E92" s="938"/>
      <c r="F92" s="1"/>
      <c r="S92" s="327"/>
      <c r="T92" s="327"/>
      <c r="U92" s="318"/>
      <c r="V92" s="318"/>
    </row>
    <row r="93" spans="1:22" ht="15.6" hidden="1" outlineLevel="2">
      <c r="A93" s="318"/>
      <c r="B93" s="872"/>
      <c r="C93" s="873"/>
      <c r="D93" s="872"/>
      <c r="F93" s="1"/>
      <c r="S93" s="327"/>
      <c r="T93" s="327"/>
      <c r="U93" s="318"/>
      <c r="V93" s="318"/>
    </row>
    <row r="94" spans="1:22" ht="15.6" hidden="1" outlineLevel="2">
      <c r="A94" s="318"/>
      <c r="B94" s="913" t="s">
        <v>886</v>
      </c>
      <c r="C94" s="880"/>
      <c r="D94" s="879"/>
      <c r="E94" s="345"/>
      <c r="F94" s="1"/>
      <c r="G94" t="s">
        <v>498</v>
      </c>
      <c r="K94">
        <v>500</v>
      </c>
      <c r="N94" t="s">
        <v>887</v>
      </c>
      <c r="S94" s="327"/>
      <c r="T94" s="327"/>
      <c r="U94" s="318"/>
      <c r="V94" s="318"/>
    </row>
    <row r="95" spans="1:22" ht="15.6" hidden="1" outlineLevel="2">
      <c r="A95" s="318"/>
      <c r="B95" s="874" t="s">
        <v>888</v>
      </c>
      <c r="C95" s="880"/>
      <c r="D95" s="874" t="s">
        <v>889</v>
      </c>
      <c r="E95" s="879"/>
      <c r="G95" s="872"/>
      <c r="I95" t="s">
        <v>890</v>
      </c>
      <c r="J95" t="s">
        <v>891</v>
      </c>
      <c r="K95" t="s">
        <v>892</v>
      </c>
      <c r="N95" t="s">
        <v>893</v>
      </c>
      <c r="S95" s="327"/>
      <c r="T95" s="327"/>
      <c r="U95" s="318"/>
      <c r="V95" s="318"/>
    </row>
    <row r="96" spans="1:22" ht="15.6" hidden="1" outlineLevel="2">
      <c r="A96" s="318"/>
      <c r="B96" s="871" t="s">
        <v>894</v>
      </c>
      <c r="C96" s="888" t="s">
        <v>895</v>
      </c>
      <c r="D96" s="888" t="s">
        <v>896</v>
      </c>
      <c r="E96" s="888" t="s">
        <v>897</v>
      </c>
      <c r="G96" s="872"/>
      <c r="I96" s="888" t="s">
        <v>898</v>
      </c>
      <c r="J96" s="888" t="s">
        <v>899</v>
      </c>
      <c r="K96" s="888" t="s">
        <v>900</v>
      </c>
      <c r="N96" s="888" t="s">
        <v>901</v>
      </c>
      <c r="S96" s="327"/>
      <c r="T96" s="327"/>
      <c r="U96" s="318"/>
      <c r="V96" s="318"/>
    </row>
    <row r="97" spans="1:28" ht="15.6" hidden="1" outlineLevel="2">
      <c r="A97" s="318"/>
      <c r="B97" s="876">
        <v>45</v>
      </c>
      <c r="C97" s="876">
        <v>0</v>
      </c>
      <c r="D97" s="877">
        <v>10</v>
      </c>
      <c r="E97" s="876">
        <v>15</v>
      </c>
      <c r="G97" s="870" t="s">
        <v>894</v>
      </c>
      <c r="H97" s="939">
        <v>0.5</v>
      </c>
      <c r="I97" s="940">
        <v>0.15</v>
      </c>
      <c r="J97" s="940">
        <v>0.15</v>
      </c>
      <c r="K97" s="4">
        <f>+J97*$K$94</f>
        <v>75</v>
      </c>
      <c r="M97">
        <v>15</v>
      </c>
      <c r="S97" s="327"/>
      <c r="T97" s="327"/>
      <c r="U97" s="318"/>
      <c r="V97" s="318"/>
    </row>
    <row r="98" spans="1:28" ht="15.6" hidden="1" outlineLevel="2">
      <c r="A98" s="318"/>
      <c r="B98" s="871" t="s">
        <v>902</v>
      </c>
      <c r="C98" s="888" t="s">
        <v>903</v>
      </c>
      <c r="D98" s="888" t="s">
        <v>904</v>
      </c>
      <c r="E98" s="872"/>
      <c r="G98" s="941" t="s">
        <v>905</v>
      </c>
      <c r="H98" s="939">
        <v>0.24</v>
      </c>
      <c r="I98" s="940">
        <v>0.2</v>
      </c>
      <c r="J98" s="940">
        <v>0.17</v>
      </c>
      <c r="K98" s="4">
        <f>+J98*$K$94</f>
        <v>85</v>
      </c>
      <c r="M98">
        <v>17</v>
      </c>
      <c r="S98" s="327"/>
      <c r="T98" s="327"/>
      <c r="U98" s="318"/>
      <c r="V98" s="318"/>
    </row>
    <row r="99" spans="1:28" ht="15.6" hidden="1" outlineLevel="2">
      <c r="A99" s="318"/>
      <c r="B99" s="876">
        <v>53</v>
      </c>
      <c r="C99" s="876">
        <v>0</v>
      </c>
      <c r="D99" s="876">
        <v>0</v>
      </c>
      <c r="F99" s="872"/>
      <c r="G99" s="941" t="s">
        <v>902</v>
      </c>
      <c r="H99" s="939">
        <v>0.12</v>
      </c>
      <c r="I99" s="940">
        <v>0.01</v>
      </c>
      <c r="J99" s="940">
        <v>0.01</v>
      </c>
      <c r="K99" s="4">
        <f>+J99*$K$94</f>
        <v>5</v>
      </c>
      <c r="M99">
        <v>4</v>
      </c>
      <c r="S99" s="327"/>
      <c r="T99" s="327"/>
      <c r="U99" s="318"/>
      <c r="V99" s="318"/>
    </row>
    <row r="100" spans="1:28" ht="15.6" hidden="1" outlineLevel="2">
      <c r="A100" s="318"/>
      <c r="B100" s="871" t="s">
        <v>905</v>
      </c>
      <c r="C100" s="888" t="s">
        <v>906</v>
      </c>
      <c r="D100" s="872"/>
      <c r="F100" s="872"/>
      <c r="G100" s="870" t="s">
        <v>907</v>
      </c>
      <c r="H100" s="939">
        <v>0.5</v>
      </c>
      <c r="I100" s="940">
        <v>0.5</v>
      </c>
      <c r="J100" s="940">
        <v>0.5</v>
      </c>
      <c r="K100" s="4">
        <f>+J100*$K$94</f>
        <v>250</v>
      </c>
      <c r="N100" s="939">
        <v>0.8</v>
      </c>
      <c r="S100" s="327"/>
      <c r="T100" s="327"/>
      <c r="U100" s="318"/>
      <c r="V100" s="318"/>
      <c r="AB100">
        <v>0.64</v>
      </c>
    </row>
    <row r="101" spans="1:28" ht="15.6" hidden="1" outlineLevel="2">
      <c r="A101" s="318"/>
      <c r="B101" s="876">
        <v>30</v>
      </c>
      <c r="C101" s="876">
        <v>20</v>
      </c>
      <c r="D101" s="872"/>
      <c r="F101" s="872"/>
      <c r="K101" s="4">
        <f>SUM(K97:K100)</f>
        <v>415</v>
      </c>
      <c r="S101" s="327"/>
      <c r="T101" s="327"/>
      <c r="U101" s="318"/>
      <c r="V101" s="318"/>
    </row>
    <row r="102" spans="1:28" ht="15.6" hidden="1" outlineLevel="2">
      <c r="A102" s="318"/>
      <c r="B102" s="871" t="s">
        <v>907</v>
      </c>
      <c r="C102" s="875"/>
      <c r="D102" s="875"/>
      <c r="F102" s="875"/>
      <c r="I102" s="939">
        <v>0.06</v>
      </c>
      <c r="S102" s="327"/>
      <c r="T102" s="327"/>
      <c r="U102" s="318"/>
      <c r="V102" s="318"/>
    </row>
    <row r="103" spans="1:28" ht="15.6" hidden="1" outlineLevel="2">
      <c r="A103" s="318"/>
      <c r="B103" s="876">
        <v>190</v>
      </c>
      <c r="C103" s="872"/>
      <c r="D103" s="878"/>
      <c r="F103" s="872"/>
      <c r="G103" t="s">
        <v>908</v>
      </c>
      <c r="S103" s="327"/>
      <c r="T103" s="327"/>
      <c r="U103" s="318"/>
      <c r="V103" s="318"/>
    </row>
    <row r="104" spans="1:28" ht="15.6" hidden="1" outlineLevel="2">
      <c r="A104" s="318"/>
      <c r="B104" s="879"/>
      <c r="C104" s="879"/>
      <c r="D104" s="881"/>
      <c r="E104" s="879"/>
      <c r="S104" s="327"/>
      <c r="T104" s="327"/>
      <c r="U104" s="318"/>
      <c r="V104" s="318"/>
    </row>
    <row r="105" spans="1:28" ht="15.6" hidden="1" outlineLevel="2">
      <c r="A105" s="318"/>
      <c r="B105" s="884" t="s">
        <v>909</v>
      </c>
      <c r="C105" s="884"/>
      <c r="D105" s="884"/>
      <c r="E105" s="884"/>
      <c r="S105" s="327"/>
      <c r="T105" s="327"/>
      <c r="U105" s="318"/>
      <c r="V105" s="318"/>
    </row>
    <row r="106" spans="1:28" ht="15.6" hidden="1" outlineLevel="2">
      <c r="A106" s="318"/>
      <c r="B106" s="888" t="s">
        <v>910</v>
      </c>
      <c r="C106" s="888" t="s">
        <v>911</v>
      </c>
      <c r="D106" s="888" t="s">
        <v>912</v>
      </c>
      <c r="E106" s="888" t="s">
        <v>913</v>
      </c>
      <c r="S106" s="327"/>
      <c r="T106" s="327"/>
      <c r="U106" s="318"/>
      <c r="V106" s="318"/>
    </row>
    <row r="107" spans="1:28" ht="15.6" hidden="1" outlineLevel="2">
      <c r="A107" s="318"/>
      <c r="B107" s="876">
        <v>0</v>
      </c>
      <c r="C107" s="876">
        <v>1</v>
      </c>
      <c r="D107" s="877">
        <v>1</v>
      </c>
      <c r="E107" s="876">
        <v>10</v>
      </c>
      <c r="S107" s="327"/>
      <c r="T107" s="327"/>
      <c r="U107" s="318"/>
      <c r="V107" s="318"/>
    </row>
    <row r="108" spans="1:28" ht="15.6" hidden="1" outlineLevel="2">
      <c r="A108" s="318"/>
      <c r="B108" s="888" t="s">
        <v>914</v>
      </c>
      <c r="C108" s="872"/>
      <c r="D108" s="872"/>
      <c r="S108" s="327"/>
      <c r="T108" s="327"/>
      <c r="U108" s="318"/>
      <c r="V108" s="318"/>
    </row>
    <row r="109" spans="1:28" ht="15.6" hidden="1" outlineLevel="2">
      <c r="A109" s="318"/>
      <c r="B109" s="876">
        <v>0</v>
      </c>
      <c r="C109" s="873"/>
      <c r="D109" s="872"/>
      <c r="E109" s="872"/>
      <c r="F109" s="872"/>
      <c r="G109" s="872"/>
      <c r="S109" s="327"/>
      <c r="T109" s="327"/>
      <c r="U109" s="318"/>
      <c r="V109" s="318"/>
    </row>
    <row r="110" spans="1:28" ht="15.6" hidden="1" outlineLevel="2">
      <c r="A110" s="318"/>
      <c r="B110" s="879"/>
      <c r="C110" s="879"/>
      <c r="D110" s="879"/>
      <c r="E110" s="879"/>
      <c r="F110" s="879"/>
      <c r="G110" s="879"/>
      <c r="S110" s="327"/>
      <c r="T110" s="327"/>
      <c r="U110" s="318"/>
      <c r="V110" s="318"/>
    </row>
    <row r="111" spans="1:28" ht="15.6" hidden="1" outlineLevel="2">
      <c r="A111" s="318"/>
      <c r="B111" s="870" t="s">
        <v>915</v>
      </c>
      <c r="C111" s="872"/>
      <c r="D111" s="872"/>
      <c r="E111" s="872"/>
      <c r="F111" s="872"/>
      <c r="G111" s="872"/>
      <c r="S111" s="327"/>
      <c r="T111" s="327"/>
      <c r="U111" s="318"/>
      <c r="V111" s="318"/>
    </row>
    <row r="112" spans="1:28" ht="15.6" hidden="1" outlineLevel="2">
      <c r="A112" s="318"/>
      <c r="B112" s="870" t="s">
        <v>916</v>
      </c>
      <c r="C112" s="872"/>
      <c r="D112" s="872"/>
      <c r="E112" s="872"/>
      <c r="F112" s="873"/>
      <c r="G112" s="872"/>
      <c r="S112" s="327"/>
      <c r="T112" s="327"/>
      <c r="U112" s="318"/>
      <c r="V112" s="318"/>
    </row>
    <row r="113" spans="1:22" ht="15.6" hidden="1" outlineLevel="2">
      <c r="A113" s="318"/>
      <c r="B113" s="870"/>
      <c r="C113" s="872"/>
      <c r="D113" s="872"/>
      <c r="E113" s="872"/>
      <c r="F113" s="873"/>
      <c r="G113" s="872"/>
      <c r="S113" s="327"/>
      <c r="T113" s="327"/>
      <c r="U113" s="318"/>
      <c r="V113" s="318"/>
    </row>
    <row r="114" spans="1:22" ht="15.6" hidden="1" outlineLevel="2">
      <c r="A114" s="318"/>
      <c r="E114" s="885" t="s">
        <v>498</v>
      </c>
      <c r="F114" s="885" t="s">
        <v>917</v>
      </c>
      <c r="G114" s="885" t="s">
        <v>918</v>
      </c>
      <c r="H114" s="885" t="s">
        <v>907</v>
      </c>
      <c r="I114" s="885" t="s">
        <v>919</v>
      </c>
      <c r="J114" s="885" t="s">
        <v>78</v>
      </c>
      <c r="K114" s="885" t="s">
        <v>920</v>
      </c>
      <c r="S114" s="327"/>
      <c r="T114" s="327"/>
      <c r="U114" s="318"/>
      <c r="V114" s="318"/>
    </row>
    <row r="115" spans="1:22" ht="18" hidden="1" outlineLevel="2">
      <c r="A115" s="318"/>
      <c r="C115" s="918" t="str">
        <f>+D48</f>
        <v>SYE 24</v>
      </c>
      <c r="E115" s="882">
        <f>+D91</f>
        <v>250</v>
      </c>
      <c r="F115" s="882">
        <f>B97</f>
        <v>45</v>
      </c>
      <c r="G115" s="882">
        <f>B101-D97-C99-B109-E107</f>
        <v>10</v>
      </c>
      <c r="H115" s="882">
        <f>B103-C101-D99-E97-D107-E107-B109</f>
        <v>144</v>
      </c>
      <c r="I115" s="882">
        <f>B99-C97-C107-D107</f>
        <v>51</v>
      </c>
      <c r="J115" s="889">
        <f>SUM(E115:I115)</f>
        <v>500</v>
      </c>
      <c r="K115" s="4">
        <f>+J115-D90</f>
        <v>0</v>
      </c>
      <c r="S115" s="327"/>
      <c r="T115" s="327"/>
      <c r="U115" s="318"/>
      <c r="V115" s="318"/>
    </row>
    <row r="116" spans="1:22" ht="15.6" hidden="1" outlineLevel="2">
      <c r="A116" s="318"/>
      <c r="D116" s="914" t="s">
        <v>921</v>
      </c>
      <c r="E116" s="915">
        <f t="shared" ref="E116:J116" si="4">+E115/$J$115</f>
        <v>0.5</v>
      </c>
      <c r="F116" s="915">
        <f t="shared" si="4"/>
        <v>0.09</v>
      </c>
      <c r="G116" s="915">
        <f t="shared" si="4"/>
        <v>0.02</v>
      </c>
      <c r="H116" s="931">
        <f t="shared" si="4"/>
        <v>0.28799999999999998</v>
      </c>
      <c r="I116" s="915">
        <f t="shared" si="4"/>
        <v>0.10199999999999999</v>
      </c>
      <c r="J116" s="915">
        <f t="shared" si="4"/>
        <v>1</v>
      </c>
      <c r="S116" s="327"/>
      <c r="T116" s="327"/>
      <c r="U116" s="318"/>
      <c r="V116" s="318"/>
    </row>
    <row r="117" spans="1:22" ht="15.6" hidden="1" outlineLevel="2">
      <c r="A117" s="318"/>
      <c r="D117" s="914" t="s">
        <v>922</v>
      </c>
      <c r="E117" s="916">
        <v>0</v>
      </c>
      <c r="F117" s="916">
        <f>+D77</f>
        <v>0.38284007225232736</v>
      </c>
      <c r="G117" s="916">
        <f>+D78</f>
        <v>0.24</v>
      </c>
      <c r="H117" s="916">
        <f>+D79</f>
        <v>0.03</v>
      </c>
      <c r="I117" s="916">
        <f>+D80</f>
        <v>0.12</v>
      </c>
      <c r="J117" s="875"/>
      <c r="S117" s="327"/>
      <c r="T117" s="327"/>
      <c r="U117" s="318"/>
      <c r="V117" s="318"/>
    </row>
    <row r="118" spans="1:22" ht="15.6" hidden="1" outlineLevel="2">
      <c r="A118" s="318"/>
      <c r="E118" s="883"/>
      <c r="F118" s="883"/>
      <c r="G118" s="883"/>
      <c r="H118" s="883"/>
      <c r="I118" s="883"/>
      <c r="J118" s="875"/>
      <c r="S118" s="327"/>
      <c r="T118" s="327"/>
      <c r="U118" s="318"/>
      <c r="V118" s="318"/>
    </row>
    <row r="119" spans="1:22" ht="15.6" hidden="1" outlineLevel="2">
      <c r="A119" s="318"/>
      <c r="B119" s="1" t="s">
        <v>923</v>
      </c>
      <c r="E119" s="910" t="s">
        <v>924</v>
      </c>
      <c r="F119" s="883"/>
      <c r="G119" s="883"/>
      <c r="H119" s="883"/>
      <c r="I119" s="883"/>
      <c r="J119" s="875"/>
      <c r="S119" s="327"/>
      <c r="T119" s="327"/>
      <c r="U119" s="318"/>
      <c r="V119" s="318"/>
    </row>
    <row r="120" spans="1:22" ht="15.6" hidden="1" outlineLevel="2">
      <c r="A120" s="318"/>
      <c r="C120" s="906" t="s">
        <v>925</v>
      </c>
      <c r="D120" s="1"/>
      <c r="E120" s="910" t="s">
        <v>926</v>
      </c>
      <c r="F120" s="910"/>
      <c r="G120" s="910"/>
      <c r="H120" s="910"/>
      <c r="I120" s="910"/>
      <c r="J120" s="871" t="s">
        <v>78</v>
      </c>
      <c r="S120" s="327"/>
      <c r="T120" s="327"/>
      <c r="U120" s="318"/>
      <c r="V120" s="318"/>
    </row>
    <row r="121" spans="1:22" ht="15.6" hidden="1" outlineLevel="2">
      <c r="A121" s="318"/>
      <c r="B121" s="1" t="s">
        <v>927</v>
      </c>
      <c r="C121" s="906" t="s">
        <v>928</v>
      </c>
      <c r="D121" s="906" t="s">
        <v>929</v>
      </c>
      <c r="E121" s="911">
        <f>+J115</f>
        <v>500</v>
      </c>
      <c r="F121" s="912" t="s">
        <v>930</v>
      </c>
      <c r="G121" s="910"/>
      <c r="H121" s="910"/>
      <c r="I121" s="910"/>
      <c r="J121" s="871" t="s">
        <v>926</v>
      </c>
      <c r="S121" s="327"/>
      <c r="T121" s="327"/>
      <c r="U121" s="318"/>
      <c r="V121" s="318"/>
    </row>
    <row r="122" spans="1:22" ht="15.6" hidden="1" outlineLevel="2">
      <c r="A122" s="318">
        <v>1</v>
      </c>
      <c r="B122" t="str">
        <f>$B67</f>
        <v xml:space="preserve">Carson City </v>
      </c>
      <c r="C122" s="891"/>
      <c r="D122" s="424">
        <f>+D67</f>
        <v>7494</v>
      </c>
      <c r="E122" s="922">
        <f>IF($C122="y",$J$115*$D122,0)</f>
        <v>0</v>
      </c>
      <c r="F122" s="922">
        <f t="shared" ref="F122:I128" si="5">IF($C122="y",F$115*F$117*$D122,0)</f>
        <v>0</v>
      </c>
      <c r="G122" s="922">
        <f t="shared" si="5"/>
        <v>0</v>
      </c>
      <c r="H122" s="922">
        <f t="shared" si="5"/>
        <v>0</v>
      </c>
      <c r="I122" s="923">
        <f t="shared" si="5"/>
        <v>0</v>
      </c>
      <c r="J122" s="902">
        <f t="shared" ref="J122:J129" si="6">SUM(E122:I122)</f>
        <v>0</v>
      </c>
      <c r="S122" s="327"/>
      <c r="T122" s="327"/>
      <c r="U122" s="318"/>
      <c r="V122" s="318"/>
    </row>
    <row r="123" spans="1:22" ht="15.6" hidden="1" outlineLevel="2">
      <c r="A123" s="318">
        <f>1+A122</f>
        <v>2</v>
      </c>
      <c r="B123" s="315" t="str">
        <f>$B68</f>
        <v>Churchill</v>
      </c>
      <c r="C123" s="908"/>
      <c r="D123" s="909">
        <f>+D68</f>
        <v>8093</v>
      </c>
      <c r="E123" s="924">
        <f t="shared" ref="E123:E127" si="7">IF($C123="y",$J$115*$D123,0)</f>
        <v>0</v>
      </c>
      <c r="F123" s="924">
        <f t="shared" si="5"/>
        <v>0</v>
      </c>
      <c r="G123" s="924">
        <f t="shared" si="5"/>
        <v>0</v>
      </c>
      <c r="H123" s="924">
        <f t="shared" si="5"/>
        <v>0</v>
      </c>
      <c r="I123" s="925">
        <f t="shared" si="5"/>
        <v>0</v>
      </c>
      <c r="J123" s="902">
        <f t="shared" si="6"/>
        <v>0</v>
      </c>
      <c r="S123" s="327"/>
      <c r="T123" s="327"/>
      <c r="U123" s="318"/>
      <c r="V123" s="318"/>
    </row>
    <row r="124" spans="1:22" ht="15.6" hidden="1" outlineLevel="2">
      <c r="A124" s="318">
        <f t="shared" ref="A124:A126" si="8">1+A123</f>
        <v>3</v>
      </c>
      <c r="B124" s="315" t="str">
        <f>$B69</f>
        <v>Clark</v>
      </c>
      <c r="C124" s="908" t="s">
        <v>931</v>
      </c>
      <c r="D124" s="909">
        <f>+D69</f>
        <v>7197</v>
      </c>
      <c r="E124" s="924">
        <f t="shared" si="7"/>
        <v>3598500</v>
      </c>
      <c r="F124" s="924">
        <f t="shared" si="5"/>
        <v>123988.50000000001</v>
      </c>
      <c r="G124" s="924">
        <f t="shared" si="5"/>
        <v>17272.8</v>
      </c>
      <c r="H124" s="924">
        <f t="shared" si="5"/>
        <v>31091.040000000001</v>
      </c>
      <c r="I124" s="925">
        <f t="shared" si="5"/>
        <v>44045.64</v>
      </c>
      <c r="J124" s="902">
        <f t="shared" si="6"/>
        <v>3814897.98</v>
      </c>
      <c r="S124" s="327"/>
      <c r="T124" s="327"/>
      <c r="U124" s="318"/>
      <c r="V124" s="318"/>
    </row>
    <row r="125" spans="1:22" ht="15.6" hidden="1" outlineLevel="2">
      <c r="A125" s="318">
        <f t="shared" si="8"/>
        <v>4</v>
      </c>
      <c r="B125" s="315" t="str">
        <f>$B70</f>
        <v>Elko</v>
      </c>
      <c r="C125" s="908"/>
      <c r="D125" s="909">
        <f>+D70</f>
        <v>7715</v>
      </c>
      <c r="E125" s="926">
        <f t="shared" si="7"/>
        <v>0</v>
      </c>
      <c r="F125" s="926">
        <f t="shared" si="5"/>
        <v>0</v>
      </c>
      <c r="G125" s="926">
        <f t="shared" si="5"/>
        <v>0</v>
      </c>
      <c r="H125" s="926">
        <f t="shared" si="5"/>
        <v>0</v>
      </c>
      <c r="I125" s="927">
        <f t="shared" si="5"/>
        <v>0</v>
      </c>
      <c r="J125" s="902">
        <f t="shared" si="6"/>
        <v>0</v>
      </c>
      <c r="S125" s="327"/>
      <c r="T125" s="327"/>
      <c r="U125" s="318"/>
      <c r="V125" s="318"/>
    </row>
    <row r="126" spans="1:22" ht="15.6" hidden="1" outlineLevel="2">
      <c r="A126" s="318">
        <f t="shared" si="8"/>
        <v>5</v>
      </c>
      <c r="B126" s="315" t="str">
        <f t="shared" ref="B126" si="9">$B72</f>
        <v>Washoe</v>
      </c>
      <c r="C126" s="908"/>
      <c r="D126" s="909">
        <f t="shared" ref="D126:D127" si="10">+D72</f>
        <v>6980</v>
      </c>
      <c r="E126" s="926">
        <f t="shared" si="7"/>
        <v>0</v>
      </c>
      <c r="F126" s="926">
        <f t="shared" si="5"/>
        <v>0</v>
      </c>
      <c r="G126" s="926">
        <f t="shared" si="5"/>
        <v>0</v>
      </c>
      <c r="H126" s="926">
        <f t="shared" si="5"/>
        <v>0</v>
      </c>
      <c r="I126" s="927">
        <f t="shared" si="5"/>
        <v>0</v>
      </c>
      <c r="J126" s="902">
        <f t="shared" si="6"/>
        <v>0</v>
      </c>
      <c r="S126" s="327"/>
      <c r="T126" s="327"/>
      <c r="U126" s="318"/>
      <c r="V126" s="318"/>
    </row>
    <row r="127" spans="1:22" ht="15.6" hidden="1" outlineLevel="2">
      <c r="A127" s="318">
        <f>1+A126</f>
        <v>6</v>
      </c>
      <c r="B127" t="str">
        <f>$B73</f>
        <v>White Pine</v>
      </c>
      <c r="C127" s="891"/>
      <c r="D127" s="424">
        <f t="shared" si="10"/>
        <v>10367</v>
      </c>
      <c r="E127" s="928">
        <f t="shared" si="7"/>
        <v>0</v>
      </c>
      <c r="F127" s="928">
        <f t="shared" si="5"/>
        <v>0</v>
      </c>
      <c r="G127" s="928">
        <f t="shared" si="5"/>
        <v>0</v>
      </c>
      <c r="H127" s="928">
        <f t="shared" si="5"/>
        <v>0</v>
      </c>
      <c r="I127" s="929">
        <f t="shared" si="5"/>
        <v>0</v>
      </c>
      <c r="J127" s="903">
        <f t="shared" si="6"/>
        <v>0</v>
      </c>
      <c r="S127" s="327"/>
      <c r="T127" s="327"/>
      <c r="U127" s="318"/>
      <c r="V127" s="318"/>
    </row>
    <row r="128" spans="1:22" ht="15.6" hidden="1" outlineLevel="2">
      <c r="A128" s="318"/>
      <c r="B128" s="945" t="s">
        <v>932</v>
      </c>
      <c r="C128" s="892"/>
      <c r="D128" s="890">
        <f>+D50</f>
        <v>8966</v>
      </c>
      <c r="E128" s="895">
        <f>IF($C128="y",$J$115*$D128,0)</f>
        <v>0</v>
      </c>
      <c r="F128" s="895">
        <f t="shared" si="5"/>
        <v>0</v>
      </c>
      <c r="G128" s="895">
        <f t="shared" si="5"/>
        <v>0</v>
      </c>
      <c r="H128" s="895">
        <f t="shared" si="5"/>
        <v>0</v>
      </c>
      <c r="I128" s="904">
        <f t="shared" si="5"/>
        <v>0</v>
      </c>
      <c r="J128" s="905">
        <f t="shared" si="6"/>
        <v>0</v>
      </c>
      <c r="K128" t="s">
        <v>933</v>
      </c>
      <c r="S128" s="327"/>
      <c r="T128" s="327"/>
      <c r="U128" s="318"/>
      <c r="V128" s="318"/>
    </row>
    <row r="129" spans="1:22" ht="15.6" hidden="1" outlineLevel="2">
      <c r="A129" s="318"/>
      <c r="C129" s="907" t="str">
        <f>IF(COUNTIF(C122:C128,"y")&gt;1,"Error: Select 1 area","ok")</f>
        <v>ok</v>
      </c>
      <c r="E129" s="849">
        <f>SUM(E122:E128)</f>
        <v>3598500</v>
      </c>
      <c r="F129" s="849">
        <f>SUM(F122:F128)</f>
        <v>123988.50000000001</v>
      </c>
      <c r="G129" s="849">
        <f>SUM(G122:G128)</f>
        <v>17272.8</v>
      </c>
      <c r="H129" s="849">
        <f>SUM(H122:H128)</f>
        <v>31091.040000000001</v>
      </c>
      <c r="I129" s="849">
        <f>SUM(I122:I128)</f>
        <v>44045.64</v>
      </c>
      <c r="J129" s="851">
        <f t="shared" si="6"/>
        <v>3814897.98</v>
      </c>
      <c r="S129" s="327"/>
      <c r="T129" s="327"/>
      <c r="U129" s="318"/>
      <c r="V129" s="318"/>
    </row>
    <row r="130" spans="1:22" ht="15.6" hidden="1" outlineLevel="2">
      <c r="A130" s="318"/>
      <c r="B130" s="932"/>
      <c r="C130" s="932"/>
      <c r="D130" s="932" t="s">
        <v>929</v>
      </c>
      <c r="E130" s="933">
        <f>+E129/J115</f>
        <v>7197</v>
      </c>
      <c r="F130" s="933">
        <f>+F129/F115</f>
        <v>2755.3</v>
      </c>
      <c r="G130" s="933">
        <f>+G129/G115</f>
        <v>1727.28</v>
      </c>
      <c r="H130" s="933">
        <f>+H129/H115</f>
        <v>215.91</v>
      </c>
      <c r="I130" s="933">
        <f>+I129/I115</f>
        <v>863.64</v>
      </c>
      <c r="J130" s="933">
        <f>+J129/J115</f>
        <v>7629.7959600000004</v>
      </c>
      <c r="S130" s="327"/>
      <c r="T130" s="327"/>
      <c r="U130" s="318"/>
      <c r="V130" s="318"/>
    </row>
    <row r="131" spans="1:22" ht="15.6" hidden="1" outlineLevel="2">
      <c r="A131" s="318"/>
      <c r="B131" s="932"/>
      <c r="C131" s="932"/>
      <c r="D131" s="932"/>
      <c r="E131" s="934">
        <f t="shared" ref="E131:J131" si="11">+E130/$E$130</f>
        <v>1</v>
      </c>
      <c r="F131" s="934">
        <f t="shared" si="11"/>
        <v>0.38284007225232736</v>
      </c>
      <c r="G131" s="934">
        <f t="shared" si="11"/>
        <v>0.24</v>
      </c>
      <c r="H131" s="934">
        <f t="shared" si="11"/>
        <v>0.03</v>
      </c>
      <c r="I131" s="934">
        <f t="shared" si="11"/>
        <v>0.12</v>
      </c>
      <c r="J131" s="934">
        <f t="shared" si="11"/>
        <v>1.0601356065027094</v>
      </c>
      <c r="S131" s="327"/>
      <c r="T131" s="327"/>
      <c r="U131" s="318"/>
      <c r="V131" s="318"/>
    </row>
    <row r="132" spans="1:22" ht="15.6" hidden="1" outlineLevel="2" collapsed="1">
      <c r="A132" s="318"/>
      <c r="B132" s="932"/>
      <c r="C132" s="932"/>
      <c r="D132" s="932"/>
      <c r="E132" s="934"/>
      <c r="F132" s="934"/>
      <c r="G132" s="934"/>
      <c r="H132" s="934"/>
      <c r="I132" s="934"/>
      <c r="J132" s="934"/>
      <c r="S132" s="327"/>
      <c r="T132" s="327"/>
      <c r="U132" s="318"/>
      <c r="V132" s="318"/>
    </row>
    <row r="133" spans="1:22" ht="15.6" hidden="1" outlineLevel="2">
      <c r="A133" s="318"/>
      <c r="E133" s="885" t="s">
        <v>498</v>
      </c>
      <c r="F133" s="885" t="s">
        <v>917</v>
      </c>
      <c r="G133" s="885" t="s">
        <v>918</v>
      </c>
      <c r="H133" s="885" t="s">
        <v>907</v>
      </c>
      <c r="I133" s="885" t="s">
        <v>919</v>
      </c>
      <c r="J133" s="885" t="s">
        <v>78</v>
      </c>
      <c r="S133" s="327"/>
      <c r="T133" s="327"/>
      <c r="U133" s="318"/>
      <c r="V133" s="318"/>
    </row>
    <row r="134" spans="1:22" ht="15.6" hidden="1" outlineLevel="2">
      <c r="A134" s="318"/>
      <c r="E134" s="882">
        <f>+E115</f>
        <v>250</v>
      </c>
      <c r="F134" s="882">
        <f>+F115</f>
        <v>45</v>
      </c>
      <c r="G134" s="882">
        <f>+G115</f>
        <v>10</v>
      </c>
      <c r="H134" s="882">
        <f>+H115</f>
        <v>144</v>
      </c>
      <c r="I134" s="882">
        <f>+I115</f>
        <v>51</v>
      </c>
      <c r="J134" s="889">
        <f>SUM(E134:I134)</f>
        <v>500</v>
      </c>
      <c r="S134" s="327"/>
      <c r="T134" s="327"/>
      <c r="U134" s="318"/>
      <c r="V134" s="318"/>
    </row>
    <row r="135" spans="1:22" ht="15.6" hidden="1" outlineLevel="2">
      <c r="A135" s="318"/>
      <c r="D135" s="914" t="s">
        <v>921</v>
      </c>
      <c r="E135" s="915">
        <f>+E134/$J134</f>
        <v>0.5</v>
      </c>
      <c r="F135" s="915">
        <f t="shared" ref="F135:J135" si="12">+F134/$J134</f>
        <v>0.09</v>
      </c>
      <c r="G135" s="915">
        <f t="shared" si="12"/>
        <v>0.02</v>
      </c>
      <c r="H135" s="915">
        <f t="shared" si="12"/>
        <v>0.28799999999999998</v>
      </c>
      <c r="I135" s="915">
        <f t="shared" si="12"/>
        <v>0.10199999999999999</v>
      </c>
      <c r="J135" s="915">
        <f t="shared" si="12"/>
        <v>1</v>
      </c>
      <c r="S135" s="327"/>
      <c r="T135" s="327"/>
      <c r="U135" s="318"/>
      <c r="V135" s="318"/>
    </row>
    <row r="136" spans="1:22" ht="15.6" hidden="1" outlineLevel="2">
      <c r="A136" s="318"/>
      <c r="D136" s="914" t="s">
        <v>922</v>
      </c>
      <c r="E136" s="916">
        <v>0</v>
      </c>
      <c r="F136" s="916">
        <f>E77</f>
        <v>0.33</v>
      </c>
      <c r="G136" s="916">
        <f>E78</f>
        <v>0.23</v>
      </c>
      <c r="H136" s="916">
        <f>E79</f>
        <v>0.03</v>
      </c>
      <c r="I136" s="916">
        <f>E80</f>
        <v>0.12</v>
      </c>
      <c r="J136" s="875"/>
      <c r="S136" s="327"/>
      <c r="T136" s="327"/>
      <c r="U136" s="318"/>
      <c r="V136" s="318"/>
    </row>
    <row r="137" spans="1:22" ht="15.6" hidden="1" outlineLevel="1" collapsed="1">
      <c r="A137" s="318"/>
      <c r="D137" s="914"/>
      <c r="E137" s="883"/>
      <c r="F137" s="883"/>
      <c r="G137" s="883"/>
      <c r="H137" s="883"/>
      <c r="I137" s="883"/>
      <c r="J137" s="875"/>
      <c r="S137" s="327"/>
      <c r="T137" s="327"/>
      <c r="U137" s="318"/>
      <c r="V137" s="318"/>
    </row>
    <row r="138" spans="1:22" ht="18" hidden="1" outlineLevel="1">
      <c r="A138" s="318"/>
      <c r="B138" t="s">
        <v>934</v>
      </c>
      <c r="C138" s="917" t="str">
        <f>+E48</f>
        <v>SYE 25</v>
      </c>
      <c r="D138" s="914"/>
      <c r="E138" s="883"/>
      <c r="F138" s="883"/>
      <c r="G138" s="883"/>
      <c r="H138" s="883"/>
      <c r="I138" s="883"/>
      <c r="J138" s="875"/>
      <c r="S138" s="327"/>
      <c r="T138" s="327"/>
      <c r="U138" s="318"/>
      <c r="V138" s="318"/>
    </row>
    <row r="139" spans="1:22" ht="15.6" hidden="1" outlineLevel="1">
      <c r="A139" s="318"/>
      <c r="D139" s="914"/>
      <c r="E139" s="883"/>
      <c r="F139" s="883"/>
      <c r="G139" s="883"/>
      <c r="H139" s="883"/>
      <c r="I139" s="883"/>
      <c r="J139" s="875"/>
      <c r="S139" s="327"/>
      <c r="T139" s="327"/>
      <c r="U139" s="318"/>
      <c r="V139" s="318"/>
    </row>
    <row r="140" spans="1:22" ht="15.6" hidden="1" outlineLevel="1">
      <c r="A140" s="318"/>
      <c r="B140" s="1" t="s">
        <v>923</v>
      </c>
      <c r="E140" s="883"/>
      <c r="F140" s="883"/>
      <c r="G140" s="883"/>
      <c r="H140" s="883"/>
      <c r="I140" s="883"/>
      <c r="J140" s="875"/>
      <c r="S140" s="327"/>
      <c r="T140" s="327"/>
      <c r="U140" s="318"/>
      <c r="V140" s="318"/>
    </row>
    <row r="141" spans="1:22" ht="15.6" hidden="1" outlineLevel="1">
      <c r="A141" s="318"/>
      <c r="C141" s="906" t="s">
        <v>925</v>
      </c>
      <c r="D141" s="1"/>
      <c r="E141" s="910" t="s">
        <v>935</v>
      </c>
      <c r="F141" s="910"/>
      <c r="G141" s="910"/>
      <c r="H141" s="910"/>
      <c r="I141" s="910"/>
      <c r="J141" s="871" t="s">
        <v>78</v>
      </c>
      <c r="S141" s="327"/>
      <c r="T141" s="327"/>
      <c r="U141" s="318"/>
      <c r="V141" s="318"/>
    </row>
    <row r="142" spans="1:22" ht="15.6" hidden="1" outlineLevel="1">
      <c r="A142" s="318"/>
      <c r="B142" s="779" t="s">
        <v>927</v>
      </c>
      <c r="C142" s="885" t="s">
        <v>928</v>
      </c>
      <c r="D142" s="885" t="str">
        <f t="shared" ref="D142:D149" si="13">+E66</f>
        <v>SYE 23</v>
      </c>
      <c r="E142" s="911">
        <f>+J134</f>
        <v>500</v>
      </c>
      <c r="F142" s="912" t="s">
        <v>930</v>
      </c>
      <c r="G142" s="910"/>
      <c r="H142" s="910"/>
      <c r="I142" s="910"/>
      <c r="J142" s="874" t="s">
        <v>926</v>
      </c>
      <c r="S142" s="327"/>
      <c r="T142" s="327"/>
      <c r="U142" s="318"/>
      <c r="V142" s="318"/>
    </row>
    <row r="143" spans="1:22" ht="15.6" hidden="1" outlineLevel="1">
      <c r="A143" s="318">
        <v>1</v>
      </c>
      <c r="B143" s="788" t="str">
        <f>$B67</f>
        <v xml:space="preserve">Carson City </v>
      </c>
      <c r="C143" s="891"/>
      <c r="D143" s="946">
        <f t="shared" si="13"/>
        <v>7594</v>
      </c>
      <c r="E143" s="896">
        <f t="shared" ref="E143:E150" si="14">IF($C143="y",$J$134*$D143,0)</f>
        <v>0</v>
      </c>
      <c r="F143" s="896">
        <f t="shared" ref="F143:I150" si="15">IF($C143="y",F$134*F$136*$D143,0)</f>
        <v>0</v>
      </c>
      <c r="G143" s="896">
        <f t="shared" si="15"/>
        <v>0</v>
      </c>
      <c r="H143" s="896">
        <f t="shared" si="15"/>
        <v>0</v>
      </c>
      <c r="I143" s="898">
        <f t="shared" si="15"/>
        <v>0</v>
      </c>
      <c r="J143" s="930">
        <f t="shared" ref="J143:J151" si="16">SUM(E143:I143)</f>
        <v>0</v>
      </c>
      <c r="S143" s="327"/>
      <c r="T143" s="327"/>
      <c r="U143" s="318"/>
      <c r="V143" s="318"/>
    </row>
    <row r="144" spans="1:22" ht="15.6" hidden="1" outlineLevel="1">
      <c r="A144" s="318">
        <f>1+A143</f>
        <v>2</v>
      </c>
      <c r="B144" s="944" t="str">
        <f>$B68</f>
        <v>Churchill</v>
      </c>
      <c r="C144" s="908"/>
      <c r="D144" s="947">
        <f t="shared" si="13"/>
        <v>8197</v>
      </c>
      <c r="E144" s="893">
        <f t="shared" si="14"/>
        <v>0</v>
      </c>
      <c r="F144" s="893">
        <f t="shared" si="15"/>
        <v>0</v>
      </c>
      <c r="G144" s="893">
        <f t="shared" si="15"/>
        <v>0</v>
      </c>
      <c r="H144" s="893">
        <f t="shared" si="15"/>
        <v>0</v>
      </c>
      <c r="I144" s="899">
        <f t="shared" si="15"/>
        <v>0</v>
      </c>
      <c r="J144" s="902">
        <f t="shared" si="16"/>
        <v>0</v>
      </c>
      <c r="S144" s="327"/>
      <c r="T144" s="327"/>
      <c r="U144" s="318"/>
      <c r="V144" s="318"/>
    </row>
    <row r="145" spans="1:22" ht="15.6" hidden="1" outlineLevel="1">
      <c r="A145" s="318">
        <f t="shared" ref="A145:A146" si="17">1+A144</f>
        <v>3</v>
      </c>
      <c r="B145" s="944" t="str">
        <f>$B69</f>
        <v>Clark</v>
      </c>
      <c r="C145" s="908"/>
      <c r="D145" s="947">
        <f t="shared" si="13"/>
        <v>7293</v>
      </c>
      <c r="E145" s="893">
        <f t="shared" si="14"/>
        <v>0</v>
      </c>
      <c r="F145" s="893">
        <f t="shared" si="15"/>
        <v>0</v>
      </c>
      <c r="G145" s="893">
        <f t="shared" si="15"/>
        <v>0</v>
      </c>
      <c r="H145" s="893">
        <f t="shared" si="15"/>
        <v>0</v>
      </c>
      <c r="I145" s="899">
        <f t="shared" si="15"/>
        <v>0</v>
      </c>
      <c r="J145" s="902">
        <f t="shared" si="16"/>
        <v>0</v>
      </c>
      <c r="S145" s="327"/>
      <c r="T145" s="327"/>
      <c r="U145" s="318"/>
      <c r="V145" s="318"/>
    </row>
    <row r="146" spans="1:22" ht="15.6" hidden="1" outlineLevel="1">
      <c r="A146" s="318">
        <f t="shared" si="17"/>
        <v>4</v>
      </c>
      <c r="B146" s="944" t="str">
        <f>$B70</f>
        <v>Elko</v>
      </c>
      <c r="C146" s="908"/>
      <c r="D146" s="947">
        <f t="shared" si="13"/>
        <v>7818</v>
      </c>
      <c r="E146" s="894">
        <f t="shared" si="14"/>
        <v>0</v>
      </c>
      <c r="F146" s="894">
        <f t="shared" si="15"/>
        <v>0</v>
      </c>
      <c r="G146" s="894">
        <f t="shared" si="15"/>
        <v>0</v>
      </c>
      <c r="H146" s="894">
        <f t="shared" si="15"/>
        <v>0</v>
      </c>
      <c r="I146" s="900">
        <f t="shared" si="15"/>
        <v>0</v>
      </c>
      <c r="J146" s="902">
        <f t="shared" si="16"/>
        <v>0</v>
      </c>
      <c r="S146" s="327"/>
      <c r="T146" s="327"/>
      <c r="U146" s="318"/>
      <c r="V146" s="318"/>
    </row>
    <row r="147" spans="1:22" ht="15.6" hidden="1" outlineLevel="1">
      <c r="A147" s="318">
        <f>1+A146</f>
        <v>5</v>
      </c>
      <c r="B147" s="944" t="s">
        <v>847</v>
      </c>
      <c r="C147" s="908"/>
      <c r="D147" s="947">
        <f t="shared" si="13"/>
        <v>8881</v>
      </c>
      <c r="E147" s="894"/>
      <c r="F147" s="894"/>
      <c r="G147" s="894"/>
      <c r="H147" s="894"/>
      <c r="I147" s="900"/>
      <c r="J147" s="902"/>
      <c r="S147" s="327"/>
      <c r="T147" s="327"/>
      <c r="U147" s="318"/>
      <c r="V147" s="318"/>
    </row>
    <row r="148" spans="1:22" ht="15.6" hidden="1" outlineLevel="1">
      <c r="A148" s="318">
        <f>1+A147</f>
        <v>6</v>
      </c>
      <c r="B148" s="944" t="str">
        <f>$B72</f>
        <v>Washoe</v>
      </c>
      <c r="C148" s="908"/>
      <c r="D148" s="947">
        <f t="shared" si="13"/>
        <v>7074</v>
      </c>
      <c r="E148" s="894">
        <f t="shared" si="14"/>
        <v>0</v>
      </c>
      <c r="F148" s="894">
        <f t="shared" si="15"/>
        <v>0</v>
      </c>
      <c r="G148" s="894">
        <f t="shared" si="15"/>
        <v>0</v>
      </c>
      <c r="H148" s="894">
        <f t="shared" si="15"/>
        <v>0</v>
      </c>
      <c r="I148" s="900">
        <f t="shared" si="15"/>
        <v>0</v>
      </c>
      <c r="J148" s="902">
        <f t="shared" si="16"/>
        <v>0</v>
      </c>
      <c r="S148" s="327"/>
      <c r="T148" s="327"/>
      <c r="U148" s="318"/>
      <c r="V148" s="318"/>
    </row>
    <row r="149" spans="1:22" ht="15.6" hidden="1" outlineLevel="1">
      <c r="A149" s="318">
        <f>1+A148</f>
        <v>7</v>
      </c>
      <c r="B149" s="788" t="str">
        <f>$B73</f>
        <v>White Pine</v>
      </c>
      <c r="C149" s="891"/>
      <c r="D149" s="946">
        <f t="shared" si="13"/>
        <v>10501</v>
      </c>
      <c r="E149" s="897">
        <f t="shared" si="14"/>
        <v>0</v>
      </c>
      <c r="F149" s="897">
        <f t="shared" si="15"/>
        <v>0</v>
      </c>
      <c r="G149" s="897">
        <f t="shared" si="15"/>
        <v>0</v>
      </c>
      <c r="H149" s="897">
        <f t="shared" si="15"/>
        <v>0</v>
      </c>
      <c r="I149" s="901">
        <f t="shared" si="15"/>
        <v>0</v>
      </c>
      <c r="J149" s="903">
        <f t="shared" si="16"/>
        <v>0</v>
      </c>
      <c r="S149" s="327"/>
      <c r="T149" s="327"/>
      <c r="U149" s="318"/>
      <c r="V149" s="318"/>
    </row>
    <row r="150" spans="1:22" ht="15.6" hidden="1" outlineLevel="1">
      <c r="A150" s="318"/>
      <c r="B150" s="945" t="s">
        <v>932</v>
      </c>
      <c r="C150" s="892" t="s">
        <v>931</v>
      </c>
      <c r="D150" s="948">
        <f>+E50</f>
        <v>9414</v>
      </c>
      <c r="E150" s="895">
        <f t="shared" si="14"/>
        <v>4707000</v>
      </c>
      <c r="F150" s="895">
        <f t="shared" si="15"/>
        <v>139797.90000000002</v>
      </c>
      <c r="G150" s="895">
        <f t="shared" si="15"/>
        <v>21652.2</v>
      </c>
      <c r="H150" s="895">
        <f t="shared" si="15"/>
        <v>40668.480000000003</v>
      </c>
      <c r="I150" s="904">
        <f t="shared" si="15"/>
        <v>57613.68</v>
      </c>
      <c r="J150" s="905">
        <f t="shared" si="16"/>
        <v>4966732.2600000007</v>
      </c>
      <c r="K150" t="s">
        <v>933</v>
      </c>
      <c r="S150" s="327"/>
      <c r="T150" s="327"/>
      <c r="U150" s="318"/>
      <c r="V150" s="318"/>
    </row>
    <row r="151" spans="1:22" ht="15.6" hidden="1" outlineLevel="1">
      <c r="A151" s="318"/>
      <c r="B151" t="s">
        <v>851</v>
      </c>
      <c r="C151" s="907"/>
      <c r="D151" s="424">
        <v>7074</v>
      </c>
      <c r="E151" s="849">
        <f>SUM(E143:E150)</f>
        <v>4707000</v>
      </c>
      <c r="F151" s="849">
        <f>SUM(F143:F150)</f>
        <v>139797.90000000002</v>
      </c>
      <c r="G151" s="849">
        <f>SUM(G143:G150)</f>
        <v>21652.2</v>
      </c>
      <c r="H151" s="849">
        <f>SUM(H143:H150)</f>
        <v>40668.480000000003</v>
      </c>
      <c r="I151" s="849">
        <f>SUM(I143:I150)</f>
        <v>57613.68</v>
      </c>
      <c r="J151" s="851">
        <f t="shared" si="16"/>
        <v>4966732.2600000007</v>
      </c>
      <c r="S151" s="327"/>
      <c r="T151" s="327"/>
      <c r="U151" s="318"/>
      <c r="V151" s="318"/>
    </row>
    <row r="152" spans="1:22" ht="15.6" hidden="1" outlineLevel="1">
      <c r="A152" s="318"/>
      <c r="B152" t="s">
        <v>936</v>
      </c>
      <c r="D152" s="990">
        <f>+D153</f>
        <v>7074</v>
      </c>
      <c r="E152" s="875"/>
      <c r="F152" s="875"/>
      <c r="G152" s="875"/>
      <c r="H152" s="875"/>
      <c r="S152" s="327"/>
      <c r="T152" s="327"/>
      <c r="U152" s="318"/>
      <c r="V152" s="318"/>
    </row>
    <row r="153" spans="1:22" ht="15.6" hidden="1" outlineLevel="1">
      <c r="A153" s="318"/>
      <c r="D153" s="991">
        <f>+D151*D46</f>
        <v>7074</v>
      </c>
      <c r="E153" s="875"/>
      <c r="F153" s="875"/>
      <c r="G153" s="875"/>
      <c r="H153" s="875"/>
      <c r="S153" s="327"/>
      <c r="T153" s="327"/>
      <c r="U153" s="318"/>
      <c r="V153" s="318"/>
    </row>
    <row r="154" spans="1:22" ht="15.6" hidden="1" outlineLevel="1">
      <c r="A154" s="318"/>
      <c r="D154" s="991"/>
      <c r="E154" s="875"/>
      <c r="F154" s="875"/>
      <c r="G154" s="875"/>
      <c r="H154" s="875"/>
      <c r="S154" s="327"/>
      <c r="T154" s="327"/>
      <c r="U154" s="318"/>
      <c r="V154" s="318"/>
    </row>
    <row r="155" spans="1:22" ht="30" hidden="1" outlineLevel="1">
      <c r="A155" s="318"/>
      <c r="E155" s="1052" t="s">
        <v>937</v>
      </c>
      <c r="F155" s="1052" t="s">
        <v>938</v>
      </c>
      <c r="G155" s="1052" t="s">
        <v>939</v>
      </c>
      <c r="H155" s="875"/>
      <c r="S155" s="327"/>
      <c r="T155" s="327"/>
      <c r="U155" s="318"/>
      <c r="V155" s="318"/>
    </row>
    <row r="156" spans="1:22" ht="30" hidden="1" outlineLevel="1">
      <c r="A156" s="318"/>
      <c r="D156" s="873"/>
      <c r="E156" s="1052" t="s">
        <v>293</v>
      </c>
      <c r="F156" s="1052" t="s">
        <v>1223</v>
      </c>
      <c r="G156" s="1052" t="s">
        <v>941</v>
      </c>
      <c r="H156" s="872"/>
      <c r="S156" s="327"/>
      <c r="T156" s="327"/>
      <c r="U156" s="318"/>
      <c r="V156" s="318"/>
    </row>
    <row r="157" spans="1:22" ht="60" hidden="1" outlineLevel="1">
      <c r="A157" s="318"/>
      <c r="E157" s="1052" t="s">
        <v>84</v>
      </c>
      <c r="F157" s="1052" t="s">
        <v>1224</v>
      </c>
      <c r="G157" s="1052" t="s">
        <v>943</v>
      </c>
      <c r="S157" s="327"/>
      <c r="T157" s="327"/>
      <c r="U157" s="318"/>
      <c r="V157" s="318"/>
    </row>
    <row r="158" spans="1:22" ht="30" hidden="1" outlineLevel="1">
      <c r="A158" s="318"/>
      <c r="E158" s="1052" t="s">
        <v>295</v>
      </c>
      <c r="F158" s="1052" t="s">
        <v>944</v>
      </c>
      <c r="G158" s="1052" t="s">
        <v>943</v>
      </c>
      <c r="S158" s="327"/>
      <c r="T158" s="327"/>
      <c r="U158" s="318"/>
      <c r="V158" s="318"/>
    </row>
    <row r="159" spans="1:22" ht="60" hidden="1" outlineLevel="1">
      <c r="A159" s="318"/>
      <c r="E159" s="1052" t="s">
        <v>945</v>
      </c>
      <c r="F159" s="1052" t="s">
        <v>946</v>
      </c>
      <c r="G159" s="1052" t="s">
        <v>947</v>
      </c>
      <c r="J159" s="326"/>
      <c r="S159" s="327"/>
      <c r="T159" s="327"/>
      <c r="U159" s="318"/>
      <c r="V159" s="318"/>
    </row>
    <row r="160" spans="1:22" ht="15.6" hidden="1" outlineLevel="2">
      <c r="A160" s="318"/>
      <c r="B160" s="839" t="s">
        <v>948</v>
      </c>
      <c r="C160" s="839"/>
      <c r="D160" s="839"/>
      <c r="E160" s="840"/>
      <c r="F160" s="794"/>
      <c r="G160" s="839"/>
      <c r="H160" s="794"/>
      <c r="I160" s="794"/>
      <c r="J160" s="841"/>
      <c r="S160" s="327"/>
      <c r="T160" s="327"/>
      <c r="U160" s="318"/>
      <c r="V160" s="318"/>
    </row>
    <row r="161" spans="1:22" ht="15.6" hidden="1" outlineLevel="2">
      <c r="A161" s="318"/>
      <c r="B161" s="837" t="s">
        <v>927</v>
      </c>
      <c r="C161" s="837"/>
      <c r="D161" s="837"/>
      <c r="E161" s="791"/>
      <c r="F161" s="791"/>
      <c r="G161" s="837"/>
      <c r="H161" s="791"/>
      <c r="I161" s="791"/>
      <c r="J161" s="838"/>
      <c r="S161" s="327"/>
      <c r="T161" s="327"/>
      <c r="U161" s="318"/>
      <c r="V161" s="318"/>
    </row>
    <row r="162" spans="1:22" ht="15.6" hidden="1" outlineLevel="2">
      <c r="A162" s="318"/>
      <c r="B162" s="779"/>
      <c r="C162" s="779"/>
      <c r="D162" s="779"/>
      <c r="E162" s="779" t="s">
        <v>949</v>
      </c>
      <c r="F162" s="345"/>
      <c r="G162" s="779"/>
      <c r="H162" s="345"/>
      <c r="I162" s="345"/>
      <c r="J162" s="833"/>
      <c r="S162" s="327"/>
      <c r="T162" s="327"/>
      <c r="U162" s="318"/>
      <c r="V162" s="318"/>
    </row>
    <row r="163" spans="1:22" ht="15.6" hidden="1" outlineLevel="2">
      <c r="A163" s="318"/>
      <c r="B163" s="782"/>
      <c r="C163" s="782"/>
      <c r="D163" s="782"/>
      <c r="E163" s="782" t="s">
        <v>498</v>
      </c>
      <c r="F163" s="782" t="s">
        <v>917</v>
      </c>
      <c r="G163" s="782" t="s">
        <v>918</v>
      </c>
      <c r="H163" s="782" t="s">
        <v>907</v>
      </c>
      <c r="I163" s="782" t="s">
        <v>919</v>
      </c>
      <c r="J163" s="782" t="s">
        <v>78</v>
      </c>
      <c r="S163" s="327"/>
      <c r="T163" s="327"/>
      <c r="U163" s="318"/>
      <c r="V163" s="318"/>
    </row>
    <row r="164" spans="1:22" ht="15.6" hidden="1" outlineLevel="2">
      <c r="A164" s="318">
        <v>1</v>
      </c>
      <c r="B164" t="str">
        <f>+B$67</f>
        <v xml:space="preserve">Carson City </v>
      </c>
      <c r="E164" s="862">
        <v>10</v>
      </c>
      <c r="F164" s="862">
        <v>4</v>
      </c>
      <c r="G164" s="862">
        <v>5</v>
      </c>
      <c r="H164" s="862">
        <v>5</v>
      </c>
      <c r="I164" s="862">
        <v>1</v>
      </c>
      <c r="J164" s="847">
        <f t="shared" ref="J164:J170" si="18">SUM(E164:I164)</f>
        <v>25</v>
      </c>
      <c r="S164" s="327"/>
      <c r="T164" s="327"/>
      <c r="U164" s="318"/>
      <c r="V164" s="318"/>
    </row>
    <row r="165" spans="1:22" ht="15.6" hidden="1" outlineLevel="2">
      <c r="A165" s="318">
        <f>1+A164</f>
        <v>2</v>
      </c>
      <c r="B165" t="str">
        <f>+$B$68</f>
        <v>Churchill</v>
      </c>
      <c r="E165" s="862">
        <v>10</v>
      </c>
      <c r="F165" s="862">
        <v>4</v>
      </c>
      <c r="G165" s="862">
        <v>5</v>
      </c>
      <c r="H165" s="862">
        <v>5</v>
      </c>
      <c r="I165" s="862">
        <v>1</v>
      </c>
      <c r="J165" s="814">
        <f t="shared" si="18"/>
        <v>25</v>
      </c>
      <c r="S165" s="327"/>
      <c r="T165" s="327"/>
      <c r="U165" s="318"/>
      <c r="V165" s="318"/>
    </row>
    <row r="166" spans="1:22" ht="15.6" hidden="1" outlineLevel="2">
      <c r="A166" s="318">
        <f t="shared" ref="A166:A169" si="19">1+A165</f>
        <v>3</v>
      </c>
      <c r="B166" t="str">
        <f>+$B$69</f>
        <v>Clark</v>
      </c>
      <c r="E166" s="862">
        <v>10</v>
      </c>
      <c r="F166" s="862">
        <v>4</v>
      </c>
      <c r="G166" s="862">
        <v>5</v>
      </c>
      <c r="H166" s="862">
        <v>5</v>
      </c>
      <c r="I166" s="862">
        <v>1</v>
      </c>
      <c r="J166" s="814">
        <f t="shared" si="18"/>
        <v>25</v>
      </c>
      <c r="S166" s="327"/>
      <c r="T166" s="327"/>
      <c r="U166" s="318"/>
      <c r="V166" s="318"/>
    </row>
    <row r="167" spans="1:22" ht="15.6" hidden="1" outlineLevel="2">
      <c r="A167" s="318">
        <f t="shared" si="19"/>
        <v>4</v>
      </c>
      <c r="B167" t="str">
        <f>+$B$70</f>
        <v>Elko</v>
      </c>
      <c r="E167" s="862">
        <v>10</v>
      </c>
      <c r="F167" s="862">
        <v>4</v>
      </c>
      <c r="G167" s="862">
        <v>5</v>
      </c>
      <c r="H167" s="862">
        <v>5</v>
      </c>
      <c r="I167" s="862">
        <v>1</v>
      </c>
      <c r="J167" s="814">
        <f t="shared" si="18"/>
        <v>25</v>
      </c>
      <c r="S167" s="327"/>
      <c r="T167" s="327"/>
      <c r="U167" s="318"/>
      <c r="V167" s="318"/>
    </row>
    <row r="168" spans="1:22" ht="15.6" hidden="1" outlineLevel="2">
      <c r="A168" s="318">
        <f t="shared" si="19"/>
        <v>5</v>
      </c>
      <c r="B168" t="str">
        <f>+$B$72</f>
        <v>Washoe</v>
      </c>
      <c r="E168" s="863">
        <v>10</v>
      </c>
      <c r="F168" s="863">
        <v>4</v>
      </c>
      <c r="G168" s="863">
        <v>5</v>
      </c>
      <c r="H168" s="863">
        <v>5</v>
      </c>
      <c r="I168" s="863">
        <v>1</v>
      </c>
      <c r="J168" s="814">
        <f t="shared" si="18"/>
        <v>25</v>
      </c>
      <c r="S168" s="327"/>
      <c r="T168" s="327"/>
      <c r="U168" s="318"/>
      <c r="V168" s="318"/>
    </row>
    <row r="169" spans="1:22" ht="15.6" hidden="1" outlineLevel="2">
      <c r="A169" s="318">
        <f t="shared" si="19"/>
        <v>6</v>
      </c>
      <c r="B169" t="str">
        <f>+$B$73</f>
        <v>White Pine</v>
      </c>
      <c r="E169" s="863">
        <v>10</v>
      </c>
      <c r="F169" s="863">
        <v>4</v>
      </c>
      <c r="G169" s="863">
        <v>5</v>
      </c>
      <c r="H169" s="863">
        <v>5</v>
      </c>
      <c r="I169" s="863">
        <v>1</v>
      </c>
      <c r="J169" s="825">
        <f t="shared" si="18"/>
        <v>25</v>
      </c>
      <c r="S169" s="327"/>
      <c r="T169" s="327"/>
      <c r="U169" s="318"/>
      <c r="V169" s="318"/>
    </row>
    <row r="170" spans="1:22" ht="15.6" hidden="1" outlineLevel="2">
      <c r="A170" s="318"/>
      <c r="B170" s="826" t="s">
        <v>78</v>
      </c>
      <c r="C170" s="826"/>
      <c r="D170" s="826"/>
      <c r="E170" s="831">
        <f>SUM(E164:E169)</f>
        <v>60</v>
      </c>
      <c r="F170" s="831">
        <f>SUM(F164:F169)</f>
        <v>24</v>
      </c>
      <c r="G170" s="831">
        <f t="shared" ref="G170:I170" si="20">SUM(G164:G169)</f>
        <v>30</v>
      </c>
      <c r="H170" s="831">
        <f t="shared" si="20"/>
        <v>30</v>
      </c>
      <c r="I170" s="831">
        <f t="shared" si="20"/>
        <v>6</v>
      </c>
      <c r="J170" s="831">
        <f t="shared" si="18"/>
        <v>150</v>
      </c>
      <c r="P170" s="326"/>
      <c r="Q170" s="327"/>
      <c r="R170" s="327"/>
      <c r="S170" s="327"/>
      <c r="T170" s="327"/>
      <c r="U170" s="318"/>
      <c r="V170" s="318"/>
    </row>
    <row r="171" spans="1:22" ht="15.6" hidden="1" outlineLevel="2">
      <c r="A171" s="318"/>
      <c r="J171" s="819"/>
      <c r="O171" s="325"/>
      <c r="P171" s="326"/>
      <c r="Q171" s="327"/>
      <c r="R171" s="327"/>
      <c r="S171" s="327"/>
      <c r="T171" s="327"/>
      <c r="U171" s="318"/>
      <c r="V171" s="318"/>
    </row>
    <row r="172" spans="1:22" ht="15.6" hidden="1" outlineLevel="2">
      <c r="A172" s="318"/>
      <c r="E172" s="779" t="s">
        <v>950</v>
      </c>
      <c r="F172" s="345"/>
      <c r="G172" s="779"/>
      <c r="H172" s="779"/>
      <c r="I172" s="779"/>
      <c r="J172" s="345"/>
      <c r="O172" s="325"/>
      <c r="P172" s="326"/>
      <c r="Q172" s="327"/>
      <c r="R172" s="327"/>
      <c r="S172" s="327"/>
      <c r="T172" s="327"/>
      <c r="U172" s="318"/>
      <c r="V172" s="318"/>
    </row>
    <row r="173" spans="1:22" ht="15.6" hidden="1" outlineLevel="2">
      <c r="A173" s="318"/>
      <c r="E173" s="782" t="s">
        <v>498</v>
      </c>
      <c r="F173" s="782" t="s">
        <v>917</v>
      </c>
      <c r="G173" s="782" t="s">
        <v>918</v>
      </c>
      <c r="H173" s="782" t="s">
        <v>907</v>
      </c>
      <c r="I173" s="782" t="s">
        <v>919</v>
      </c>
      <c r="J173" s="815"/>
      <c r="O173" s="325"/>
      <c r="P173" s="326"/>
      <c r="Q173" s="327"/>
      <c r="R173" s="327"/>
      <c r="S173" s="327"/>
      <c r="T173" s="327"/>
      <c r="U173" s="318"/>
      <c r="V173" s="318"/>
    </row>
    <row r="174" spans="1:22" ht="15.6" hidden="1" outlineLevel="2">
      <c r="A174" s="318"/>
      <c r="B174" s="782" t="s">
        <v>951</v>
      </c>
      <c r="C174" s="782"/>
      <c r="D174" s="782"/>
      <c r="E174" s="865">
        <v>0</v>
      </c>
      <c r="F174" s="857">
        <f>+D77</f>
        <v>0.38284007225232736</v>
      </c>
      <c r="G174" s="857">
        <f>+D78</f>
        <v>0.24</v>
      </c>
      <c r="H174" s="857">
        <f>+D79</f>
        <v>0.03</v>
      </c>
      <c r="I174" s="857">
        <f>+D80</f>
        <v>0.12</v>
      </c>
      <c r="J174" s="782" t="s">
        <v>78</v>
      </c>
      <c r="P174" s="326"/>
      <c r="Q174" s="327"/>
      <c r="R174" s="327"/>
      <c r="S174" s="327"/>
      <c r="T174" s="327"/>
      <c r="U174" s="318"/>
      <c r="V174" s="318"/>
    </row>
    <row r="175" spans="1:22" ht="15.6" hidden="1" outlineLevel="2">
      <c r="A175" s="318">
        <v>1</v>
      </c>
      <c r="B175" t="str">
        <f>+B$67</f>
        <v xml:space="preserve">Carson City </v>
      </c>
      <c r="E175" s="817"/>
      <c r="F175" s="818">
        <v>4</v>
      </c>
      <c r="G175" s="818">
        <v>2</v>
      </c>
      <c r="H175" s="818">
        <v>3</v>
      </c>
      <c r="I175" s="818">
        <v>1</v>
      </c>
      <c r="J175" s="847">
        <f t="shared" ref="J175:J181" si="21">SUM(E175:I175)</f>
        <v>10</v>
      </c>
      <c r="P175" s="326"/>
      <c r="Q175" s="327"/>
      <c r="R175" s="327"/>
      <c r="S175" s="327"/>
      <c r="T175" s="327"/>
      <c r="U175" s="318"/>
      <c r="V175" s="318"/>
    </row>
    <row r="176" spans="1:22" ht="15.6" hidden="1" outlineLevel="2">
      <c r="A176" s="318">
        <f>1+A175</f>
        <v>2</v>
      </c>
      <c r="B176" t="str">
        <f>+$B$68</f>
        <v>Churchill</v>
      </c>
      <c r="E176" s="817"/>
      <c r="F176" s="820">
        <v>4</v>
      </c>
      <c r="G176" s="820">
        <v>2</v>
      </c>
      <c r="H176" s="820">
        <v>3</v>
      </c>
      <c r="I176" s="820">
        <v>1</v>
      </c>
      <c r="J176" s="814">
        <f t="shared" si="21"/>
        <v>10</v>
      </c>
      <c r="P176" s="326"/>
      <c r="Q176" s="327"/>
      <c r="R176" s="327"/>
      <c r="S176" s="327"/>
      <c r="T176" s="327"/>
      <c r="U176" s="318"/>
      <c r="V176" s="318"/>
    </row>
    <row r="177" spans="1:22" ht="15.6" hidden="1" outlineLevel="2">
      <c r="A177" s="318">
        <f t="shared" ref="A177:A180" si="22">1+A176</f>
        <v>3</v>
      </c>
      <c r="B177" t="str">
        <f>+$B$69</f>
        <v>Clark</v>
      </c>
      <c r="E177" s="817"/>
      <c r="F177" s="820">
        <v>4</v>
      </c>
      <c r="G177" s="820">
        <v>2</v>
      </c>
      <c r="H177" s="820">
        <v>3</v>
      </c>
      <c r="I177" s="820">
        <v>1</v>
      </c>
      <c r="J177" s="814">
        <f t="shared" si="21"/>
        <v>10</v>
      </c>
      <c r="P177" s="326"/>
      <c r="Q177" s="327"/>
      <c r="R177" s="327"/>
      <c r="S177" s="327"/>
      <c r="T177" s="327"/>
      <c r="U177" s="318"/>
      <c r="V177" s="318"/>
    </row>
    <row r="178" spans="1:22" ht="15.6" hidden="1" outlineLevel="2">
      <c r="A178" s="318">
        <f t="shared" si="22"/>
        <v>4</v>
      </c>
      <c r="B178" t="str">
        <f>+$B$70</f>
        <v>Elko</v>
      </c>
      <c r="E178" s="817"/>
      <c r="F178" s="820">
        <v>4</v>
      </c>
      <c r="G178" s="820">
        <v>2</v>
      </c>
      <c r="H178" s="820">
        <v>3</v>
      </c>
      <c r="I178" s="820">
        <v>1</v>
      </c>
      <c r="J178" s="814">
        <f t="shared" si="21"/>
        <v>10</v>
      </c>
      <c r="P178" s="326"/>
      <c r="Q178" s="327"/>
      <c r="R178" s="327"/>
      <c r="S178" s="327"/>
      <c r="T178" s="327"/>
      <c r="U178" s="318"/>
      <c r="V178" s="318"/>
    </row>
    <row r="179" spans="1:22" ht="15.6" hidden="1" outlineLevel="2">
      <c r="A179" s="318">
        <f t="shared" si="22"/>
        <v>5</v>
      </c>
      <c r="B179" t="str">
        <f>+$B$72</f>
        <v>Washoe</v>
      </c>
      <c r="E179" s="817"/>
      <c r="F179" s="820">
        <v>4</v>
      </c>
      <c r="G179" s="820">
        <v>2</v>
      </c>
      <c r="H179" s="820">
        <v>3</v>
      </c>
      <c r="I179" s="820">
        <v>1</v>
      </c>
      <c r="J179" s="814">
        <f t="shared" si="21"/>
        <v>10</v>
      </c>
      <c r="P179" s="326"/>
      <c r="Q179" s="327"/>
      <c r="R179" s="327"/>
      <c r="S179" s="327"/>
      <c r="T179" s="327"/>
      <c r="U179" s="318"/>
      <c r="V179" s="318"/>
    </row>
    <row r="180" spans="1:22" ht="15.6" hidden="1" outlineLevel="2">
      <c r="A180" s="318">
        <f t="shared" si="22"/>
        <v>6</v>
      </c>
      <c r="B180" t="str">
        <f>+$B$73</f>
        <v>White Pine</v>
      </c>
      <c r="E180" s="817"/>
      <c r="F180" s="821">
        <v>4</v>
      </c>
      <c r="G180" s="821">
        <v>2</v>
      </c>
      <c r="H180" s="821">
        <v>3</v>
      </c>
      <c r="I180" s="821">
        <v>1</v>
      </c>
      <c r="J180" s="825">
        <f t="shared" si="21"/>
        <v>10</v>
      </c>
      <c r="P180" s="326"/>
      <c r="Q180" s="327"/>
      <c r="R180" s="327"/>
      <c r="S180" s="327"/>
      <c r="T180" s="327"/>
      <c r="U180" s="318"/>
      <c r="V180" s="318"/>
    </row>
    <row r="181" spans="1:22" ht="15.6" hidden="1" outlineLevel="2">
      <c r="A181" s="318"/>
      <c r="B181" s="826" t="s">
        <v>78</v>
      </c>
      <c r="C181" s="826"/>
      <c r="D181" s="826"/>
      <c r="E181" s="823"/>
      <c r="F181" s="823">
        <f t="shared" ref="F181" si="23">SUM(F175:F180)</f>
        <v>24</v>
      </c>
      <c r="G181" s="823">
        <f t="shared" ref="G181" si="24">SUM(G175:G180)</f>
        <v>12</v>
      </c>
      <c r="H181" s="823">
        <f t="shared" ref="H181" si="25">SUM(H175:H180)</f>
        <v>18</v>
      </c>
      <c r="I181" s="823">
        <f t="shared" ref="I181" si="26">SUM(I175:I180)</f>
        <v>6</v>
      </c>
      <c r="J181" s="831">
        <f t="shared" si="21"/>
        <v>60</v>
      </c>
      <c r="O181" s="325"/>
      <c r="P181" s="326"/>
      <c r="Q181" s="327"/>
      <c r="R181" s="327"/>
      <c r="S181" s="327"/>
      <c r="T181" s="327"/>
      <c r="U181" s="318"/>
      <c r="V181" s="318"/>
    </row>
    <row r="182" spans="1:22" ht="15.6" hidden="1" outlineLevel="2">
      <c r="A182" s="318"/>
      <c r="O182" s="325"/>
      <c r="P182" s="326"/>
      <c r="Q182" s="327"/>
      <c r="R182" s="327"/>
      <c r="S182" s="327"/>
      <c r="T182" s="327"/>
      <c r="U182" s="318"/>
      <c r="V182" s="318"/>
    </row>
    <row r="183" spans="1:22" ht="15.6" hidden="1" outlineLevel="2">
      <c r="A183" s="318"/>
      <c r="E183" s="1" t="s">
        <v>952</v>
      </c>
      <c r="F183" s="1"/>
      <c r="G183" s="345"/>
      <c r="H183" s="345"/>
      <c r="I183" s="345"/>
      <c r="O183" s="325"/>
      <c r="P183" s="326"/>
      <c r="Q183" s="327"/>
      <c r="R183" s="327"/>
      <c r="S183" s="327"/>
      <c r="T183" s="327"/>
      <c r="U183" s="318"/>
      <c r="V183" s="318"/>
    </row>
    <row r="184" spans="1:22" ht="15.6" hidden="1" outlineLevel="2">
      <c r="A184" s="318"/>
      <c r="E184" s="827" t="s">
        <v>498</v>
      </c>
      <c r="F184" s="827" t="s">
        <v>917</v>
      </c>
      <c r="G184" s="782" t="s">
        <v>918</v>
      </c>
      <c r="H184" s="782" t="s">
        <v>907</v>
      </c>
      <c r="I184" s="782" t="s">
        <v>919</v>
      </c>
      <c r="J184" s="827" t="s">
        <v>78</v>
      </c>
      <c r="K184" s="327"/>
      <c r="O184" s="325"/>
      <c r="P184" s="326"/>
      <c r="Q184" s="327"/>
      <c r="R184" s="327"/>
      <c r="S184" s="327"/>
      <c r="T184" s="327"/>
      <c r="U184" s="318"/>
      <c r="V184" s="318"/>
    </row>
    <row r="185" spans="1:22" ht="15.6" hidden="1" outlineLevel="2">
      <c r="A185" s="318">
        <v>1</v>
      </c>
      <c r="B185" t="str">
        <f>+B$67</f>
        <v xml:space="preserve">Carson City </v>
      </c>
      <c r="E185" s="828">
        <f>+E164-E175</f>
        <v>10</v>
      </c>
      <c r="F185" s="828">
        <f t="shared" ref="F185:I185" si="27">+F164-F175</f>
        <v>0</v>
      </c>
      <c r="G185" s="828">
        <f t="shared" si="27"/>
        <v>3</v>
      </c>
      <c r="H185" s="828">
        <f t="shared" si="27"/>
        <v>2</v>
      </c>
      <c r="I185" s="828">
        <f t="shared" si="27"/>
        <v>0</v>
      </c>
      <c r="J185" s="819">
        <f t="shared" ref="J185:J191" si="28">SUM(E185:I185)</f>
        <v>15</v>
      </c>
      <c r="O185" s="325"/>
      <c r="P185" s="326"/>
      <c r="Q185" s="327"/>
      <c r="R185" s="327"/>
      <c r="S185" s="327"/>
      <c r="T185" s="327"/>
      <c r="U185" s="318"/>
      <c r="V185" s="318"/>
    </row>
    <row r="186" spans="1:22" ht="15.6" hidden="1" outlineLevel="2">
      <c r="A186" s="318">
        <f>1+A185</f>
        <v>2</v>
      </c>
      <c r="B186" t="str">
        <f>+$B$68</f>
        <v>Churchill</v>
      </c>
      <c r="E186" s="829">
        <f t="shared" ref="E186:I186" si="29">+E165-E176</f>
        <v>10</v>
      </c>
      <c r="F186" s="829">
        <f t="shared" si="29"/>
        <v>0</v>
      </c>
      <c r="G186" s="829">
        <f t="shared" si="29"/>
        <v>3</v>
      </c>
      <c r="H186" s="829">
        <f t="shared" si="29"/>
        <v>2</v>
      </c>
      <c r="I186" s="829">
        <f t="shared" si="29"/>
        <v>0</v>
      </c>
      <c r="J186" s="819">
        <f t="shared" si="28"/>
        <v>15</v>
      </c>
      <c r="O186" s="325"/>
      <c r="P186" s="326"/>
      <c r="Q186" s="327"/>
      <c r="R186" s="327"/>
      <c r="S186" s="327"/>
      <c r="T186" s="327"/>
      <c r="U186" s="318"/>
      <c r="V186" s="318"/>
    </row>
    <row r="187" spans="1:22" ht="15.6" hidden="1" outlineLevel="2">
      <c r="A187" s="318">
        <f t="shared" ref="A187:A190" si="30">1+A186</f>
        <v>3</v>
      </c>
      <c r="B187" t="str">
        <f>+$B$69</f>
        <v>Clark</v>
      </c>
      <c r="E187" s="829">
        <f t="shared" ref="E187:I187" si="31">+E166-E177</f>
        <v>10</v>
      </c>
      <c r="F187" s="829">
        <f t="shared" si="31"/>
        <v>0</v>
      </c>
      <c r="G187" s="829">
        <f t="shared" si="31"/>
        <v>3</v>
      </c>
      <c r="H187" s="829">
        <f t="shared" si="31"/>
        <v>2</v>
      </c>
      <c r="I187" s="829">
        <f t="shared" si="31"/>
        <v>0</v>
      </c>
      <c r="J187" s="819">
        <f t="shared" si="28"/>
        <v>15</v>
      </c>
      <c r="O187" s="325"/>
      <c r="P187" s="326"/>
      <c r="Q187" s="327"/>
      <c r="R187" s="327"/>
      <c r="S187" s="327"/>
      <c r="T187" s="327"/>
      <c r="U187" s="318"/>
      <c r="V187" s="318"/>
    </row>
    <row r="188" spans="1:22" ht="15.6" hidden="1" outlineLevel="2">
      <c r="A188" s="318">
        <f t="shared" si="30"/>
        <v>4</v>
      </c>
      <c r="B188" t="str">
        <f>+$B$70</f>
        <v>Elko</v>
      </c>
      <c r="E188" s="829">
        <f t="shared" ref="E188:I188" si="32">+E167-E178</f>
        <v>10</v>
      </c>
      <c r="F188" s="829">
        <f t="shared" si="32"/>
        <v>0</v>
      </c>
      <c r="G188" s="829">
        <f t="shared" si="32"/>
        <v>3</v>
      </c>
      <c r="H188" s="829">
        <f t="shared" si="32"/>
        <v>2</v>
      </c>
      <c r="I188" s="829">
        <f t="shared" si="32"/>
        <v>0</v>
      </c>
      <c r="J188" s="819">
        <f t="shared" si="28"/>
        <v>15</v>
      </c>
      <c r="O188" s="325"/>
      <c r="P188" s="326"/>
      <c r="Q188" s="327"/>
      <c r="R188" s="327"/>
      <c r="S188" s="327"/>
      <c r="T188" s="327"/>
      <c r="U188" s="318"/>
      <c r="V188" s="318"/>
    </row>
    <row r="189" spans="1:22" ht="15.6" hidden="1" outlineLevel="2">
      <c r="A189" s="318">
        <f t="shared" si="30"/>
        <v>5</v>
      </c>
      <c r="B189" t="str">
        <f>+$B$72</f>
        <v>Washoe</v>
      </c>
      <c r="E189" s="829">
        <f t="shared" ref="E189:I189" si="33">+E168-E179</f>
        <v>10</v>
      </c>
      <c r="F189" s="829">
        <f t="shared" si="33"/>
        <v>0</v>
      </c>
      <c r="G189" s="829">
        <f t="shared" si="33"/>
        <v>3</v>
      </c>
      <c r="H189" s="829">
        <f t="shared" si="33"/>
        <v>2</v>
      </c>
      <c r="I189" s="829">
        <f t="shared" si="33"/>
        <v>0</v>
      </c>
      <c r="J189" s="819">
        <f t="shared" si="28"/>
        <v>15</v>
      </c>
      <c r="O189" s="325"/>
      <c r="P189" s="326"/>
      <c r="Q189" s="327"/>
      <c r="R189" s="327"/>
      <c r="S189" s="327"/>
      <c r="T189" s="327"/>
      <c r="U189" s="318"/>
      <c r="V189" s="318"/>
    </row>
    <row r="190" spans="1:22" ht="15.6" hidden="1" outlineLevel="2">
      <c r="A190" s="318">
        <f t="shared" si="30"/>
        <v>6</v>
      </c>
      <c r="B190" t="str">
        <f>+$B$73</f>
        <v>White Pine</v>
      </c>
      <c r="E190" s="830">
        <f t="shared" ref="E190:I190" si="34">+E169-E180</f>
        <v>10</v>
      </c>
      <c r="F190" s="830">
        <f t="shared" si="34"/>
        <v>0</v>
      </c>
      <c r="G190" s="830">
        <f t="shared" si="34"/>
        <v>3</v>
      </c>
      <c r="H190" s="830">
        <f t="shared" si="34"/>
        <v>2</v>
      </c>
      <c r="I190" s="830">
        <f t="shared" si="34"/>
        <v>0</v>
      </c>
      <c r="J190" s="819">
        <f t="shared" si="28"/>
        <v>15</v>
      </c>
      <c r="O190" s="325"/>
      <c r="P190" s="326"/>
      <c r="Q190" s="327"/>
      <c r="R190" s="327"/>
      <c r="S190" s="327"/>
      <c r="T190" s="327"/>
      <c r="U190" s="318"/>
      <c r="V190" s="318"/>
    </row>
    <row r="191" spans="1:22" ht="15.6" hidden="1" outlineLevel="2">
      <c r="A191" s="318"/>
      <c r="B191" s="826" t="s">
        <v>78</v>
      </c>
      <c r="C191" s="826"/>
      <c r="D191" s="826"/>
      <c r="E191" s="823">
        <f>SUM(E185:E190)</f>
        <v>60</v>
      </c>
      <c r="F191" s="823">
        <f t="shared" ref="F191:I191" si="35">SUM(F185:F190)</f>
        <v>0</v>
      </c>
      <c r="G191" s="823">
        <f t="shared" si="35"/>
        <v>18</v>
      </c>
      <c r="H191" s="823">
        <f t="shared" si="35"/>
        <v>12</v>
      </c>
      <c r="I191" s="823">
        <f t="shared" si="35"/>
        <v>0</v>
      </c>
      <c r="J191" s="823">
        <f t="shared" si="28"/>
        <v>90</v>
      </c>
      <c r="O191" s="325"/>
      <c r="P191" s="326"/>
      <c r="Q191" s="327"/>
      <c r="R191" s="327"/>
      <c r="S191" s="327"/>
      <c r="T191" s="327"/>
      <c r="U191" s="318"/>
      <c r="V191" s="318"/>
    </row>
    <row r="192" spans="1:22" ht="15.6" hidden="1" outlineLevel="2">
      <c r="A192" s="318"/>
      <c r="O192" s="325"/>
      <c r="P192" s="326"/>
      <c r="Q192" s="327"/>
      <c r="R192" s="327"/>
      <c r="S192" s="327"/>
      <c r="T192" s="327"/>
      <c r="U192" s="318"/>
      <c r="V192" s="318"/>
    </row>
    <row r="193" spans="1:22" ht="15.6" hidden="1" outlineLevel="2">
      <c r="A193" s="318"/>
      <c r="B193" s="826" t="s">
        <v>953</v>
      </c>
      <c r="C193" s="826"/>
      <c r="D193" s="826"/>
      <c r="E193" s="823">
        <f>+E181+E191</f>
        <v>60</v>
      </c>
      <c r="F193" s="823">
        <f t="shared" ref="F193:I193" si="36">+F181+F191</f>
        <v>24</v>
      </c>
      <c r="G193" s="823">
        <f t="shared" si="36"/>
        <v>30</v>
      </c>
      <c r="H193" s="823">
        <f t="shared" si="36"/>
        <v>30</v>
      </c>
      <c r="I193" s="823">
        <f t="shared" si="36"/>
        <v>6</v>
      </c>
      <c r="J193" s="823">
        <f>SUM(E193:I193)</f>
        <v>150</v>
      </c>
      <c r="O193" s="325"/>
      <c r="P193" s="326"/>
      <c r="Q193" s="327"/>
      <c r="R193" s="327"/>
      <c r="S193" s="327"/>
      <c r="T193" s="327"/>
      <c r="U193" s="318"/>
      <c r="V193" s="318"/>
    </row>
    <row r="194" spans="1:22" ht="15.6" hidden="1" outlineLevel="2">
      <c r="A194" s="318"/>
      <c r="O194" s="325"/>
      <c r="P194" s="326"/>
      <c r="Q194" s="327"/>
      <c r="R194" s="327"/>
      <c r="S194" s="327"/>
      <c r="T194" s="327"/>
      <c r="U194" s="318"/>
      <c r="V194" s="318"/>
    </row>
    <row r="195" spans="1:22" ht="15.6" hidden="1" outlineLevel="2">
      <c r="A195" s="318"/>
      <c r="B195" s="839" t="s">
        <v>948</v>
      </c>
      <c r="C195" s="839"/>
      <c r="D195" s="839"/>
      <c r="E195" s="840"/>
      <c r="F195" s="794"/>
      <c r="G195" s="839"/>
      <c r="H195" s="794"/>
      <c r="I195" s="794"/>
      <c r="J195" s="841"/>
      <c r="O195" s="325"/>
      <c r="P195" s="326"/>
      <c r="Q195" s="327"/>
      <c r="R195" s="327"/>
      <c r="S195" s="327"/>
      <c r="T195" s="327"/>
      <c r="U195" s="318"/>
      <c r="V195" s="318"/>
    </row>
    <row r="196" spans="1:22" ht="15.6" hidden="1" outlineLevel="2">
      <c r="A196" s="318"/>
      <c r="B196" s="837" t="s">
        <v>954</v>
      </c>
      <c r="C196" s="837"/>
      <c r="D196" s="837"/>
      <c r="E196" s="837"/>
      <c r="F196" s="791"/>
      <c r="G196" s="837"/>
      <c r="H196" s="791"/>
      <c r="I196" s="791"/>
      <c r="J196" s="838"/>
      <c r="O196" s="325"/>
      <c r="P196" s="326"/>
      <c r="Q196" s="327"/>
      <c r="R196" s="327"/>
      <c r="S196" s="327"/>
      <c r="T196" s="327"/>
      <c r="U196" s="318"/>
      <c r="V196" s="318"/>
    </row>
    <row r="197" spans="1:22" ht="15.6" hidden="1" outlineLevel="3">
      <c r="A197" s="318"/>
      <c r="B197" s="779"/>
      <c r="C197" s="779"/>
      <c r="D197" s="779"/>
      <c r="E197" s="779" t="s">
        <v>949</v>
      </c>
      <c r="F197" s="345"/>
      <c r="G197" s="779"/>
      <c r="H197" s="345"/>
      <c r="I197" s="345"/>
      <c r="J197" s="833"/>
      <c r="O197" s="325"/>
      <c r="P197" s="326"/>
      <c r="Q197" s="327"/>
      <c r="R197" s="327"/>
      <c r="S197" s="327"/>
      <c r="T197" s="327"/>
      <c r="U197" s="318"/>
      <c r="V197" s="318"/>
    </row>
    <row r="198" spans="1:22" ht="15.6" hidden="1" outlineLevel="3">
      <c r="A198" s="318"/>
      <c r="B198" s="782"/>
      <c r="C198" s="782"/>
      <c r="D198" s="782"/>
      <c r="E198" s="782" t="s">
        <v>498</v>
      </c>
      <c r="F198" s="782" t="s">
        <v>917</v>
      </c>
      <c r="G198" s="782" t="s">
        <v>918</v>
      </c>
      <c r="H198" s="782" t="s">
        <v>907</v>
      </c>
      <c r="I198" s="782" t="s">
        <v>919</v>
      </c>
      <c r="J198" s="782" t="s">
        <v>78</v>
      </c>
      <c r="O198" s="325"/>
      <c r="P198" s="326"/>
      <c r="Q198" s="327"/>
      <c r="R198" s="327"/>
      <c r="S198" s="327"/>
      <c r="T198" s="327"/>
      <c r="U198" s="318"/>
      <c r="V198" s="318"/>
    </row>
    <row r="199" spans="1:22" ht="15.6" hidden="1" outlineLevel="3">
      <c r="A199" s="318">
        <v>1</v>
      </c>
      <c r="B199" t="str">
        <f>+B$67</f>
        <v xml:space="preserve">Carson City </v>
      </c>
      <c r="E199" s="813">
        <v>100</v>
      </c>
      <c r="F199" s="813">
        <v>40</v>
      </c>
      <c r="G199" s="813">
        <v>50</v>
      </c>
      <c r="H199" s="813">
        <v>50</v>
      </c>
      <c r="I199" s="813">
        <v>2</v>
      </c>
      <c r="J199" s="832">
        <f t="shared" ref="J199:J205" si="37">SUM(E199:I199)</f>
        <v>242</v>
      </c>
      <c r="O199" s="325"/>
      <c r="P199" s="326"/>
      <c r="Q199" s="327"/>
      <c r="R199" s="327"/>
      <c r="S199" s="327"/>
      <c r="T199" s="327"/>
      <c r="U199" s="318"/>
      <c r="V199" s="318"/>
    </row>
    <row r="200" spans="1:22" ht="15.6" hidden="1" outlineLevel="3">
      <c r="A200" s="318">
        <f>1+A199</f>
        <v>2</v>
      </c>
      <c r="B200" t="str">
        <f>+$B$68</f>
        <v>Churchill</v>
      </c>
      <c r="E200" s="813"/>
      <c r="F200" s="813">
        <v>30</v>
      </c>
      <c r="G200" s="813">
        <v>0</v>
      </c>
      <c r="H200" s="813">
        <v>0</v>
      </c>
      <c r="I200" s="813">
        <v>0</v>
      </c>
      <c r="J200" s="814">
        <f t="shared" si="37"/>
        <v>30</v>
      </c>
      <c r="O200" s="325"/>
      <c r="P200" s="326"/>
      <c r="Q200" s="327"/>
      <c r="R200" s="327"/>
      <c r="S200" s="327"/>
      <c r="T200" s="327"/>
      <c r="U200" s="318"/>
      <c r="V200" s="318"/>
    </row>
    <row r="201" spans="1:22" ht="15.6" hidden="1" outlineLevel="3">
      <c r="A201" s="318">
        <f t="shared" ref="A201:A204" si="38">1+A200</f>
        <v>3</v>
      </c>
      <c r="B201" t="str">
        <f>+$B$69</f>
        <v>Clark</v>
      </c>
      <c r="E201" s="813"/>
      <c r="F201" s="813">
        <v>30</v>
      </c>
      <c r="G201" s="813">
        <v>0</v>
      </c>
      <c r="H201" s="813">
        <v>0</v>
      </c>
      <c r="I201" s="813">
        <v>0</v>
      </c>
      <c r="J201" s="814">
        <f t="shared" si="37"/>
        <v>30</v>
      </c>
      <c r="O201" s="325"/>
      <c r="P201" s="326"/>
      <c r="Q201" s="327"/>
      <c r="R201" s="327"/>
      <c r="S201" s="327"/>
      <c r="T201" s="327"/>
      <c r="U201" s="318"/>
      <c r="V201" s="318"/>
    </row>
    <row r="202" spans="1:22" ht="15.6" hidden="1" outlineLevel="3">
      <c r="A202" s="318">
        <f t="shared" si="38"/>
        <v>4</v>
      </c>
      <c r="B202" t="str">
        <f>+$B$70</f>
        <v>Elko</v>
      </c>
      <c r="E202" s="813"/>
      <c r="F202" s="813">
        <v>5</v>
      </c>
      <c r="G202" s="813">
        <v>0</v>
      </c>
      <c r="H202" s="813">
        <v>0</v>
      </c>
      <c r="I202" s="813">
        <v>0</v>
      </c>
      <c r="J202" s="814">
        <f t="shared" si="37"/>
        <v>5</v>
      </c>
      <c r="O202" s="325"/>
      <c r="P202" s="326"/>
      <c r="Q202" s="327"/>
      <c r="R202" s="327"/>
      <c r="S202" s="327"/>
      <c r="T202" s="327"/>
      <c r="U202" s="318"/>
      <c r="V202" s="318"/>
    </row>
    <row r="203" spans="1:22" ht="15.6" hidden="1" outlineLevel="3">
      <c r="A203" s="318">
        <f t="shared" si="38"/>
        <v>5</v>
      </c>
      <c r="B203" t="str">
        <f>+$B$72</f>
        <v>Washoe</v>
      </c>
      <c r="E203" s="824"/>
      <c r="F203" s="824">
        <v>10</v>
      </c>
      <c r="G203" s="824">
        <v>0</v>
      </c>
      <c r="H203" s="824">
        <v>0</v>
      </c>
      <c r="I203" s="824">
        <v>0</v>
      </c>
      <c r="J203" s="814">
        <f t="shared" si="37"/>
        <v>10</v>
      </c>
      <c r="O203" s="325"/>
      <c r="P203" s="326"/>
      <c r="Q203" s="327"/>
      <c r="R203" s="327"/>
      <c r="S203" s="327"/>
      <c r="T203" s="327"/>
      <c r="U203" s="318"/>
      <c r="V203" s="318"/>
    </row>
    <row r="204" spans="1:22" ht="15.6" hidden="1" outlineLevel="3">
      <c r="A204" s="318">
        <f t="shared" si="38"/>
        <v>6</v>
      </c>
      <c r="B204" t="str">
        <f>+$B$73</f>
        <v>White Pine</v>
      </c>
      <c r="E204" s="824"/>
      <c r="F204" s="824">
        <v>10</v>
      </c>
      <c r="G204" s="824">
        <v>0</v>
      </c>
      <c r="H204" s="824">
        <v>0</v>
      </c>
      <c r="I204" s="824">
        <v>0</v>
      </c>
      <c r="J204" s="825">
        <f t="shared" si="37"/>
        <v>10</v>
      </c>
      <c r="O204" s="325"/>
      <c r="P204" s="326"/>
      <c r="Q204" s="327"/>
      <c r="R204" s="327"/>
      <c r="S204" s="327"/>
      <c r="T204" s="327"/>
      <c r="U204" s="318"/>
      <c r="V204" s="318"/>
    </row>
    <row r="205" spans="1:22" ht="15.6" hidden="1" outlineLevel="3">
      <c r="A205" s="318"/>
      <c r="B205" s="826" t="s">
        <v>78</v>
      </c>
      <c r="C205" s="826"/>
      <c r="D205" s="826"/>
      <c r="E205" s="831">
        <f>SUM(E199:E204)</f>
        <v>100</v>
      </c>
      <c r="F205" s="831">
        <f>SUM(F199:F204)</f>
        <v>125</v>
      </c>
      <c r="G205" s="831">
        <f t="shared" ref="G205" si="39">SUM(G199:G204)</f>
        <v>50</v>
      </c>
      <c r="H205" s="831">
        <f t="shared" ref="H205" si="40">SUM(H199:H204)</f>
        <v>50</v>
      </c>
      <c r="I205" s="831">
        <f t="shared" ref="I205" si="41">SUM(I199:I204)</f>
        <v>2</v>
      </c>
      <c r="J205" s="831">
        <f t="shared" si="37"/>
        <v>327</v>
      </c>
      <c r="O205" s="325"/>
      <c r="P205" s="326"/>
      <c r="Q205" s="327"/>
      <c r="R205" s="327"/>
      <c r="S205" s="327"/>
      <c r="T205" s="327"/>
      <c r="U205" s="318"/>
      <c r="V205" s="318"/>
    </row>
    <row r="206" spans="1:22" ht="15.6" hidden="1" outlineLevel="3">
      <c r="A206" s="318"/>
      <c r="J206" s="819"/>
      <c r="O206" s="325"/>
      <c r="P206" s="326"/>
      <c r="Q206" s="327"/>
      <c r="R206" s="327"/>
      <c r="S206" s="327"/>
      <c r="T206" s="327"/>
      <c r="U206" s="318"/>
      <c r="V206" s="318"/>
    </row>
    <row r="207" spans="1:22" ht="15.6" hidden="1" outlineLevel="3">
      <c r="A207" s="318"/>
      <c r="E207" s="779" t="s">
        <v>955</v>
      </c>
      <c r="F207" s="345"/>
      <c r="G207" s="779"/>
      <c r="H207" s="779"/>
      <c r="I207" s="779"/>
      <c r="J207" s="345"/>
      <c r="O207" s="325"/>
      <c r="P207" s="326"/>
      <c r="Q207" s="327"/>
      <c r="R207" s="327"/>
      <c r="S207" s="327"/>
      <c r="T207" s="327"/>
      <c r="U207" s="318"/>
      <c r="V207" s="318"/>
    </row>
    <row r="208" spans="1:22" ht="15.6" hidden="1" outlineLevel="3">
      <c r="A208" s="318"/>
      <c r="E208" s="782" t="s">
        <v>498</v>
      </c>
      <c r="F208" s="782" t="s">
        <v>917</v>
      </c>
      <c r="G208" s="782" t="s">
        <v>918</v>
      </c>
      <c r="H208" s="782" t="s">
        <v>907</v>
      </c>
      <c r="I208" s="782" t="s">
        <v>919</v>
      </c>
      <c r="J208" s="815"/>
      <c r="O208" s="325"/>
      <c r="P208" s="326"/>
      <c r="Q208" s="327"/>
      <c r="R208" s="327"/>
      <c r="S208" s="327"/>
      <c r="T208" s="327"/>
      <c r="U208" s="318"/>
      <c r="V208" s="318"/>
    </row>
    <row r="209" spans="1:22" ht="15.6" hidden="1" outlineLevel="3">
      <c r="A209" s="318"/>
      <c r="E209" s="815"/>
      <c r="F209" s="812">
        <f>+E185</f>
        <v>10</v>
      </c>
      <c r="G209" s="812">
        <f>+E186</f>
        <v>10</v>
      </c>
      <c r="H209" s="812">
        <f>+E187</f>
        <v>10</v>
      </c>
      <c r="I209" s="812">
        <f>+E188</f>
        <v>10</v>
      </c>
      <c r="J209" s="782" t="s">
        <v>78</v>
      </c>
      <c r="O209" s="325"/>
      <c r="P209" s="326"/>
      <c r="Q209" s="327"/>
      <c r="R209" s="327"/>
      <c r="S209" s="327"/>
      <c r="T209" s="327"/>
      <c r="U209" s="318"/>
      <c r="V209" s="318"/>
    </row>
    <row r="210" spans="1:22" ht="15.6" hidden="1" outlineLevel="3">
      <c r="A210" s="318">
        <v>1</v>
      </c>
      <c r="B210" t="str">
        <f>+B$67</f>
        <v xml:space="preserve">Carson City </v>
      </c>
      <c r="E210" s="817"/>
      <c r="F210" s="818">
        <v>20</v>
      </c>
      <c r="G210" s="818">
        <v>20</v>
      </c>
      <c r="H210" s="818">
        <v>30</v>
      </c>
      <c r="I210" s="818">
        <v>1</v>
      </c>
      <c r="J210" s="832">
        <f t="shared" ref="J210:J216" si="42">SUM(E210:I210)</f>
        <v>71</v>
      </c>
      <c r="O210" s="325"/>
      <c r="P210" s="326"/>
      <c r="Q210" s="327"/>
      <c r="R210" s="327"/>
      <c r="S210" s="327"/>
      <c r="T210" s="327"/>
      <c r="U210" s="318"/>
      <c r="V210" s="318"/>
    </row>
    <row r="211" spans="1:22" ht="15.6" hidden="1" outlineLevel="3">
      <c r="A211" s="318">
        <f>1+A210</f>
        <v>2</v>
      </c>
      <c r="B211" t="str">
        <f>+$B$68</f>
        <v>Churchill</v>
      </c>
      <c r="E211" s="817"/>
      <c r="F211" s="820">
        <v>0</v>
      </c>
      <c r="G211" s="820"/>
      <c r="H211" s="820"/>
      <c r="I211" s="820"/>
      <c r="J211" s="814">
        <f t="shared" si="42"/>
        <v>0</v>
      </c>
      <c r="O211" s="325"/>
      <c r="P211" s="326"/>
      <c r="Q211" s="327"/>
      <c r="R211" s="327"/>
      <c r="S211" s="327"/>
      <c r="T211" s="327"/>
      <c r="U211" s="318"/>
      <c r="V211" s="318"/>
    </row>
    <row r="212" spans="1:22" ht="15.6" hidden="1" outlineLevel="3">
      <c r="A212" s="318">
        <f t="shared" ref="A212:A215" si="43">1+A211</f>
        <v>3</v>
      </c>
      <c r="B212" t="str">
        <f>+$B$69</f>
        <v>Clark</v>
      </c>
      <c r="E212" s="817"/>
      <c r="F212" s="820">
        <v>30</v>
      </c>
      <c r="G212" s="820"/>
      <c r="H212" s="820"/>
      <c r="I212" s="820"/>
      <c r="J212" s="814">
        <f t="shared" si="42"/>
        <v>30</v>
      </c>
      <c r="O212" s="325"/>
      <c r="P212" s="326"/>
      <c r="Q212" s="327"/>
      <c r="R212" s="327"/>
      <c r="S212" s="327"/>
      <c r="T212" s="327"/>
      <c r="U212" s="318"/>
      <c r="V212" s="318"/>
    </row>
    <row r="213" spans="1:22" ht="15.6" hidden="1" outlineLevel="3">
      <c r="A213" s="318">
        <f t="shared" si="43"/>
        <v>4</v>
      </c>
      <c r="B213" t="str">
        <f>+$B$70</f>
        <v>Elko</v>
      </c>
      <c r="E213" s="817"/>
      <c r="F213" s="820">
        <v>5</v>
      </c>
      <c r="G213" s="820"/>
      <c r="H213" s="820"/>
      <c r="I213" s="820"/>
      <c r="J213" s="814">
        <f t="shared" si="42"/>
        <v>5</v>
      </c>
      <c r="O213" s="325"/>
      <c r="P213" s="326"/>
      <c r="Q213" s="327"/>
      <c r="R213" s="327"/>
      <c r="S213" s="327"/>
      <c r="T213" s="327"/>
      <c r="U213" s="318"/>
      <c r="V213" s="318"/>
    </row>
    <row r="214" spans="1:22" ht="15.6" hidden="1" outlineLevel="3">
      <c r="A214" s="318">
        <f t="shared" si="43"/>
        <v>5</v>
      </c>
      <c r="B214" t="str">
        <f>+$B$72</f>
        <v>Washoe</v>
      </c>
      <c r="E214" s="817"/>
      <c r="F214" s="820">
        <v>10</v>
      </c>
      <c r="G214" s="820"/>
      <c r="H214" s="820"/>
      <c r="I214" s="820"/>
      <c r="J214" s="814">
        <f t="shared" si="42"/>
        <v>10</v>
      </c>
      <c r="O214" s="325"/>
      <c r="P214" s="326"/>
      <c r="Q214" s="327"/>
      <c r="R214" s="327"/>
      <c r="S214" s="327"/>
      <c r="T214" s="327"/>
      <c r="U214" s="318"/>
      <c r="V214" s="318"/>
    </row>
    <row r="215" spans="1:22" ht="15.6" hidden="1" outlineLevel="3">
      <c r="A215" s="318">
        <f t="shared" si="43"/>
        <v>6</v>
      </c>
      <c r="B215" t="str">
        <f>+$B$73</f>
        <v>White Pine</v>
      </c>
      <c r="E215" s="817"/>
      <c r="F215" s="821">
        <v>0</v>
      </c>
      <c r="G215" s="821"/>
      <c r="H215" s="821"/>
      <c r="I215" s="821"/>
      <c r="J215" s="825">
        <f t="shared" si="42"/>
        <v>0</v>
      </c>
      <c r="O215" s="325"/>
      <c r="P215" s="326"/>
      <c r="Q215" s="327"/>
      <c r="R215" s="327"/>
      <c r="S215" s="327"/>
      <c r="T215" s="327"/>
      <c r="U215" s="318"/>
      <c r="V215" s="318"/>
    </row>
    <row r="216" spans="1:22" ht="15.6" hidden="1" outlineLevel="3">
      <c r="A216" s="318"/>
      <c r="B216" s="826" t="s">
        <v>78</v>
      </c>
      <c r="C216" s="826"/>
      <c r="D216" s="826"/>
      <c r="E216" s="822"/>
      <c r="F216" s="823">
        <f t="shared" ref="F216" si="44">SUM(F210:F215)</f>
        <v>65</v>
      </c>
      <c r="G216" s="823">
        <f t="shared" ref="G216" si="45">SUM(G210:G215)</f>
        <v>20</v>
      </c>
      <c r="H216" s="823">
        <f t="shared" ref="H216" si="46">SUM(H210:H215)</f>
        <v>30</v>
      </c>
      <c r="I216" s="823">
        <f t="shared" ref="I216" si="47">SUM(I210:I215)</f>
        <v>1</v>
      </c>
      <c r="J216" s="831">
        <f t="shared" si="42"/>
        <v>116</v>
      </c>
      <c r="O216" s="325"/>
      <c r="P216" s="326"/>
      <c r="Q216" s="327"/>
      <c r="R216" s="327"/>
      <c r="S216" s="327"/>
      <c r="T216" s="327"/>
      <c r="U216" s="318"/>
      <c r="V216" s="318"/>
    </row>
    <row r="217" spans="1:22" ht="15.6" hidden="1" outlineLevel="3">
      <c r="A217" s="318"/>
      <c r="O217" s="325"/>
      <c r="P217" s="326"/>
      <c r="Q217" s="327"/>
      <c r="R217" s="327"/>
      <c r="S217" s="327"/>
      <c r="T217" s="327"/>
      <c r="U217" s="318"/>
      <c r="V217" s="318"/>
    </row>
    <row r="218" spans="1:22" ht="15.6" hidden="1" outlineLevel="3">
      <c r="A218" s="318"/>
      <c r="E218" s="779"/>
      <c r="F218" s="1" t="s">
        <v>952</v>
      </c>
      <c r="G218" s="345"/>
      <c r="H218" s="345"/>
      <c r="I218" s="345"/>
      <c r="O218" s="325"/>
      <c r="P218" s="326"/>
      <c r="Q218" s="327"/>
      <c r="R218" s="327"/>
      <c r="S218" s="327"/>
      <c r="T218" s="327"/>
      <c r="U218" s="318"/>
      <c r="V218" s="318"/>
    </row>
    <row r="219" spans="1:22" ht="15.6" hidden="1" outlineLevel="3">
      <c r="A219" s="318"/>
      <c r="E219" s="782" t="s">
        <v>498</v>
      </c>
      <c r="F219" s="827" t="s">
        <v>917</v>
      </c>
      <c r="G219" s="782" t="s">
        <v>918</v>
      </c>
      <c r="H219" s="782" t="s">
        <v>907</v>
      </c>
      <c r="I219" s="782" t="s">
        <v>919</v>
      </c>
      <c r="O219" s="325"/>
      <c r="P219" s="326"/>
      <c r="Q219" s="327"/>
      <c r="R219" s="327"/>
      <c r="S219" s="327"/>
      <c r="T219" s="327"/>
      <c r="U219" s="318"/>
      <c r="V219" s="318"/>
    </row>
    <row r="220" spans="1:22" ht="15.6" hidden="1" outlineLevel="3">
      <c r="A220" s="318">
        <v>1</v>
      </c>
      <c r="B220" t="str">
        <f>+B$67</f>
        <v xml:space="preserve">Carson City </v>
      </c>
      <c r="E220" s="828">
        <f>+E199-E210</f>
        <v>100</v>
      </c>
      <c r="F220" s="828">
        <f t="shared" ref="F220:I220" si="48">+F199-F210</f>
        <v>20</v>
      </c>
      <c r="G220" s="828">
        <f t="shared" si="48"/>
        <v>30</v>
      </c>
      <c r="H220" s="828">
        <f t="shared" si="48"/>
        <v>20</v>
      </c>
      <c r="I220" s="828">
        <f t="shared" si="48"/>
        <v>1</v>
      </c>
      <c r="J220" s="819">
        <f t="shared" ref="J220:J226" si="49">SUM(E220:I220)</f>
        <v>171</v>
      </c>
      <c r="O220" s="325"/>
      <c r="P220" s="326"/>
      <c r="Q220" s="327"/>
      <c r="R220" s="327"/>
      <c r="S220" s="327"/>
      <c r="T220" s="327"/>
      <c r="U220" s="318"/>
      <c r="V220" s="318"/>
    </row>
    <row r="221" spans="1:22" ht="15.6" hidden="1" outlineLevel="3">
      <c r="A221" s="318">
        <f>1+A220</f>
        <v>2</v>
      </c>
      <c r="B221" t="str">
        <f>+$B$68</f>
        <v>Churchill</v>
      </c>
      <c r="E221" s="829">
        <f t="shared" ref="E221:I221" si="50">+E200-E211</f>
        <v>0</v>
      </c>
      <c r="F221" s="829">
        <f t="shared" si="50"/>
        <v>30</v>
      </c>
      <c r="G221" s="829">
        <f t="shared" si="50"/>
        <v>0</v>
      </c>
      <c r="H221" s="829">
        <f t="shared" si="50"/>
        <v>0</v>
      </c>
      <c r="I221" s="829">
        <f t="shared" si="50"/>
        <v>0</v>
      </c>
      <c r="J221" s="819">
        <f t="shared" si="49"/>
        <v>30</v>
      </c>
      <c r="O221" s="325"/>
      <c r="P221" s="326"/>
      <c r="Q221" s="327"/>
      <c r="R221" s="327"/>
      <c r="S221" s="327"/>
      <c r="T221" s="327"/>
      <c r="U221" s="318"/>
      <c r="V221" s="318"/>
    </row>
    <row r="222" spans="1:22" ht="15.6" hidden="1" outlineLevel="3">
      <c r="A222" s="318">
        <f t="shared" ref="A222:A225" si="51">1+A221</f>
        <v>3</v>
      </c>
      <c r="B222" t="str">
        <f>+$B$69</f>
        <v>Clark</v>
      </c>
      <c r="E222" s="829">
        <f t="shared" ref="E222:I222" si="52">+E201-E212</f>
        <v>0</v>
      </c>
      <c r="F222" s="829">
        <f t="shared" si="52"/>
        <v>0</v>
      </c>
      <c r="G222" s="829">
        <f t="shared" si="52"/>
        <v>0</v>
      </c>
      <c r="H222" s="829">
        <f t="shared" si="52"/>
        <v>0</v>
      </c>
      <c r="I222" s="829">
        <f t="shared" si="52"/>
        <v>0</v>
      </c>
      <c r="J222" s="819">
        <f t="shared" si="49"/>
        <v>0</v>
      </c>
      <c r="O222" s="325"/>
      <c r="P222" s="326"/>
      <c r="Q222" s="327"/>
      <c r="R222" s="327"/>
      <c r="S222" s="327"/>
      <c r="T222" s="327"/>
      <c r="U222" s="318"/>
      <c r="V222" s="318"/>
    </row>
    <row r="223" spans="1:22" ht="15.6" hidden="1" outlineLevel="3">
      <c r="A223" s="318">
        <f t="shared" si="51"/>
        <v>4</v>
      </c>
      <c r="B223" t="str">
        <f>+$B$70</f>
        <v>Elko</v>
      </c>
      <c r="E223" s="829">
        <f t="shared" ref="E223:I223" si="53">+E202-E213</f>
        <v>0</v>
      </c>
      <c r="F223" s="829">
        <f t="shared" si="53"/>
        <v>0</v>
      </c>
      <c r="G223" s="829">
        <f t="shared" si="53"/>
        <v>0</v>
      </c>
      <c r="H223" s="829">
        <f t="shared" si="53"/>
        <v>0</v>
      </c>
      <c r="I223" s="829">
        <f t="shared" si="53"/>
        <v>0</v>
      </c>
      <c r="J223" s="819">
        <f t="shared" si="49"/>
        <v>0</v>
      </c>
      <c r="O223" s="325"/>
      <c r="P223" s="326"/>
      <c r="Q223" s="327"/>
      <c r="R223" s="327"/>
      <c r="S223" s="327"/>
      <c r="T223" s="327"/>
      <c r="U223" s="318"/>
      <c r="V223" s="318"/>
    </row>
    <row r="224" spans="1:22" ht="15.6" hidden="1" outlineLevel="3">
      <c r="A224" s="318">
        <f t="shared" si="51"/>
        <v>5</v>
      </c>
      <c r="B224" t="str">
        <f>+$B$72</f>
        <v>Washoe</v>
      </c>
      <c r="E224" s="829">
        <f t="shared" ref="E224:I224" si="54">+E203-E214</f>
        <v>0</v>
      </c>
      <c r="F224" s="829">
        <f t="shared" si="54"/>
        <v>0</v>
      </c>
      <c r="G224" s="829">
        <f t="shared" si="54"/>
        <v>0</v>
      </c>
      <c r="H224" s="829">
        <f t="shared" si="54"/>
        <v>0</v>
      </c>
      <c r="I224" s="829">
        <f t="shared" si="54"/>
        <v>0</v>
      </c>
      <c r="J224" s="819">
        <f t="shared" si="49"/>
        <v>0</v>
      </c>
      <c r="O224" s="325"/>
      <c r="P224" s="326"/>
      <c r="Q224" s="327"/>
      <c r="R224" s="327"/>
      <c r="S224" s="327"/>
      <c r="T224" s="327"/>
      <c r="U224" s="318"/>
      <c r="V224" s="318"/>
    </row>
    <row r="225" spans="1:22" ht="15.6" hidden="1" outlineLevel="3">
      <c r="A225" s="318">
        <f t="shared" si="51"/>
        <v>6</v>
      </c>
      <c r="B225" t="str">
        <f>+$B$73</f>
        <v>White Pine</v>
      </c>
      <c r="E225" s="830">
        <f t="shared" ref="E225:I225" si="55">+E204-E215</f>
        <v>0</v>
      </c>
      <c r="F225" s="830">
        <f t="shared" si="55"/>
        <v>10</v>
      </c>
      <c r="G225" s="830">
        <f t="shared" si="55"/>
        <v>0</v>
      </c>
      <c r="H225" s="830">
        <f t="shared" si="55"/>
        <v>0</v>
      </c>
      <c r="I225" s="830">
        <f t="shared" si="55"/>
        <v>0</v>
      </c>
      <c r="J225" s="819">
        <f t="shared" si="49"/>
        <v>10</v>
      </c>
      <c r="O225" s="325"/>
      <c r="P225" s="326"/>
      <c r="Q225" s="327"/>
      <c r="R225" s="327"/>
      <c r="S225" s="327"/>
      <c r="T225" s="327"/>
      <c r="U225" s="318"/>
      <c r="V225" s="318"/>
    </row>
    <row r="226" spans="1:22" ht="15.6" hidden="1" outlineLevel="3">
      <c r="A226" s="318"/>
      <c r="B226" s="826" t="s">
        <v>78</v>
      </c>
      <c r="C226" s="826"/>
      <c r="D226" s="826"/>
      <c r="E226" s="823">
        <f>SUM(E220:E225)</f>
        <v>100</v>
      </c>
      <c r="F226" s="823">
        <f t="shared" ref="F226" si="56">SUM(F220:F225)</f>
        <v>60</v>
      </c>
      <c r="G226" s="823">
        <f t="shared" ref="G226" si="57">SUM(G220:G225)</f>
        <v>30</v>
      </c>
      <c r="H226" s="823">
        <f t="shared" ref="H226" si="58">SUM(H220:H225)</f>
        <v>20</v>
      </c>
      <c r="I226" s="823">
        <f t="shared" ref="I226" si="59">SUM(I220:I225)</f>
        <v>1</v>
      </c>
      <c r="J226" s="823">
        <f t="shared" si="49"/>
        <v>211</v>
      </c>
      <c r="O226" s="325"/>
      <c r="P226" s="326"/>
      <c r="Q226" s="327"/>
      <c r="R226" s="327"/>
      <c r="S226" s="327"/>
      <c r="T226" s="327"/>
      <c r="U226" s="318"/>
      <c r="V226" s="318"/>
    </row>
    <row r="227" spans="1:22" ht="15.6" hidden="1" outlineLevel="3">
      <c r="A227" s="318"/>
      <c r="O227" s="325"/>
      <c r="P227" s="326"/>
      <c r="Q227" s="327"/>
      <c r="R227" s="327"/>
      <c r="S227" s="327"/>
      <c r="T227" s="327"/>
      <c r="U227" s="318"/>
      <c r="V227" s="318"/>
    </row>
    <row r="228" spans="1:22" ht="15.6" hidden="1" outlineLevel="3">
      <c r="A228" s="318"/>
      <c r="B228" s="826" t="s">
        <v>953</v>
      </c>
      <c r="C228" s="826"/>
      <c r="D228" s="826"/>
      <c r="E228" s="823">
        <f>+E216+E226</f>
        <v>100</v>
      </c>
      <c r="F228" s="823">
        <f t="shared" ref="F228:I228" si="60">+F216+F226</f>
        <v>125</v>
      </c>
      <c r="G228" s="823">
        <f t="shared" si="60"/>
        <v>50</v>
      </c>
      <c r="H228" s="823">
        <f t="shared" si="60"/>
        <v>50</v>
      </c>
      <c r="I228" s="823">
        <f t="shared" si="60"/>
        <v>2</v>
      </c>
      <c r="J228" s="823">
        <f>SUM(E228:I228)</f>
        <v>327</v>
      </c>
      <c r="O228" s="325"/>
      <c r="P228" s="326"/>
      <c r="Q228" s="327"/>
      <c r="R228" s="327"/>
      <c r="S228" s="327"/>
      <c r="T228" s="327"/>
      <c r="U228" s="318"/>
      <c r="V228" s="318"/>
    </row>
    <row r="229" spans="1:22" ht="15.6" hidden="1" outlineLevel="2" collapsed="1">
      <c r="A229" s="318"/>
      <c r="O229" s="325"/>
      <c r="P229" s="326"/>
      <c r="Q229" s="327"/>
      <c r="R229" s="327"/>
      <c r="S229" s="327"/>
      <c r="T229" s="327"/>
      <c r="U229" s="318"/>
      <c r="V229" s="318"/>
    </row>
    <row r="230" spans="1:22" ht="15.6" hidden="1" outlineLevel="2">
      <c r="A230" s="318"/>
      <c r="B230" s="842" t="s">
        <v>362</v>
      </c>
      <c r="C230" s="842"/>
      <c r="D230" s="842"/>
      <c r="E230" s="843"/>
      <c r="F230" s="843"/>
      <c r="G230" s="843"/>
      <c r="H230" s="843"/>
      <c r="I230" s="843"/>
      <c r="J230" s="843"/>
      <c r="O230" s="325"/>
      <c r="P230" s="326"/>
      <c r="Q230" s="327"/>
      <c r="R230" s="327"/>
      <c r="S230" s="327"/>
      <c r="T230" s="327"/>
      <c r="U230" s="318"/>
      <c r="V230" s="318"/>
    </row>
    <row r="231" spans="1:22" ht="15.6" hidden="1" outlineLevel="2">
      <c r="A231" s="318"/>
      <c r="B231" s="837" t="s">
        <v>927</v>
      </c>
      <c r="C231" s="837"/>
      <c r="D231" s="837"/>
      <c r="E231" s="791"/>
      <c r="F231" s="791"/>
      <c r="G231" s="837"/>
      <c r="H231" s="791"/>
      <c r="I231" s="791"/>
      <c r="J231" s="838"/>
      <c r="O231" s="325"/>
      <c r="P231" s="326"/>
      <c r="Q231" s="327"/>
      <c r="R231" s="327"/>
      <c r="S231" s="327"/>
      <c r="T231" s="327"/>
      <c r="U231" s="318"/>
      <c r="V231" s="318"/>
    </row>
    <row r="232" spans="1:22" ht="15.6" hidden="1" outlineLevel="2">
      <c r="A232" s="318"/>
      <c r="B232" s="779"/>
      <c r="C232" s="779"/>
      <c r="D232" s="779"/>
      <c r="E232" s="779" t="s">
        <v>949</v>
      </c>
      <c r="F232" s="345"/>
      <c r="G232" s="779"/>
      <c r="H232" s="345"/>
      <c r="I232" s="345"/>
      <c r="J232" s="833"/>
      <c r="O232" s="325"/>
      <c r="P232" s="326"/>
      <c r="Q232" s="327"/>
      <c r="R232" s="327"/>
      <c r="S232" s="327"/>
      <c r="T232" s="327"/>
      <c r="U232" s="318"/>
      <c r="V232" s="318"/>
    </row>
    <row r="233" spans="1:22" ht="15.6" hidden="1" outlineLevel="2">
      <c r="A233" s="318"/>
      <c r="B233" s="782"/>
      <c r="C233" s="782"/>
      <c r="D233" s="782"/>
      <c r="E233" s="782" t="s">
        <v>498</v>
      </c>
      <c r="F233" s="782" t="s">
        <v>917</v>
      </c>
      <c r="G233" s="782" t="s">
        <v>918</v>
      </c>
      <c r="H233" s="782" t="s">
        <v>907</v>
      </c>
      <c r="I233" s="782" t="s">
        <v>919</v>
      </c>
      <c r="J233" s="782" t="s">
        <v>78</v>
      </c>
      <c r="O233" s="325"/>
      <c r="P233" s="326"/>
      <c r="Q233" s="327"/>
      <c r="R233" s="327"/>
      <c r="S233" s="327"/>
      <c r="T233" s="327"/>
      <c r="U233" s="318"/>
      <c r="V233" s="318"/>
    </row>
    <row r="234" spans="1:22" ht="15.6" hidden="1" outlineLevel="2">
      <c r="A234" s="318">
        <v>1</v>
      </c>
      <c r="B234" t="str">
        <f>+B$67</f>
        <v xml:space="preserve">Carson City </v>
      </c>
      <c r="C234" s="424"/>
      <c r="D234" s="424">
        <f>D67</f>
        <v>7494</v>
      </c>
      <c r="E234" s="850">
        <f>+E247+E257</f>
        <v>74940</v>
      </c>
      <c r="F234" s="850">
        <f t="shared" ref="F234:I234" si="61">+F247+F257</f>
        <v>41452.014005835765</v>
      </c>
      <c r="G234" s="850">
        <f t="shared" si="61"/>
        <v>41067.120000000003</v>
      </c>
      <c r="H234" s="850">
        <f t="shared" si="61"/>
        <v>38144.46</v>
      </c>
      <c r="I234" s="850">
        <f t="shared" si="61"/>
        <v>8393.2800000000007</v>
      </c>
      <c r="J234" s="848">
        <f t="shared" ref="J234:J241" si="62">SUM(E234:I234)</f>
        <v>203996.87400583577</v>
      </c>
      <c r="O234" s="325"/>
      <c r="P234" s="326"/>
      <c r="Q234" s="327"/>
      <c r="R234" s="327"/>
      <c r="S234" s="327"/>
      <c r="T234" s="327"/>
      <c r="U234" s="318"/>
      <c r="V234" s="318"/>
    </row>
    <row r="235" spans="1:22" ht="15.6" hidden="1" outlineLevel="2">
      <c r="A235" s="318">
        <f>1+A234</f>
        <v>2</v>
      </c>
      <c r="B235" t="str">
        <f>+$B$68</f>
        <v>Churchill</v>
      </c>
      <c r="C235" s="4"/>
      <c r="D235" s="4">
        <f>D68</f>
        <v>8093</v>
      </c>
      <c r="E235" s="814">
        <f t="shared" ref="E235:I235" si="63">+E248+E258</f>
        <v>80930</v>
      </c>
      <c r="F235" s="814">
        <f t="shared" si="63"/>
        <v>44765.298818952338</v>
      </c>
      <c r="G235" s="814">
        <f t="shared" si="63"/>
        <v>44349.64</v>
      </c>
      <c r="H235" s="814">
        <f t="shared" si="63"/>
        <v>41193.370000000003</v>
      </c>
      <c r="I235" s="814">
        <f t="shared" si="63"/>
        <v>9064.16</v>
      </c>
      <c r="J235" s="814">
        <f t="shared" si="62"/>
        <v>220302.46881895236</v>
      </c>
      <c r="O235" s="325"/>
      <c r="P235" s="326"/>
      <c r="Q235" s="327"/>
      <c r="R235" s="327"/>
      <c r="S235" s="327"/>
      <c r="T235" s="327"/>
      <c r="U235" s="318"/>
      <c r="V235" s="318"/>
    </row>
    <row r="236" spans="1:22" ht="15.6" hidden="1" outlineLevel="2">
      <c r="A236" s="318">
        <f t="shared" ref="A236:A239" si="64">1+A235</f>
        <v>3</v>
      </c>
      <c r="B236" t="str">
        <f>+$B$69</f>
        <v>Clark</v>
      </c>
      <c r="C236" s="4"/>
      <c r="D236" s="4">
        <f>D69</f>
        <v>7197</v>
      </c>
      <c r="E236" s="814">
        <f t="shared" ref="E236:I236" si="65">+E249+E259</f>
        <v>71970</v>
      </c>
      <c r="F236" s="814">
        <f t="shared" si="65"/>
        <v>39809.199999999997</v>
      </c>
      <c r="G236" s="814">
        <f t="shared" si="65"/>
        <v>39439.56</v>
      </c>
      <c r="H236" s="814">
        <f t="shared" si="65"/>
        <v>36632.730000000003</v>
      </c>
      <c r="I236" s="814">
        <f t="shared" si="65"/>
        <v>8060.64</v>
      </c>
      <c r="J236" s="814">
        <f t="shared" si="62"/>
        <v>195912.13000000003</v>
      </c>
      <c r="O236" s="325"/>
      <c r="P236" s="326"/>
      <c r="Q236" s="327"/>
      <c r="R236" s="327"/>
      <c r="S236" s="327"/>
      <c r="T236" s="327"/>
      <c r="U236" s="318"/>
      <c r="V236" s="318"/>
    </row>
    <row r="237" spans="1:22" ht="15.6" hidden="1" outlineLevel="2">
      <c r="A237" s="318">
        <f t="shared" si="64"/>
        <v>4</v>
      </c>
      <c r="B237" t="str">
        <f>+$B$70</f>
        <v>Elko</v>
      </c>
      <c r="C237" s="4"/>
      <c r="D237" s="4">
        <f>D70</f>
        <v>7715</v>
      </c>
      <c r="E237" s="814">
        <f>+E250+E260</f>
        <v>77150</v>
      </c>
      <c r="F237" s="814">
        <f t="shared" ref="F237:I237" si="66">+F250+F260</f>
        <v>42674.444629706821</v>
      </c>
      <c r="G237" s="814">
        <f t="shared" si="66"/>
        <v>42278.2</v>
      </c>
      <c r="H237" s="814">
        <f t="shared" si="66"/>
        <v>39269.35</v>
      </c>
      <c r="I237" s="814">
        <f t="shared" si="66"/>
        <v>8640.7999999999993</v>
      </c>
      <c r="J237" s="814">
        <f t="shared" si="62"/>
        <v>210012.7946297068</v>
      </c>
      <c r="O237" s="325"/>
      <c r="P237" s="326"/>
      <c r="Q237" s="327"/>
      <c r="R237" s="327"/>
      <c r="S237" s="327"/>
      <c r="T237" s="327"/>
      <c r="U237" s="318"/>
      <c r="V237" s="318"/>
    </row>
    <row r="238" spans="1:22" ht="15.6" hidden="1" outlineLevel="2">
      <c r="A238" s="318">
        <f t="shared" si="64"/>
        <v>5</v>
      </c>
      <c r="B238" t="str">
        <f>+$B$72</f>
        <v>Washoe</v>
      </c>
      <c r="C238" s="4"/>
      <c r="D238" s="4">
        <f>D72</f>
        <v>6980</v>
      </c>
      <c r="E238" s="825">
        <f t="shared" ref="E238:I238" si="67">+E251+E261</f>
        <v>69800</v>
      </c>
      <c r="F238" s="825">
        <f t="shared" si="67"/>
        <v>38608.894817284978</v>
      </c>
      <c r="G238" s="825">
        <f t="shared" si="67"/>
        <v>38250.400000000001</v>
      </c>
      <c r="H238" s="825">
        <f t="shared" si="67"/>
        <v>35528.199999999997</v>
      </c>
      <c r="I238" s="825">
        <f t="shared" si="67"/>
        <v>7817.6</v>
      </c>
      <c r="J238" s="814">
        <f t="shared" si="62"/>
        <v>190005.09481728499</v>
      </c>
      <c r="O238" s="325"/>
      <c r="P238" s="326"/>
      <c r="Q238" s="327"/>
      <c r="R238" s="327"/>
      <c r="S238" s="327"/>
      <c r="T238" s="327"/>
      <c r="U238" s="318"/>
      <c r="V238" s="318"/>
    </row>
    <row r="239" spans="1:22" ht="15.6" hidden="1" outlineLevel="2">
      <c r="A239" s="318">
        <f t="shared" si="64"/>
        <v>6</v>
      </c>
      <c r="B239" t="str">
        <f>+$B$73</f>
        <v>White Pine</v>
      </c>
      <c r="C239" s="4"/>
      <c r="D239" s="4">
        <f>D73</f>
        <v>10367</v>
      </c>
      <c r="E239" s="825">
        <f t="shared" ref="E239:I239" si="68">+E252+E262</f>
        <v>103670</v>
      </c>
      <c r="F239" s="825">
        <f t="shared" si="68"/>
        <v>57343.612116159507</v>
      </c>
      <c r="G239" s="825">
        <f t="shared" si="68"/>
        <v>56811.16</v>
      </c>
      <c r="H239" s="825">
        <f t="shared" si="68"/>
        <v>52768.03</v>
      </c>
      <c r="I239" s="825">
        <f t="shared" si="68"/>
        <v>11611.04</v>
      </c>
      <c r="J239" s="825">
        <f t="shared" si="62"/>
        <v>282203.8421161595</v>
      </c>
      <c r="O239" s="325"/>
      <c r="P239" s="326"/>
      <c r="Q239" s="327"/>
      <c r="R239" s="327"/>
      <c r="S239" s="327"/>
      <c r="T239" s="327"/>
      <c r="U239" s="318"/>
      <c r="V239" s="318"/>
    </row>
    <row r="240" spans="1:22" ht="15.6" hidden="1" outlineLevel="2">
      <c r="A240" s="318"/>
      <c r="B240" s="826" t="s">
        <v>440</v>
      </c>
      <c r="C240" s="826"/>
      <c r="D240" s="826"/>
      <c r="E240" s="849">
        <f>SUM(E234:E239)</f>
        <v>478460</v>
      </c>
      <c r="F240" s="849">
        <f>SUM(F234:F239)</f>
        <v>264653.46438793937</v>
      </c>
      <c r="G240" s="849">
        <f t="shared" ref="G240" si="69">SUM(G234:G239)</f>
        <v>262196.08</v>
      </c>
      <c r="H240" s="849">
        <f t="shared" ref="H240" si="70">SUM(H234:H239)</f>
        <v>243536.13999999998</v>
      </c>
      <c r="I240" s="849">
        <f t="shared" ref="I240" si="71">SUM(I234:I239)</f>
        <v>53587.520000000004</v>
      </c>
      <c r="J240" s="851">
        <f t="shared" si="62"/>
        <v>1302433.2043879393</v>
      </c>
      <c r="O240" s="325"/>
      <c r="P240" s="326"/>
      <c r="Q240" s="327"/>
      <c r="R240" s="327"/>
      <c r="S240" s="327"/>
      <c r="T240" s="327"/>
      <c r="U240" s="318"/>
      <c r="V240" s="318"/>
    </row>
    <row r="241" spans="1:22" ht="15.6" hidden="1" outlineLevel="2">
      <c r="A241" s="318"/>
      <c r="B241" s="1" t="s">
        <v>437</v>
      </c>
      <c r="E241" s="819">
        <f>+E170</f>
        <v>60</v>
      </c>
      <c r="F241" s="819">
        <f t="shared" ref="F241:I241" si="72">+F170</f>
        <v>24</v>
      </c>
      <c r="G241" s="819">
        <f t="shared" si="72"/>
        <v>30</v>
      </c>
      <c r="H241" s="819">
        <f t="shared" si="72"/>
        <v>30</v>
      </c>
      <c r="I241" s="819">
        <f t="shared" si="72"/>
        <v>6</v>
      </c>
      <c r="J241" s="819">
        <f t="shared" si="62"/>
        <v>150</v>
      </c>
      <c r="O241" s="325"/>
      <c r="P241" s="326"/>
      <c r="Q241" s="327"/>
      <c r="R241" s="327"/>
      <c r="S241" s="327"/>
      <c r="T241" s="327"/>
      <c r="U241" s="318"/>
      <c r="V241" s="318"/>
    </row>
    <row r="242" spans="1:22" ht="15.6" hidden="1" outlineLevel="2">
      <c r="A242" s="318"/>
      <c r="B242" s="826" t="s">
        <v>956</v>
      </c>
      <c r="C242" s="836"/>
      <c r="D242" s="836"/>
      <c r="E242" s="853">
        <f t="shared" ref="E242:I242" si="73">+E240/E241</f>
        <v>7974.333333333333</v>
      </c>
      <c r="F242" s="853">
        <f t="shared" si="73"/>
        <v>11027.227682830808</v>
      </c>
      <c r="G242" s="853">
        <f t="shared" si="73"/>
        <v>8739.869333333334</v>
      </c>
      <c r="H242" s="853">
        <f t="shared" si="73"/>
        <v>8117.8713333333326</v>
      </c>
      <c r="I242" s="853">
        <f t="shared" si="73"/>
        <v>8931.253333333334</v>
      </c>
      <c r="J242" s="853">
        <f>+J240/J241</f>
        <v>8682.8880292529284</v>
      </c>
      <c r="O242" s="325"/>
      <c r="P242" s="326"/>
      <c r="Q242" s="327"/>
      <c r="R242" s="327"/>
      <c r="S242" s="327"/>
      <c r="T242" s="327"/>
      <c r="U242" s="318"/>
      <c r="V242" s="318"/>
    </row>
    <row r="243" spans="1:22" ht="15.6" hidden="1" outlineLevel="2">
      <c r="A243" s="318"/>
      <c r="B243" s="1"/>
      <c r="J243" s="819"/>
      <c r="O243" s="325"/>
      <c r="P243" s="326"/>
      <c r="Q243" s="327"/>
      <c r="R243" s="327"/>
      <c r="S243" s="327"/>
      <c r="T243" s="327"/>
      <c r="U243" s="318"/>
      <c r="V243" s="318"/>
    </row>
    <row r="244" spans="1:22" ht="15.6" hidden="1" outlineLevel="2">
      <c r="A244" s="318"/>
      <c r="E244" s="779" t="s">
        <v>957</v>
      </c>
      <c r="F244" s="345"/>
      <c r="G244" s="779"/>
      <c r="H244" s="779"/>
      <c r="I244" s="779"/>
      <c r="J244" s="345"/>
      <c r="O244" s="325"/>
      <c r="P244" s="326"/>
      <c r="Q244" s="327"/>
      <c r="R244" s="327"/>
      <c r="S244" s="327"/>
      <c r="T244" s="327"/>
      <c r="U244" s="318"/>
      <c r="V244" s="318"/>
    </row>
    <row r="245" spans="1:22" ht="15.6" hidden="1" outlineLevel="2">
      <c r="A245" s="318"/>
      <c r="E245" s="782" t="s">
        <v>498</v>
      </c>
      <c r="F245" s="782" t="s">
        <v>917</v>
      </c>
      <c r="G245" s="782" t="s">
        <v>918</v>
      </c>
      <c r="H245" s="782" t="s">
        <v>907</v>
      </c>
      <c r="I245" s="782" t="s">
        <v>919</v>
      </c>
      <c r="J245" s="815"/>
      <c r="O245" s="325"/>
      <c r="P245" s="326"/>
      <c r="Q245" s="327"/>
      <c r="R245" s="327"/>
      <c r="S245" s="327"/>
      <c r="T245" s="327"/>
      <c r="U245" s="318"/>
      <c r="V245" s="318"/>
    </row>
    <row r="246" spans="1:22" ht="15.6" hidden="1" outlineLevel="2">
      <c r="A246" s="318"/>
      <c r="B246" s="782" t="s">
        <v>951</v>
      </c>
      <c r="C246" s="782"/>
      <c r="D246" s="782"/>
      <c r="E246" s="859">
        <v>0</v>
      </c>
      <c r="F246" s="858">
        <f>+F174</f>
        <v>0.38284007225232736</v>
      </c>
      <c r="G246" s="858">
        <f t="shared" ref="G246:I246" si="74">+G174</f>
        <v>0.24</v>
      </c>
      <c r="H246" s="858">
        <f t="shared" si="74"/>
        <v>0.03</v>
      </c>
      <c r="I246" s="858">
        <f t="shared" si="74"/>
        <v>0.12</v>
      </c>
      <c r="J246" s="782" t="s">
        <v>78</v>
      </c>
      <c r="O246" s="325"/>
      <c r="P246" s="326"/>
      <c r="Q246" s="327"/>
      <c r="R246" s="327"/>
      <c r="S246" s="327"/>
      <c r="T246" s="327"/>
      <c r="U246" s="318"/>
      <c r="V246" s="318"/>
    </row>
    <row r="247" spans="1:22" ht="15.6" hidden="1" outlineLevel="2">
      <c r="A247" s="318">
        <v>1</v>
      </c>
      <c r="B247" t="str">
        <f>+B$67</f>
        <v xml:space="preserve">Carson City </v>
      </c>
      <c r="C247" s="424"/>
      <c r="D247" s="424">
        <f>D67</f>
        <v>7494</v>
      </c>
      <c r="E247" s="817"/>
      <c r="F247" s="868">
        <f t="shared" ref="F247:I252" si="75">F$246*F175*$D247</f>
        <v>11476.014005835765</v>
      </c>
      <c r="G247" s="868">
        <f t="shared" si="75"/>
        <v>3597.12</v>
      </c>
      <c r="H247" s="868">
        <f t="shared" si="75"/>
        <v>674.45999999999992</v>
      </c>
      <c r="I247" s="868">
        <f t="shared" si="75"/>
        <v>899.28</v>
      </c>
      <c r="J247" s="848">
        <f t="shared" ref="J247:J253" si="76">SUM(E247:I247)</f>
        <v>16646.874005835762</v>
      </c>
      <c r="O247" s="325"/>
      <c r="P247" s="326"/>
      <c r="Q247" s="327"/>
      <c r="R247" s="327"/>
      <c r="S247" s="327"/>
      <c r="T247" s="327"/>
      <c r="U247" s="318"/>
      <c r="V247" s="318"/>
    </row>
    <row r="248" spans="1:22" ht="15.6" hidden="1" outlineLevel="2">
      <c r="A248" s="318">
        <f>1+A247</f>
        <v>2</v>
      </c>
      <c r="B248" t="str">
        <f>+$B$68</f>
        <v>Churchill</v>
      </c>
      <c r="C248" s="4"/>
      <c r="D248" s="4">
        <f>D68</f>
        <v>8093</v>
      </c>
      <c r="E248" s="817"/>
      <c r="F248" s="845">
        <f t="shared" si="75"/>
        <v>12393.29881895234</v>
      </c>
      <c r="G248" s="845">
        <f t="shared" si="75"/>
        <v>3884.64</v>
      </c>
      <c r="H248" s="845">
        <f t="shared" si="75"/>
        <v>728.37</v>
      </c>
      <c r="I248" s="845">
        <f t="shared" si="75"/>
        <v>971.16</v>
      </c>
      <c r="J248" s="814">
        <f t="shared" si="76"/>
        <v>17977.46881895234</v>
      </c>
      <c r="O248" s="325"/>
      <c r="P248" s="326"/>
      <c r="Q248" s="327"/>
      <c r="R248" s="327"/>
      <c r="S248" s="327"/>
      <c r="T248" s="327"/>
      <c r="U248" s="318"/>
      <c r="V248" s="318"/>
    </row>
    <row r="249" spans="1:22" ht="15.6" hidden="1" outlineLevel="2">
      <c r="A249" s="318">
        <f t="shared" ref="A249:A252" si="77">1+A248</f>
        <v>3</v>
      </c>
      <c r="B249" t="str">
        <f>+$B$69</f>
        <v>Clark</v>
      </c>
      <c r="C249" s="4"/>
      <c r="D249" s="4">
        <f>D69</f>
        <v>7197</v>
      </c>
      <c r="E249" s="817"/>
      <c r="F249" s="845">
        <f t="shared" si="75"/>
        <v>11021.2</v>
      </c>
      <c r="G249" s="845">
        <f t="shared" si="75"/>
        <v>3454.56</v>
      </c>
      <c r="H249" s="845">
        <f t="shared" si="75"/>
        <v>647.73</v>
      </c>
      <c r="I249" s="845">
        <f t="shared" si="75"/>
        <v>863.64</v>
      </c>
      <c r="J249" s="814">
        <f t="shared" si="76"/>
        <v>15987.13</v>
      </c>
      <c r="O249" s="325"/>
      <c r="P249" s="326"/>
      <c r="Q249" s="327"/>
      <c r="R249" s="327"/>
      <c r="S249" s="327"/>
      <c r="T249" s="327"/>
      <c r="U249" s="318"/>
      <c r="V249" s="318"/>
    </row>
    <row r="250" spans="1:22" ht="15.6" hidden="1" outlineLevel="2">
      <c r="A250" s="318">
        <f t="shared" si="77"/>
        <v>4</v>
      </c>
      <c r="B250" t="str">
        <f>+$B$70</f>
        <v>Elko</v>
      </c>
      <c r="C250" s="4"/>
      <c r="D250" s="4">
        <f>D70</f>
        <v>7715</v>
      </c>
      <c r="E250" s="817"/>
      <c r="F250" s="845">
        <f t="shared" si="75"/>
        <v>11814.444629706823</v>
      </c>
      <c r="G250" s="845">
        <f t="shared" si="75"/>
        <v>3703.2</v>
      </c>
      <c r="H250" s="845">
        <f t="shared" si="75"/>
        <v>694.35</v>
      </c>
      <c r="I250" s="845">
        <f t="shared" si="75"/>
        <v>925.8</v>
      </c>
      <c r="J250" s="814">
        <f t="shared" si="76"/>
        <v>17137.794629706823</v>
      </c>
      <c r="O250" s="325"/>
      <c r="P250" s="326"/>
      <c r="Q250" s="327"/>
      <c r="R250" s="327"/>
      <c r="S250" s="327"/>
      <c r="T250" s="327"/>
      <c r="U250" s="318"/>
      <c r="V250" s="318"/>
    </row>
    <row r="251" spans="1:22" ht="15.6" hidden="1" outlineLevel="2">
      <c r="A251" s="318">
        <f t="shared" si="77"/>
        <v>5</v>
      </c>
      <c r="B251" t="str">
        <f>+$B$72</f>
        <v>Washoe</v>
      </c>
      <c r="C251" s="4"/>
      <c r="D251" s="4">
        <f>D72</f>
        <v>6980</v>
      </c>
      <c r="E251" s="817"/>
      <c r="F251" s="845">
        <f t="shared" si="75"/>
        <v>10688.89481728498</v>
      </c>
      <c r="G251" s="845">
        <f t="shared" si="75"/>
        <v>3350.4</v>
      </c>
      <c r="H251" s="845">
        <f t="shared" si="75"/>
        <v>628.19999999999993</v>
      </c>
      <c r="I251" s="845">
        <f t="shared" si="75"/>
        <v>837.6</v>
      </c>
      <c r="J251" s="814">
        <f t="shared" si="76"/>
        <v>15505.09481728498</v>
      </c>
      <c r="O251" s="325"/>
      <c r="P251" s="326"/>
      <c r="Q251" s="327"/>
      <c r="R251" s="327"/>
      <c r="S251" s="327"/>
      <c r="T251" s="327"/>
      <c r="U251" s="318"/>
      <c r="V251" s="318"/>
    </row>
    <row r="252" spans="1:22" ht="15.6" hidden="1" outlineLevel="2">
      <c r="A252" s="318">
        <f t="shared" si="77"/>
        <v>6</v>
      </c>
      <c r="B252" t="str">
        <f>+$B$73</f>
        <v>White Pine</v>
      </c>
      <c r="C252" s="4"/>
      <c r="D252" s="4">
        <f>D73</f>
        <v>10367</v>
      </c>
      <c r="E252" s="817"/>
      <c r="F252" s="846">
        <f t="shared" si="75"/>
        <v>15875.612116159511</v>
      </c>
      <c r="G252" s="846">
        <f t="shared" si="75"/>
        <v>4976.16</v>
      </c>
      <c r="H252" s="846">
        <f t="shared" si="75"/>
        <v>933.03</v>
      </c>
      <c r="I252" s="846">
        <f t="shared" si="75"/>
        <v>1244.04</v>
      </c>
      <c r="J252" s="825">
        <f t="shared" si="76"/>
        <v>23028.842116159511</v>
      </c>
      <c r="O252" s="325"/>
      <c r="P252" s="326"/>
      <c r="Q252" s="327"/>
      <c r="R252" s="327"/>
      <c r="S252" s="327"/>
      <c r="T252" s="327"/>
      <c r="U252" s="318"/>
      <c r="V252" s="318"/>
    </row>
    <row r="253" spans="1:22" ht="15.6" hidden="1" outlineLevel="2">
      <c r="A253" s="318"/>
      <c r="B253" s="826" t="s">
        <v>78</v>
      </c>
      <c r="C253" s="826"/>
      <c r="D253" s="826"/>
      <c r="E253" s="854"/>
      <c r="F253" s="853">
        <f t="shared" ref="F253" si="78">SUM(F247:F252)</f>
        <v>73269.464387939413</v>
      </c>
      <c r="G253" s="853">
        <f t="shared" ref="G253" si="79">SUM(G247:G252)</f>
        <v>22966.080000000002</v>
      </c>
      <c r="H253" s="853">
        <f t="shared" ref="H253" si="80">SUM(H247:H252)</f>
        <v>4306.1399999999994</v>
      </c>
      <c r="I253" s="853">
        <f t="shared" ref="I253" si="81">SUM(I247:I252)</f>
        <v>5741.52</v>
      </c>
      <c r="J253" s="849">
        <f t="shared" si="76"/>
        <v>106283.20438793942</v>
      </c>
      <c r="O253" s="325"/>
      <c r="P253" s="326"/>
      <c r="Q253" s="327"/>
      <c r="R253" s="327"/>
      <c r="S253" s="327"/>
      <c r="T253" s="327"/>
      <c r="U253" s="318"/>
      <c r="V253" s="318"/>
    </row>
    <row r="254" spans="1:22" ht="15.6" hidden="1" outlineLevel="2">
      <c r="A254" s="318"/>
      <c r="O254" s="325"/>
      <c r="P254" s="326"/>
      <c r="Q254" s="327"/>
      <c r="R254" s="327"/>
      <c r="S254" s="327"/>
      <c r="T254" s="327"/>
      <c r="U254" s="318"/>
      <c r="V254" s="318"/>
    </row>
    <row r="255" spans="1:22" ht="15.6" hidden="1" outlineLevel="2">
      <c r="A255" s="318"/>
      <c r="E255" s="779" t="s">
        <v>958</v>
      </c>
      <c r="F255" s="1"/>
      <c r="G255" s="345"/>
      <c r="H255" s="345"/>
      <c r="I255" s="345"/>
      <c r="O255" s="325"/>
      <c r="P255" s="326"/>
      <c r="Q255" s="327"/>
      <c r="R255" s="327"/>
      <c r="S255" s="327"/>
      <c r="T255" s="327"/>
      <c r="U255" s="318"/>
      <c r="V255" s="318"/>
    </row>
    <row r="256" spans="1:22" ht="15.6" hidden="1" outlineLevel="2">
      <c r="A256" s="318"/>
      <c r="E256" s="782" t="s">
        <v>498</v>
      </c>
      <c r="F256" s="827" t="s">
        <v>917</v>
      </c>
      <c r="G256" s="782" t="s">
        <v>918</v>
      </c>
      <c r="H256" s="782" t="s">
        <v>907</v>
      </c>
      <c r="I256" s="782" t="s">
        <v>919</v>
      </c>
      <c r="J256" s="827" t="s">
        <v>78</v>
      </c>
      <c r="O256" s="325"/>
      <c r="P256" s="326"/>
      <c r="Q256" s="327"/>
      <c r="R256" s="327"/>
      <c r="S256" s="327"/>
      <c r="T256" s="327"/>
      <c r="U256" s="318"/>
      <c r="V256" s="318"/>
    </row>
    <row r="257" spans="1:22" ht="15.6" hidden="1" outlineLevel="2">
      <c r="A257" s="318">
        <v>1</v>
      </c>
      <c r="B257" t="str">
        <f>+B$67</f>
        <v xml:space="preserve">Carson City </v>
      </c>
      <c r="C257" s="424"/>
      <c r="D257" s="424">
        <f>D67</f>
        <v>7494</v>
      </c>
      <c r="E257" s="869">
        <f>+$D67*E164</f>
        <v>74940</v>
      </c>
      <c r="F257" s="869">
        <f>+$D257*F164</f>
        <v>29976</v>
      </c>
      <c r="G257" s="869">
        <f t="shared" ref="G257:I260" si="82">+$D67*G164</f>
        <v>37470</v>
      </c>
      <c r="H257" s="869">
        <f t="shared" si="82"/>
        <v>37470</v>
      </c>
      <c r="I257" s="869">
        <f t="shared" si="82"/>
        <v>7494</v>
      </c>
      <c r="J257" s="852">
        <f t="shared" ref="J257:J263" si="83">SUM(E257:I257)</f>
        <v>187350</v>
      </c>
      <c r="O257" s="325"/>
      <c r="P257" s="326"/>
      <c r="Q257" s="327"/>
      <c r="R257" s="327"/>
      <c r="S257" s="327"/>
      <c r="T257" s="327"/>
      <c r="U257" s="318"/>
      <c r="V257" s="318"/>
    </row>
    <row r="258" spans="1:22" ht="15.6" hidden="1" outlineLevel="2">
      <c r="A258" s="318">
        <f>1+A257</f>
        <v>2</v>
      </c>
      <c r="B258" t="str">
        <f>+$B$68</f>
        <v>Churchill</v>
      </c>
      <c r="C258" s="4"/>
      <c r="D258" s="4">
        <f>D68</f>
        <v>8093</v>
      </c>
      <c r="E258" s="829">
        <f>+$D68*E165</f>
        <v>80930</v>
      </c>
      <c r="F258" s="829">
        <f>+$D68*F165</f>
        <v>32372</v>
      </c>
      <c r="G258" s="829">
        <f t="shared" si="82"/>
        <v>40465</v>
      </c>
      <c r="H258" s="829">
        <f t="shared" si="82"/>
        <v>40465</v>
      </c>
      <c r="I258" s="829">
        <f t="shared" si="82"/>
        <v>8093</v>
      </c>
      <c r="J258" s="819">
        <f t="shared" si="83"/>
        <v>202325</v>
      </c>
      <c r="O258" s="325"/>
      <c r="P258" s="326"/>
      <c r="Q258" s="327"/>
      <c r="R258" s="327"/>
      <c r="S258" s="327"/>
      <c r="T258" s="327"/>
      <c r="U258" s="318"/>
      <c r="V258" s="318"/>
    </row>
    <row r="259" spans="1:22" ht="15.6" hidden="1" outlineLevel="2">
      <c r="A259" s="318">
        <f t="shared" ref="A259:A262" si="84">1+A258</f>
        <v>3</v>
      </c>
      <c r="B259" t="str">
        <f>+$B$69</f>
        <v>Clark</v>
      </c>
      <c r="C259" s="4"/>
      <c r="D259" s="4">
        <f>D69</f>
        <v>7197</v>
      </c>
      <c r="E259" s="829">
        <f>+$D69*E166</f>
        <v>71970</v>
      </c>
      <c r="F259" s="829">
        <f>+$D69*F166</f>
        <v>28788</v>
      </c>
      <c r="G259" s="829">
        <f t="shared" si="82"/>
        <v>35985</v>
      </c>
      <c r="H259" s="829">
        <f t="shared" si="82"/>
        <v>35985</v>
      </c>
      <c r="I259" s="829">
        <f t="shared" si="82"/>
        <v>7197</v>
      </c>
      <c r="J259" s="819">
        <f t="shared" si="83"/>
        <v>179925</v>
      </c>
      <c r="O259" s="325"/>
      <c r="P259" s="326"/>
      <c r="Q259" s="327"/>
      <c r="R259" s="327"/>
      <c r="S259" s="327"/>
      <c r="T259" s="327"/>
      <c r="U259" s="318"/>
      <c r="V259" s="318"/>
    </row>
    <row r="260" spans="1:22" ht="15.6" hidden="1" outlineLevel="2">
      <c r="A260" s="318">
        <f t="shared" si="84"/>
        <v>4</v>
      </c>
      <c r="B260" t="str">
        <f>+$B$70</f>
        <v>Elko</v>
      </c>
      <c r="C260" s="4"/>
      <c r="D260" s="4">
        <f>D70</f>
        <v>7715</v>
      </c>
      <c r="E260" s="829">
        <f>+$D70*E167</f>
        <v>77150</v>
      </c>
      <c r="F260" s="829">
        <f>+$D70*F167</f>
        <v>30860</v>
      </c>
      <c r="G260" s="829">
        <f t="shared" si="82"/>
        <v>38575</v>
      </c>
      <c r="H260" s="829">
        <f t="shared" si="82"/>
        <v>38575</v>
      </c>
      <c r="I260" s="829">
        <f t="shared" si="82"/>
        <v>7715</v>
      </c>
      <c r="J260" s="819">
        <f t="shared" si="83"/>
        <v>192875</v>
      </c>
      <c r="O260" s="325"/>
      <c r="P260" s="326"/>
      <c r="Q260" s="327"/>
      <c r="R260" s="327"/>
      <c r="S260" s="327"/>
      <c r="T260" s="327"/>
      <c r="U260" s="318"/>
      <c r="V260" s="318"/>
    </row>
    <row r="261" spans="1:22" ht="15.6" hidden="1" outlineLevel="2">
      <c r="A261" s="318">
        <f t="shared" si="84"/>
        <v>5</v>
      </c>
      <c r="B261" t="str">
        <f>+$B$72</f>
        <v>Washoe</v>
      </c>
      <c r="C261" s="4"/>
      <c r="D261" s="4">
        <f>D72</f>
        <v>6980</v>
      </c>
      <c r="E261" s="829">
        <f t="shared" ref="E261:I262" si="85">+$D72*E168</f>
        <v>69800</v>
      </c>
      <c r="F261" s="829">
        <f t="shared" si="85"/>
        <v>27920</v>
      </c>
      <c r="G261" s="829">
        <f t="shared" si="85"/>
        <v>34900</v>
      </c>
      <c r="H261" s="829">
        <f t="shared" si="85"/>
        <v>34900</v>
      </c>
      <c r="I261" s="829">
        <f t="shared" si="85"/>
        <v>6980</v>
      </c>
      <c r="J261" s="819">
        <f t="shared" si="83"/>
        <v>174500</v>
      </c>
      <c r="O261" s="325"/>
      <c r="P261" s="326"/>
      <c r="Q261" s="327"/>
      <c r="R261" s="327"/>
      <c r="S261" s="327"/>
      <c r="T261" s="327"/>
      <c r="U261" s="318"/>
      <c r="V261" s="318"/>
    </row>
    <row r="262" spans="1:22" ht="15.6" hidden="1" outlineLevel="2">
      <c r="A262" s="318">
        <f t="shared" si="84"/>
        <v>6</v>
      </c>
      <c r="B262" t="str">
        <f>+$B$73</f>
        <v>White Pine</v>
      </c>
      <c r="C262" s="4"/>
      <c r="D262" s="4">
        <f>D73</f>
        <v>10367</v>
      </c>
      <c r="E262" s="830">
        <f t="shared" si="85"/>
        <v>103670</v>
      </c>
      <c r="F262" s="830">
        <f t="shared" si="85"/>
        <v>41468</v>
      </c>
      <c r="G262" s="830">
        <f t="shared" si="85"/>
        <v>51835</v>
      </c>
      <c r="H262" s="830">
        <f t="shared" si="85"/>
        <v>51835</v>
      </c>
      <c r="I262" s="830">
        <f t="shared" si="85"/>
        <v>10367</v>
      </c>
      <c r="J262" s="819">
        <f t="shared" si="83"/>
        <v>259175</v>
      </c>
      <c r="O262" s="325"/>
      <c r="P262" s="326"/>
      <c r="Q262" s="327"/>
      <c r="R262" s="327"/>
      <c r="S262" s="327"/>
      <c r="T262" s="327"/>
      <c r="U262" s="318"/>
      <c r="V262" s="318"/>
    </row>
    <row r="263" spans="1:22" ht="15.6" hidden="1" outlineLevel="2">
      <c r="A263" s="318"/>
      <c r="B263" s="826" t="s">
        <v>78</v>
      </c>
      <c r="C263" s="826"/>
      <c r="D263" s="826"/>
      <c r="E263" s="853">
        <f>SUM(E257:E262)</f>
        <v>478460</v>
      </c>
      <c r="F263" s="853">
        <f t="shared" ref="F263" si="86">SUM(F257:F262)</f>
        <v>191384</v>
      </c>
      <c r="G263" s="853">
        <f t="shared" ref="G263" si="87">SUM(G257:G262)</f>
        <v>239230</v>
      </c>
      <c r="H263" s="853">
        <f t="shared" ref="H263" si="88">SUM(H257:H262)</f>
        <v>239230</v>
      </c>
      <c r="I263" s="853">
        <f t="shared" ref="I263" si="89">SUM(I257:I262)</f>
        <v>47846</v>
      </c>
      <c r="J263" s="853">
        <f t="shared" si="83"/>
        <v>1196150</v>
      </c>
      <c r="O263" s="325"/>
      <c r="P263" s="326"/>
      <c r="Q263" s="327"/>
      <c r="R263" s="327"/>
      <c r="S263" s="327"/>
      <c r="T263" s="327"/>
      <c r="U263" s="318"/>
      <c r="V263" s="318"/>
    </row>
    <row r="264" spans="1:22" ht="15.6" hidden="1" outlineLevel="2">
      <c r="A264" s="318"/>
      <c r="O264" s="325"/>
      <c r="P264" s="326"/>
      <c r="Q264" s="327"/>
      <c r="R264" s="327"/>
      <c r="S264" s="327"/>
      <c r="T264" s="327"/>
      <c r="U264" s="318"/>
      <c r="V264" s="318"/>
    </row>
    <row r="265" spans="1:22" ht="15.6" hidden="1" outlineLevel="2">
      <c r="A265" s="318"/>
      <c r="B265" s="826" t="s">
        <v>953</v>
      </c>
      <c r="C265" s="826"/>
      <c r="D265" s="826"/>
      <c r="E265" s="853">
        <f>+E253+E263</f>
        <v>478460</v>
      </c>
      <c r="F265" s="853">
        <f t="shared" ref="F265:I265" si="90">+F253+F263</f>
        <v>264653.46438793943</v>
      </c>
      <c r="G265" s="853">
        <f t="shared" si="90"/>
        <v>262196.08</v>
      </c>
      <c r="H265" s="853">
        <f t="shared" si="90"/>
        <v>243536.14</v>
      </c>
      <c r="I265" s="853">
        <f t="shared" si="90"/>
        <v>53587.520000000004</v>
      </c>
      <c r="J265" s="855">
        <f>SUM(E265:I265)</f>
        <v>1302433.2043879395</v>
      </c>
      <c r="O265" s="325"/>
      <c r="P265" s="326"/>
      <c r="Q265" s="327"/>
      <c r="R265" s="327"/>
      <c r="S265" s="327"/>
      <c r="T265" s="327"/>
      <c r="U265" s="318"/>
      <c r="V265" s="318"/>
    </row>
    <row r="266" spans="1:22" ht="15.6" hidden="1" outlineLevel="2">
      <c r="A266" s="318"/>
      <c r="O266" s="325"/>
      <c r="P266" s="326"/>
      <c r="Q266" s="327"/>
      <c r="R266" s="327"/>
      <c r="S266" s="327"/>
      <c r="T266" s="327"/>
      <c r="U266" s="318"/>
      <c r="V266" s="318"/>
    </row>
    <row r="267" spans="1:22" ht="15.6" hidden="1" outlineLevel="2">
      <c r="A267" s="318"/>
      <c r="B267" s="842" t="s">
        <v>362</v>
      </c>
      <c r="C267" s="842"/>
      <c r="D267" s="842"/>
      <c r="E267" s="843"/>
      <c r="F267" s="843"/>
      <c r="G267" s="843"/>
      <c r="H267" s="843"/>
      <c r="I267" s="843"/>
      <c r="J267" s="843"/>
      <c r="O267" s="325"/>
      <c r="P267" s="326"/>
      <c r="Q267" s="327"/>
      <c r="R267" s="327"/>
      <c r="S267" s="327"/>
      <c r="T267" s="327"/>
      <c r="U267" s="318"/>
      <c r="V267" s="318"/>
    </row>
    <row r="268" spans="1:22" ht="15.6" hidden="1" outlineLevel="2">
      <c r="A268" s="318"/>
      <c r="B268" s="837" t="s">
        <v>954</v>
      </c>
      <c r="C268" s="837"/>
      <c r="D268" s="837"/>
      <c r="E268" s="837"/>
      <c r="F268" s="791"/>
      <c r="G268" s="837"/>
      <c r="H268" s="791"/>
      <c r="I268" s="791"/>
      <c r="J268" s="838"/>
      <c r="O268" s="325"/>
      <c r="P268" s="326"/>
      <c r="Q268" s="327"/>
      <c r="R268" s="327"/>
      <c r="S268" s="327"/>
      <c r="T268" s="327"/>
      <c r="U268" s="318"/>
      <c r="V268" s="318"/>
    </row>
    <row r="269" spans="1:22" ht="15.6" hidden="1" outlineLevel="2">
      <c r="A269" s="318"/>
      <c r="B269" s="779"/>
      <c r="C269" s="779"/>
      <c r="D269" s="779"/>
      <c r="E269" s="779" t="s">
        <v>949</v>
      </c>
      <c r="F269" s="345"/>
      <c r="G269" s="779"/>
      <c r="H269" s="345"/>
      <c r="I269" s="345"/>
      <c r="J269" s="833"/>
      <c r="O269" s="325"/>
      <c r="P269" s="326"/>
      <c r="Q269" s="327"/>
      <c r="R269" s="327"/>
      <c r="S269" s="327"/>
      <c r="T269" s="327"/>
      <c r="U269" s="318"/>
      <c r="V269" s="318"/>
    </row>
    <row r="270" spans="1:22" ht="15.6" hidden="1" outlineLevel="2">
      <c r="A270" s="318"/>
      <c r="B270" s="782"/>
      <c r="C270" s="782"/>
      <c r="D270" s="782"/>
      <c r="E270" s="782" t="s">
        <v>498</v>
      </c>
      <c r="F270" s="782" t="s">
        <v>917</v>
      </c>
      <c r="G270" s="782" t="s">
        <v>918</v>
      </c>
      <c r="H270" s="782" t="s">
        <v>907</v>
      </c>
      <c r="I270" s="782" t="s">
        <v>919</v>
      </c>
      <c r="J270" s="782" t="s">
        <v>78</v>
      </c>
      <c r="O270" s="325"/>
      <c r="P270" s="326"/>
      <c r="Q270" s="327"/>
      <c r="R270" s="327"/>
      <c r="S270" s="327"/>
      <c r="T270" s="327"/>
      <c r="U270" s="318"/>
      <c r="V270" s="318"/>
    </row>
    <row r="271" spans="1:22" ht="15.6" hidden="1" outlineLevel="2">
      <c r="A271" s="318">
        <v>1</v>
      </c>
      <c r="B271" t="str">
        <f>+B$67</f>
        <v xml:space="preserve">Carson City </v>
      </c>
      <c r="C271" s="424"/>
      <c r="D271" s="424">
        <f>$D$50</f>
        <v>8966</v>
      </c>
      <c r="E271" s="850">
        <f t="shared" ref="E271" si="91">+E282+E292</f>
        <v>0</v>
      </c>
      <c r="F271" s="850">
        <f>+F282+F292</f>
        <v>68650.881756287345</v>
      </c>
      <c r="G271" s="850">
        <f t="shared" ref="G271:I271" si="92">+G282+G292</f>
        <v>43036.799999999996</v>
      </c>
      <c r="H271" s="850">
        <f t="shared" si="92"/>
        <v>8069.4</v>
      </c>
      <c r="I271" s="850">
        <f t="shared" si="92"/>
        <v>1075.92</v>
      </c>
      <c r="J271" s="848">
        <f t="shared" ref="J271:J277" si="93">SUM(E271:I271)</f>
        <v>120833.00175628734</v>
      </c>
      <c r="O271" s="325"/>
      <c r="P271" s="326"/>
      <c r="Q271" s="327"/>
      <c r="R271" s="327"/>
      <c r="S271" s="327"/>
      <c r="T271" s="327"/>
      <c r="U271" s="318"/>
      <c r="V271" s="318"/>
    </row>
    <row r="272" spans="1:22" ht="15.6" hidden="1" outlineLevel="2">
      <c r="A272" s="318">
        <f>1+A271</f>
        <v>2</v>
      </c>
      <c r="B272" t="str">
        <f>+$B$68</f>
        <v>Churchill</v>
      </c>
      <c r="C272" s="4"/>
      <c r="D272" s="4">
        <f t="shared" ref="D272:D276" si="94">$D$50</f>
        <v>8966</v>
      </c>
      <c r="E272" s="814">
        <f t="shared" ref="E272:I272" si="95">+E283+E293</f>
        <v>0</v>
      </c>
      <c r="F272" s="814">
        <f t="shared" si="95"/>
        <v>0</v>
      </c>
      <c r="G272" s="814">
        <f t="shared" si="95"/>
        <v>0</v>
      </c>
      <c r="H272" s="814">
        <f t="shared" si="95"/>
        <v>0</v>
      </c>
      <c r="I272" s="814">
        <f t="shared" si="95"/>
        <v>0</v>
      </c>
      <c r="J272" s="814">
        <f t="shared" si="93"/>
        <v>0</v>
      </c>
      <c r="O272" s="325"/>
      <c r="P272" s="326"/>
      <c r="Q272" s="327"/>
      <c r="R272" s="327"/>
      <c r="S272" s="327"/>
      <c r="T272" s="327"/>
      <c r="U272" s="318"/>
      <c r="V272" s="318"/>
    </row>
    <row r="273" spans="1:22" ht="15.6" hidden="1" outlineLevel="2">
      <c r="A273" s="318">
        <f t="shared" ref="A273:A276" si="96">1+A272</f>
        <v>3</v>
      </c>
      <c r="B273" t="str">
        <f>+$B$69</f>
        <v>Clark</v>
      </c>
      <c r="C273" s="4"/>
      <c r="D273" s="4">
        <f t="shared" si="94"/>
        <v>8966</v>
      </c>
      <c r="E273" s="814">
        <f t="shared" ref="E273:I273" si="97">+E284+E294</f>
        <v>0</v>
      </c>
      <c r="F273" s="814">
        <f t="shared" si="97"/>
        <v>102976.32263443101</v>
      </c>
      <c r="G273" s="814">
        <f t="shared" si="97"/>
        <v>0</v>
      </c>
      <c r="H273" s="814">
        <f t="shared" si="97"/>
        <v>0</v>
      </c>
      <c r="I273" s="814">
        <f t="shared" si="97"/>
        <v>0</v>
      </c>
      <c r="J273" s="814">
        <f t="shared" si="93"/>
        <v>102976.32263443101</v>
      </c>
      <c r="O273" s="325"/>
      <c r="P273" s="326"/>
      <c r="Q273" s="327"/>
      <c r="R273" s="327"/>
      <c r="S273" s="327"/>
      <c r="T273" s="327"/>
      <c r="U273" s="318"/>
      <c r="V273" s="318"/>
    </row>
    <row r="274" spans="1:22" ht="15.6" hidden="1" outlineLevel="2">
      <c r="A274" s="318">
        <f t="shared" si="96"/>
        <v>4</v>
      </c>
      <c r="B274" t="str">
        <f>+$B$70</f>
        <v>Elko</v>
      </c>
      <c r="C274" s="4"/>
      <c r="D274" s="4">
        <f t="shared" si="94"/>
        <v>8966</v>
      </c>
      <c r="E274" s="814">
        <f t="shared" ref="E274:I274" si="98">+E285+E295</f>
        <v>0</v>
      </c>
      <c r="F274" s="814">
        <f t="shared" si="98"/>
        <v>17162.720439071836</v>
      </c>
      <c r="G274" s="814">
        <f t="shared" si="98"/>
        <v>0</v>
      </c>
      <c r="H274" s="814">
        <f t="shared" si="98"/>
        <v>0</v>
      </c>
      <c r="I274" s="814">
        <f t="shared" si="98"/>
        <v>0</v>
      </c>
      <c r="J274" s="814">
        <f t="shared" si="93"/>
        <v>17162.720439071836</v>
      </c>
      <c r="O274" s="325"/>
      <c r="P274" s="326"/>
      <c r="Q274" s="327"/>
      <c r="R274" s="327"/>
      <c r="S274" s="327"/>
      <c r="T274" s="327"/>
      <c r="U274" s="318"/>
      <c r="V274" s="318"/>
    </row>
    <row r="275" spans="1:22" ht="15.6" hidden="1" outlineLevel="2">
      <c r="A275" s="318">
        <f t="shared" si="96"/>
        <v>5</v>
      </c>
      <c r="B275" t="str">
        <f>+$B$72</f>
        <v>Washoe</v>
      </c>
      <c r="C275" s="4"/>
      <c r="D275" s="4">
        <f t="shared" si="94"/>
        <v>8966</v>
      </c>
      <c r="E275" s="825">
        <f t="shared" ref="E275:I275" si="99">+E286+E296</f>
        <v>0</v>
      </c>
      <c r="F275" s="825">
        <f t="shared" si="99"/>
        <v>34325.440878143672</v>
      </c>
      <c r="G275" s="825">
        <f t="shared" si="99"/>
        <v>0</v>
      </c>
      <c r="H275" s="825">
        <f t="shared" si="99"/>
        <v>0</v>
      </c>
      <c r="I275" s="825">
        <f t="shared" si="99"/>
        <v>0</v>
      </c>
      <c r="J275" s="814">
        <f t="shared" si="93"/>
        <v>34325.440878143672</v>
      </c>
      <c r="O275" s="325"/>
      <c r="P275" s="326"/>
      <c r="Q275" s="327"/>
      <c r="R275" s="327"/>
      <c r="S275" s="327"/>
      <c r="T275" s="327"/>
      <c r="U275" s="318"/>
      <c r="V275" s="318"/>
    </row>
    <row r="276" spans="1:22" ht="15.6" hidden="1" outlineLevel="2">
      <c r="A276" s="318">
        <f t="shared" si="96"/>
        <v>6</v>
      </c>
      <c r="B276" t="str">
        <f>+$B$73</f>
        <v>White Pine</v>
      </c>
      <c r="C276" s="4"/>
      <c r="D276" s="4">
        <f t="shared" si="94"/>
        <v>8966</v>
      </c>
      <c r="E276" s="825">
        <f t="shared" ref="E276:I276" si="100">+E287+E297</f>
        <v>0</v>
      </c>
      <c r="F276" s="825">
        <f t="shared" si="100"/>
        <v>0</v>
      </c>
      <c r="G276" s="825">
        <f t="shared" si="100"/>
        <v>0</v>
      </c>
      <c r="H276" s="825">
        <f t="shared" si="100"/>
        <v>0</v>
      </c>
      <c r="I276" s="825">
        <f t="shared" si="100"/>
        <v>0</v>
      </c>
      <c r="J276" s="825">
        <f t="shared" si="93"/>
        <v>0</v>
      </c>
      <c r="O276" s="325"/>
      <c r="P276" s="326"/>
      <c r="Q276" s="327"/>
      <c r="R276" s="327"/>
      <c r="S276" s="327"/>
      <c r="T276" s="327"/>
      <c r="U276" s="318"/>
      <c r="V276" s="318"/>
    </row>
    <row r="277" spans="1:22" ht="15.6" hidden="1" outlineLevel="2">
      <c r="A277" s="318"/>
      <c r="B277" s="826" t="s">
        <v>78</v>
      </c>
      <c r="C277" s="826"/>
      <c r="D277" s="826"/>
      <c r="E277" s="849">
        <f>SUM(E271:E276)</f>
        <v>0</v>
      </c>
      <c r="F277" s="849">
        <f>SUM(F271:F276)</f>
        <v>223115.36570793387</v>
      </c>
      <c r="G277" s="849">
        <f t="shared" ref="G277" si="101">SUM(G271:G276)</f>
        <v>43036.799999999996</v>
      </c>
      <c r="H277" s="849">
        <f t="shared" ref="H277" si="102">SUM(H271:H276)</f>
        <v>8069.4</v>
      </c>
      <c r="I277" s="849">
        <f t="shared" ref="I277" si="103">SUM(I271:I276)</f>
        <v>1075.92</v>
      </c>
      <c r="J277" s="851">
        <f t="shared" si="93"/>
        <v>275297.4857079339</v>
      </c>
      <c r="O277" s="325"/>
      <c r="P277" s="326"/>
      <c r="Q277" s="327"/>
      <c r="R277" s="327"/>
      <c r="S277" s="327"/>
      <c r="T277" s="327"/>
      <c r="U277" s="318"/>
      <c r="V277" s="318"/>
    </row>
    <row r="278" spans="1:22" ht="15.6" hidden="1" outlineLevel="2">
      <c r="A278" s="318"/>
      <c r="J278" s="819"/>
      <c r="O278" s="325"/>
      <c r="P278" s="326"/>
      <c r="Q278" s="327"/>
      <c r="R278" s="327"/>
      <c r="S278" s="327"/>
      <c r="T278" s="327"/>
      <c r="U278" s="318"/>
      <c r="V278" s="318"/>
    </row>
    <row r="279" spans="1:22" ht="15.6" hidden="1" outlineLevel="2">
      <c r="A279" s="318"/>
      <c r="E279" s="779" t="s">
        <v>957</v>
      </c>
      <c r="F279" s="345"/>
      <c r="G279" s="779"/>
      <c r="H279" s="779"/>
      <c r="I279" s="779"/>
      <c r="J279" s="345"/>
      <c r="O279" s="325"/>
      <c r="P279" s="326"/>
      <c r="Q279" s="327"/>
      <c r="R279" s="327"/>
      <c r="S279" s="327"/>
      <c r="T279" s="327"/>
      <c r="U279" s="318"/>
      <c r="V279" s="318"/>
    </row>
    <row r="280" spans="1:22" ht="15.6" hidden="1" outlineLevel="2">
      <c r="A280" s="318"/>
      <c r="E280" s="782" t="s">
        <v>498</v>
      </c>
      <c r="F280" s="782" t="s">
        <v>917</v>
      </c>
      <c r="G280" s="782" t="s">
        <v>918</v>
      </c>
      <c r="H280" s="782" t="s">
        <v>907</v>
      </c>
      <c r="I280" s="782" t="s">
        <v>919</v>
      </c>
      <c r="J280" s="815"/>
      <c r="O280" s="325"/>
      <c r="P280" s="326"/>
      <c r="Q280" s="327"/>
      <c r="R280" s="327"/>
      <c r="S280" s="327"/>
      <c r="T280" s="327"/>
      <c r="U280" s="318"/>
      <c r="V280" s="318"/>
    </row>
    <row r="281" spans="1:22" ht="15.6" hidden="1" outlineLevel="2">
      <c r="A281" s="318"/>
      <c r="E281" s="815"/>
      <c r="F281" s="812">
        <f>+F246</f>
        <v>0.38284007225232736</v>
      </c>
      <c r="G281" s="812">
        <f t="shared" ref="G281:I281" si="104">+G246</f>
        <v>0.24</v>
      </c>
      <c r="H281" s="812">
        <f t="shared" si="104"/>
        <v>0.03</v>
      </c>
      <c r="I281" s="812">
        <f t="shared" si="104"/>
        <v>0.12</v>
      </c>
      <c r="J281" s="782" t="s">
        <v>78</v>
      </c>
      <c r="O281" s="325"/>
      <c r="P281" s="326"/>
      <c r="Q281" s="327"/>
      <c r="R281" s="327"/>
      <c r="S281" s="327"/>
      <c r="T281" s="327"/>
      <c r="U281" s="318"/>
      <c r="V281" s="318"/>
    </row>
    <row r="282" spans="1:22" ht="15.6" hidden="1" outlineLevel="2">
      <c r="A282" s="318">
        <v>1</v>
      </c>
      <c r="B282" t="str">
        <f>+B$67</f>
        <v xml:space="preserve">Carson City </v>
      </c>
      <c r="C282" s="4"/>
      <c r="D282" s="4">
        <f t="shared" ref="D282:D287" si="105">$D$50</f>
        <v>8966</v>
      </c>
      <c r="E282" s="817"/>
      <c r="F282" s="868">
        <f t="shared" ref="F282:I287" si="106">F$246*F210*$D282</f>
        <v>68650.881756287345</v>
      </c>
      <c r="G282" s="868">
        <f t="shared" si="106"/>
        <v>43036.799999999996</v>
      </c>
      <c r="H282" s="868">
        <f t="shared" si="106"/>
        <v>8069.4</v>
      </c>
      <c r="I282" s="868">
        <f t="shared" si="106"/>
        <v>1075.92</v>
      </c>
      <c r="J282" s="848">
        <f t="shared" ref="J282:J288" si="107">SUM(E282:I282)</f>
        <v>120833.00175628734</v>
      </c>
      <c r="O282" s="325"/>
      <c r="P282" s="326"/>
      <c r="Q282" s="327"/>
      <c r="R282" s="327"/>
      <c r="S282" s="327"/>
      <c r="T282" s="327"/>
      <c r="U282" s="318"/>
      <c r="V282" s="318"/>
    </row>
    <row r="283" spans="1:22" ht="15.6" hidden="1" outlineLevel="2">
      <c r="A283" s="318">
        <f>1+A282</f>
        <v>2</v>
      </c>
      <c r="B283" t="str">
        <f>+$B$68</f>
        <v>Churchill</v>
      </c>
      <c r="C283" s="4"/>
      <c r="D283" s="4">
        <f t="shared" si="105"/>
        <v>8966</v>
      </c>
      <c r="E283" s="817"/>
      <c r="F283" s="845">
        <f t="shared" si="106"/>
        <v>0</v>
      </c>
      <c r="G283" s="845">
        <f t="shared" si="106"/>
        <v>0</v>
      </c>
      <c r="H283" s="845">
        <f t="shared" si="106"/>
        <v>0</v>
      </c>
      <c r="I283" s="845">
        <f t="shared" si="106"/>
        <v>0</v>
      </c>
      <c r="J283" s="814">
        <f t="shared" si="107"/>
        <v>0</v>
      </c>
      <c r="O283" s="325"/>
      <c r="P283" s="326"/>
      <c r="Q283" s="327"/>
      <c r="R283" s="327"/>
      <c r="S283" s="327"/>
      <c r="T283" s="327"/>
      <c r="U283" s="318"/>
      <c r="V283" s="318"/>
    </row>
    <row r="284" spans="1:22" ht="15.6" hidden="1" outlineLevel="2">
      <c r="A284" s="318">
        <f t="shared" ref="A284:A287" si="108">1+A283</f>
        <v>3</v>
      </c>
      <c r="B284" t="str">
        <f>+$B$69</f>
        <v>Clark</v>
      </c>
      <c r="C284" s="4"/>
      <c r="D284" s="4">
        <f t="shared" si="105"/>
        <v>8966</v>
      </c>
      <c r="E284" s="817"/>
      <c r="F284" s="845">
        <f t="shared" si="106"/>
        <v>102976.32263443101</v>
      </c>
      <c r="G284" s="845">
        <f t="shared" si="106"/>
        <v>0</v>
      </c>
      <c r="H284" s="845">
        <f t="shared" si="106"/>
        <v>0</v>
      </c>
      <c r="I284" s="845">
        <f t="shared" si="106"/>
        <v>0</v>
      </c>
      <c r="J284" s="814">
        <f t="shared" si="107"/>
        <v>102976.32263443101</v>
      </c>
      <c r="O284" s="325"/>
      <c r="P284" s="326"/>
      <c r="Q284" s="327"/>
      <c r="R284" s="327"/>
      <c r="S284" s="327"/>
      <c r="T284" s="327"/>
      <c r="U284" s="318"/>
      <c r="V284" s="318"/>
    </row>
    <row r="285" spans="1:22" ht="15.6" hidden="1" outlineLevel="2">
      <c r="A285" s="318">
        <f t="shared" si="108"/>
        <v>4</v>
      </c>
      <c r="B285" t="str">
        <f>+$B$70</f>
        <v>Elko</v>
      </c>
      <c r="C285" s="4"/>
      <c r="D285" s="4">
        <f t="shared" si="105"/>
        <v>8966</v>
      </c>
      <c r="E285" s="817"/>
      <c r="F285" s="845">
        <f t="shared" si="106"/>
        <v>17162.720439071836</v>
      </c>
      <c r="G285" s="845">
        <f t="shared" si="106"/>
        <v>0</v>
      </c>
      <c r="H285" s="845">
        <f t="shared" si="106"/>
        <v>0</v>
      </c>
      <c r="I285" s="845">
        <f t="shared" si="106"/>
        <v>0</v>
      </c>
      <c r="J285" s="814">
        <f t="shared" si="107"/>
        <v>17162.720439071836</v>
      </c>
      <c r="O285" s="325"/>
      <c r="P285" s="326"/>
      <c r="Q285" s="327"/>
      <c r="R285" s="327"/>
      <c r="S285" s="327"/>
      <c r="T285" s="327"/>
      <c r="U285" s="318"/>
      <c r="V285" s="318"/>
    </row>
    <row r="286" spans="1:22" ht="15.6" hidden="1" outlineLevel="2">
      <c r="A286" s="318">
        <f t="shared" si="108"/>
        <v>5</v>
      </c>
      <c r="B286" t="str">
        <f>+$B$72</f>
        <v>Washoe</v>
      </c>
      <c r="C286" s="4"/>
      <c r="D286" s="4">
        <f t="shared" si="105"/>
        <v>8966</v>
      </c>
      <c r="E286" s="817"/>
      <c r="F286" s="845">
        <f t="shared" si="106"/>
        <v>34325.440878143672</v>
      </c>
      <c r="G286" s="845">
        <f t="shared" si="106"/>
        <v>0</v>
      </c>
      <c r="H286" s="845">
        <f t="shared" si="106"/>
        <v>0</v>
      </c>
      <c r="I286" s="845">
        <f t="shared" si="106"/>
        <v>0</v>
      </c>
      <c r="J286" s="814">
        <f t="shared" si="107"/>
        <v>34325.440878143672</v>
      </c>
      <c r="O286" s="325"/>
      <c r="P286" s="326"/>
      <c r="Q286" s="327"/>
      <c r="R286" s="327"/>
      <c r="S286" s="327"/>
      <c r="T286" s="327"/>
      <c r="U286" s="318"/>
      <c r="V286" s="318"/>
    </row>
    <row r="287" spans="1:22" ht="15.6" hidden="1" outlineLevel="2">
      <c r="A287" s="318">
        <f t="shared" si="108"/>
        <v>6</v>
      </c>
      <c r="B287" t="str">
        <f>+$B$73</f>
        <v>White Pine</v>
      </c>
      <c r="C287" s="4"/>
      <c r="D287" s="4">
        <f t="shared" si="105"/>
        <v>8966</v>
      </c>
      <c r="E287" s="817"/>
      <c r="F287" s="846">
        <f t="shared" si="106"/>
        <v>0</v>
      </c>
      <c r="G287" s="846">
        <f t="shared" si="106"/>
        <v>0</v>
      </c>
      <c r="H287" s="846">
        <f t="shared" si="106"/>
        <v>0</v>
      </c>
      <c r="I287" s="846">
        <f t="shared" si="106"/>
        <v>0</v>
      </c>
      <c r="J287" s="825">
        <f t="shared" si="107"/>
        <v>0</v>
      </c>
      <c r="O287" s="325"/>
      <c r="P287" s="326"/>
      <c r="Q287" s="327"/>
      <c r="R287" s="327"/>
      <c r="S287" s="327"/>
      <c r="T287" s="327"/>
      <c r="U287" s="318"/>
      <c r="V287" s="318"/>
    </row>
    <row r="288" spans="1:22" ht="15.6" hidden="1" outlineLevel="2">
      <c r="A288" s="318"/>
      <c r="B288" s="826" t="s">
        <v>78</v>
      </c>
      <c r="C288" s="826"/>
      <c r="D288" s="826"/>
      <c r="E288" s="854"/>
      <c r="F288" s="853">
        <f t="shared" ref="F288" si="109">SUM(F282:F287)</f>
        <v>223115.36570793387</v>
      </c>
      <c r="G288" s="853">
        <f t="shared" ref="G288" si="110">SUM(G282:G287)</f>
        <v>43036.799999999996</v>
      </c>
      <c r="H288" s="853">
        <f t="shared" ref="H288" si="111">SUM(H282:H287)</f>
        <v>8069.4</v>
      </c>
      <c r="I288" s="853">
        <f t="shared" ref="I288" si="112">SUM(I282:I287)</f>
        <v>1075.92</v>
      </c>
      <c r="J288" s="849">
        <f t="shared" si="107"/>
        <v>275297.4857079339</v>
      </c>
      <c r="O288" s="325"/>
      <c r="P288" s="326"/>
      <c r="Q288" s="327"/>
      <c r="R288" s="327"/>
      <c r="S288" s="327"/>
      <c r="T288" s="327"/>
      <c r="U288" s="318"/>
      <c r="V288" s="318"/>
    </row>
    <row r="289" spans="1:22" ht="15.6" hidden="1" outlineLevel="2">
      <c r="A289" s="318"/>
      <c r="O289" s="325"/>
      <c r="P289" s="326"/>
      <c r="Q289" s="327"/>
      <c r="R289" s="327"/>
      <c r="S289" s="327"/>
      <c r="T289" s="327"/>
      <c r="U289" s="318"/>
      <c r="V289" s="318"/>
    </row>
    <row r="290" spans="1:22" ht="15.6" hidden="1" outlineLevel="2">
      <c r="A290" s="318"/>
      <c r="E290" s="779" t="s">
        <v>958</v>
      </c>
      <c r="F290" s="1"/>
      <c r="G290" s="345"/>
      <c r="H290" s="345"/>
      <c r="I290" s="345"/>
      <c r="O290" s="325"/>
      <c r="P290" s="326"/>
      <c r="Q290" s="327"/>
      <c r="R290" s="327"/>
      <c r="S290" s="327"/>
      <c r="T290" s="327"/>
      <c r="U290" s="318"/>
      <c r="V290" s="318"/>
    </row>
    <row r="291" spans="1:22" ht="15.6" hidden="1" outlineLevel="2">
      <c r="A291" s="318"/>
      <c r="E291" s="782" t="s">
        <v>498</v>
      </c>
      <c r="F291" s="827" t="s">
        <v>917</v>
      </c>
      <c r="G291" s="782" t="s">
        <v>918</v>
      </c>
      <c r="H291" s="782" t="s">
        <v>907</v>
      </c>
      <c r="I291" s="782" t="s">
        <v>919</v>
      </c>
      <c r="J291" s="827" t="s">
        <v>78</v>
      </c>
      <c r="O291" s="325"/>
      <c r="P291" s="326"/>
      <c r="Q291" s="327"/>
      <c r="R291" s="327"/>
      <c r="S291" s="327"/>
      <c r="T291" s="327"/>
      <c r="U291" s="318"/>
      <c r="V291" s="318"/>
    </row>
    <row r="292" spans="1:22" ht="15.6" hidden="1" outlineLevel="2">
      <c r="A292" s="318">
        <v>1</v>
      </c>
      <c r="B292" t="str">
        <f>+B$67</f>
        <v xml:space="preserve">Carson City </v>
      </c>
      <c r="C292" s="4"/>
      <c r="D292" s="4">
        <f t="shared" ref="D292:D297" si="113">$D$50</f>
        <v>8966</v>
      </c>
      <c r="E292" s="869">
        <f t="shared" ref="E292:I297" si="114">+$E177*E199</f>
        <v>0</v>
      </c>
      <c r="F292" s="869">
        <f t="shared" si="114"/>
        <v>0</v>
      </c>
      <c r="G292" s="869">
        <f t="shared" si="114"/>
        <v>0</v>
      </c>
      <c r="H292" s="869">
        <f t="shared" si="114"/>
        <v>0</v>
      </c>
      <c r="I292" s="869">
        <f t="shared" si="114"/>
        <v>0</v>
      </c>
      <c r="J292" s="852">
        <f t="shared" ref="J292:J298" si="115">SUM(E292:I292)</f>
        <v>0</v>
      </c>
      <c r="O292" s="325"/>
      <c r="P292" s="326"/>
      <c r="Q292" s="327"/>
      <c r="R292" s="327"/>
      <c r="S292" s="327"/>
      <c r="T292" s="327"/>
      <c r="U292" s="318"/>
      <c r="V292" s="318"/>
    </row>
    <row r="293" spans="1:22" ht="15.6" hidden="1" outlineLevel="2">
      <c r="A293" s="318">
        <f>1+A292</f>
        <v>2</v>
      </c>
      <c r="B293" t="str">
        <f>+$B$68</f>
        <v>Churchill</v>
      </c>
      <c r="C293" s="4"/>
      <c r="D293" s="4">
        <f t="shared" si="113"/>
        <v>8966</v>
      </c>
      <c r="E293" s="829">
        <f t="shared" si="114"/>
        <v>0</v>
      </c>
      <c r="F293" s="829">
        <f t="shared" si="114"/>
        <v>0</v>
      </c>
      <c r="G293" s="829">
        <f t="shared" si="114"/>
        <v>0</v>
      </c>
      <c r="H293" s="829">
        <f t="shared" si="114"/>
        <v>0</v>
      </c>
      <c r="I293" s="829">
        <f t="shared" si="114"/>
        <v>0</v>
      </c>
      <c r="J293" s="819">
        <f t="shared" si="115"/>
        <v>0</v>
      </c>
      <c r="O293" s="325"/>
      <c r="P293" s="326"/>
      <c r="Q293" s="327"/>
      <c r="R293" s="327"/>
      <c r="S293" s="327"/>
      <c r="T293" s="327"/>
      <c r="U293" s="318"/>
      <c r="V293" s="318"/>
    </row>
    <row r="294" spans="1:22" ht="15.6" hidden="1" outlineLevel="2">
      <c r="A294" s="318">
        <f t="shared" ref="A294:A297" si="116">1+A293</f>
        <v>3</v>
      </c>
      <c r="B294" t="str">
        <f>+$B$69</f>
        <v>Clark</v>
      </c>
      <c r="C294" s="4"/>
      <c r="D294" s="4">
        <f t="shared" si="113"/>
        <v>8966</v>
      </c>
      <c r="E294" s="829">
        <f t="shared" si="114"/>
        <v>0</v>
      </c>
      <c r="F294" s="829">
        <f t="shared" si="114"/>
        <v>0</v>
      </c>
      <c r="G294" s="829">
        <f t="shared" si="114"/>
        <v>0</v>
      </c>
      <c r="H294" s="829">
        <f t="shared" si="114"/>
        <v>0</v>
      </c>
      <c r="I294" s="829">
        <f t="shared" si="114"/>
        <v>0</v>
      </c>
      <c r="J294" s="819">
        <f t="shared" si="115"/>
        <v>0</v>
      </c>
      <c r="O294" s="325"/>
      <c r="P294" s="326"/>
      <c r="Q294" s="327"/>
      <c r="R294" s="327"/>
      <c r="S294" s="327"/>
      <c r="T294" s="327"/>
      <c r="U294" s="318"/>
      <c r="V294" s="318"/>
    </row>
    <row r="295" spans="1:22" ht="15.6" hidden="1" outlineLevel="2">
      <c r="A295" s="318">
        <f t="shared" si="116"/>
        <v>4</v>
      </c>
      <c r="B295" t="str">
        <f>+$B$70</f>
        <v>Elko</v>
      </c>
      <c r="C295" s="4"/>
      <c r="D295" s="4">
        <f t="shared" si="113"/>
        <v>8966</v>
      </c>
      <c r="E295" s="829">
        <f t="shared" si="114"/>
        <v>0</v>
      </c>
      <c r="F295" s="829">
        <f t="shared" si="114"/>
        <v>0</v>
      </c>
      <c r="G295" s="829">
        <f t="shared" si="114"/>
        <v>0</v>
      </c>
      <c r="H295" s="829">
        <f t="shared" si="114"/>
        <v>0</v>
      </c>
      <c r="I295" s="829">
        <f t="shared" si="114"/>
        <v>0</v>
      </c>
      <c r="J295" s="819">
        <f t="shared" si="115"/>
        <v>0</v>
      </c>
      <c r="O295" s="325"/>
      <c r="P295" s="326"/>
      <c r="Q295" s="327"/>
      <c r="R295" s="327"/>
      <c r="S295" s="327"/>
      <c r="T295" s="327"/>
      <c r="U295" s="318"/>
      <c r="V295" s="318"/>
    </row>
    <row r="296" spans="1:22" ht="15.6" hidden="1" outlineLevel="2">
      <c r="A296" s="318">
        <f t="shared" si="116"/>
        <v>5</v>
      </c>
      <c r="B296" t="str">
        <f>+$B$72</f>
        <v>Washoe</v>
      </c>
      <c r="C296" s="4"/>
      <c r="D296" s="4">
        <f t="shared" si="113"/>
        <v>8966</v>
      </c>
      <c r="E296" s="829">
        <f t="shared" si="114"/>
        <v>0</v>
      </c>
      <c r="F296" s="829">
        <f t="shared" si="114"/>
        <v>0</v>
      </c>
      <c r="G296" s="829">
        <f t="shared" si="114"/>
        <v>0</v>
      </c>
      <c r="H296" s="829">
        <f t="shared" si="114"/>
        <v>0</v>
      </c>
      <c r="I296" s="829">
        <f t="shared" si="114"/>
        <v>0</v>
      </c>
      <c r="J296" s="819">
        <f t="shared" si="115"/>
        <v>0</v>
      </c>
      <c r="O296" s="325"/>
      <c r="P296" s="326"/>
      <c r="Q296" s="327"/>
      <c r="R296" s="327"/>
      <c r="S296" s="327"/>
      <c r="T296" s="327"/>
      <c r="U296" s="318"/>
      <c r="V296" s="318"/>
    </row>
    <row r="297" spans="1:22" ht="15.6" hidden="1" outlineLevel="2">
      <c r="A297" s="318">
        <f t="shared" si="116"/>
        <v>6</v>
      </c>
      <c r="B297" t="str">
        <f>+$B$73</f>
        <v>White Pine</v>
      </c>
      <c r="C297" s="4"/>
      <c r="D297" s="4">
        <f t="shared" si="113"/>
        <v>8966</v>
      </c>
      <c r="E297" s="830">
        <f t="shared" si="114"/>
        <v>0</v>
      </c>
      <c r="F297" s="830">
        <f t="shared" si="114"/>
        <v>0</v>
      </c>
      <c r="G297" s="830">
        <f t="shared" si="114"/>
        <v>0</v>
      </c>
      <c r="H297" s="830">
        <f t="shared" si="114"/>
        <v>0</v>
      </c>
      <c r="I297" s="830">
        <f t="shared" si="114"/>
        <v>0</v>
      </c>
      <c r="J297" s="819">
        <f t="shared" si="115"/>
        <v>0</v>
      </c>
      <c r="O297" s="325"/>
      <c r="P297" s="326"/>
      <c r="Q297" s="327"/>
      <c r="R297" s="327"/>
      <c r="S297" s="327"/>
      <c r="T297" s="327"/>
      <c r="U297" s="318"/>
      <c r="V297" s="318"/>
    </row>
    <row r="298" spans="1:22" ht="15.6" hidden="1" outlineLevel="2">
      <c r="A298" s="318"/>
      <c r="B298" s="826" t="s">
        <v>78</v>
      </c>
      <c r="C298" s="826"/>
      <c r="D298" s="826"/>
      <c r="E298" s="853">
        <f>SUM(E292:E297)</f>
        <v>0</v>
      </c>
      <c r="F298" s="853">
        <f t="shared" ref="F298" si="117">SUM(F292:F297)</f>
        <v>0</v>
      </c>
      <c r="G298" s="853">
        <f t="shared" ref="G298" si="118">SUM(G292:G297)</f>
        <v>0</v>
      </c>
      <c r="H298" s="853">
        <f t="shared" ref="H298" si="119">SUM(H292:H297)</f>
        <v>0</v>
      </c>
      <c r="I298" s="853">
        <f t="shared" ref="I298" si="120">SUM(I292:I297)</f>
        <v>0</v>
      </c>
      <c r="J298" s="853">
        <f t="shared" si="115"/>
        <v>0</v>
      </c>
      <c r="O298" s="325"/>
      <c r="P298" s="326"/>
      <c r="Q298" s="327"/>
      <c r="R298" s="327"/>
      <c r="S298" s="327"/>
      <c r="T298" s="327"/>
      <c r="U298" s="318"/>
      <c r="V298" s="318"/>
    </row>
    <row r="299" spans="1:22" ht="15.6" hidden="1" outlineLevel="2">
      <c r="A299" s="318"/>
      <c r="O299" s="325"/>
      <c r="P299" s="326"/>
      <c r="Q299" s="327"/>
      <c r="R299" s="327"/>
      <c r="S299" s="327"/>
      <c r="T299" s="327"/>
      <c r="U299" s="318"/>
      <c r="V299" s="318"/>
    </row>
    <row r="300" spans="1:22" ht="15.6" hidden="1" outlineLevel="2">
      <c r="A300" s="318"/>
      <c r="B300" s="826" t="s">
        <v>953</v>
      </c>
      <c r="C300" s="826"/>
      <c r="D300" s="826"/>
      <c r="E300" s="853">
        <f>+E288+E298</f>
        <v>0</v>
      </c>
      <c r="F300" s="853">
        <f t="shared" ref="F300:I300" si="121">+F288+F298</f>
        <v>223115.36570793387</v>
      </c>
      <c r="G300" s="853">
        <f t="shared" si="121"/>
        <v>43036.799999999996</v>
      </c>
      <c r="H300" s="853">
        <f t="shared" si="121"/>
        <v>8069.4</v>
      </c>
      <c r="I300" s="853">
        <f t="shared" si="121"/>
        <v>1075.92</v>
      </c>
      <c r="J300" s="855">
        <f>SUM(E300:I300)</f>
        <v>275297.4857079339</v>
      </c>
      <c r="O300" s="325"/>
      <c r="P300" s="326"/>
      <c r="Q300" s="327"/>
      <c r="R300" s="327"/>
      <c r="S300" s="327"/>
      <c r="T300" s="327"/>
      <c r="U300" s="318"/>
      <c r="V300" s="318"/>
    </row>
    <row r="301" spans="1:22" ht="15.6" hidden="1" outlineLevel="2">
      <c r="A301" s="318"/>
      <c r="O301" s="325"/>
      <c r="P301" s="326"/>
      <c r="Q301" s="327"/>
      <c r="R301" s="327"/>
      <c r="S301" s="327"/>
      <c r="T301" s="327"/>
      <c r="U301" s="318"/>
      <c r="V301" s="318"/>
    </row>
    <row r="302" spans="1:22" ht="15.6" hidden="1" outlineLevel="2">
      <c r="A302" s="318"/>
      <c r="O302" s="325"/>
      <c r="P302" s="326"/>
      <c r="Q302" s="327"/>
      <c r="R302" s="327"/>
      <c r="S302" s="327"/>
      <c r="T302" s="327"/>
      <c r="U302" s="318"/>
      <c r="V302" s="318"/>
    </row>
    <row r="303" spans="1:22" ht="15.6" hidden="1" outlineLevel="2">
      <c r="A303" s="318"/>
      <c r="O303" s="318"/>
      <c r="P303" s="328"/>
      <c r="Q303" s="318"/>
      <c r="R303" s="318"/>
      <c r="S303" s="318"/>
      <c r="T303" s="318"/>
      <c r="U303" s="318"/>
      <c r="V303" s="318"/>
    </row>
    <row r="304" spans="1:22" ht="15.6" hidden="1" outlineLevel="2">
      <c r="A304" s="318"/>
      <c r="B304" s="842" t="s">
        <v>362</v>
      </c>
      <c r="C304" s="842"/>
      <c r="D304" s="842"/>
      <c r="E304" s="843"/>
      <c r="F304" s="843"/>
      <c r="G304" s="843"/>
      <c r="H304" s="843"/>
      <c r="I304" s="843"/>
      <c r="J304" s="843"/>
      <c r="O304" s="318"/>
      <c r="P304" s="328"/>
      <c r="Q304" s="318"/>
      <c r="R304" s="318"/>
      <c r="S304" s="318"/>
      <c r="T304" s="318"/>
      <c r="U304" s="318"/>
      <c r="V304" s="318"/>
    </row>
    <row r="305" spans="1:22" ht="15.6" hidden="1" outlineLevel="2">
      <c r="A305" s="318"/>
      <c r="B305" s="837" t="s">
        <v>927</v>
      </c>
      <c r="C305" s="837"/>
      <c r="D305" s="837"/>
      <c r="E305" s="791"/>
      <c r="F305" s="791"/>
      <c r="G305" s="837"/>
      <c r="H305" s="791"/>
      <c r="I305" s="791"/>
      <c r="J305" s="838"/>
      <c r="O305" s="318"/>
      <c r="P305" s="328"/>
      <c r="Q305" s="318"/>
      <c r="R305" s="318"/>
      <c r="S305" s="318"/>
      <c r="T305" s="318"/>
      <c r="U305" s="318"/>
      <c r="V305" s="318"/>
    </row>
    <row r="306" spans="1:22" ht="15.6" hidden="1" outlineLevel="2">
      <c r="A306" s="318"/>
      <c r="B306" s="779"/>
      <c r="C306" s="779"/>
      <c r="D306" s="779"/>
      <c r="E306" s="779" t="s">
        <v>949</v>
      </c>
      <c r="F306" s="345"/>
      <c r="G306" s="779"/>
      <c r="H306" s="345"/>
      <c r="I306" s="345"/>
      <c r="J306" s="833"/>
      <c r="O306" s="318"/>
      <c r="P306" s="328"/>
      <c r="Q306" s="318"/>
      <c r="R306" s="318"/>
      <c r="S306" s="318"/>
      <c r="T306" s="318"/>
      <c r="U306" s="318"/>
      <c r="V306" s="318"/>
    </row>
    <row r="307" spans="1:22" ht="15.6" hidden="1" outlineLevel="2">
      <c r="A307" s="318"/>
      <c r="B307" s="782"/>
      <c r="C307" s="782"/>
      <c r="D307" s="782"/>
      <c r="E307" s="782" t="s">
        <v>498</v>
      </c>
      <c r="F307" s="782" t="s">
        <v>917</v>
      </c>
      <c r="G307" s="782" t="s">
        <v>918</v>
      </c>
      <c r="H307" s="782" t="s">
        <v>907</v>
      </c>
      <c r="I307" s="782" t="s">
        <v>919</v>
      </c>
      <c r="J307" s="782" t="s">
        <v>78</v>
      </c>
      <c r="O307" s="318"/>
      <c r="P307" s="328"/>
      <c r="Q307" s="318"/>
      <c r="R307" s="318"/>
      <c r="S307" s="318"/>
      <c r="T307" s="318"/>
      <c r="U307" s="318"/>
      <c r="V307" s="318"/>
    </row>
    <row r="308" spans="1:22" ht="15.6" hidden="1" outlineLevel="2">
      <c r="A308" s="318">
        <v>1</v>
      </c>
      <c r="B308" t="str">
        <f>+B$67</f>
        <v xml:space="preserve">Carson City </v>
      </c>
      <c r="C308" s="424"/>
      <c r="D308" s="424">
        <f>E217</f>
        <v>0</v>
      </c>
      <c r="E308" s="850">
        <f>+E321+E331</f>
        <v>0</v>
      </c>
      <c r="F308" s="850">
        <f t="shared" ref="F308:I308" si="122">+F321+F331</f>
        <v>0</v>
      </c>
      <c r="G308" s="850">
        <f t="shared" si="122"/>
        <v>0</v>
      </c>
      <c r="H308" s="850">
        <f t="shared" si="122"/>
        <v>0</v>
      </c>
      <c r="I308" s="850">
        <f t="shared" si="122"/>
        <v>0</v>
      </c>
      <c r="J308" s="848">
        <f t="shared" ref="J308:J315" si="123">SUM(E308:I308)</f>
        <v>0</v>
      </c>
      <c r="O308" s="318"/>
      <c r="P308" s="328"/>
      <c r="Q308" s="318"/>
      <c r="R308" s="318"/>
      <c r="S308" s="318"/>
      <c r="T308" s="318"/>
      <c r="U308" s="318"/>
      <c r="V308" s="318"/>
    </row>
    <row r="309" spans="1:22" ht="15.6" hidden="1" outlineLevel="2">
      <c r="A309" s="318">
        <f>1+A308</f>
        <v>2</v>
      </c>
      <c r="B309" t="str">
        <f>+$B$68</f>
        <v>Churchill</v>
      </c>
      <c r="C309" s="4"/>
      <c r="D309" s="4">
        <f t="shared" ref="D309:D313" si="124">E218</f>
        <v>0</v>
      </c>
      <c r="E309" s="814">
        <f t="shared" ref="E309:I309" si="125">+E322+E332</f>
        <v>0</v>
      </c>
      <c r="F309" s="814">
        <f t="shared" si="125"/>
        <v>0</v>
      </c>
      <c r="G309" s="814">
        <f t="shared" si="125"/>
        <v>0</v>
      </c>
      <c r="H309" s="814">
        <f t="shared" si="125"/>
        <v>0</v>
      </c>
      <c r="I309" s="814">
        <f t="shared" si="125"/>
        <v>0</v>
      </c>
      <c r="J309" s="814">
        <f t="shared" si="123"/>
        <v>0</v>
      </c>
      <c r="O309" s="318"/>
      <c r="P309" s="328"/>
      <c r="Q309" s="318"/>
      <c r="R309" s="318"/>
      <c r="S309" s="318"/>
      <c r="T309" s="318"/>
      <c r="U309" s="318"/>
      <c r="V309" s="318"/>
    </row>
    <row r="310" spans="1:22" ht="15.6" hidden="1" outlineLevel="2">
      <c r="A310" s="318">
        <f t="shared" ref="A310:A313" si="126">1+A309</f>
        <v>3</v>
      </c>
      <c r="B310" t="str">
        <f>+$B$69</f>
        <v>Clark</v>
      </c>
      <c r="C310" s="4"/>
      <c r="D310" s="4" t="str">
        <f t="shared" si="124"/>
        <v>General</v>
      </c>
      <c r="E310" s="814" t="e">
        <f t="shared" ref="E310:I310" si="127">+E323+E333</f>
        <v>#VALUE!</v>
      </c>
      <c r="F310" s="814" t="e">
        <f t="shared" si="127"/>
        <v>#VALUE!</v>
      </c>
      <c r="G310" s="814" t="e">
        <f t="shared" si="127"/>
        <v>#VALUE!</v>
      </c>
      <c r="H310" s="814" t="e">
        <f t="shared" si="127"/>
        <v>#VALUE!</v>
      </c>
      <c r="I310" s="814" t="e">
        <f t="shared" si="127"/>
        <v>#VALUE!</v>
      </c>
      <c r="J310" s="814" t="e">
        <f t="shared" si="123"/>
        <v>#VALUE!</v>
      </c>
      <c r="O310" s="318"/>
      <c r="P310" s="328"/>
      <c r="Q310" s="318"/>
      <c r="R310" s="318"/>
      <c r="S310" s="318"/>
      <c r="T310" s="318"/>
      <c r="U310" s="318"/>
      <c r="V310" s="318"/>
    </row>
    <row r="311" spans="1:22" ht="15.6" hidden="1" outlineLevel="2">
      <c r="A311" s="318">
        <f t="shared" si="126"/>
        <v>4</v>
      </c>
      <c r="B311" t="str">
        <f>+$B$70</f>
        <v>Elko</v>
      </c>
      <c r="C311" s="4"/>
      <c r="D311" s="4">
        <f t="shared" si="124"/>
        <v>100</v>
      </c>
      <c r="E311" s="814">
        <f>+E324+E334</f>
        <v>797433.33333333326</v>
      </c>
      <c r="F311" s="814">
        <f t="shared" ref="F311:I311" si="128">+F324+F334</f>
        <v>3907771.4722998859</v>
      </c>
      <c r="G311" s="814">
        <f t="shared" si="128"/>
        <v>1425172.8533333335</v>
      </c>
      <c r="H311" s="814">
        <f t="shared" si="128"/>
        <v>824705.55333333334</v>
      </c>
      <c r="I311" s="814">
        <f t="shared" si="128"/>
        <v>962023.57333333336</v>
      </c>
      <c r="J311" s="814">
        <f t="shared" si="123"/>
        <v>7917106.7856332194</v>
      </c>
      <c r="O311" s="318"/>
      <c r="P311" s="328"/>
      <c r="Q311" s="318"/>
      <c r="R311" s="318"/>
      <c r="S311" s="318"/>
      <c r="T311" s="318"/>
      <c r="U311" s="318"/>
      <c r="V311" s="318"/>
    </row>
    <row r="312" spans="1:22" ht="15.6" hidden="1" outlineLevel="2">
      <c r="A312" s="318">
        <f t="shared" si="126"/>
        <v>5</v>
      </c>
      <c r="B312" t="str">
        <f>+$B$72</f>
        <v>Washoe</v>
      </c>
      <c r="C312" s="4"/>
      <c r="D312" s="4">
        <f t="shared" si="124"/>
        <v>0</v>
      </c>
      <c r="E312" s="825">
        <f t="shared" ref="E312:I312" si="129">+E325+E335</f>
        <v>0</v>
      </c>
      <c r="F312" s="825">
        <f t="shared" si="129"/>
        <v>0</v>
      </c>
      <c r="G312" s="825">
        <f t="shared" si="129"/>
        <v>0</v>
      </c>
      <c r="H312" s="825">
        <f t="shared" si="129"/>
        <v>0</v>
      </c>
      <c r="I312" s="825">
        <f t="shared" si="129"/>
        <v>0</v>
      </c>
      <c r="J312" s="814">
        <f t="shared" si="123"/>
        <v>0</v>
      </c>
      <c r="O312" s="318"/>
      <c r="P312" s="328"/>
      <c r="Q312" s="318"/>
      <c r="R312" s="318"/>
      <c r="S312" s="318"/>
      <c r="T312" s="318"/>
      <c r="U312" s="318"/>
      <c r="V312" s="318"/>
    </row>
    <row r="313" spans="1:22" ht="15.6" hidden="1" outlineLevel="2">
      <c r="A313" s="318">
        <f t="shared" si="126"/>
        <v>6</v>
      </c>
      <c r="B313" t="str">
        <f>+$B$73</f>
        <v>White Pine</v>
      </c>
      <c r="C313" s="4"/>
      <c r="D313" s="4">
        <f t="shared" si="124"/>
        <v>0</v>
      </c>
      <c r="E313" s="825" t="e">
        <f t="shared" ref="E313:I313" si="130">+E326+E336</f>
        <v>#VALUE!</v>
      </c>
      <c r="F313" s="825">
        <f t="shared" si="130"/>
        <v>0</v>
      </c>
      <c r="G313" s="825">
        <f t="shared" si="130"/>
        <v>0</v>
      </c>
      <c r="H313" s="825">
        <f t="shared" si="130"/>
        <v>0</v>
      </c>
      <c r="I313" s="825">
        <f t="shared" si="130"/>
        <v>0</v>
      </c>
      <c r="J313" s="825" t="e">
        <f t="shared" si="123"/>
        <v>#VALUE!</v>
      </c>
      <c r="O313" s="318"/>
      <c r="P313" s="328"/>
      <c r="Q313" s="318"/>
      <c r="R313" s="318"/>
      <c r="S313" s="318"/>
      <c r="T313" s="318"/>
      <c r="U313" s="318"/>
      <c r="V313" s="318"/>
    </row>
    <row r="314" spans="1:22" ht="15.6" hidden="1" outlineLevel="2">
      <c r="A314" s="318"/>
      <c r="B314" s="826" t="s">
        <v>440</v>
      </c>
      <c r="C314" s="826"/>
      <c r="D314" s="826"/>
      <c r="E314" s="849" t="e">
        <f>SUM(E308:E313)</f>
        <v>#VALUE!</v>
      </c>
      <c r="F314" s="849" t="e">
        <f>SUM(F308:F313)</f>
        <v>#VALUE!</v>
      </c>
      <c r="G314" s="849" t="e">
        <f t="shared" ref="G314" si="131">SUM(G308:G313)</f>
        <v>#VALUE!</v>
      </c>
      <c r="H314" s="849" t="e">
        <f t="shared" ref="H314" si="132">SUM(H308:H313)</f>
        <v>#VALUE!</v>
      </c>
      <c r="I314" s="849" t="e">
        <f t="shared" ref="I314" si="133">SUM(I308:I313)</f>
        <v>#VALUE!</v>
      </c>
      <c r="J314" s="851" t="e">
        <f t="shared" si="123"/>
        <v>#VALUE!</v>
      </c>
      <c r="O314" s="318"/>
      <c r="P314" s="328"/>
      <c r="Q314" s="318"/>
      <c r="R314" s="318"/>
      <c r="S314" s="318"/>
      <c r="T314" s="318"/>
      <c r="U314" s="318"/>
      <c r="V314" s="318"/>
    </row>
    <row r="315" spans="1:22" ht="15.6" hidden="1" outlineLevel="2">
      <c r="A315" s="318"/>
      <c r="B315" s="1" t="s">
        <v>437</v>
      </c>
      <c r="E315" s="819" t="str">
        <f>+E245</f>
        <v>General</v>
      </c>
      <c r="F315" s="819" t="str">
        <f t="shared" ref="F315:I315" si="134">+F245</f>
        <v>SpEd</v>
      </c>
      <c r="G315" s="819" t="str">
        <f t="shared" si="134"/>
        <v>EL</v>
      </c>
      <c r="H315" s="819" t="str">
        <f t="shared" si="134"/>
        <v>AR</v>
      </c>
      <c r="I315" s="819" t="str">
        <f t="shared" si="134"/>
        <v>G&amp;T</v>
      </c>
      <c r="J315" s="819">
        <f t="shared" si="123"/>
        <v>0</v>
      </c>
      <c r="O315" s="318"/>
      <c r="P315" s="328"/>
      <c r="Q315" s="318"/>
      <c r="R315" s="318"/>
      <c r="S315" s="318"/>
      <c r="T315" s="318"/>
      <c r="U315" s="318"/>
      <c r="V315" s="318"/>
    </row>
    <row r="316" spans="1:22" ht="15.6" hidden="1" outlineLevel="2">
      <c r="A316" s="318"/>
      <c r="B316" s="826" t="s">
        <v>956</v>
      </c>
      <c r="C316" s="836"/>
      <c r="D316" s="836"/>
      <c r="E316" s="853" t="e">
        <f t="shared" ref="E316" si="135">+E314/E315</f>
        <v>#VALUE!</v>
      </c>
      <c r="F316" s="853" t="e">
        <f t="shared" ref="F316" si="136">+F314/F315</f>
        <v>#VALUE!</v>
      </c>
      <c r="G316" s="853" t="e">
        <f t="shared" ref="G316" si="137">+G314/G315</f>
        <v>#VALUE!</v>
      </c>
      <c r="H316" s="853" t="e">
        <f t="shared" ref="H316" si="138">+H314/H315</f>
        <v>#VALUE!</v>
      </c>
      <c r="I316" s="853" t="e">
        <f t="shared" ref="I316" si="139">+I314/I315</f>
        <v>#VALUE!</v>
      </c>
      <c r="J316" s="853" t="e">
        <f>+J314/J315</f>
        <v>#VALUE!</v>
      </c>
      <c r="O316" s="318"/>
      <c r="P316" s="328"/>
      <c r="Q316" s="318"/>
      <c r="R316" s="318"/>
      <c r="S316" s="318"/>
      <c r="T316" s="318"/>
      <c r="U316" s="318"/>
      <c r="V316" s="318"/>
    </row>
    <row r="317" spans="1:22" ht="15.6" hidden="1" outlineLevel="2">
      <c r="A317" s="318"/>
      <c r="B317" s="1"/>
      <c r="J317" s="819"/>
      <c r="O317" s="318"/>
      <c r="P317" s="328"/>
      <c r="Q317" s="318"/>
      <c r="R317" s="318"/>
      <c r="S317" s="318"/>
      <c r="T317" s="318"/>
      <c r="U317" s="318"/>
      <c r="V317" s="318"/>
    </row>
    <row r="318" spans="1:22" ht="15.6" hidden="1" outlineLevel="2">
      <c r="A318" s="318"/>
      <c r="E318" s="779" t="s">
        <v>957</v>
      </c>
      <c r="F318" s="345"/>
      <c r="G318" s="779"/>
      <c r="H318" s="779"/>
      <c r="I318" s="779"/>
      <c r="J318" s="345"/>
      <c r="O318" s="318"/>
      <c r="P318" s="328"/>
      <c r="Q318" s="318"/>
      <c r="R318" s="318"/>
      <c r="S318" s="318"/>
      <c r="T318" s="318"/>
      <c r="U318" s="318"/>
      <c r="V318" s="318"/>
    </row>
    <row r="319" spans="1:22" ht="15.6" hidden="1" outlineLevel="2">
      <c r="A319" s="318"/>
      <c r="E319" s="782" t="s">
        <v>498</v>
      </c>
      <c r="F319" s="782" t="s">
        <v>917</v>
      </c>
      <c r="G319" s="782" t="s">
        <v>918</v>
      </c>
      <c r="H319" s="782" t="s">
        <v>907</v>
      </c>
      <c r="I319" s="782" t="s">
        <v>919</v>
      </c>
      <c r="J319" s="815"/>
      <c r="O319" s="318"/>
      <c r="P319" s="328"/>
      <c r="Q319" s="318"/>
      <c r="R319" s="318"/>
      <c r="S319" s="318"/>
      <c r="T319" s="318"/>
      <c r="U319" s="318"/>
      <c r="V319" s="318"/>
    </row>
    <row r="320" spans="1:22" ht="15.6" hidden="1" outlineLevel="2">
      <c r="A320" s="318"/>
      <c r="B320" s="782" t="s">
        <v>951</v>
      </c>
      <c r="C320" s="782"/>
      <c r="D320" s="782"/>
      <c r="E320" s="859">
        <v>0</v>
      </c>
      <c r="F320" s="858">
        <f>+F249</f>
        <v>11021.2</v>
      </c>
      <c r="G320" s="858">
        <f t="shared" ref="G320:I320" si="140">+G249</f>
        <v>3454.56</v>
      </c>
      <c r="H320" s="858">
        <f t="shared" si="140"/>
        <v>647.73</v>
      </c>
      <c r="I320" s="858">
        <f t="shared" si="140"/>
        <v>863.64</v>
      </c>
      <c r="J320" s="782" t="s">
        <v>78</v>
      </c>
      <c r="O320" s="318"/>
      <c r="P320" s="328"/>
      <c r="Q320" s="318"/>
      <c r="R320" s="318"/>
      <c r="S320" s="318"/>
      <c r="T320" s="318"/>
      <c r="U320" s="318"/>
      <c r="V320" s="318"/>
    </row>
    <row r="321" spans="1:22" ht="15.6" hidden="1" outlineLevel="2">
      <c r="A321" s="318">
        <v>1</v>
      </c>
      <c r="B321" t="str">
        <f>+B$67</f>
        <v xml:space="preserve">Carson City </v>
      </c>
      <c r="C321" s="424"/>
      <c r="D321" s="424">
        <f>E217</f>
        <v>0</v>
      </c>
      <c r="E321" s="817"/>
      <c r="F321" s="844">
        <f t="shared" ref="F321:I326" si="141">F$246*F250*$D321</f>
        <v>0</v>
      </c>
      <c r="G321" s="844">
        <f t="shared" si="141"/>
        <v>0</v>
      </c>
      <c r="H321" s="844">
        <f t="shared" si="141"/>
        <v>0</v>
      </c>
      <c r="I321" s="844">
        <f t="shared" si="141"/>
        <v>0</v>
      </c>
      <c r="J321" s="848">
        <f t="shared" ref="J321:J327" si="142">SUM(E321:I321)</f>
        <v>0</v>
      </c>
      <c r="O321" s="318"/>
      <c r="P321" s="328"/>
      <c r="Q321" s="318"/>
      <c r="R321" s="318"/>
      <c r="S321" s="318"/>
      <c r="T321" s="318"/>
      <c r="U321" s="318"/>
      <c r="V321" s="318"/>
    </row>
    <row r="322" spans="1:22" ht="15.6" hidden="1" outlineLevel="2">
      <c r="A322" s="318">
        <f>1+A321</f>
        <v>2</v>
      </c>
      <c r="B322" t="str">
        <f>+$B$68</f>
        <v>Churchill</v>
      </c>
      <c r="C322" s="4"/>
      <c r="D322" s="4">
        <f t="shared" ref="D322:D326" si="143">E218</f>
        <v>0</v>
      </c>
      <c r="E322" s="817"/>
      <c r="F322" s="845">
        <f t="shared" si="141"/>
        <v>0</v>
      </c>
      <c r="G322" s="845">
        <f t="shared" si="141"/>
        <v>0</v>
      </c>
      <c r="H322" s="845">
        <f t="shared" si="141"/>
        <v>0</v>
      </c>
      <c r="I322" s="845">
        <f t="shared" si="141"/>
        <v>0</v>
      </c>
      <c r="J322" s="814">
        <f t="shared" si="142"/>
        <v>0</v>
      </c>
      <c r="O322" s="318"/>
      <c r="P322" s="328"/>
      <c r="Q322" s="318"/>
      <c r="R322" s="318"/>
      <c r="S322" s="318"/>
      <c r="T322" s="318"/>
      <c r="U322" s="318"/>
      <c r="V322" s="318"/>
    </row>
    <row r="323" spans="1:22" ht="15.6" hidden="1" outlineLevel="2">
      <c r="A323" s="318">
        <f t="shared" ref="A323:A326" si="144">1+A322</f>
        <v>3</v>
      </c>
      <c r="B323" t="str">
        <f>+$B$69</f>
        <v>Clark</v>
      </c>
      <c r="C323" s="4"/>
      <c r="D323" s="4" t="str">
        <f t="shared" si="143"/>
        <v>General</v>
      </c>
      <c r="E323" s="817"/>
      <c r="F323" s="845" t="e">
        <f t="shared" si="141"/>
        <v>#VALUE!</v>
      </c>
      <c r="G323" s="845" t="e">
        <f t="shared" si="141"/>
        <v>#VALUE!</v>
      </c>
      <c r="H323" s="845" t="e">
        <f t="shared" si="141"/>
        <v>#VALUE!</v>
      </c>
      <c r="I323" s="845" t="e">
        <f t="shared" si="141"/>
        <v>#VALUE!</v>
      </c>
      <c r="J323" s="814" t="e">
        <f t="shared" si="142"/>
        <v>#VALUE!</v>
      </c>
      <c r="O323" s="318"/>
      <c r="P323" s="328"/>
      <c r="Q323" s="318"/>
      <c r="R323" s="318"/>
      <c r="S323" s="318"/>
      <c r="T323" s="318"/>
      <c r="U323" s="318"/>
      <c r="V323" s="318"/>
    </row>
    <row r="324" spans="1:22" ht="15.6" hidden="1" outlineLevel="2">
      <c r="A324" s="318">
        <f t="shared" si="144"/>
        <v>4</v>
      </c>
      <c r="B324" t="str">
        <f>+$B$70</f>
        <v>Elko</v>
      </c>
      <c r="C324" s="4"/>
      <c r="D324" s="4">
        <f t="shared" si="143"/>
        <v>100</v>
      </c>
      <c r="E324" s="817"/>
      <c r="F324" s="845">
        <f t="shared" si="141"/>
        <v>2805048.7040168052</v>
      </c>
      <c r="G324" s="845">
        <f t="shared" si="141"/>
        <v>551185.92000000004</v>
      </c>
      <c r="H324" s="845">
        <f t="shared" si="141"/>
        <v>12918.419999999998</v>
      </c>
      <c r="I324" s="845">
        <f t="shared" si="141"/>
        <v>68898.240000000005</v>
      </c>
      <c r="J324" s="814">
        <f t="shared" si="142"/>
        <v>3438051.2840168052</v>
      </c>
      <c r="O324" s="318"/>
      <c r="P324" s="328"/>
      <c r="Q324" s="318"/>
      <c r="R324" s="318"/>
      <c r="S324" s="318"/>
      <c r="T324" s="318"/>
      <c r="U324" s="318"/>
      <c r="V324" s="318"/>
    </row>
    <row r="325" spans="1:22" ht="15.6" hidden="1" outlineLevel="2">
      <c r="A325" s="318">
        <f t="shared" si="144"/>
        <v>5</v>
      </c>
      <c r="B325" t="str">
        <f>+$B$72</f>
        <v>Washoe</v>
      </c>
      <c r="C325" s="4"/>
      <c r="D325" s="4">
        <f t="shared" si="143"/>
        <v>0</v>
      </c>
      <c r="E325" s="817"/>
      <c r="F325" s="845">
        <f t="shared" si="141"/>
        <v>0</v>
      </c>
      <c r="G325" s="845">
        <f t="shared" si="141"/>
        <v>0</v>
      </c>
      <c r="H325" s="845">
        <f t="shared" si="141"/>
        <v>0</v>
      </c>
      <c r="I325" s="845">
        <f t="shared" si="141"/>
        <v>0</v>
      </c>
      <c r="J325" s="814">
        <f t="shared" si="142"/>
        <v>0</v>
      </c>
      <c r="O325" s="318"/>
      <c r="P325" s="328"/>
      <c r="Q325" s="318"/>
      <c r="R325" s="318"/>
      <c r="S325" s="318"/>
      <c r="T325" s="318"/>
      <c r="U325" s="318"/>
      <c r="V325" s="318"/>
    </row>
    <row r="326" spans="1:22" ht="15.6" hidden="1" outlineLevel="2">
      <c r="A326" s="318">
        <f t="shared" si="144"/>
        <v>6</v>
      </c>
      <c r="B326" t="str">
        <f>+$B$73</f>
        <v>White Pine</v>
      </c>
      <c r="C326" s="4"/>
      <c r="D326" s="4">
        <f t="shared" si="143"/>
        <v>0</v>
      </c>
      <c r="E326" s="817"/>
      <c r="F326" s="846">
        <f t="shared" si="141"/>
        <v>0</v>
      </c>
      <c r="G326" s="846">
        <f t="shared" si="141"/>
        <v>0</v>
      </c>
      <c r="H326" s="846">
        <f t="shared" si="141"/>
        <v>0</v>
      </c>
      <c r="I326" s="846">
        <f t="shared" si="141"/>
        <v>0</v>
      </c>
      <c r="J326" s="825">
        <f t="shared" si="142"/>
        <v>0</v>
      </c>
      <c r="O326" s="318"/>
      <c r="P326" s="328"/>
      <c r="Q326" s="318"/>
      <c r="R326" s="318"/>
      <c r="S326" s="318"/>
      <c r="T326" s="318"/>
      <c r="U326" s="318"/>
      <c r="V326" s="318"/>
    </row>
    <row r="327" spans="1:22" ht="15.6" hidden="1" outlineLevel="2">
      <c r="A327" s="318"/>
      <c r="B327" s="826" t="s">
        <v>78</v>
      </c>
      <c r="C327" s="826"/>
      <c r="D327" s="826"/>
      <c r="E327" s="854"/>
      <c r="F327" s="853" t="e">
        <f t="shared" ref="F327" si="145">SUM(F321:F326)</f>
        <v>#VALUE!</v>
      </c>
      <c r="G327" s="853" t="e">
        <f t="shared" ref="G327" si="146">SUM(G321:G326)</f>
        <v>#VALUE!</v>
      </c>
      <c r="H327" s="853" t="e">
        <f t="shared" ref="H327" si="147">SUM(H321:H326)</f>
        <v>#VALUE!</v>
      </c>
      <c r="I327" s="853" t="e">
        <f t="shared" ref="I327" si="148">SUM(I321:I326)</f>
        <v>#VALUE!</v>
      </c>
      <c r="J327" s="849" t="e">
        <f t="shared" si="142"/>
        <v>#VALUE!</v>
      </c>
      <c r="O327" s="318"/>
      <c r="P327" s="328"/>
      <c r="Q327" s="318"/>
      <c r="R327" s="318"/>
      <c r="S327" s="318"/>
      <c r="T327" s="318"/>
      <c r="U327" s="318"/>
      <c r="V327" s="318"/>
    </row>
    <row r="328" spans="1:22" ht="15.6" hidden="1" outlineLevel="2">
      <c r="A328" s="318"/>
      <c r="O328" s="318"/>
      <c r="P328" s="328"/>
      <c r="Q328" s="318"/>
      <c r="R328" s="318"/>
      <c r="S328" s="318"/>
      <c r="T328" s="318"/>
      <c r="U328" s="318"/>
      <c r="V328" s="318"/>
    </row>
    <row r="329" spans="1:22" ht="15.6" hidden="1" outlineLevel="2">
      <c r="A329" s="318"/>
      <c r="E329" s="779" t="s">
        <v>958</v>
      </c>
      <c r="F329" s="1"/>
      <c r="G329" s="345"/>
      <c r="H329" s="345"/>
      <c r="I329" s="345"/>
      <c r="O329" s="318"/>
      <c r="P329" s="328"/>
      <c r="Q329" s="318"/>
      <c r="R329" s="318"/>
      <c r="S329" s="318"/>
      <c r="T329" s="318"/>
      <c r="U329" s="318"/>
      <c r="V329" s="318"/>
    </row>
    <row r="330" spans="1:22" ht="15.6" hidden="1" outlineLevel="2">
      <c r="A330" s="318"/>
      <c r="E330" s="782" t="s">
        <v>498</v>
      </c>
      <c r="F330" s="827" t="s">
        <v>917</v>
      </c>
      <c r="G330" s="782" t="s">
        <v>918</v>
      </c>
      <c r="H330" s="782" t="s">
        <v>907</v>
      </c>
      <c r="I330" s="782" t="s">
        <v>919</v>
      </c>
      <c r="J330" s="827" t="s">
        <v>78</v>
      </c>
      <c r="O330" s="318"/>
      <c r="P330" s="328"/>
      <c r="Q330" s="318"/>
      <c r="R330" s="318"/>
      <c r="S330" s="318"/>
      <c r="T330" s="318"/>
      <c r="U330" s="318"/>
      <c r="V330" s="318"/>
    </row>
    <row r="331" spans="1:22" ht="15.6" hidden="1" outlineLevel="2">
      <c r="A331" s="318">
        <v>1</v>
      </c>
      <c r="B331" t="str">
        <f>+B$67</f>
        <v xml:space="preserve">Carson City </v>
      </c>
      <c r="C331" s="424"/>
      <c r="D331" s="424">
        <f>E217</f>
        <v>0</v>
      </c>
      <c r="E331" s="828">
        <f t="shared" ref="E331:I336" si="149">+$E217*E239</f>
        <v>0</v>
      </c>
      <c r="F331" s="828">
        <f t="shared" si="149"/>
        <v>0</v>
      </c>
      <c r="G331" s="828">
        <f t="shared" si="149"/>
        <v>0</v>
      </c>
      <c r="H331" s="828">
        <f t="shared" si="149"/>
        <v>0</v>
      </c>
      <c r="I331" s="828">
        <f t="shared" si="149"/>
        <v>0</v>
      </c>
      <c r="J331" s="852">
        <f t="shared" ref="J331:J337" si="150">SUM(E331:I331)</f>
        <v>0</v>
      </c>
      <c r="O331" s="318"/>
      <c r="P331" s="328"/>
      <c r="Q331" s="318"/>
      <c r="R331" s="318"/>
      <c r="S331" s="318"/>
      <c r="T331" s="318"/>
      <c r="U331" s="318"/>
      <c r="V331" s="318"/>
    </row>
    <row r="332" spans="1:22" ht="15.6" hidden="1" outlineLevel="2">
      <c r="A332" s="318">
        <f>1+A331</f>
        <v>2</v>
      </c>
      <c r="B332" t="str">
        <f>+$B$68</f>
        <v>Churchill</v>
      </c>
      <c r="C332" s="4"/>
      <c r="D332" s="4">
        <f t="shared" ref="D332:D336" si="151">E218</f>
        <v>0</v>
      </c>
      <c r="E332" s="829">
        <f t="shared" si="149"/>
        <v>0</v>
      </c>
      <c r="F332" s="829">
        <f t="shared" si="149"/>
        <v>0</v>
      </c>
      <c r="G332" s="829">
        <f t="shared" si="149"/>
        <v>0</v>
      </c>
      <c r="H332" s="829">
        <f t="shared" si="149"/>
        <v>0</v>
      </c>
      <c r="I332" s="829">
        <f t="shared" si="149"/>
        <v>0</v>
      </c>
      <c r="J332" s="819">
        <f t="shared" si="150"/>
        <v>0</v>
      </c>
      <c r="O332" s="318"/>
      <c r="P332" s="328"/>
      <c r="Q332" s="318"/>
      <c r="R332" s="318"/>
      <c r="S332" s="318"/>
      <c r="T332" s="318"/>
      <c r="U332" s="318"/>
      <c r="V332" s="318"/>
    </row>
    <row r="333" spans="1:22" ht="15.6" hidden="1" outlineLevel="2">
      <c r="A333" s="318">
        <f t="shared" ref="A333:A336" si="152">1+A332</f>
        <v>3</v>
      </c>
      <c r="B333" t="str">
        <f>+$B$69</f>
        <v>Clark</v>
      </c>
      <c r="C333" s="4"/>
      <c r="D333" s="4" t="str">
        <f t="shared" si="151"/>
        <v>General</v>
      </c>
      <c r="E333" s="829" t="e">
        <f t="shared" si="149"/>
        <v>#VALUE!</v>
      </c>
      <c r="F333" s="829" t="e">
        <f t="shared" si="149"/>
        <v>#VALUE!</v>
      </c>
      <c r="G333" s="829" t="e">
        <f t="shared" si="149"/>
        <v>#VALUE!</v>
      </c>
      <c r="H333" s="829" t="e">
        <f t="shared" si="149"/>
        <v>#VALUE!</v>
      </c>
      <c r="I333" s="829" t="e">
        <f t="shared" si="149"/>
        <v>#VALUE!</v>
      </c>
      <c r="J333" s="819" t="e">
        <f t="shared" si="150"/>
        <v>#VALUE!</v>
      </c>
      <c r="O333" s="318"/>
      <c r="P333" s="328"/>
      <c r="Q333" s="318"/>
      <c r="R333" s="318"/>
      <c r="S333" s="318"/>
      <c r="T333" s="318"/>
      <c r="U333" s="318"/>
      <c r="V333" s="318"/>
    </row>
    <row r="334" spans="1:22" ht="15.6" hidden="1" outlineLevel="2">
      <c r="A334" s="318">
        <f t="shared" si="152"/>
        <v>4</v>
      </c>
      <c r="B334" t="str">
        <f>+$B$70</f>
        <v>Elko</v>
      </c>
      <c r="C334" s="4"/>
      <c r="D334" s="4">
        <f t="shared" si="151"/>
        <v>100</v>
      </c>
      <c r="E334" s="829">
        <f t="shared" si="149"/>
        <v>797433.33333333326</v>
      </c>
      <c r="F334" s="829">
        <f t="shared" si="149"/>
        <v>1102722.7682830808</v>
      </c>
      <c r="G334" s="829">
        <f t="shared" si="149"/>
        <v>873986.93333333335</v>
      </c>
      <c r="H334" s="829">
        <f t="shared" si="149"/>
        <v>811787.1333333333</v>
      </c>
      <c r="I334" s="829">
        <f t="shared" si="149"/>
        <v>893125.33333333337</v>
      </c>
      <c r="J334" s="819">
        <f t="shared" si="150"/>
        <v>4479055.5016164137</v>
      </c>
      <c r="O334" s="318"/>
      <c r="P334" s="328"/>
      <c r="Q334" s="318"/>
      <c r="R334" s="318"/>
      <c r="S334" s="318"/>
      <c r="T334" s="318"/>
      <c r="U334" s="318"/>
      <c r="V334" s="318"/>
    </row>
    <row r="335" spans="1:22" ht="15.6" hidden="1" outlineLevel="2">
      <c r="A335" s="318">
        <f t="shared" si="152"/>
        <v>5</v>
      </c>
      <c r="B335" t="str">
        <f>+$B$72</f>
        <v>Washoe</v>
      </c>
      <c r="C335" s="4"/>
      <c r="D335" s="4">
        <f t="shared" si="151"/>
        <v>0</v>
      </c>
      <c r="E335" s="829">
        <f t="shared" si="149"/>
        <v>0</v>
      </c>
      <c r="F335" s="829">
        <f t="shared" si="149"/>
        <v>0</v>
      </c>
      <c r="G335" s="829">
        <f t="shared" si="149"/>
        <v>0</v>
      </c>
      <c r="H335" s="829">
        <f t="shared" si="149"/>
        <v>0</v>
      </c>
      <c r="I335" s="829">
        <f t="shared" si="149"/>
        <v>0</v>
      </c>
      <c r="J335" s="819">
        <f t="shared" si="150"/>
        <v>0</v>
      </c>
      <c r="O335" s="318"/>
      <c r="P335" s="328"/>
      <c r="Q335" s="318"/>
      <c r="R335" s="318"/>
      <c r="S335" s="318"/>
      <c r="T335" s="318"/>
      <c r="U335" s="318"/>
      <c r="V335" s="318"/>
    </row>
    <row r="336" spans="1:22" ht="15.6" hidden="1" outlineLevel="2">
      <c r="A336" s="318">
        <f t="shared" si="152"/>
        <v>6</v>
      </c>
      <c r="B336" t="str">
        <f>+$B$73</f>
        <v>White Pine</v>
      </c>
      <c r="C336" s="4"/>
      <c r="D336" s="4">
        <f t="shared" si="151"/>
        <v>0</v>
      </c>
      <c r="E336" s="830" t="e">
        <f t="shared" si="149"/>
        <v>#VALUE!</v>
      </c>
      <c r="F336" s="830">
        <f t="shared" si="149"/>
        <v>0</v>
      </c>
      <c r="G336" s="830">
        <f t="shared" si="149"/>
        <v>0</v>
      </c>
      <c r="H336" s="830">
        <f t="shared" si="149"/>
        <v>0</v>
      </c>
      <c r="I336" s="830">
        <f t="shared" si="149"/>
        <v>0</v>
      </c>
      <c r="J336" s="819" t="e">
        <f t="shared" si="150"/>
        <v>#VALUE!</v>
      </c>
      <c r="O336" s="318"/>
      <c r="P336" s="328"/>
      <c r="Q336" s="318"/>
      <c r="R336" s="318"/>
      <c r="S336" s="318"/>
      <c r="T336" s="318"/>
      <c r="U336" s="318"/>
      <c r="V336" s="318"/>
    </row>
    <row r="337" spans="1:22" ht="15.6" hidden="1" outlineLevel="2">
      <c r="A337" s="318"/>
      <c r="B337" s="826" t="s">
        <v>78</v>
      </c>
      <c r="C337" s="826"/>
      <c r="D337" s="826"/>
      <c r="E337" s="853" t="e">
        <f>SUM(E331:E336)</f>
        <v>#VALUE!</v>
      </c>
      <c r="F337" s="853" t="e">
        <f t="shared" ref="F337" si="153">SUM(F331:F336)</f>
        <v>#VALUE!</v>
      </c>
      <c r="G337" s="853" t="e">
        <f t="shared" ref="G337" si="154">SUM(G331:G336)</f>
        <v>#VALUE!</v>
      </c>
      <c r="H337" s="853" t="e">
        <f t="shared" ref="H337" si="155">SUM(H331:H336)</f>
        <v>#VALUE!</v>
      </c>
      <c r="I337" s="853" t="e">
        <f t="shared" ref="I337" si="156">SUM(I331:I336)</f>
        <v>#VALUE!</v>
      </c>
      <c r="J337" s="853" t="e">
        <f t="shared" si="150"/>
        <v>#VALUE!</v>
      </c>
      <c r="O337" s="318"/>
      <c r="P337" s="328"/>
      <c r="Q337" s="318"/>
      <c r="R337" s="318"/>
      <c r="S337" s="318"/>
      <c r="T337" s="318"/>
      <c r="U337" s="318"/>
      <c r="V337" s="318"/>
    </row>
    <row r="338" spans="1:22" ht="15.6" hidden="1" outlineLevel="2">
      <c r="A338" s="318"/>
      <c r="O338" s="318"/>
      <c r="P338" s="328"/>
      <c r="Q338" s="318"/>
      <c r="R338" s="318"/>
      <c r="S338" s="318"/>
      <c r="T338" s="318"/>
      <c r="U338" s="318"/>
      <c r="V338" s="318"/>
    </row>
    <row r="339" spans="1:22" ht="15.6" hidden="1" outlineLevel="2">
      <c r="A339" s="318"/>
      <c r="B339" s="826" t="s">
        <v>953</v>
      </c>
      <c r="C339" s="826"/>
      <c r="D339" s="826"/>
      <c r="E339" s="853" t="e">
        <f>+E327+E337</f>
        <v>#VALUE!</v>
      </c>
      <c r="F339" s="853" t="e">
        <f t="shared" ref="F339:I339" si="157">+F327+F337</f>
        <v>#VALUE!</v>
      </c>
      <c r="G339" s="853" t="e">
        <f t="shared" si="157"/>
        <v>#VALUE!</v>
      </c>
      <c r="H339" s="853" t="e">
        <f t="shared" si="157"/>
        <v>#VALUE!</v>
      </c>
      <c r="I339" s="853" t="e">
        <f t="shared" si="157"/>
        <v>#VALUE!</v>
      </c>
      <c r="J339" s="855" t="e">
        <f>SUM(E339:I339)</f>
        <v>#VALUE!</v>
      </c>
      <c r="O339" s="318"/>
      <c r="P339" s="328"/>
      <c r="Q339" s="318"/>
      <c r="R339" s="318"/>
      <c r="S339" s="318"/>
      <c r="T339" s="318"/>
      <c r="U339" s="318"/>
      <c r="V339" s="318"/>
    </row>
    <row r="340" spans="1:22" ht="15.6" hidden="1" outlineLevel="2">
      <c r="A340" s="318"/>
      <c r="O340" s="318"/>
      <c r="P340" s="328"/>
      <c r="Q340" s="318"/>
      <c r="R340" s="318"/>
      <c r="S340" s="318"/>
      <c r="T340" s="318"/>
      <c r="U340" s="318"/>
      <c r="V340" s="318"/>
    </row>
    <row r="341" spans="1:22" ht="15.6" hidden="1" outlineLevel="2">
      <c r="A341" s="318"/>
      <c r="O341" s="318"/>
      <c r="P341" s="328"/>
      <c r="Q341" s="318"/>
      <c r="R341" s="318"/>
      <c r="S341" s="318"/>
      <c r="T341" s="318"/>
      <c r="U341" s="318"/>
      <c r="V341" s="318"/>
    </row>
    <row r="342" spans="1:22" ht="15.6" hidden="1" outlineLevel="2">
      <c r="A342" s="318"/>
      <c r="O342" s="318"/>
      <c r="P342" s="328"/>
      <c r="Q342" s="318"/>
      <c r="R342" s="318"/>
      <c r="S342" s="318"/>
      <c r="T342" s="318"/>
      <c r="U342" s="318"/>
      <c r="V342" s="318"/>
    </row>
    <row r="343" spans="1:22" ht="15.6" hidden="1" outlineLevel="1" collapsed="1">
      <c r="A343" s="318"/>
      <c r="O343" s="318"/>
      <c r="P343" s="328"/>
      <c r="Q343" s="318"/>
      <c r="R343" s="318"/>
      <c r="S343" s="318"/>
      <c r="T343" s="318"/>
      <c r="U343" s="318"/>
      <c r="V343" s="318"/>
    </row>
    <row r="344" spans="1:22" ht="15.6" collapsed="1">
      <c r="A344" s="318"/>
      <c r="K344" s="812"/>
      <c r="L344" s="812"/>
      <c r="M344" s="812"/>
      <c r="N344" s="1280"/>
      <c r="O344" s="1281"/>
      <c r="P344" s="328"/>
      <c r="Q344" s="318"/>
      <c r="R344" s="318"/>
      <c r="S344" s="318"/>
      <c r="T344" s="318"/>
      <c r="U344" s="318"/>
      <c r="V344" s="318"/>
    </row>
    <row r="345" spans="1:22" ht="15.6">
      <c r="A345" s="318"/>
      <c r="J345" s="1053"/>
      <c r="N345" s="424"/>
      <c r="O345" s="424"/>
      <c r="P345" s="328"/>
      <c r="Q345" s="318"/>
      <c r="R345" s="318"/>
      <c r="S345" s="318"/>
      <c r="T345" s="318"/>
      <c r="U345" s="318"/>
      <c r="V345" s="318"/>
    </row>
    <row r="346" spans="1:22" ht="15.6">
      <c r="A346" s="318"/>
      <c r="J346" s="1053"/>
      <c r="N346" s="424"/>
      <c r="O346" s="424"/>
      <c r="P346" s="328"/>
      <c r="Q346" s="318"/>
      <c r="R346" s="318"/>
      <c r="S346" s="318"/>
      <c r="T346" s="318"/>
      <c r="U346" s="318"/>
      <c r="V346" s="318"/>
    </row>
    <row r="347" spans="1:22" ht="15.6">
      <c r="A347" s="318"/>
      <c r="J347" s="1053"/>
      <c r="N347" s="424"/>
      <c r="O347" s="424"/>
      <c r="P347" s="328"/>
      <c r="Q347" s="318"/>
      <c r="R347" s="318"/>
      <c r="S347" s="318"/>
      <c r="T347" s="318"/>
      <c r="U347" s="318"/>
      <c r="V347" s="318"/>
    </row>
    <row r="348" spans="1:22" ht="15.6">
      <c r="A348" s="318"/>
      <c r="J348" s="1053"/>
      <c r="N348" s="424"/>
      <c r="O348" s="424"/>
      <c r="P348" s="328"/>
      <c r="Q348" s="318"/>
      <c r="R348" s="318"/>
      <c r="S348" s="318"/>
      <c r="T348" s="318"/>
      <c r="U348" s="318"/>
      <c r="V348" s="318"/>
    </row>
    <row r="349" spans="1:22" ht="15.6">
      <c r="A349" s="318"/>
      <c r="O349" s="318"/>
      <c r="P349" s="328"/>
      <c r="Q349" s="318"/>
      <c r="R349" s="318"/>
      <c r="S349" s="318"/>
      <c r="T349" s="318"/>
      <c r="U349" s="318"/>
      <c r="V349" s="318"/>
    </row>
    <row r="350" spans="1:22" ht="15.6">
      <c r="A350" s="318"/>
      <c r="O350" s="318"/>
      <c r="P350" s="328"/>
      <c r="Q350" s="318"/>
      <c r="R350" s="318"/>
      <c r="S350" s="318"/>
      <c r="T350" s="318"/>
      <c r="U350" s="318"/>
      <c r="V350" s="318"/>
    </row>
    <row r="351" spans="1:22" ht="15.6">
      <c r="A351" s="318"/>
      <c r="O351" s="318"/>
      <c r="P351" s="328"/>
      <c r="Q351" s="318"/>
      <c r="R351" s="318"/>
      <c r="S351" s="318"/>
      <c r="T351" s="318"/>
      <c r="U351" s="318"/>
      <c r="V351" s="318"/>
    </row>
    <row r="352" spans="1:22" ht="15.6">
      <c r="A352" s="318"/>
      <c r="O352" s="318"/>
      <c r="P352" s="328"/>
      <c r="Q352" s="318"/>
      <c r="R352" s="318"/>
      <c r="S352" s="318"/>
      <c r="T352" s="318"/>
      <c r="U352" s="318"/>
      <c r="V352" s="318"/>
    </row>
    <row r="353" spans="1:22" ht="15.6">
      <c r="A353" s="318"/>
      <c r="O353" s="318"/>
      <c r="P353" s="328"/>
      <c r="Q353" s="318"/>
      <c r="R353" s="318"/>
      <c r="S353" s="318"/>
      <c r="T353" s="318"/>
      <c r="U353" s="318"/>
      <c r="V353" s="318"/>
    </row>
    <row r="354" spans="1:22" ht="15.6">
      <c r="A354" s="318"/>
      <c r="O354" s="318"/>
      <c r="P354" s="328"/>
      <c r="Q354" s="318"/>
      <c r="R354" s="318"/>
      <c r="S354" s="318"/>
      <c r="T354" s="318"/>
      <c r="U354" s="318"/>
      <c r="V354" s="318"/>
    </row>
    <row r="355" spans="1:22" ht="15.6">
      <c r="A355" s="318"/>
      <c r="O355" s="318"/>
      <c r="P355" s="328"/>
      <c r="Q355" s="318"/>
      <c r="R355" s="318"/>
      <c r="S355" s="318"/>
      <c r="T355" s="318"/>
      <c r="U355" s="318"/>
      <c r="V355" s="318"/>
    </row>
    <row r="356" spans="1:22" ht="15.6">
      <c r="A356" s="318"/>
      <c r="O356" s="318"/>
      <c r="P356" s="328"/>
      <c r="Q356" s="318"/>
      <c r="R356" s="318"/>
      <c r="S356" s="318"/>
      <c r="T356" s="318"/>
      <c r="U356" s="318"/>
      <c r="V356" s="318"/>
    </row>
    <row r="357" spans="1:22" ht="15.6">
      <c r="A357" s="318"/>
      <c r="O357" s="318"/>
      <c r="P357" s="328"/>
      <c r="Q357" s="318"/>
      <c r="R357" s="318"/>
      <c r="S357" s="318"/>
      <c r="T357" s="318"/>
      <c r="U357" s="318"/>
      <c r="V357" s="318"/>
    </row>
    <row r="358" spans="1:22" ht="15.6">
      <c r="A358" s="318"/>
      <c r="O358" s="318"/>
      <c r="P358" s="328"/>
      <c r="Q358" s="318"/>
      <c r="R358" s="318"/>
      <c r="S358" s="318"/>
      <c r="T358" s="318"/>
      <c r="U358" s="318"/>
      <c r="V358" s="318"/>
    </row>
    <row r="359" spans="1:22" ht="15.6">
      <c r="A359" s="318"/>
      <c r="O359" s="318"/>
      <c r="P359" s="328"/>
      <c r="Q359" s="318"/>
      <c r="R359" s="318"/>
      <c r="S359" s="318"/>
      <c r="T359" s="318"/>
      <c r="U359" s="318"/>
      <c r="V359" s="318"/>
    </row>
    <row r="360" spans="1:22" ht="15.6">
      <c r="A360" s="318"/>
      <c r="O360" s="318"/>
      <c r="P360" s="328"/>
      <c r="Q360" s="318"/>
      <c r="R360" s="318"/>
      <c r="S360" s="318"/>
      <c r="T360" s="318"/>
      <c r="U360" s="318"/>
      <c r="V360" s="318"/>
    </row>
    <row r="361" spans="1:22" ht="15.6">
      <c r="A361" s="318"/>
      <c r="O361" s="318"/>
      <c r="P361" s="328"/>
      <c r="Q361" s="318"/>
      <c r="R361" s="318"/>
      <c r="S361" s="318"/>
      <c r="T361" s="318"/>
      <c r="U361" s="318"/>
      <c r="V361" s="318"/>
    </row>
    <row r="362" spans="1:22" ht="15.6">
      <c r="A362" s="318"/>
      <c r="O362" s="318"/>
      <c r="P362" s="328"/>
      <c r="Q362" s="318"/>
      <c r="R362" s="318"/>
      <c r="S362" s="318"/>
      <c r="T362" s="318"/>
      <c r="U362" s="318"/>
      <c r="V362" s="318"/>
    </row>
    <row r="363" spans="1:22" ht="15.6">
      <c r="A363" s="318"/>
      <c r="O363" s="318"/>
      <c r="P363" s="328"/>
      <c r="Q363" s="318"/>
      <c r="R363" s="318"/>
      <c r="S363" s="318"/>
      <c r="T363" s="318"/>
      <c r="U363" s="318"/>
      <c r="V363" s="318"/>
    </row>
    <row r="364" spans="1:22" ht="15.6">
      <c r="A364" s="318"/>
      <c r="O364" s="318"/>
      <c r="P364" s="328"/>
      <c r="Q364" s="318"/>
      <c r="R364" s="318"/>
      <c r="S364" s="318"/>
      <c r="T364" s="318"/>
      <c r="U364" s="318"/>
      <c r="V364" s="318"/>
    </row>
    <row r="365" spans="1:22" ht="15.6">
      <c r="A365" s="318"/>
      <c r="O365" s="318"/>
      <c r="P365" s="328"/>
      <c r="Q365" s="318"/>
      <c r="R365" s="318"/>
      <c r="S365" s="318"/>
      <c r="T365" s="318"/>
      <c r="U365" s="318"/>
      <c r="V365" s="318"/>
    </row>
    <row r="366" spans="1:22" ht="15.6">
      <c r="A366" s="318"/>
      <c r="O366" s="318"/>
      <c r="P366" s="328"/>
      <c r="Q366" s="318"/>
      <c r="R366" s="318"/>
      <c r="S366" s="318"/>
      <c r="T366" s="318"/>
      <c r="U366" s="318"/>
      <c r="V366" s="318"/>
    </row>
    <row r="367" spans="1:22" ht="15.6">
      <c r="A367" s="318"/>
      <c r="O367" s="318"/>
      <c r="P367" s="328"/>
      <c r="Q367" s="318"/>
      <c r="R367" s="318"/>
      <c r="S367" s="318"/>
      <c r="T367" s="318"/>
      <c r="U367" s="318"/>
      <c r="V367" s="318"/>
    </row>
    <row r="368" spans="1:22" ht="15.6">
      <c r="A368" s="318"/>
      <c r="O368" s="318"/>
      <c r="P368" s="328"/>
      <c r="Q368" s="318"/>
      <c r="R368" s="318"/>
      <c r="S368" s="318"/>
      <c r="T368" s="318"/>
      <c r="U368" s="318"/>
      <c r="V368" s="318"/>
    </row>
    <row r="369" spans="1:22" ht="15.6">
      <c r="A369" s="318"/>
      <c r="O369" s="318"/>
      <c r="P369" s="328"/>
      <c r="Q369" s="318"/>
      <c r="R369" s="318"/>
      <c r="S369" s="318"/>
      <c r="T369" s="318"/>
      <c r="U369" s="318"/>
      <c r="V369" s="318"/>
    </row>
    <row r="370" spans="1:22" ht="15.6">
      <c r="A370" s="318"/>
      <c r="O370" s="318"/>
      <c r="P370" s="328"/>
      <c r="Q370" s="318"/>
      <c r="R370" s="318"/>
      <c r="S370" s="318"/>
      <c r="T370" s="318"/>
      <c r="U370" s="318"/>
      <c r="V370" s="318"/>
    </row>
    <row r="371" spans="1:22" ht="15.6">
      <c r="A371" s="318"/>
      <c r="O371" s="318"/>
      <c r="P371" s="328"/>
      <c r="Q371" s="318"/>
      <c r="R371" s="318"/>
      <c r="S371" s="318"/>
      <c r="T371" s="318"/>
      <c r="U371" s="318"/>
      <c r="V371" s="318"/>
    </row>
    <row r="372" spans="1:22" ht="15.6">
      <c r="A372" s="318"/>
      <c r="O372" s="318"/>
      <c r="P372" s="328"/>
      <c r="Q372" s="318"/>
      <c r="R372" s="318"/>
      <c r="S372" s="318"/>
      <c r="T372" s="318"/>
      <c r="U372" s="318"/>
      <c r="V372" s="318"/>
    </row>
    <row r="373" spans="1:22" ht="15.6">
      <c r="A373" s="318"/>
      <c r="O373" s="318"/>
      <c r="P373" s="328"/>
      <c r="Q373" s="318"/>
      <c r="R373" s="318"/>
      <c r="S373" s="318"/>
      <c r="T373" s="318"/>
      <c r="U373" s="318"/>
      <c r="V373" s="318"/>
    </row>
    <row r="374" spans="1:22" ht="15.6">
      <c r="A374" s="318"/>
      <c r="O374" s="318"/>
      <c r="P374" s="328"/>
      <c r="Q374" s="318"/>
      <c r="R374" s="318"/>
      <c r="S374" s="318"/>
      <c r="T374" s="318"/>
      <c r="U374" s="318"/>
      <c r="V374" s="318"/>
    </row>
    <row r="375" spans="1:22" ht="15.6">
      <c r="A375" s="318"/>
      <c r="O375" s="318"/>
      <c r="P375" s="328"/>
      <c r="Q375" s="318"/>
      <c r="R375" s="318"/>
      <c r="S375" s="318"/>
      <c r="T375" s="318"/>
      <c r="U375" s="318"/>
      <c r="V375" s="318"/>
    </row>
    <row r="376" spans="1:22" ht="15.6">
      <c r="A376" s="318"/>
      <c r="O376" s="318"/>
      <c r="P376" s="328"/>
      <c r="Q376" s="318"/>
      <c r="R376" s="318"/>
      <c r="S376" s="318"/>
      <c r="T376" s="318"/>
      <c r="U376" s="318"/>
      <c r="V376" s="318"/>
    </row>
    <row r="377" spans="1:22" ht="15.6">
      <c r="A377" s="318"/>
      <c r="O377" s="318"/>
      <c r="P377" s="328"/>
      <c r="Q377" s="318"/>
      <c r="R377" s="318"/>
      <c r="S377" s="318"/>
      <c r="T377" s="318"/>
      <c r="U377" s="318"/>
      <c r="V377" s="318"/>
    </row>
    <row r="378" spans="1:22" ht="15.6">
      <c r="A378" s="318"/>
      <c r="O378" s="318"/>
      <c r="P378" s="328"/>
      <c r="Q378" s="318"/>
      <c r="R378" s="318"/>
      <c r="S378" s="318"/>
      <c r="T378" s="318"/>
      <c r="U378" s="318"/>
      <c r="V378" s="318"/>
    </row>
    <row r="379" spans="1:22" ht="15.6">
      <c r="A379" s="318"/>
      <c r="O379" s="318"/>
      <c r="P379" s="328"/>
      <c r="Q379" s="318"/>
      <c r="R379" s="318"/>
      <c r="S379" s="318"/>
      <c r="T379" s="318"/>
      <c r="U379" s="318"/>
      <c r="V379" s="318"/>
    </row>
    <row r="380" spans="1:22" ht="15.6">
      <c r="A380" s="318"/>
      <c r="O380" s="318"/>
      <c r="P380" s="328"/>
      <c r="Q380" s="318"/>
      <c r="R380" s="318"/>
      <c r="S380" s="318"/>
      <c r="T380" s="318"/>
      <c r="U380" s="318"/>
      <c r="V380" s="318"/>
    </row>
    <row r="381" spans="1:22" ht="15.6">
      <c r="A381" s="318"/>
      <c r="O381" s="318"/>
      <c r="P381" s="328"/>
      <c r="Q381" s="318"/>
      <c r="R381" s="318"/>
      <c r="S381" s="318"/>
      <c r="T381" s="318"/>
      <c r="U381" s="318"/>
      <c r="V381" s="318"/>
    </row>
    <row r="382" spans="1:22" ht="15.6">
      <c r="A382" s="318"/>
      <c r="O382" s="318"/>
      <c r="P382" s="328"/>
      <c r="Q382" s="318"/>
      <c r="R382" s="318"/>
      <c r="S382" s="318"/>
      <c r="T382" s="318"/>
      <c r="U382" s="318"/>
      <c r="V382" s="318"/>
    </row>
    <row r="383" spans="1:22" ht="15.6">
      <c r="A383" s="318"/>
      <c r="O383" s="318"/>
      <c r="P383" s="328"/>
      <c r="Q383" s="318"/>
      <c r="R383" s="318"/>
      <c r="S383" s="318"/>
      <c r="T383" s="318"/>
      <c r="U383" s="318"/>
      <c r="V383" s="318"/>
    </row>
    <row r="384" spans="1:22" ht="15.6">
      <c r="A384" s="318"/>
      <c r="O384" s="318"/>
      <c r="P384" s="328"/>
      <c r="Q384" s="318"/>
      <c r="R384" s="318"/>
      <c r="S384" s="318"/>
      <c r="T384" s="318"/>
      <c r="U384" s="318"/>
      <c r="V384" s="318"/>
    </row>
    <row r="385" spans="1:22" ht="15.6">
      <c r="A385" s="318"/>
      <c r="O385" s="318"/>
      <c r="P385" s="328"/>
      <c r="Q385" s="318"/>
      <c r="R385" s="318"/>
      <c r="S385" s="318"/>
      <c r="T385" s="318"/>
      <c r="U385" s="318"/>
      <c r="V385" s="318"/>
    </row>
    <row r="386" spans="1:22" ht="15.6">
      <c r="A386" s="318"/>
      <c r="O386" s="318"/>
      <c r="P386" s="328"/>
      <c r="Q386" s="318"/>
      <c r="R386" s="318"/>
      <c r="S386" s="318"/>
      <c r="T386" s="318"/>
      <c r="U386" s="318"/>
      <c r="V386" s="318"/>
    </row>
    <row r="387" spans="1:22" ht="15.6">
      <c r="A387" s="318"/>
      <c r="O387" s="318"/>
      <c r="P387" s="328"/>
      <c r="Q387" s="318"/>
      <c r="R387" s="318"/>
      <c r="S387" s="318"/>
      <c r="T387" s="318"/>
      <c r="U387" s="318"/>
      <c r="V387" s="318"/>
    </row>
    <row r="388" spans="1:22" ht="15.6">
      <c r="A388" s="318"/>
      <c r="O388" s="318"/>
      <c r="P388" s="328"/>
      <c r="Q388" s="318"/>
      <c r="R388" s="318"/>
      <c r="S388" s="318"/>
      <c r="T388" s="318"/>
      <c r="U388" s="318"/>
      <c r="V388" s="318"/>
    </row>
    <row r="389" spans="1:22" ht="15.6">
      <c r="A389" s="318"/>
      <c r="O389" s="318"/>
      <c r="P389" s="328"/>
      <c r="Q389" s="318"/>
      <c r="R389" s="318"/>
      <c r="S389" s="318"/>
      <c r="T389" s="318"/>
      <c r="U389" s="318"/>
      <c r="V389" s="318"/>
    </row>
    <row r="390" spans="1:22" ht="15.6">
      <c r="A390" s="318"/>
      <c r="O390" s="318"/>
      <c r="P390" s="328"/>
      <c r="Q390" s="318"/>
      <c r="R390" s="318"/>
      <c r="S390" s="318"/>
      <c r="T390" s="318"/>
      <c r="U390" s="318"/>
      <c r="V390" s="318"/>
    </row>
    <row r="391" spans="1:22" ht="15.6">
      <c r="A391" s="318"/>
      <c r="O391" s="318"/>
      <c r="P391" s="328"/>
      <c r="Q391" s="318"/>
      <c r="R391" s="318"/>
      <c r="S391" s="318"/>
      <c r="T391" s="318"/>
      <c r="U391" s="318"/>
      <c r="V391" s="318"/>
    </row>
    <row r="392" spans="1:22" ht="15.6">
      <c r="A392" s="318"/>
      <c r="O392" s="318"/>
      <c r="P392" s="328"/>
      <c r="Q392" s="318"/>
      <c r="R392" s="318"/>
      <c r="S392" s="318"/>
      <c r="T392" s="318"/>
      <c r="U392" s="318"/>
      <c r="V392" s="318"/>
    </row>
    <row r="393" spans="1:22" ht="15.6">
      <c r="A393" s="318"/>
      <c r="O393" s="318"/>
      <c r="P393" s="328"/>
      <c r="Q393" s="318"/>
      <c r="R393" s="318"/>
      <c r="S393" s="318"/>
      <c r="T393" s="318"/>
      <c r="U393" s="318"/>
      <c r="V393" s="318"/>
    </row>
    <row r="394" spans="1:22" ht="15.6">
      <c r="A394" s="318"/>
      <c r="O394" s="318"/>
      <c r="P394" s="328"/>
      <c r="Q394" s="318"/>
      <c r="R394" s="318"/>
      <c r="S394" s="318"/>
      <c r="T394" s="318"/>
      <c r="U394" s="318"/>
      <c r="V394" s="318"/>
    </row>
    <row r="395" spans="1:22" ht="15.6">
      <c r="A395" s="318"/>
      <c r="O395" s="318"/>
      <c r="P395" s="328"/>
      <c r="Q395" s="318"/>
      <c r="R395" s="318"/>
      <c r="S395" s="318"/>
      <c r="T395" s="318"/>
      <c r="U395" s="318"/>
      <c r="V395" s="318"/>
    </row>
    <row r="396" spans="1:22" ht="15.6">
      <c r="A396" s="318"/>
      <c r="O396" s="318"/>
      <c r="P396" s="328"/>
      <c r="Q396" s="318"/>
      <c r="R396" s="318"/>
      <c r="S396" s="318"/>
      <c r="T396" s="318"/>
      <c r="U396" s="318"/>
      <c r="V396" s="318"/>
    </row>
    <row r="397" spans="1:22" ht="15.6">
      <c r="A397" s="318"/>
      <c r="O397" s="318"/>
      <c r="P397" s="328"/>
      <c r="Q397" s="318"/>
      <c r="R397" s="318"/>
      <c r="S397" s="318"/>
      <c r="T397" s="318"/>
      <c r="U397" s="318"/>
      <c r="V397" s="318"/>
    </row>
    <row r="398" spans="1:22" ht="15.6">
      <c r="A398" s="318"/>
      <c r="O398" s="318"/>
      <c r="P398" s="328"/>
      <c r="Q398" s="318"/>
      <c r="R398" s="318"/>
      <c r="S398" s="318"/>
      <c r="T398" s="318"/>
      <c r="U398" s="318"/>
      <c r="V398" s="318"/>
    </row>
    <row r="399" spans="1:22" ht="15.6">
      <c r="A399" s="318"/>
      <c r="O399" s="318"/>
      <c r="P399" s="328"/>
      <c r="Q399" s="318"/>
      <c r="R399" s="318"/>
      <c r="S399" s="318"/>
      <c r="T399" s="318"/>
      <c r="U399" s="318"/>
      <c r="V399" s="318"/>
    </row>
    <row r="400" spans="1:22" ht="15.6">
      <c r="A400" s="318"/>
      <c r="B400" s="866" t="s">
        <v>959</v>
      </c>
      <c r="C400" s="867"/>
      <c r="D400" s="867"/>
      <c r="E400" s="867"/>
      <c r="F400" s="867"/>
      <c r="G400" s="867"/>
      <c r="H400" s="867"/>
      <c r="I400" s="867"/>
      <c r="J400" s="867"/>
      <c r="O400" s="318"/>
      <c r="P400" s="328"/>
      <c r="Q400" s="318"/>
      <c r="R400" s="318"/>
      <c r="S400" s="318"/>
      <c r="T400" s="318"/>
      <c r="U400" s="318"/>
      <c r="V400" s="318"/>
    </row>
    <row r="401" spans="1:22" ht="15.6">
      <c r="A401" s="318"/>
      <c r="B401" s="330" t="s">
        <v>960</v>
      </c>
      <c r="C401" s="330"/>
      <c r="D401" s="318"/>
      <c r="E401" s="318"/>
      <c r="F401" s="318"/>
      <c r="G401" s="318"/>
      <c r="H401" s="318"/>
      <c r="I401" s="318"/>
      <c r="O401" s="318"/>
      <c r="P401" s="328"/>
      <c r="Q401" s="318"/>
      <c r="R401" s="318"/>
      <c r="S401" s="318"/>
      <c r="T401" s="318"/>
      <c r="U401" s="318"/>
      <c r="V401" s="318"/>
    </row>
    <row r="402" spans="1:22" ht="15.6">
      <c r="A402" s="318"/>
      <c r="B402" s="323">
        <v>6980</v>
      </c>
      <c r="C402" s="323"/>
      <c r="D402" s="330" t="s">
        <v>961</v>
      </c>
      <c r="E402" s="330"/>
      <c r="F402" s="318"/>
      <c r="G402" s="318"/>
      <c r="H402" s="318"/>
      <c r="I402" s="318"/>
      <c r="O402" s="318"/>
      <c r="P402" s="328"/>
      <c r="Q402" s="318"/>
      <c r="R402" s="318"/>
      <c r="S402" s="318"/>
      <c r="T402" s="318"/>
      <c r="U402" s="318"/>
      <c r="V402" s="318"/>
    </row>
    <row r="403" spans="1:22" ht="15.6">
      <c r="A403" s="318"/>
      <c r="B403" s="318"/>
      <c r="C403" s="318"/>
      <c r="D403" s="318"/>
      <c r="E403" s="318"/>
      <c r="F403" s="330" t="s">
        <v>839</v>
      </c>
      <c r="G403" s="318"/>
      <c r="H403" s="318"/>
      <c r="I403" s="330" t="s">
        <v>839</v>
      </c>
      <c r="O403" s="318"/>
      <c r="P403" s="328"/>
      <c r="Q403" s="318"/>
      <c r="R403" s="318"/>
      <c r="S403" s="318"/>
      <c r="T403" s="318"/>
      <c r="U403" s="318"/>
      <c r="V403" s="318"/>
    </row>
    <row r="404" spans="1:22" ht="15.6">
      <c r="A404" s="318"/>
      <c r="B404" s="803" t="s">
        <v>962</v>
      </c>
      <c r="C404" s="803"/>
      <c r="D404" s="804"/>
      <c r="F404" s="803" t="s">
        <v>963</v>
      </c>
      <c r="G404" s="797"/>
      <c r="H404" s="318"/>
      <c r="I404" s="784" t="s">
        <v>964</v>
      </c>
      <c r="J404" s="771"/>
      <c r="O404" s="318"/>
      <c r="P404" s="328"/>
      <c r="Q404" s="318"/>
      <c r="R404" s="318"/>
      <c r="S404" s="318"/>
      <c r="T404" s="318"/>
      <c r="U404" s="318"/>
      <c r="V404" s="318"/>
    </row>
    <row r="405" spans="1:22" ht="15.6">
      <c r="A405" s="318"/>
      <c r="B405" s="779" t="s">
        <v>965</v>
      </c>
      <c r="C405" s="779"/>
      <c r="D405" s="782" t="s">
        <v>929</v>
      </c>
      <c r="E405" s="782"/>
      <c r="F405" s="780" t="s">
        <v>840</v>
      </c>
      <c r="G405" s="782" t="s">
        <v>929</v>
      </c>
      <c r="H405" s="781"/>
      <c r="I405" s="780" t="s">
        <v>840</v>
      </c>
      <c r="J405" s="782" t="s">
        <v>929</v>
      </c>
      <c r="O405" s="318"/>
      <c r="P405" s="328"/>
      <c r="Q405" s="318"/>
      <c r="R405" s="318"/>
      <c r="S405" s="318"/>
      <c r="T405" s="318"/>
      <c r="U405" s="318"/>
      <c r="V405" s="318"/>
    </row>
    <row r="406" spans="1:22" ht="15.6">
      <c r="A406" s="318"/>
      <c r="B406" s="797" t="s">
        <v>866</v>
      </c>
      <c r="C406" s="797"/>
      <c r="D406" s="795">
        <v>7763.23</v>
      </c>
      <c r="E406" s="323"/>
      <c r="F406" s="797" t="s">
        <v>866</v>
      </c>
      <c r="G406" s="795">
        <v>6980</v>
      </c>
      <c r="H406" s="318"/>
      <c r="I406" s="785" t="s">
        <v>866</v>
      </c>
      <c r="J406" s="799">
        <v>7494.32</v>
      </c>
      <c r="O406" s="318"/>
      <c r="P406" s="328"/>
      <c r="Q406" s="318"/>
      <c r="R406" s="318"/>
      <c r="S406" s="318"/>
      <c r="T406" s="318"/>
      <c r="U406" s="318"/>
      <c r="V406" s="318"/>
    </row>
    <row r="407" spans="1:22" ht="15.6">
      <c r="A407" s="318"/>
      <c r="B407" s="797" t="s">
        <v>867</v>
      </c>
      <c r="C407" s="797"/>
      <c r="D407" s="796">
        <v>8093.24</v>
      </c>
      <c r="E407" s="320"/>
      <c r="F407" s="797" t="s">
        <v>867</v>
      </c>
      <c r="G407" s="796">
        <v>7169</v>
      </c>
      <c r="H407" s="318"/>
      <c r="I407" s="785" t="s">
        <v>867</v>
      </c>
      <c r="J407" s="800">
        <v>8093.33</v>
      </c>
      <c r="O407" s="318"/>
      <c r="P407" s="328"/>
      <c r="Q407" s="318"/>
      <c r="R407" s="318"/>
      <c r="S407" s="318"/>
      <c r="T407" s="318"/>
      <c r="U407" s="318"/>
      <c r="V407" s="318"/>
    </row>
    <row r="408" spans="1:22" ht="15.6">
      <c r="A408" s="318"/>
      <c r="B408" s="797" t="s">
        <v>868</v>
      </c>
      <c r="C408" s="797"/>
      <c r="D408" s="796">
        <v>7264.25</v>
      </c>
      <c r="E408" s="320"/>
      <c r="F408" s="797" t="s">
        <v>868</v>
      </c>
      <c r="G408" s="796">
        <v>7197</v>
      </c>
      <c r="H408" s="318"/>
      <c r="I408" s="785" t="s">
        <v>868</v>
      </c>
      <c r="J408" s="800">
        <v>7197.34</v>
      </c>
      <c r="O408" s="318"/>
      <c r="P408" s="328"/>
      <c r="Q408" s="318"/>
      <c r="R408" s="318"/>
      <c r="S408" s="318"/>
      <c r="T408" s="318"/>
      <c r="U408" s="318"/>
      <c r="V408" s="318"/>
    </row>
    <row r="409" spans="1:22" ht="15.6">
      <c r="A409" s="318"/>
      <c r="B409" s="797" t="s">
        <v>966</v>
      </c>
      <c r="C409" s="797"/>
      <c r="D409" s="796">
        <v>9177.26</v>
      </c>
      <c r="E409" s="320"/>
      <c r="F409" s="797" t="s">
        <v>966</v>
      </c>
      <c r="G409" s="796">
        <v>6980</v>
      </c>
      <c r="H409" s="318"/>
      <c r="I409" s="785" t="s">
        <v>869</v>
      </c>
      <c r="J409" s="800">
        <v>7715.35</v>
      </c>
      <c r="O409" s="318"/>
      <c r="P409" s="328"/>
      <c r="Q409" s="318"/>
      <c r="R409" s="318"/>
      <c r="S409" s="318"/>
      <c r="T409" s="318"/>
      <c r="U409" s="318"/>
      <c r="V409" s="318"/>
    </row>
    <row r="410" spans="1:22" ht="15.6">
      <c r="A410" s="318"/>
      <c r="B410" s="797" t="s">
        <v>869</v>
      </c>
      <c r="C410" s="797"/>
      <c r="D410" s="796">
        <v>9279.27</v>
      </c>
      <c r="E410" s="320"/>
      <c r="F410" s="797" t="s">
        <v>869</v>
      </c>
      <c r="G410" s="796">
        <v>7169</v>
      </c>
      <c r="H410" s="318"/>
      <c r="I410" s="785" t="s">
        <v>870</v>
      </c>
      <c r="J410" s="800">
        <v>6980.36</v>
      </c>
      <c r="O410" s="318"/>
      <c r="P410" s="328"/>
      <c r="Q410" s="318"/>
      <c r="R410" s="318"/>
      <c r="S410" s="318"/>
      <c r="T410" s="318"/>
      <c r="U410" s="318"/>
      <c r="V410" s="318"/>
    </row>
    <row r="411" spans="1:22" ht="15.6">
      <c r="A411" s="318"/>
      <c r="B411" s="797" t="s">
        <v>967</v>
      </c>
      <c r="C411" s="797"/>
      <c r="D411" s="796">
        <v>22360.28</v>
      </c>
      <c r="E411" s="320"/>
      <c r="F411" s="797" t="s">
        <v>967</v>
      </c>
      <c r="G411" s="796">
        <v>7169</v>
      </c>
      <c r="H411" s="318"/>
      <c r="I411" s="785" t="s">
        <v>871</v>
      </c>
      <c r="J411" s="800">
        <v>10367</v>
      </c>
      <c r="O411" s="318"/>
      <c r="P411" s="328"/>
      <c r="Q411" s="318"/>
      <c r="R411" s="318"/>
      <c r="S411" s="318"/>
      <c r="T411" s="318"/>
      <c r="U411" s="318"/>
      <c r="V411" s="318"/>
    </row>
    <row r="412" spans="1:22" ht="15.6">
      <c r="A412" s="318"/>
      <c r="B412" s="797" t="s">
        <v>968</v>
      </c>
      <c r="C412" s="797"/>
      <c r="D412" s="796">
        <v>33746.29</v>
      </c>
      <c r="E412" s="320"/>
      <c r="F412" s="797" t="s">
        <v>968</v>
      </c>
      <c r="G412" s="798">
        <v>7169</v>
      </c>
      <c r="H412" s="320"/>
      <c r="I412" s="785" t="s">
        <v>969</v>
      </c>
      <c r="J412" s="801">
        <v>6980</v>
      </c>
      <c r="O412" s="318"/>
      <c r="P412" s="328"/>
      <c r="Q412" s="318"/>
      <c r="R412" s="318"/>
      <c r="S412" s="318"/>
      <c r="T412" s="318"/>
      <c r="U412" s="318"/>
      <c r="V412" s="318"/>
    </row>
    <row r="413" spans="1:22" ht="15.6">
      <c r="A413" s="318"/>
      <c r="B413" s="797" t="s">
        <v>970</v>
      </c>
      <c r="C413" s="797"/>
      <c r="D413" s="796">
        <v>9713.2999999999993</v>
      </c>
      <c r="E413" s="320"/>
      <c r="F413" s="797" t="s">
        <v>970</v>
      </c>
      <c r="G413" s="798">
        <v>7169</v>
      </c>
      <c r="H413" s="320"/>
      <c r="O413" s="318"/>
      <c r="P413" s="328"/>
      <c r="Q413" s="318"/>
      <c r="R413" s="318"/>
      <c r="S413" s="318"/>
      <c r="T413" s="318"/>
      <c r="U413" s="318"/>
      <c r="V413" s="318"/>
    </row>
    <row r="414" spans="1:22" ht="15.6">
      <c r="A414" s="318"/>
      <c r="B414" s="797" t="s">
        <v>971</v>
      </c>
      <c r="C414" s="797"/>
      <c r="D414" s="796">
        <v>10547.31</v>
      </c>
      <c r="E414" s="320"/>
      <c r="F414" s="797" t="s">
        <v>971</v>
      </c>
      <c r="G414" s="798">
        <v>7169</v>
      </c>
      <c r="H414" s="320"/>
      <c r="I414" s="777" t="s">
        <v>972</v>
      </c>
      <c r="J414" s="778"/>
      <c r="O414" s="318"/>
      <c r="P414" s="328"/>
      <c r="Q414" s="318"/>
      <c r="R414" s="318"/>
      <c r="S414" s="318"/>
      <c r="T414" s="318"/>
      <c r="U414" s="318"/>
      <c r="V414" s="318"/>
    </row>
    <row r="415" spans="1:22" ht="15.6">
      <c r="A415" s="318"/>
      <c r="B415" s="797" t="s">
        <v>973</v>
      </c>
      <c r="C415" s="797"/>
      <c r="D415" s="796">
        <v>13725.32</v>
      </c>
      <c r="E415" s="320"/>
      <c r="F415" s="797" t="s">
        <v>973</v>
      </c>
      <c r="G415" s="798">
        <v>7169</v>
      </c>
      <c r="H415" s="320"/>
      <c r="I415" s="785" t="s">
        <v>917</v>
      </c>
      <c r="J415" s="802" t="s">
        <v>974</v>
      </c>
      <c r="O415" s="318"/>
      <c r="P415" s="328"/>
      <c r="Q415" s="318"/>
      <c r="R415" s="318"/>
      <c r="S415" s="318"/>
      <c r="T415" s="318"/>
      <c r="U415" s="318"/>
      <c r="V415" s="318"/>
    </row>
    <row r="416" spans="1:22" ht="15.6">
      <c r="A416" s="318"/>
      <c r="B416" s="797" t="s">
        <v>975</v>
      </c>
      <c r="C416" s="797"/>
      <c r="D416" s="796">
        <v>8532.33</v>
      </c>
      <c r="E416" s="320"/>
      <c r="F416" s="797" t="s">
        <v>975</v>
      </c>
      <c r="G416" s="798">
        <v>6980</v>
      </c>
      <c r="H416" s="320"/>
      <c r="I416" s="785" t="s">
        <v>855</v>
      </c>
      <c r="J416" s="785">
        <v>0.24</v>
      </c>
      <c r="O416" s="318"/>
      <c r="P416" s="328"/>
      <c r="Q416" s="318"/>
      <c r="R416" s="318"/>
      <c r="S416" s="318"/>
      <c r="T416" s="318"/>
      <c r="U416" s="318"/>
      <c r="V416" s="318"/>
    </row>
    <row r="417" spans="1:22" ht="15.6">
      <c r="A417" s="318"/>
      <c r="B417" s="797" t="s">
        <v>976</v>
      </c>
      <c r="C417" s="797"/>
      <c r="D417" s="796">
        <v>12286.34</v>
      </c>
      <c r="E417" s="320"/>
      <c r="F417" s="797" t="s">
        <v>976</v>
      </c>
      <c r="G417" s="798">
        <v>7169</v>
      </c>
      <c r="H417" s="320"/>
      <c r="I417" s="785" t="s">
        <v>977</v>
      </c>
      <c r="J417" s="785">
        <v>0.03</v>
      </c>
      <c r="K417" t="s">
        <v>1225</v>
      </c>
      <c r="O417" s="318"/>
      <c r="P417" s="328"/>
      <c r="Q417" s="318"/>
      <c r="R417" s="318"/>
      <c r="S417" s="318"/>
      <c r="T417" s="318"/>
      <c r="U417" s="318"/>
      <c r="V417" s="318"/>
    </row>
    <row r="418" spans="1:22" ht="15.6">
      <c r="A418" s="318"/>
      <c r="B418" s="797" t="s">
        <v>978</v>
      </c>
      <c r="C418" s="797"/>
      <c r="D418" s="796">
        <v>8764.35</v>
      </c>
      <c r="E418" s="320"/>
      <c r="F418" s="797" t="s">
        <v>978</v>
      </c>
      <c r="G418" s="798">
        <v>7169</v>
      </c>
      <c r="H418" s="320"/>
      <c r="I418" s="785" t="s">
        <v>856</v>
      </c>
      <c r="J418" s="785">
        <v>0.12</v>
      </c>
      <c r="O418" s="318"/>
      <c r="P418" s="328"/>
      <c r="Q418" s="318"/>
      <c r="R418" s="318"/>
      <c r="S418" s="318"/>
      <c r="T418" s="318"/>
      <c r="U418" s="318"/>
      <c r="V418" s="318"/>
    </row>
    <row r="419" spans="1:22" ht="15.6">
      <c r="A419" s="318"/>
      <c r="B419" s="797" t="s">
        <v>979</v>
      </c>
      <c r="C419" s="797"/>
      <c r="D419" s="796">
        <v>11794.36</v>
      </c>
      <c r="E419" s="320"/>
      <c r="F419" s="797" t="s">
        <v>979</v>
      </c>
      <c r="G419" s="798">
        <v>7169</v>
      </c>
      <c r="H419" s="320"/>
      <c r="O419" s="318"/>
      <c r="P419" s="328"/>
      <c r="Q419" s="318"/>
      <c r="R419" s="318"/>
      <c r="S419" s="318"/>
      <c r="T419" s="318"/>
      <c r="U419" s="318"/>
      <c r="V419" s="318"/>
    </row>
    <row r="420" spans="1:22" ht="15.6">
      <c r="A420" s="318"/>
      <c r="B420" s="797" t="s">
        <v>980</v>
      </c>
      <c r="C420" s="797"/>
      <c r="D420" s="796">
        <v>23274.37</v>
      </c>
      <c r="E420" s="320"/>
      <c r="F420" s="797" t="s">
        <v>980</v>
      </c>
      <c r="G420" s="798">
        <v>6980</v>
      </c>
      <c r="H420" s="320"/>
      <c r="O420" s="318"/>
      <c r="P420" s="328"/>
      <c r="Q420" s="318"/>
      <c r="R420" s="318"/>
      <c r="S420" s="318"/>
      <c r="T420" s="318"/>
      <c r="U420" s="318"/>
      <c r="V420" s="318"/>
    </row>
    <row r="421" spans="1:22" ht="15.6">
      <c r="A421" s="318"/>
      <c r="B421" s="797" t="s">
        <v>870</v>
      </c>
      <c r="C421" s="797"/>
      <c r="D421" s="796">
        <v>7222.38</v>
      </c>
      <c r="E421" s="320"/>
      <c r="F421" s="797" t="s">
        <v>870</v>
      </c>
      <c r="G421" s="798">
        <v>6980</v>
      </c>
      <c r="H421" s="320"/>
      <c r="I421" s="318"/>
      <c r="O421" s="318"/>
      <c r="P421" s="328"/>
      <c r="Q421" s="318"/>
      <c r="R421" s="318"/>
      <c r="S421" s="318"/>
      <c r="T421" s="318"/>
      <c r="U421" s="318"/>
      <c r="V421" s="318"/>
    </row>
    <row r="422" spans="1:22" ht="15.6">
      <c r="A422" s="318"/>
      <c r="B422" s="797" t="s">
        <v>871</v>
      </c>
      <c r="C422" s="797"/>
      <c r="D422" s="795">
        <v>11298</v>
      </c>
      <c r="E422" s="323"/>
      <c r="F422" s="797" t="s">
        <v>871</v>
      </c>
      <c r="G422" s="798">
        <v>7169</v>
      </c>
      <c r="H422" s="320"/>
      <c r="I422" s="318"/>
      <c r="O422" s="318"/>
      <c r="P422" s="328"/>
      <c r="Q422" s="318"/>
      <c r="R422" s="318"/>
      <c r="S422" s="318"/>
      <c r="T422" s="318"/>
      <c r="U422" s="318"/>
      <c r="V422" s="318"/>
    </row>
    <row r="423" spans="1:22" ht="15.6">
      <c r="A423" s="318"/>
      <c r="B423" s="318"/>
      <c r="C423" s="318"/>
      <c r="D423" s="318"/>
      <c r="E423" s="318"/>
      <c r="H423" s="318"/>
      <c r="I423" s="318"/>
      <c r="O423" s="318"/>
      <c r="P423" s="328"/>
      <c r="Q423" s="318"/>
      <c r="R423" s="318"/>
      <c r="S423" s="318"/>
      <c r="T423" s="318"/>
      <c r="U423" s="318"/>
      <c r="V423" s="318"/>
    </row>
    <row r="424" spans="1:22" ht="15.6">
      <c r="A424" s="318"/>
      <c r="B424" s="318"/>
      <c r="C424" s="318"/>
      <c r="D424" s="318"/>
      <c r="E424" s="318"/>
      <c r="F424" s="318"/>
      <c r="G424" s="318"/>
      <c r="H424" s="318"/>
      <c r="I424" s="318"/>
      <c r="O424" s="318"/>
      <c r="P424" s="328"/>
      <c r="Q424" s="318"/>
      <c r="R424" s="318"/>
      <c r="S424" s="318"/>
      <c r="T424" s="318"/>
      <c r="U424" s="318"/>
      <c r="V424" s="318"/>
    </row>
    <row r="425" spans="1:22" ht="15.6">
      <c r="A425" s="318"/>
      <c r="B425" s="792" t="s">
        <v>981</v>
      </c>
      <c r="C425" s="792"/>
      <c r="D425" s="793"/>
      <c r="E425" s="793"/>
      <c r="F425" s="793"/>
      <c r="G425" s="793"/>
      <c r="H425" s="793"/>
      <c r="I425" s="793"/>
      <c r="J425" s="794"/>
      <c r="O425" s="318"/>
      <c r="P425" s="328"/>
      <c r="Q425" s="318"/>
      <c r="R425" s="318"/>
      <c r="S425" s="318"/>
      <c r="T425" s="318"/>
      <c r="U425" s="318"/>
      <c r="V425" s="318"/>
    </row>
    <row r="426" spans="1:22" ht="15.6">
      <c r="A426" s="318"/>
      <c r="B426" s="330" t="s">
        <v>960</v>
      </c>
      <c r="C426" s="330"/>
      <c r="D426" s="318"/>
      <c r="E426" s="318"/>
      <c r="F426" s="318"/>
      <c r="G426" s="318"/>
      <c r="H426" s="318"/>
      <c r="I426" s="318"/>
      <c r="O426" s="318"/>
      <c r="P426" s="328"/>
      <c r="Q426" s="318"/>
      <c r="R426" s="318"/>
      <c r="S426" s="318"/>
      <c r="T426" s="318"/>
      <c r="U426" s="318"/>
      <c r="V426" s="318"/>
    </row>
    <row r="427" spans="1:22" ht="15.6">
      <c r="A427" s="318"/>
      <c r="B427" s="323">
        <v>7074</v>
      </c>
      <c r="C427" s="323"/>
      <c r="D427" s="330" t="s">
        <v>982</v>
      </c>
      <c r="E427" s="330"/>
      <c r="F427" s="318"/>
      <c r="G427" s="318"/>
      <c r="H427" s="318"/>
      <c r="I427" s="318"/>
      <c r="O427" s="329"/>
      <c r="P427" s="328"/>
      <c r="Q427" s="318"/>
      <c r="R427" s="318"/>
      <c r="S427" s="318"/>
      <c r="T427" s="318"/>
      <c r="U427" s="318"/>
      <c r="V427" s="318"/>
    </row>
    <row r="428" spans="1:22" ht="15.6">
      <c r="A428" s="318"/>
      <c r="B428" s="318"/>
      <c r="C428" s="318"/>
      <c r="D428" s="318"/>
      <c r="E428" s="318"/>
      <c r="F428" s="330" t="s">
        <v>839</v>
      </c>
      <c r="G428" s="318"/>
      <c r="H428" s="318"/>
      <c r="I428" s="330" t="s">
        <v>839</v>
      </c>
      <c r="O428" s="329"/>
      <c r="P428" s="328"/>
      <c r="Q428" s="318"/>
      <c r="R428" s="318"/>
      <c r="S428" s="318"/>
      <c r="T428" s="318"/>
      <c r="U428" s="318"/>
      <c r="V428" s="318"/>
    </row>
    <row r="429" spans="1:22" ht="15.6">
      <c r="A429" s="318"/>
      <c r="B429" s="330" t="s">
        <v>983</v>
      </c>
      <c r="C429" s="330"/>
      <c r="F429" s="330" t="s">
        <v>984</v>
      </c>
      <c r="G429" s="318"/>
      <c r="H429" s="318"/>
      <c r="I429" s="330" t="s">
        <v>985</v>
      </c>
      <c r="O429" s="329"/>
      <c r="P429" s="328"/>
      <c r="Q429" s="318"/>
      <c r="R429" s="318"/>
      <c r="S429" s="318"/>
      <c r="T429" s="318"/>
      <c r="U429" s="318"/>
      <c r="V429" s="318"/>
    </row>
    <row r="430" spans="1:22" ht="15.6">
      <c r="A430" s="318"/>
      <c r="B430" s="779" t="s">
        <v>965</v>
      </c>
      <c r="C430" s="779"/>
      <c r="D430" s="782" t="s">
        <v>929</v>
      </c>
      <c r="E430" s="782"/>
      <c r="F430" s="780" t="s">
        <v>840</v>
      </c>
      <c r="G430" s="782" t="s">
        <v>929</v>
      </c>
      <c r="H430" s="781"/>
      <c r="I430" s="780" t="s">
        <v>840</v>
      </c>
      <c r="J430" s="782" t="s">
        <v>929</v>
      </c>
      <c r="O430" s="329"/>
      <c r="P430" s="328"/>
      <c r="Q430" s="318"/>
      <c r="R430" s="318"/>
      <c r="S430" s="318"/>
      <c r="T430" s="318"/>
      <c r="U430" s="318"/>
      <c r="V430" s="318"/>
    </row>
    <row r="431" spans="1:22" ht="15.6">
      <c r="A431" s="318"/>
      <c r="B431" s="797" t="s">
        <v>866</v>
      </c>
      <c r="C431" s="797"/>
      <c r="D431" s="795">
        <v>7753</v>
      </c>
      <c r="E431" s="323"/>
      <c r="F431" s="797" t="s">
        <v>866</v>
      </c>
      <c r="G431" s="795">
        <v>7074</v>
      </c>
      <c r="H431" s="318"/>
      <c r="I431" s="785" t="s">
        <v>866</v>
      </c>
      <c r="J431" s="799">
        <v>7594</v>
      </c>
      <c r="O431" s="318"/>
      <c r="P431" s="328"/>
      <c r="Q431" s="318"/>
      <c r="R431" s="318"/>
      <c r="S431" s="318"/>
      <c r="T431" s="318"/>
      <c r="U431" s="318"/>
      <c r="V431" s="318"/>
    </row>
    <row r="432" spans="1:22" ht="15.6">
      <c r="A432" s="318"/>
      <c r="B432" s="797" t="s">
        <v>867</v>
      </c>
      <c r="C432" s="797"/>
      <c r="D432" s="796">
        <v>8197</v>
      </c>
      <c r="E432" s="320"/>
      <c r="F432" s="797" t="s">
        <v>867</v>
      </c>
      <c r="G432" s="796">
        <v>7265</v>
      </c>
      <c r="H432" s="318"/>
      <c r="I432" s="785" t="s">
        <v>867</v>
      </c>
      <c r="J432" s="800">
        <v>8197</v>
      </c>
      <c r="O432" s="330"/>
      <c r="P432" s="318"/>
      <c r="Q432" s="318"/>
      <c r="R432" s="318"/>
      <c r="S432" s="318"/>
      <c r="T432" s="318"/>
      <c r="U432" s="318"/>
      <c r="V432" s="318"/>
    </row>
    <row r="433" spans="1:22" ht="15.6">
      <c r="A433" s="318"/>
      <c r="B433" s="797" t="s">
        <v>868</v>
      </c>
      <c r="C433" s="797"/>
      <c r="D433" s="796">
        <v>7361</v>
      </c>
      <c r="E433" s="320"/>
      <c r="F433" s="797" t="s">
        <v>868</v>
      </c>
      <c r="G433" s="796">
        <v>7293</v>
      </c>
      <c r="H433" s="318"/>
      <c r="I433" s="785" t="s">
        <v>868</v>
      </c>
      <c r="J433" s="800">
        <v>7293</v>
      </c>
      <c r="P433" s="318"/>
      <c r="Q433" s="318"/>
      <c r="R433" s="318"/>
      <c r="S433" s="318"/>
      <c r="T433" s="318"/>
      <c r="U433" s="318"/>
      <c r="V433" s="318"/>
    </row>
    <row r="434" spans="1:22" ht="15.6">
      <c r="A434" s="318"/>
      <c r="B434" s="797" t="s">
        <v>966</v>
      </c>
      <c r="C434" s="797"/>
      <c r="D434" s="796">
        <v>9165</v>
      </c>
      <c r="E434" s="320"/>
      <c r="F434" s="797" t="s">
        <v>966</v>
      </c>
      <c r="G434" s="796">
        <v>7074</v>
      </c>
      <c r="H434" s="318"/>
      <c r="I434" s="785" t="s">
        <v>869</v>
      </c>
      <c r="J434" s="800">
        <v>7818</v>
      </c>
      <c r="P434" s="318"/>
      <c r="Q434" s="318"/>
      <c r="R434" s="318"/>
      <c r="S434" s="318"/>
      <c r="T434" s="318"/>
      <c r="U434" s="318"/>
      <c r="V434" s="318"/>
    </row>
    <row r="435" spans="1:22" ht="15.6">
      <c r="A435" s="322">
        <f t="shared" ref="A435:A451" si="158">ROW()-39</f>
        <v>396</v>
      </c>
      <c r="B435" s="797" t="s">
        <v>869</v>
      </c>
      <c r="C435" s="797"/>
      <c r="D435" s="796">
        <v>9267</v>
      </c>
      <c r="E435" s="320"/>
      <c r="F435" s="797" t="s">
        <v>869</v>
      </c>
      <c r="G435" s="796">
        <v>7265</v>
      </c>
      <c r="H435" s="318"/>
      <c r="I435" s="785" t="s">
        <v>870</v>
      </c>
      <c r="J435" s="800">
        <v>7074</v>
      </c>
      <c r="P435" s="318"/>
      <c r="Q435" s="318"/>
      <c r="R435" s="318"/>
      <c r="S435" s="318"/>
      <c r="T435" s="318"/>
      <c r="U435" s="318"/>
      <c r="V435" s="318"/>
    </row>
    <row r="436" spans="1:22" ht="15.6">
      <c r="A436" s="322">
        <f t="shared" si="158"/>
        <v>397</v>
      </c>
      <c r="B436" s="797" t="s">
        <v>967</v>
      </c>
      <c r="C436" s="797"/>
      <c r="D436" s="796">
        <v>22331</v>
      </c>
      <c r="E436" s="320"/>
      <c r="F436" s="797" t="s">
        <v>967</v>
      </c>
      <c r="G436" s="796">
        <v>7265</v>
      </c>
      <c r="H436" s="318"/>
      <c r="I436" s="785" t="s">
        <v>871</v>
      </c>
      <c r="J436" s="800">
        <v>10501</v>
      </c>
      <c r="P436" s="318"/>
      <c r="Q436" s="318"/>
      <c r="R436" s="318"/>
      <c r="S436" s="318"/>
      <c r="T436" s="318"/>
      <c r="U436" s="318"/>
      <c r="V436" s="318"/>
    </row>
    <row r="437" spans="1:22" ht="15.6">
      <c r="A437" s="322">
        <f t="shared" si="158"/>
        <v>398</v>
      </c>
      <c r="B437" s="797" t="s">
        <v>968</v>
      </c>
      <c r="C437" s="797"/>
      <c r="D437" s="796">
        <v>33701</v>
      </c>
      <c r="E437" s="320"/>
      <c r="F437" s="797" t="s">
        <v>968</v>
      </c>
      <c r="G437" s="798">
        <v>7265</v>
      </c>
      <c r="H437" s="320"/>
      <c r="I437" s="785" t="s">
        <v>969</v>
      </c>
      <c r="J437" s="801">
        <f>+B427</f>
        <v>7074</v>
      </c>
      <c r="P437" s="318"/>
      <c r="Q437" s="318"/>
      <c r="R437" s="318"/>
      <c r="S437" s="318"/>
      <c r="T437" s="318"/>
      <c r="U437" s="318"/>
      <c r="V437" s="318"/>
    </row>
    <row r="438" spans="1:22" ht="15.6">
      <c r="A438" s="322">
        <f t="shared" si="158"/>
        <v>399</v>
      </c>
      <c r="B438" s="797" t="s">
        <v>970</v>
      </c>
      <c r="C438" s="797"/>
      <c r="D438" s="796">
        <v>9701</v>
      </c>
      <c r="E438" s="320"/>
      <c r="F438" s="797" t="s">
        <v>970</v>
      </c>
      <c r="G438" s="798">
        <v>7265</v>
      </c>
      <c r="H438" s="320"/>
      <c r="P438" s="318"/>
      <c r="Q438" s="318"/>
      <c r="R438" s="318"/>
      <c r="S438" s="318"/>
      <c r="T438" s="318"/>
      <c r="U438" s="318"/>
      <c r="V438" s="318"/>
    </row>
    <row r="439" spans="1:22" ht="15.6">
      <c r="A439" s="322">
        <f t="shared" si="158"/>
        <v>400</v>
      </c>
      <c r="B439" s="797" t="s">
        <v>971</v>
      </c>
      <c r="C439" s="797"/>
      <c r="D439" s="796">
        <v>10683</v>
      </c>
      <c r="E439" s="320"/>
      <c r="F439" s="797" t="s">
        <v>971</v>
      </c>
      <c r="G439" s="798">
        <v>7265</v>
      </c>
      <c r="H439" s="320"/>
      <c r="I439" s="777" t="s">
        <v>972</v>
      </c>
      <c r="J439" s="778"/>
      <c r="P439" s="318"/>
      <c r="Q439" s="318"/>
      <c r="R439" s="318"/>
      <c r="S439" s="318"/>
      <c r="T439" s="318"/>
      <c r="U439" s="318"/>
      <c r="V439" s="318"/>
    </row>
    <row r="440" spans="1:22" ht="15.6">
      <c r="A440" s="322">
        <f t="shared" si="158"/>
        <v>401</v>
      </c>
      <c r="B440" s="797" t="s">
        <v>973</v>
      </c>
      <c r="C440" s="797"/>
      <c r="D440" s="796">
        <v>13707</v>
      </c>
      <c r="E440" s="320"/>
      <c r="F440" s="797" t="s">
        <v>973</v>
      </c>
      <c r="G440" s="798">
        <v>7265</v>
      </c>
      <c r="H440" s="320"/>
      <c r="I440" s="785" t="s">
        <v>917</v>
      </c>
      <c r="J440" s="802" t="s">
        <v>974</v>
      </c>
      <c r="P440" s="318"/>
      <c r="Q440" s="318"/>
      <c r="R440" s="318"/>
      <c r="S440" s="318"/>
      <c r="T440" s="318"/>
      <c r="U440" s="318"/>
      <c r="V440" s="318"/>
    </row>
    <row r="441" spans="1:22" ht="15.6">
      <c r="A441" s="322">
        <f t="shared" si="158"/>
        <v>402</v>
      </c>
      <c r="B441" s="797" t="s">
        <v>975</v>
      </c>
      <c r="C441" s="797"/>
      <c r="D441" s="796">
        <v>8644</v>
      </c>
      <c r="E441" s="320"/>
      <c r="F441" s="797" t="s">
        <v>975</v>
      </c>
      <c r="G441" s="798">
        <v>7074</v>
      </c>
      <c r="H441" s="320"/>
      <c r="I441" s="785" t="s">
        <v>855</v>
      </c>
      <c r="J441" s="785">
        <v>0.23</v>
      </c>
      <c r="P441" s="318"/>
      <c r="Q441" s="318"/>
      <c r="R441" s="318"/>
      <c r="S441" s="318"/>
      <c r="T441" s="318"/>
      <c r="U441" s="318"/>
      <c r="V441" s="318"/>
    </row>
    <row r="442" spans="1:22" ht="15.6">
      <c r="A442" s="322">
        <f t="shared" si="158"/>
        <v>403</v>
      </c>
      <c r="B442" s="797" t="s">
        <v>976</v>
      </c>
      <c r="C442" s="797"/>
      <c r="D442" s="796">
        <v>12447</v>
      </c>
      <c r="E442" s="320"/>
      <c r="F442" s="797" t="s">
        <v>976</v>
      </c>
      <c r="G442" s="798">
        <v>7265</v>
      </c>
      <c r="H442" s="320"/>
      <c r="I442" s="785" t="s">
        <v>977</v>
      </c>
      <c r="J442" s="785">
        <v>0.03</v>
      </c>
      <c r="K442" t="s">
        <v>1225</v>
      </c>
      <c r="P442" s="318"/>
      <c r="Q442" s="318"/>
      <c r="R442" s="318"/>
      <c r="S442" s="318"/>
      <c r="T442" s="318"/>
      <c r="U442" s="318"/>
      <c r="V442" s="318"/>
    </row>
    <row r="443" spans="1:22" ht="15.6">
      <c r="A443" s="322">
        <f t="shared" si="158"/>
        <v>404</v>
      </c>
      <c r="B443" s="797" t="s">
        <v>978</v>
      </c>
      <c r="C443" s="797"/>
      <c r="D443" s="796">
        <v>8881</v>
      </c>
      <c r="E443" s="320"/>
      <c r="F443" s="797" t="s">
        <v>978</v>
      </c>
      <c r="G443" s="798">
        <v>7265</v>
      </c>
      <c r="H443" s="320"/>
      <c r="I443" s="785" t="s">
        <v>856</v>
      </c>
      <c r="J443" s="785">
        <v>0.12</v>
      </c>
      <c r="P443" s="318"/>
      <c r="Q443" s="318"/>
      <c r="R443" s="318"/>
      <c r="S443" s="318"/>
      <c r="T443" s="318"/>
      <c r="U443" s="318"/>
      <c r="V443" s="318"/>
    </row>
    <row r="444" spans="1:22" ht="15.6">
      <c r="A444" s="322">
        <f t="shared" si="158"/>
        <v>405</v>
      </c>
      <c r="B444" s="797" t="s">
        <v>979</v>
      </c>
      <c r="C444" s="797"/>
      <c r="D444" s="796">
        <v>11779</v>
      </c>
      <c r="E444" s="320"/>
      <c r="F444" s="797" t="s">
        <v>979</v>
      </c>
      <c r="G444" s="798">
        <v>7265</v>
      </c>
      <c r="H444" s="320"/>
      <c r="P444" s="318"/>
      <c r="Q444" s="318"/>
      <c r="R444" s="318"/>
      <c r="S444" s="318"/>
      <c r="T444" s="318"/>
      <c r="U444" s="318"/>
      <c r="V444" s="318"/>
    </row>
    <row r="445" spans="1:22" ht="15.6">
      <c r="A445" s="322">
        <f t="shared" si="158"/>
        <v>406</v>
      </c>
      <c r="B445" s="797" t="s">
        <v>980</v>
      </c>
      <c r="C445" s="797"/>
      <c r="D445" s="796">
        <v>23243</v>
      </c>
      <c r="E445" s="320"/>
      <c r="F445" s="797" t="s">
        <v>980</v>
      </c>
      <c r="G445" s="798">
        <v>7074</v>
      </c>
      <c r="H445" s="320"/>
      <c r="P445" s="318"/>
      <c r="Q445" s="318"/>
      <c r="R445" s="318"/>
      <c r="S445" s="318"/>
      <c r="T445" s="318"/>
      <c r="U445" s="318"/>
      <c r="V445" s="318"/>
    </row>
    <row r="446" spans="1:22" ht="15.6">
      <c r="A446" s="322">
        <f t="shared" si="158"/>
        <v>407</v>
      </c>
      <c r="B446" s="797" t="s">
        <v>870</v>
      </c>
      <c r="C446" s="797"/>
      <c r="D446" s="796">
        <v>7318</v>
      </c>
      <c r="E446" s="320"/>
      <c r="F446" s="797" t="s">
        <v>870</v>
      </c>
      <c r="G446" s="798">
        <v>7074</v>
      </c>
      <c r="H446" s="320"/>
      <c r="I446" s="318"/>
      <c r="P446" s="318"/>
      <c r="Q446" s="318"/>
      <c r="R446" s="318"/>
      <c r="S446" s="318"/>
      <c r="T446" s="318"/>
      <c r="U446" s="318"/>
      <c r="V446" s="318"/>
    </row>
    <row r="447" spans="1:22" ht="15.6">
      <c r="A447" s="322">
        <f t="shared" si="158"/>
        <v>408</v>
      </c>
      <c r="B447" s="797" t="s">
        <v>871</v>
      </c>
      <c r="C447" s="797"/>
      <c r="D447" s="795">
        <v>11444.55</v>
      </c>
      <c r="E447" s="323"/>
      <c r="F447" s="797" t="s">
        <v>871</v>
      </c>
      <c r="G447" s="798">
        <v>7265</v>
      </c>
      <c r="H447" s="320"/>
      <c r="I447" s="318"/>
      <c r="P447" s="318"/>
      <c r="Q447" s="318"/>
      <c r="R447" s="318"/>
      <c r="S447" s="318"/>
      <c r="T447" s="318"/>
      <c r="U447" s="318"/>
      <c r="V447" s="318"/>
    </row>
    <row r="448" spans="1:22" ht="15.6">
      <c r="A448" s="322">
        <f t="shared" si="158"/>
        <v>409</v>
      </c>
      <c r="B448" s="318"/>
      <c r="C448" s="318"/>
      <c r="D448" s="318"/>
      <c r="E448" s="318"/>
      <c r="F448" s="318" t="s">
        <v>969</v>
      </c>
      <c r="G448" s="783">
        <f>+B427</f>
        <v>7074</v>
      </c>
      <c r="H448" s="318"/>
      <c r="I448" s="318"/>
      <c r="P448" s="318"/>
      <c r="Q448" s="318"/>
      <c r="R448" s="318"/>
      <c r="S448" s="318"/>
      <c r="T448" s="318"/>
      <c r="U448" s="318"/>
      <c r="V448" s="318"/>
    </row>
    <row r="449" spans="1:22" ht="15.6">
      <c r="A449" s="322">
        <f t="shared" si="158"/>
        <v>410</v>
      </c>
      <c r="P449" s="318"/>
      <c r="Q449" s="318"/>
      <c r="R449" s="318"/>
      <c r="S449" s="318"/>
      <c r="T449" s="318"/>
      <c r="U449" s="318"/>
      <c r="V449" s="318"/>
    </row>
    <row r="450" spans="1:22" ht="15.6">
      <c r="A450" s="322">
        <f t="shared" si="158"/>
        <v>411</v>
      </c>
      <c r="P450" s="318"/>
      <c r="Q450" s="318"/>
      <c r="R450" s="318"/>
      <c r="S450" s="318"/>
      <c r="T450" s="318"/>
      <c r="U450" s="318"/>
      <c r="V450" s="318"/>
    </row>
    <row r="451" spans="1:22" ht="15.6">
      <c r="A451" s="322">
        <f t="shared" si="158"/>
        <v>412</v>
      </c>
      <c r="P451" s="318"/>
      <c r="Q451" s="318"/>
      <c r="R451" s="318"/>
      <c r="S451" s="318"/>
      <c r="T451" s="318"/>
      <c r="U451" s="318"/>
      <c r="V451" s="318"/>
    </row>
    <row r="452" spans="1:22" ht="15.6">
      <c r="A452" s="318"/>
      <c r="P452" s="318"/>
      <c r="Q452" s="318"/>
      <c r="R452" s="318"/>
      <c r="S452" s="318"/>
      <c r="T452" s="318"/>
      <c r="U452" s="318"/>
      <c r="V452" s="318"/>
    </row>
    <row r="453" spans="1:22" ht="15.6">
      <c r="A453" s="318"/>
      <c r="O453" s="331"/>
      <c r="P453" s="318"/>
      <c r="Q453" s="318"/>
      <c r="R453" s="318"/>
      <c r="S453" s="318"/>
      <c r="T453" s="318"/>
      <c r="U453" s="318"/>
      <c r="V453" s="318"/>
    </row>
    <row r="454" spans="1:22" ht="15.6">
      <c r="A454" s="318"/>
      <c r="O454" s="318"/>
      <c r="P454" s="318"/>
      <c r="Q454" s="318"/>
      <c r="R454" s="318"/>
      <c r="S454" s="318"/>
      <c r="T454" s="318"/>
      <c r="U454" s="318"/>
      <c r="V454" s="318"/>
    </row>
    <row r="455" spans="1:22">
      <c r="P455" s="984"/>
    </row>
  </sheetData>
  <mergeCells count="1">
    <mergeCell ref="S45:T45"/>
  </mergeCells>
  <conditionalFormatting sqref="B12:C20">
    <cfRule type="expression" dxfId="8" priority="4" stopIfTrue="1">
      <formula>MOD(ROW(),2)=0</formula>
    </cfRule>
  </conditionalFormatting>
  <conditionalFormatting sqref="J1">
    <cfRule type="expression" dxfId="7" priority="2" stopIfTrue="1">
      <formula>MOD(ROW(),2)=0</formula>
    </cfRule>
  </conditionalFormatting>
  <conditionalFormatting sqref="V1">
    <cfRule type="expression" dxfId="6" priority="3" stopIfTrue="1">
      <formula>MOD(ROW(),2)=0</formula>
    </cfRule>
  </conditionalFormatting>
  <hyperlinks>
    <hyperlink ref="J1" location="HypLink1" display="HypLink1" xr:uid="{9E2FC4C3-8621-475D-8FFA-7FBF029BDE36}"/>
    <hyperlink ref="B41" r:id="rId1" xr:uid="{67A7F998-FF0F-4F29-B58E-EF412EEB7D25}"/>
    <hyperlink ref="B10" r:id="rId2" display="Final adjusted base PPR, SB 503 EN (2023)" xr:uid="{DDFAEC1D-D76B-49AD-8CCD-C18F090A1AB3}"/>
    <hyperlink ref="B25" r:id="rId3" display="Additional weighted PPR, SB 503 EN (2023)" xr:uid="{997C83EC-2122-44FE-A92A-609CF0B2FF4B}"/>
  </hyperlinks>
  <pageMargins left="0.25" right="0.25" top="0.5" bottom="0.45" header="0.25" footer="0.25"/>
  <pageSetup scale="89" orientation="landscape" r:id="rId4"/>
  <headerFooter>
    <oddHeader xml:space="preserve">&amp;L &amp;C &amp;R </oddHeader>
    <oddFooter>&amp;L&amp;7&amp;D  at &amp;T Mike 702.486.8879&amp;C&amp;7&amp;F  &amp;A&amp;R&amp;7Page &amp;P of &amp;N</oddFooter>
  </headerFooter>
  <rowBreaks count="4" manualBreakCount="4">
    <brk id="76" max="13" man="1"/>
    <brk id="121" max="13" man="1"/>
    <brk id="302" max="13" man="1"/>
    <brk id="429" max="13" man="1"/>
  </rowBreak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611A2-A110-4F57-A818-4BF5B9B3AA75}">
  <sheetPr>
    <tabColor theme="3" tint="0.59999389629810485"/>
  </sheetPr>
  <dimension ref="C4:C8"/>
  <sheetViews>
    <sheetView workbookViewId="0">
      <selection activeCell="A4" sqref="A4"/>
    </sheetView>
  </sheetViews>
  <sheetFormatPr defaultRowHeight="14.4"/>
  <sheetData>
    <row r="4" spans="3:3" ht="15.6">
      <c r="C4" s="1465"/>
    </row>
    <row r="5" spans="3:3" ht="15.6">
      <c r="C5" s="1465"/>
    </row>
    <row r="8" spans="3:3" ht="15.6">
      <c r="C8" s="1288"/>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D2C44E-25C2-4681-BA69-1E1347A6E436}">
  <sheetPr codeName="Sheet26">
    <tabColor theme="0" tint="-0.34998626667073579"/>
  </sheetPr>
  <dimension ref="A1:O37"/>
  <sheetViews>
    <sheetView workbookViewId="0">
      <selection activeCell="B11" sqref="B11"/>
    </sheetView>
  </sheetViews>
  <sheetFormatPr defaultColWidth="8.6640625" defaultRowHeight="13.2"/>
  <cols>
    <col min="1" max="1" width="4.6640625" style="5" customWidth="1"/>
    <col min="2" max="2" width="8.6640625" style="5"/>
    <col min="3" max="3" width="11.6640625" style="5" customWidth="1"/>
    <col min="4" max="4" width="10.6640625" style="5" customWidth="1"/>
    <col min="5" max="8" width="8.6640625" style="5"/>
    <col min="9" max="9" width="14.33203125" style="5" customWidth="1"/>
    <col min="10" max="10" width="8.6640625" style="5"/>
    <col min="11" max="11" width="13.5546875" style="5" customWidth="1"/>
    <col min="12" max="12" width="8.6640625" style="5"/>
    <col min="13" max="13" width="8.33203125" style="5" customWidth="1"/>
    <col min="14" max="16384" width="8.6640625" style="5"/>
  </cols>
  <sheetData>
    <row r="1" spans="1:15" ht="15.6">
      <c r="A1" s="20" t="s">
        <v>834</v>
      </c>
      <c r="B1" s="20"/>
      <c r="C1" s="20"/>
      <c r="D1" s="20"/>
      <c r="E1" s="20"/>
    </row>
    <row r="2" spans="1:15" ht="15.6">
      <c r="A2" s="1866" t="str">
        <f>SchoolName</f>
        <v>Pahrump Valley Academy</v>
      </c>
      <c r="B2" s="1866"/>
      <c r="C2" s="1866"/>
      <c r="D2" s="1866"/>
      <c r="E2" s="1866"/>
    </row>
    <row r="3" spans="1:15">
      <c r="A3" s="9" t="s">
        <v>325</v>
      </c>
    </row>
    <row r="4" spans="1:15">
      <c r="A4" s="8" t="s">
        <v>5</v>
      </c>
    </row>
    <row r="5" spans="1:15">
      <c r="A5" s="7" t="str">
        <f ca="1">CELL("filename")</f>
        <v>https://csmci.sharepoint.com/sites/csmc-nevada/Shared Documents/General/CSMC/Potential Clients/Pahrump Valley Academy/Revision/[Attachment 24_Financial-Plan-Workbook Pahrump Valley Academy -Draft (3).xlsx]CF Y1 Mo</v>
      </c>
    </row>
    <row r="6" spans="1:15">
      <c r="A6" s="6"/>
      <c r="B6" s="6"/>
      <c r="C6" s="6"/>
      <c r="D6" s="6"/>
      <c r="E6" s="6"/>
      <c r="F6" s="6"/>
      <c r="G6" s="6"/>
      <c r="H6" s="6"/>
      <c r="I6" s="6"/>
      <c r="J6" s="6"/>
      <c r="K6" s="6"/>
      <c r="L6" s="6"/>
      <c r="M6" s="6"/>
      <c r="N6" s="6"/>
      <c r="O6" s="6"/>
    </row>
    <row r="7" spans="1:15">
      <c r="A7" s="6"/>
      <c r="B7" s="6"/>
      <c r="C7" s="6"/>
      <c r="D7" s="6"/>
      <c r="E7" s="6"/>
      <c r="F7" s="6"/>
      <c r="G7" s="6"/>
      <c r="H7" s="6"/>
      <c r="I7" s="6"/>
      <c r="J7" s="6"/>
      <c r="K7" s="6"/>
      <c r="L7" s="6"/>
      <c r="M7" s="6"/>
      <c r="N7" s="6"/>
      <c r="O7" s="6"/>
    </row>
    <row r="8" spans="1:15">
      <c r="A8" s="6"/>
      <c r="B8" s="6"/>
      <c r="C8" s="6"/>
      <c r="D8" s="6"/>
      <c r="E8" s="6"/>
      <c r="F8" s="6"/>
      <c r="G8" s="6"/>
      <c r="H8" s="6"/>
      <c r="I8" s="6"/>
      <c r="J8" s="6"/>
      <c r="K8" s="6"/>
      <c r="L8" s="6"/>
      <c r="M8" s="6"/>
      <c r="N8" s="6"/>
      <c r="O8" s="6"/>
    </row>
    <row r="9" spans="1:15">
      <c r="A9" s="6"/>
      <c r="B9" s="6"/>
      <c r="C9" s="6"/>
      <c r="D9" s="6"/>
      <c r="E9" s="6"/>
      <c r="F9" s="6"/>
      <c r="G9" s="6"/>
      <c r="H9" s="6"/>
      <c r="I9" s="6"/>
      <c r="J9" s="6"/>
      <c r="K9" s="6"/>
      <c r="L9" s="6"/>
      <c r="M9" s="6"/>
      <c r="N9" s="6"/>
      <c r="O9" s="6"/>
    </row>
    <row r="10" spans="1:15" ht="22.8">
      <c r="A10" s="6"/>
      <c r="B10" s="1282" t="s">
        <v>835</v>
      </c>
      <c r="C10" s="6"/>
      <c r="D10" s="6"/>
      <c r="E10" s="6"/>
      <c r="F10" s="6"/>
      <c r="G10" s="6"/>
      <c r="H10" s="6"/>
      <c r="I10" s="6"/>
      <c r="J10" s="6"/>
      <c r="K10" s="6"/>
      <c r="L10" s="6"/>
      <c r="M10" s="6"/>
      <c r="N10" s="6"/>
      <c r="O10" s="6"/>
    </row>
    <row r="11" spans="1:15" ht="23.4">
      <c r="A11" s="6"/>
      <c r="B11" s="1283" t="s">
        <v>836</v>
      </c>
      <c r="C11" s="6"/>
      <c r="D11" s="6"/>
      <c r="E11" s="6"/>
      <c r="F11" s="6"/>
      <c r="G11" s="6"/>
      <c r="H11" s="6"/>
      <c r="I11" s="6"/>
      <c r="J11" s="6"/>
      <c r="K11" s="6"/>
      <c r="L11" s="6"/>
      <c r="M11" s="6"/>
      <c r="N11" s="6"/>
      <c r="O11" s="6"/>
    </row>
    <row r="12" spans="1:15" ht="23.4">
      <c r="A12" s="6"/>
      <c r="B12" s="1283" t="s">
        <v>837</v>
      </c>
      <c r="C12" s="6"/>
      <c r="D12" s="6"/>
      <c r="E12" s="6"/>
      <c r="F12" s="6"/>
      <c r="G12" s="6"/>
      <c r="H12" s="6"/>
      <c r="I12" s="6"/>
      <c r="J12" s="6"/>
      <c r="K12" s="6"/>
      <c r="L12" s="6"/>
      <c r="M12" s="6"/>
      <c r="N12" s="6"/>
      <c r="O12" s="6"/>
    </row>
    <row r="13" spans="1:15">
      <c r="A13" s="6"/>
      <c r="B13" s="6"/>
      <c r="C13" s="6"/>
      <c r="D13" s="6"/>
      <c r="E13" s="6"/>
      <c r="F13" s="6"/>
      <c r="G13" s="6"/>
      <c r="H13" s="6"/>
      <c r="I13" s="6"/>
      <c r="J13" s="6"/>
      <c r="K13" s="6"/>
      <c r="L13" s="6"/>
      <c r="M13" s="6"/>
      <c r="N13" s="6"/>
      <c r="O13" s="6"/>
    </row>
    <row r="14" spans="1:15">
      <c r="A14" s="6"/>
      <c r="B14" s="6"/>
      <c r="C14" s="6"/>
      <c r="D14" s="6"/>
      <c r="E14" s="6"/>
      <c r="F14" s="6"/>
      <c r="G14" s="6"/>
      <c r="H14" s="6"/>
      <c r="I14" s="6"/>
      <c r="J14" s="6"/>
      <c r="K14" s="6"/>
      <c r="L14" s="6"/>
      <c r="M14" s="6"/>
      <c r="N14" s="6"/>
      <c r="O14" s="6"/>
    </row>
    <row r="15" spans="1:15">
      <c r="A15" s="6"/>
      <c r="B15" s="6"/>
      <c r="C15" s="6"/>
      <c r="D15" s="6"/>
      <c r="E15" s="6"/>
      <c r="F15" s="6"/>
      <c r="G15" s="6"/>
      <c r="H15" s="6"/>
      <c r="I15" s="6"/>
      <c r="J15" s="6"/>
      <c r="K15" s="6"/>
      <c r="L15" s="6"/>
      <c r="M15" s="6"/>
      <c r="N15" s="6"/>
      <c r="O15" s="6"/>
    </row>
    <row r="16" spans="1:15">
      <c r="A16" s="6"/>
      <c r="B16" s="6"/>
      <c r="C16" s="6"/>
      <c r="D16" s="6"/>
      <c r="E16" s="6"/>
      <c r="F16" s="6"/>
      <c r="G16" s="6"/>
      <c r="H16" s="6"/>
      <c r="I16" s="6"/>
      <c r="J16" s="6"/>
      <c r="K16" s="6"/>
      <c r="L16" s="6"/>
      <c r="M16" s="6"/>
      <c r="N16" s="6"/>
      <c r="O16" s="6"/>
    </row>
    <row r="17" spans="1:15">
      <c r="A17" s="6"/>
      <c r="B17" s="6"/>
      <c r="C17" s="6"/>
      <c r="D17" s="6"/>
      <c r="E17" s="6"/>
      <c r="F17" s="6"/>
      <c r="G17" s="6"/>
      <c r="H17" s="6"/>
      <c r="I17" s="6"/>
      <c r="J17" s="6"/>
      <c r="K17" s="6"/>
      <c r="L17" s="6"/>
      <c r="M17" s="6"/>
      <c r="N17" s="6"/>
      <c r="O17" s="6"/>
    </row>
    <row r="18" spans="1:15">
      <c r="A18" s="6"/>
      <c r="B18" s="6"/>
      <c r="C18" s="6"/>
      <c r="D18" s="6"/>
      <c r="E18" s="6"/>
      <c r="F18" s="6"/>
      <c r="G18" s="6"/>
      <c r="H18" s="6"/>
      <c r="I18" s="6"/>
      <c r="J18" s="6"/>
      <c r="K18" s="6"/>
      <c r="L18" s="6"/>
      <c r="M18" s="6"/>
      <c r="N18" s="6"/>
      <c r="O18" s="6"/>
    </row>
    <row r="19" spans="1:15">
      <c r="A19" s="6"/>
      <c r="B19" s="6"/>
      <c r="C19" s="6"/>
      <c r="D19" s="6"/>
      <c r="E19" s="6"/>
      <c r="F19" s="6"/>
      <c r="G19" s="6"/>
      <c r="H19" s="6"/>
      <c r="I19" s="6"/>
      <c r="J19" s="6"/>
      <c r="K19" s="6"/>
      <c r="L19" s="6"/>
      <c r="M19" s="6"/>
      <c r="N19" s="6"/>
      <c r="O19" s="6"/>
    </row>
    <row r="20" spans="1:15">
      <c r="A20" s="6"/>
      <c r="B20" s="6"/>
      <c r="C20" s="6"/>
      <c r="D20" s="6"/>
      <c r="E20" s="6"/>
      <c r="F20" s="6"/>
      <c r="G20" s="6"/>
      <c r="H20" s="6"/>
      <c r="I20" s="6"/>
      <c r="J20" s="6"/>
      <c r="K20" s="6"/>
      <c r="L20" s="6"/>
      <c r="M20" s="6"/>
      <c r="N20" s="6"/>
      <c r="O20" s="6"/>
    </row>
    <row r="21" spans="1:15">
      <c r="A21" s="6"/>
      <c r="B21" s="6"/>
      <c r="C21" s="6"/>
      <c r="D21" s="6"/>
      <c r="E21" s="6"/>
      <c r="F21" s="6"/>
      <c r="G21" s="6"/>
      <c r="H21" s="6"/>
      <c r="I21" s="6"/>
      <c r="J21" s="6"/>
      <c r="K21" s="6"/>
      <c r="L21" s="6"/>
      <c r="M21" s="6"/>
      <c r="N21" s="6"/>
      <c r="O21" s="6"/>
    </row>
    <row r="22" spans="1:15">
      <c r="A22" s="6"/>
      <c r="B22" s="6"/>
      <c r="C22" s="6"/>
      <c r="D22" s="6"/>
      <c r="E22" s="6"/>
      <c r="F22" s="6"/>
      <c r="G22" s="6"/>
      <c r="H22" s="6"/>
      <c r="I22" s="6"/>
      <c r="J22" s="6"/>
      <c r="K22" s="6"/>
      <c r="L22" s="6"/>
      <c r="M22" s="6"/>
      <c r="N22" s="6"/>
      <c r="O22" s="6"/>
    </row>
    <row r="23" spans="1:15">
      <c r="A23" s="6"/>
      <c r="B23" s="6"/>
      <c r="C23" s="6"/>
      <c r="D23" s="6"/>
      <c r="E23" s="6"/>
      <c r="F23" s="6"/>
      <c r="G23" s="6"/>
      <c r="H23" s="6"/>
      <c r="I23" s="6"/>
      <c r="J23" s="6"/>
      <c r="K23" s="6"/>
      <c r="L23" s="6"/>
      <c r="M23" s="6"/>
      <c r="N23" s="6"/>
      <c r="O23" s="6"/>
    </row>
    <row r="24" spans="1:15">
      <c r="A24" s="6"/>
      <c r="B24" s="6"/>
      <c r="C24" s="6"/>
      <c r="D24" s="6"/>
      <c r="E24" s="6"/>
      <c r="F24" s="6"/>
      <c r="G24" s="6"/>
      <c r="H24" s="6"/>
      <c r="I24" s="6"/>
      <c r="J24" s="6"/>
      <c r="K24" s="6"/>
      <c r="L24" s="6"/>
      <c r="M24" s="6"/>
      <c r="N24" s="6"/>
      <c r="O24" s="6"/>
    </row>
    <row r="25" spans="1:15">
      <c r="A25" s="6"/>
      <c r="B25" s="6"/>
      <c r="C25" s="6"/>
      <c r="D25" s="6"/>
      <c r="E25" s="6"/>
      <c r="F25" s="6"/>
      <c r="G25" s="6"/>
      <c r="H25" s="6"/>
      <c r="I25" s="6"/>
      <c r="J25" s="6"/>
      <c r="K25" s="6"/>
      <c r="L25" s="6"/>
      <c r="M25" s="6"/>
      <c r="N25" s="6"/>
      <c r="O25" s="6"/>
    </row>
    <row r="26" spans="1:15">
      <c r="A26" s="6"/>
      <c r="B26" s="6"/>
      <c r="C26" s="6"/>
      <c r="D26" s="6"/>
      <c r="E26" s="6"/>
      <c r="F26" s="6"/>
      <c r="G26" s="6"/>
      <c r="H26" s="6"/>
      <c r="I26" s="6"/>
      <c r="J26" s="6"/>
      <c r="K26" s="6"/>
      <c r="L26" s="6"/>
      <c r="M26" s="6"/>
      <c r="N26" s="6"/>
      <c r="O26" s="6"/>
    </row>
    <row r="27" spans="1:15">
      <c r="A27" s="6"/>
      <c r="B27" s="6"/>
      <c r="C27" s="6"/>
      <c r="D27" s="6"/>
      <c r="E27" s="6"/>
      <c r="F27" s="6"/>
      <c r="G27" s="6"/>
      <c r="H27" s="6"/>
      <c r="I27" s="6"/>
      <c r="J27" s="6"/>
      <c r="K27" s="6"/>
      <c r="L27" s="6"/>
      <c r="M27" s="6"/>
      <c r="N27" s="6"/>
      <c r="O27" s="6"/>
    </row>
    <row r="28" spans="1:15">
      <c r="A28" s="6"/>
      <c r="B28" s="6"/>
      <c r="C28" s="6"/>
      <c r="D28" s="6"/>
      <c r="E28" s="6"/>
      <c r="F28" s="6"/>
      <c r="G28" s="6"/>
      <c r="H28" s="6"/>
      <c r="I28" s="6"/>
      <c r="J28" s="6"/>
      <c r="K28" s="6"/>
      <c r="L28" s="6"/>
      <c r="M28" s="6"/>
      <c r="N28" s="6"/>
      <c r="O28" s="6"/>
    </row>
    <row r="29" spans="1:15">
      <c r="A29" s="6"/>
      <c r="B29" s="6"/>
      <c r="C29" s="6"/>
      <c r="D29" s="6"/>
      <c r="E29" s="6"/>
      <c r="F29" s="6"/>
      <c r="G29" s="6"/>
      <c r="H29" s="6"/>
      <c r="I29" s="6"/>
      <c r="J29" s="6"/>
      <c r="K29" s="6"/>
      <c r="L29" s="6"/>
      <c r="M29" s="6"/>
      <c r="N29" s="6"/>
      <c r="O29" s="6"/>
    </row>
    <row r="30" spans="1:15">
      <c r="A30" s="6"/>
      <c r="B30" s="6"/>
      <c r="C30" s="6"/>
      <c r="D30" s="6"/>
      <c r="E30" s="6"/>
      <c r="F30" s="6"/>
      <c r="G30" s="6"/>
      <c r="H30" s="6"/>
      <c r="I30" s="6"/>
      <c r="J30" s="6"/>
      <c r="K30" s="6"/>
      <c r="L30" s="6"/>
      <c r="M30" s="6"/>
      <c r="N30" s="6"/>
      <c r="O30" s="6"/>
    </row>
    <row r="31" spans="1:15">
      <c r="A31" s="6"/>
      <c r="B31" s="6"/>
      <c r="C31" s="6"/>
      <c r="D31" s="6"/>
      <c r="E31" s="6"/>
      <c r="F31" s="6"/>
      <c r="G31" s="6"/>
      <c r="H31" s="6"/>
      <c r="I31" s="6"/>
      <c r="J31" s="6"/>
      <c r="K31" s="6"/>
      <c r="L31" s="6"/>
      <c r="M31" s="6"/>
      <c r="N31" s="6"/>
      <c r="O31" s="6"/>
    </row>
    <row r="32" spans="1:15">
      <c r="A32" s="6"/>
      <c r="B32" s="6"/>
      <c r="C32" s="6"/>
      <c r="D32" s="6"/>
      <c r="E32" s="6"/>
      <c r="F32" s="6"/>
      <c r="G32" s="6"/>
      <c r="H32" s="6"/>
      <c r="I32" s="6"/>
      <c r="J32" s="6"/>
      <c r="K32" s="6"/>
      <c r="L32" s="6"/>
      <c r="M32" s="6"/>
      <c r="N32" s="6"/>
      <c r="O32" s="6"/>
    </row>
    <row r="33" spans="1:15">
      <c r="A33" s="6"/>
      <c r="B33" s="6"/>
      <c r="C33" s="6"/>
      <c r="D33" s="6"/>
      <c r="E33" s="6"/>
      <c r="F33" s="6"/>
      <c r="G33" s="6"/>
      <c r="H33" s="6"/>
      <c r="I33" s="6"/>
      <c r="J33" s="6"/>
      <c r="K33" s="6"/>
      <c r="L33" s="6"/>
      <c r="M33" s="6"/>
      <c r="N33" s="6"/>
      <c r="O33" s="6"/>
    </row>
    <row r="34" spans="1:15">
      <c r="A34" s="6"/>
      <c r="B34" s="6"/>
      <c r="C34" s="6"/>
      <c r="D34" s="6"/>
      <c r="E34" s="6"/>
      <c r="F34" s="6"/>
      <c r="G34" s="6"/>
      <c r="H34" s="6"/>
      <c r="I34" s="6"/>
      <c r="J34" s="6"/>
      <c r="K34" s="6"/>
      <c r="L34" s="6"/>
      <c r="M34" s="6"/>
      <c r="N34" s="6"/>
      <c r="O34" s="6"/>
    </row>
    <row r="35" spans="1:15">
      <c r="A35" s="6"/>
      <c r="B35" s="6"/>
      <c r="C35" s="6"/>
      <c r="D35" s="6"/>
      <c r="E35" s="6"/>
      <c r="F35" s="6"/>
      <c r="G35" s="6"/>
      <c r="H35" s="6"/>
      <c r="I35" s="6"/>
      <c r="J35" s="6"/>
      <c r="K35" s="6"/>
      <c r="L35" s="6"/>
      <c r="M35" s="6"/>
      <c r="N35" s="6"/>
      <c r="O35" s="6"/>
    </row>
    <row r="36" spans="1:15">
      <c r="A36" s="6"/>
      <c r="B36" s="6"/>
      <c r="C36" s="6"/>
      <c r="D36" s="6"/>
      <c r="E36" s="6"/>
      <c r="F36" s="6"/>
      <c r="G36" s="6"/>
      <c r="H36" s="6"/>
      <c r="I36" s="6"/>
      <c r="J36" s="6"/>
      <c r="K36" s="6"/>
      <c r="L36" s="6"/>
      <c r="M36" s="6"/>
      <c r="N36" s="6"/>
      <c r="O36" s="6"/>
    </row>
    <row r="37" spans="1:15">
      <c r="A37" s="6"/>
      <c r="B37" s="6"/>
      <c r="C37" s="6"/>
      <c r="D37" s="6"/>
      <c r="E37" s="6"/>
      <c r="F37" s="6"/>
      <c r="G37" s="6"/>
      <c r="H37" s="6"/>
      <c r="I37" s="6"/>
      <c r="J37" s="6"/>
      <c r="K37" s="6"/>
      <c r="L37" s="6"/>
      <c r="M37" s="6"/>
      <c r="N37" s="6"/>
      <c r="O37" s="6"/>
    </row>
  </sheetData>
  <mergeCells count="1">
    <mergeCell ref="A2:E2"/>
  </mergeCells>
  <hyperlinks>
    <hyperlink ref="B11" r:id="rId1" xr:uid="{BF23F469-0C30-469F-9FC0-BCEC8410E9B1}"/>
    <hyperlink ref="B12" r:id="rId2" xr:uid="{A95EDCFF-D123-4B3A-8318-6424C21CAA99}"/>
  </hyperlinks>
  <pageMargins left="0.25" right="0.25" top="0.5" bottom="0.44999999999999996" header="0.25" footer="0.25"/>
  <pageSetup scale="83" orientation="landscape" r:id="rId3"/>
  <headerFooter alignWithMargins="0">
    <oddHeader xml:space="preserve">&amp;L &amp;C &amp;R </oddHeader>
    <oddFooter>&amp;L&amp;7&amp;D  at &amp;T Mike 702.486.8879&amp;C&amp;7&amp;F  &amp;A&amp;R&amp;7Page &amp;P of &amp;N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39E08-0573-4CC0-9E20-DE8D0F994E8E}">
  <sheetPr codeName="Sheet17">
    <tabColor theme="0" tint="-0.249977111117893"/>
  </sheetPr>
  <dimension ref="A1:N43"/>
  <sheetViews>
    <sheetView topLeftCell="B1" workbookViewId="0">
      <selection activeCell="E12" sqref="E12"/>
    </sheetView>
  </sheetViews>
  <sheetFormatPr defaultColWidth="9.33203125" defaultRowHeight="13.2"/>
  <cols>
    <col min="1" max="1" width="30" style="166" customWidth="1"/>
    <col min="2" max="2" width="30.6640625" style="166" customWidth="1"/>
    <col min="3" max="4" width="9" style="166" customWidth="1"/>
    <col min="5" max="5" width="7.44140625" style="1188" customWidth="1"/>
    <col min="6" max="6" width="7" style="1188" customWidth="1"/>
    <col min="7" max="7" width="12" style="1188" customWidth="1"/>
    <col min="8" max="8" width="8.33203125" style="1188" customWidth="1"/>
    <col min="9" max="9" width="12.5546875" style="1188" customWidth="1"/>
    <col min="10" max="10" width="8.5546875" style="1188" customWidth="1"/>
    <col min="11" max="11" width="12.6640625" style="1188" customWidth="1"/>
    <col min="12" max="12" width="11.44140625" style="1188" customWidth="1"/>
    <col min="13" max="13" width="10.5546875" style="1188" customWidth="1"/>
    <col min="14" max="14" width="2.6640625" style="166" customWidth="1"/>
    <col min="15" max="16384" width="9.33203125" style="166"/>
  </cols>
  <sheetData>
    <row r="1" spans="1:14" ht="15.6">
      <c r="A1" s="169" t="s">
        <v>986</v>
      </c>
      <c r="B1" s="169"/>
      <c r="D1" s="347" t="s">
        <v>1</v>
      </c>
      <c r="H1" s="1189" t="s">
        <v>594</v>
      </c>
      <c r="I1" s="1189" t="s">
        <v>595</v>
      </c>
      <c r="J1" s="1189" t="s">
        <v>596</v>
      </c>
      <c r="K1" s="1189" t="s">
        <v>597</v>
      </c>
      <c r="L1" s="1189" t="s">
        <v>598</v>
      </c>
      <c r="M1" s="1190" t="s">
        <v>599</v>
      </c>
    </row>
    <row r="2" spans="1:14" ht="15.6">
      <c r="A2" s="170" t="str">
        <f>SchoolName</f>
        <v>Pahrump Valley Academy</v>
      </c>
      <c r="B2" s="170"/>
      <c r="H2" s="1191">
        <f>+' Enrol &amp; Rev'!G10</f>
        <v>2026</v>
      </c>
      <c r="I2" s="1192">
        <f>+H3</f>
        <v>2027</v>
      </c>
      <c r="J2" s="1192">
        <f>+I3</f>
        <v>2028</v>
      </c>
      <c r="K2" s="1192">
        <f>+J3</f>
        <v>2029</v>
      </c>
      <c r="L2" s="1192">
        <f>+K3</f>
        <v>2030</v>
      </c>
      <c r="M2" s="1193">
        <f>+L3</f>
        <v>2031</v>
      </c>
    </row>
    <row r="3" spans="1:14" ht="15.6">
      <c r="A3" s="167" t="s">
        <v>5</v>
      </c>
      <c r="H3" s="1194">
        <f t="shared" ref="H3:M3" si="0">+H2+1</f>
        <v>2027</v>
      </c>
      <c r="I3" s="1195">
        <f t="shared" si="0"/>
        <v>2028</v>
      </c>
      <c r="J3" s="1195">
        <f t="shared" si="0"/>
        <v>2029</v>
      </c>
      <c r="K3" s="1195">
        <f t="shared" si="0"/>
        <v>2030</v>
      </c>
      <c r="L3" s="1195">
        <f t="shared" si="0"/>
        <v>2031</v>
      </c>
      <c r="M3" s="1196">
        <f t="shared" si="0"/>
        <v>2032</v>
      </c>
    </row>
    <row r="4" spans="1:14" ht="13.8">
      <c r="A4" s="168" t="s">
        <v>6</v>
      </c>
      <c r="F4" s="1188" t="s">
        <v>987</v>
      </c>
      <c r="H4" s="1197">
        <f>+' Enrol &amp; Rev'!G36</f>
        <v>275</v>
      </c>
      <c r="I4" s="1197">
        <f>+' Enrol &amp; Rev'!H36</f>
        <v>350</v>
      </c>
      <c r="J4" s="1197">
        <f>+' Enrol &amp; Rev'!I36</f>
        <v>400</v>
      </c>
      <c r="K4" s="1197">
        <f>+' Enrol &amp; Rev'!J36</f>
        <v>450</v>
      </c>
      <c r="L4" s="1197">
        <f>+' Enrol &amp; Rev'!K36</f>
        <v>450</v>
      </c>
      <c r="M4" s="1197">
        <f>+' Enrol &amp; Rev'!L36</f>
        <v>450</v>
      </c>
    </row>
    <row r="5" spans="1:14" ht="13.8">
      <c r="A5" s="188" t="str">
        <f ca="1">CELL("filename")</f>
        <v>https://csmci.sharepoint.com/sites/csmc-nevada/Shared Documents/General/CSMC/Potential Clients/Pahrump Valley Academy/Revision/[Attachment 24_Financial-Plan-Workbook Pahrump Valley Academy -Draft (3).xlsx]CF Y1 Mo</v>
      </c>
      <c r="F5" s="1188" t="s">
        <v>988</v>
      </c>
      <c r="H5" s="1198">
        <f>+' Enrol &amp; Rev'!G19</f>
        <v>11</v>
      </c>
      <c r="I5" s="1198">
        <f>+' Enrol &amp; Rev'!H19</f>
        <v>14</v>
      </c>
      <c r="J5" s="1198">
        <f>+' Enrol &amp; Rev'!I19</f>
        <v>16</v>
      </c>
      <c r="K5" s="1198">
        <f>+' Enrol &amp; Rev'!J19</f>
        <v>18</v>
      </c>
      <c r="L5" s="1198">
        <f>+' Enrol &amp; Rev'!K19</f>
        <v>18</v>
      </c>
      <c r="M5" s="1198">
        <f>+' Enrol &amp; Rev'!L19</f>
        <v>18</v>
      </c>
    </row>
    <row r="6" spans="1:14" ht="13.8">
      <c r="F6" s="1188" t="s">
        <v>989</v>
      </c>
      <c r="H6" s="1198">
        <f>IFERROR(H4/H5,0)</f>
        <v>25</v>
      </c>
      <c r="I6" s="1198">
        <f t="shared" ref="I6:M6" si="1">IFERROR(I4/I5,0)</f>
        <v>25</v>
      </c>
      <c r="J6" s="1198">
        <f t="shared" si="1"/>
        <v>25</v>
      </c>
      <c r="K6" s="1198">
        <f t="shared" si="1"/>
        <v>25</v>
      </c>
      <c r="L6" s="1198">
        <f t="shared" si="1"/>
        <v>25</v>
      </c>
      <c r="M6" s="1198">
        <f t="shared" si="1"/>
        <v>25</v>
      </c>
    </row>
    <row r="7" spans="1:14" ht="17.25" customHeight="1">
      <c r="A7" s="646" t="s">
        <v>990</v>
      </c>
      <c r="B7" s="647"/>
      <c r="C7" s="647"/>
      <c r="D7" s="647"/>
      <c r="E7" s="1199"/>
      <c r="F7" s="1199"/>
      <c r="G7" s="1199"/>
      <c r="H7" s="1199"/>
      <c r="I7" s="1199"/>
      <c r="J7" s="1199"/>
      <c r="K7" s="1199"/>
      <c r="L7" s="1199"/>
      <c r="M7" s="1199"/>
      <c r="N7" s="187"/>
    </row>
    <row r="8" spans="1:14" ht="19.5" customHeight="1">
      <c r="A8" s="182" t="s">
        <v>991</v>
      </c>
      <c r="B8" s="184" t="s">
        <v>992</v>
      </c>
      <c r="C8" s="185" t="s">
        <v>993</v>
      </c>
      <c r="D8" s="185" t="s">
        <v>994</v>
      </c>
      <c r="E8" s="1200" t="s">
        <v>995</v>
      </c>
      <c r="F8" s="1867" t="s">
        <v>996</v>
      </c>
      <c r="G8" s="1868"/>
      <c r="H8" s="1867" t="s">
        <v>997</v>
      </c>
      <c r="I8" s="1868"/>
      <c r="J8" s="1867" t="s">
        <v>998</v>
      </c>
      <c r="K8" s="1868"/>
      <c r="L8" s="1867" t="s">
        <v>999</v>
      </c>
      <c r="M8" s="1868"/>
    </row>
    <row r="9" spans="1:14" ht="13.8">
      <c r="A9" s="191" t="s">
        <v>437</v>
      </c>
      <c r="B9" s="194" t="s">
        <v>1000</v>
      </c>
      <c r="C9" s="183"/>
      <c r="D9" s="183"/>
      <c r="E9" s="1201"/>
      <c r="F9" s="225">
        <v>500</v>
      </c>
      <c r="G9" s="1202"/>
      <c r="H9" s="225">
        <v>400</v>
      </c>
      <c r="I9" s="1203"/>
      <c r="J9" s="225">
        <f>+H4</f>
        <v>275</v>
      </c>
      <c r="K9" s="1203"/>
      <c r="L9" s="225">
        <f>+K4</f>
        <v>450</v>
      </c>
      <c r="M9" s="1203"/>
    </row>
    <row r="10" spans="1:14" ht="13.8">
      <c r="A10" s="192" t="s">
        <v>1001</v>
      </c>
      <c r="B10" s="195" t="s">
        <v>1002</v>
      </c>
      <c r="C10" s="175"/>
      <c r="D10" s="175"/>
      <c r="E10" s="1204"/>
      <c r="F10" s="1205"/>
      <c r="G10" s="1206"/>
      <c r="H10" s="1207"/>
      <c r="I10" s="1208"/>
      <c r="J10" s="1207"/>
      <c r="K10" s="1208"/>
      <c r="L10" s="1207"/>
      <c r="M10" s="1203"/>
    </row>
    <row r="11" spans="1:14" ht="13.8">
      <c r="A11" s="192" t="s">
        <v>1003</v>
      </c>
      <c r="B11" s="195" t="s">
        <v>1004</v>
      </c>
      <c r="C11" s="175"/>
      <c r="D11" s="175"/>
      <c r="E11" s="1204"/>
      <c r="F11" s="225">
        <v>25</v>
      </c>
      <c r="G11" s="1206"/>
      <c r="H11" s="234">
        <v>25</v>
      </c>
      <c r="I11" s="1208"/>
      <c r="J11" s="239">
        <v>25</v>
      </c>
      <c r="K11" s="1208"/>
      <c r="L11" s="239">
        <f>+K6</f>
        <v>25</v>
      </c>
      <c r="M11" s="1203"/>
    </row>
    <row r="12" spans="1:14" ht="13.8">
      <c r="A12" s="192" t="s">
        <v>1005</v>
      </c>
      <c r="B12" s="195" t="s">
        <v>1006</v>
      </c>
      <c r="C12" s="186">
        <v>55</v>
      </c>
      <c r="D12" s="186">
        <v>100</v>
      </c>
      <c r="E12" s="227">
        <f>AVERAGE(C12:D12)</f>
        <v>77.5</v>
      </c>
      <c r="F12" s="226">
        <v>600</v>
      </c>
      <c r="G12" s="1209">
        <f>+F12*$E$12</f>
        <v>46500</v>
      </c>
      <c r="H12" s="235">
        <v>800</v>
      </c>
      <c r="I12" s="1209">
        <f>+H12*$E$12</f>
        <v>62000</v>
      </c>
      <c r="J12" s="235">
        <v>45000</v>
      </c>
      <c r="K12" s="1209">
        <f>+J12*$E$12</f>
        <v>3487500</v>
      </c>
      <c r="L12" s="235">
        <v>700</v>
      </c>
      <c r="M12" s="1209">
        <f>+L12*$E$12</f>
        <v>54250</v>
      </c>
    </row>
    <row r="13" spans="1:14" ht="13.8">
      <c r="A13" s="192"/>
      <c r="B13" s="195"/>
      <c r="C13" s="175"/>
      <c r="D13" s="175"/>
      <c r="E13" s="1210"/>
      <c r="F13" s="1211"/>
      <c r="G13" s="1202"/>
      <c r="H13" s="1211"/>
      <c r="I13" s="1203"/>
      <c r="J13" s="1211"/>
      <c r="K13" s="1203"/>
      <c r="L13" s="1211"/>
      <c r="M13" s="1203"/>
    </row>
    <row r="14" spans="1:14" ht="13.8">
      <c r="A14" s="191" t="s">
        <v>1007</v>
      </c>
      <c r="B14" s="195"/>
      <c r="C14" s="175"/>
      <c r="D14" s="175"/>
      <c r="E14" s="1210"/>
      <c r="F14" s="1205"/>
      <c r="G14" s="1202"/>
      <c r="H14" s="1205"/>
      <c r="I14" s="1203"/>
      <c r="J14" s="1205"/>
      <c r="K14" s="1203"/>
      <c r="L14" s="1205"/>
      <c r="M14" s="1203"/>
    </row>
    <row r="15" spans="1:14" ht="24" customHeight="1">
      <c r="A15" s="192" t="s">
        <v>1008</v>
      </c>
      <c r="B15" s="195" t="s">
        <v>1009</v>
      </c>
      <c r="C15" s="176">
        <v>750</v>
      </c>
      <c r="D15" s="176">
        <v>1000</v>
      </c>
      <c r="E15" s="228">
        <v>850</v>
      </c>
      <c r="F15" s="1205">
        <f>+F9/F11</f>
        <v>20</v>
      </c>
      <c r="G15" s="1212">
        <f>+F15*$E15</f>
        <v>17000</v>
      </c>
      <c r="H15" s="1205">
        <f>+H9/H11</f>
        <v>16</v>
      </c>
      <c r="I15" s="1212">
        <f>+H15*$E15</f>
        <v>13600</v>
      </c>
      <c r="J15" s="1213">
        <f>IFERROR(J9/J11,0)</f>
        <v>11</v>
      </c>
      <c r="K15" s="1212">
        <f>+J15*$E15</f>
        <v>9350</v>
      </c>
      <c r="L15" s="1213">
        <f>IFERROR(L9/L11,0)</f>
        <v>18</v>
      </c>
      <c r="M15" s="1212">
        <f>+L15*$E15</f>
        <v>15300</v>
      </c>
    </row>
    <row r="16" spans="1:14" ht="13.8">
      <c r="A16" s="192" t="s">
        <v>1010</v>
      </c>
      <c r="B16" s="195" t="s">
        <v>1011</v>
      </c>
      <c r="C16" s="176">
        <v>850</v>
      </c>
      <c r="D16" s="176">
        <v>1200</v>
      </c>
      <c r="E16" s="228">
        <v>1000</v>
      </c>
      <c r="F16" s="229">
        <v>2</v>
      </c>
      <c r="G16" s="1214">
        <f t="shared" ref="G16:G28" si="2">+$E16*F16</f>
        <v>2000</v>
      </c>
      <c r="H16" s="225">
        <v>2</v>
      </c>
      <c r="I16" s="1214">
        <f t="shared" ref="I16:I28" si="3">+$E16*H16</f>
        <v>2000</v>
      </c>
      <c r="J16" s="237">
        <v>2</v>
      </c>
      <c r="K16" s="1214">
        <f t="shared" ref="K16:K28" si="4">+$E16*J16</f>
        <v>2000</v>
      </c>
      <c r="L16" s="237">
        <v>2</v>
      </c>
      <c r="M16" s="1214">
        <f t="shared" ref="M16:M28" si="5">+$E16*L16</f>
        <v>2000</v>
      </c>
    </row>
    <row r="17" spans="1:13" ht="13.8">
      <c r="A17" s="192" t="s">
        <v>1012</v>
      </c>
      <c r="B17" s="195" t="s">
        <v>1013</v>
      </c>
      <c r="C17" s="176">
        <v>850</v>
      </c>
      <c r="D17" s="176">
        <v>1200</v>
      </c>
      <c r="E17" s="228">
        <v>1000</v>
      </c>
      <c r="F17" s="230">
        <v>1</v>
      </c>
      <c r="G17" s="1214">
        <f t="shared" si="2"/>
        <v>1000</v>
      </c>
      <c r="H17" s="225">
        <v>1</v>
      </c>
      <c r="I17" s="1214">
        <f t="shared" si="3"/>
        <v>1000</v>
      </c>
      <c r="J17" s="237">
        <v>1</v>
      </c>
      <c r="K17" s="1214">
        <f t="shared" si="4"/>
        <v>1000</v>
      </c>
      <c r="L17" s="237">
        <v>1</v>
      </c>
      <c r="M17" s="1214">
        <f t="shared" si="5"/>
        <v>1000</v>
      </c>
    </row>
    <row r="18" spans="1:13" ht="31.5" customHeight="1">
      <c r="A18" s="192" t="s">
        <v>1014</v>
      </c>
      <c r="B18" s="195" t="s">
        <v>1015</v>
      </c>
      <c r="C18" s="176"/>
      <c r="D18" s="176"/>
      <c r="E18" s="228">
        <v>400</v>
      </c>
      <c r="F18" s="230">
        <v>2</v>
      </c>
      <c r="G18" s="1214">
        <f t="shared" si="2"/>
        <v>800</v>
      </c>
      <c r="H18" s="225">
        <v>2</v>
      </c>
      <c r="I18" s="1214">
        <f t="shared" si="3"/>
        <v>800</v>
      </c>
      <c r="J18" s="237">
        <v>2</v>
      </c>
      <c r="K18" s="1214">
        <f t="shared" si="4"/>
        <v>800</v>
      </c>
      <c r="L18" s="237">
        <v>2</v>
      </c>
      <c r="M18" s="1214">
        <f t="shared" si="5"/>
        <v>800</v>
      </c>
    </row>
    <row r="19" spans="1:13" ht="27.75" customHeight="1">
      <c r="A19" s="192" t="s">
        <v>1016</v>
      </c>
      <c r="B19" s="195" t="s">
        <v>1017</v>
      </c>
      <c r="C19" s="176"/>
      <c r="D19" s="176"/>
      <c r="E19" s="228">
        <v>100</v>
      </c>
      <c r="F19" s="230">
        <v>4</v>
      </c>
      <c r="G19" s="1214">
        <f t="shared" si="2"/>
        <v>400</v>
      </c>
      <c r="H19" s="225">
        <v>4</v>
      </c>
      <c r="I19" s="1214">
        <f t="shared" si="3"/>
        <v>400</v>
      </c>
      <c r="J19" s="237">
        <v>4</v>
      </c>
      <c r="K19" s="1214">
        <f t="shared" si="4"/>
        <v>400</v>
      </c>
      <c r="L19" s="237">
        <v>4</v>
      </c>
      <c r="M19" s="1214">
        <f t="shared" si="5"/>
        <v>400</v>
      </c>
    </row>
    <row r="20" spans="1:13" ht="13.8">
      <c r="A20" s="192" t="s">
        <v>1018</v>
      </c>
      <c r="B20" s="195" t="s">
        <v>1019</v>
      </c>
      <c r="C20" s="176"/>
      <c r="D20" s="176"/>
      <c r="E20" s="228">
        <v>400</v>
      </c>
      <c r="F20" s="230">
        <v>1</v>
      </c>
      <c r="G20" s="1214">
        <f t="shared" si="2"/>
        <v>400</v>
      </c>
      <c r="H20" s="225">
        <v>1</v>
      </c>
      <c r="I20" s="1214">
        <f t="shared" si="3"/>
        <v>400</v>
      </c>
      <c r="J20" s="237">
        <v>0.25</v>
      </c>
      <c r="K20" s="1214">
        <f t="shared" si="4"/>
        <v>100</v>
      </c>
      <c r="L20" s="237">
        <v>1</v>
      </c>
      <c r="M20" s="1214">
        <f t="shared" si="5"/>
        <v>400</v>
      </c>
    </row>
    <row r="21" spans="1:13" ht="13.8">
      <c r="A21" s="192" t="s">
        <v>1020</v>
      </c>
      <c r="B21" s="195" t="s">
        <v>1021</v>
      </c>
      <c r="C21" s="176">
        <v>70</v>
      </c>
      <c r="D21" s="176">
        <v>100</v>
      </c>
      <c r="E21" s="228">
        <v>100</v>
      </c>
      <c r="F21" s="230">
        <v>4</v>
      </c>
      <c r="G21" s="1214">
        <f t="shared" si="2"/>
        <v>400</v>
      </c>
      <c r="H21" s="225">
        <v>4</v>
      </c>
      <c r="I21" s="1214">
        <f t="shared" si="3"/>
        <v>400</v>
      </c>
      <c r="J21" s="237">
        <v>2</v>
      </c>
      <c r="K21" s="1214">
        <f t="shared" si="4"/>
        <v>200</v>
      </c>
      <c r="L21" s="237">
        <v>4</v>
      </c>
      <c r="M21" s="1214">
        <f t="shared" si="5"/>
        <v>400</v>
      </c>
    </row>
    <row r="22" spans="1:13" ht="13.8">
      <c r="A22" s="192" t="s">
        <v>1022</v>
      </c>
      <c r="B22" s="195" t="s">
        <v>1023</v>
      </c>
      <c r="C22" s="176"/>
      <c r="D22" s="176"/>
      <c r="E22" s="228">
        <v>400</v>
      </c>
      <c r="F22" s="230">
        <v>1</v>
      </c>
      <c r="G22" s="1214">
        <f t="shared" si="2"/>
        <v>400</v>
      </c>
      <c r="H22" s="225">
        <v>1</v>
      </c>
      <c r="I22" s="1214">
        <f t="shared" si="3"/>
        <v>400</v>
      </c>
      <c r="J22" s="237">
        <v>1</v>
      </c>
      <c r="K22" s="1214">
        <f t="shared" si="4"/>
        <v>400</v>
      </c>
      <c r="L22" s="237">
        <v>1</v>
      </c>
      <c r="M22" s="1214">
        <f t="shared" si="5"/>
        <v>400</v>
      </c>
    </row>
    <row r="23" spans="1:13" ht="13.8">
      <c r="A23" s="192" t="s">
        <v>1024</v>
      </c>
      <c r="B23" s="195" t="s">
        <v>1025</v>
      </c>
      <c r="C23" s="176"/>
      <c r="D23" s="176"/>
      <c r="E23" s="228">
        <v>600</v>
      </c>
      <c r="F23" s="230">
        <v>1</v>
      </c>
      <c r="G23" s="1214">
        <f t="shared" si="2"/>
        <v>600</v>
      </c>
      <c r="H23" s="225">
        <v>1</v>
      </c>
      <c r="I23" s="1214">
        <f t="shared" si="3"/>
        <v>600</v>
      </c>
      <c r="J23" s="237">
        <v>0</v>
      </c>
      <c r="K23" s="1214">
        <f t="shared" si="4"/>
        <v>0</v>
      </c>
      <c r="L23" s="237">
        <v>1</v>
      </c>
      <c r="M23" s="1214">
        <f t="shared" si="5"/>
        <v>600</v>
      </c>
    </row>
    <row r="24" spans="1:13" ht="13.8">
      <c r="A24" s="192" t="s">
        <v>1026</v>
      </c>
      <c r="B24" s="195" t="s">
        <v>1027</v>
      </c>
      <c r="C24" s="176"/>
      <c r="D24" s="176"/>
      <c r="E24" s="228">
        <v>1500</v>
      </c>
      <c r="F24" s="230">
        <v>1</v>
      </c>
      <c r="G24" s="1214">
        <f t="shared" si="2"/>
        <v>1500</v>
      </c>
      <c r="H24" s="225">
        <v>1</v>
      </c>
      <c r="I24" s="1214">
        <f t="shared" si="3"/>
        <v>1500</v>
      </c>
      <c r="J24" s="237">
        <v>1</v>
      </c>
      <c r="K24" s="1214">
        <f t="shared" si="4"/>
        <v>1500</v>
      </c>
      <c r="L24" s="237">
        <v>1</v>
      </c>
      <c r="M24" s="1214">
        <f t="shared" si="5"/>
        <v>1500</v>
      </c>
    </row>
    <row r="25" spans="1:13" ht="13.8">
      <c r="A25" s="192" t="s">
        <v>1028</v>
      </c>
      <c r="B25" s="195" t="s">
        <v>1029</v>
      </c>
      <c r="C25" s="176"/>
      <c r="D25" s="176"/>
      <c r="E25" s="228">
        <v>200</v>
      </c>
      <c r="F25" s="230">
        <v>1</v>
      </c>
      <c r="G25" s="1214">
        <f t="shared" si="2"/>
        <v>200</v>
      </c>
      <c r="H25" s="225">
        <v>1</v>
      </c>
      <c r="I25" s="1214">
        <f t="shared" si="3"/>
        <v>200</v>
      </c>
      <c r="J25" s="237">
        <v>0.5</v>
      </c>
      <c r="K25" s="1214">
        <f t="shared" si="4"/>
        <v>100</v>
      </c>
      <c r="L25" s="237">
        <v>1</v>
      </c>
      <c r="M25" s="1214">
        <f t="shared" si="5"/>
        <v>200</v>
      </c>
    </row>
    <row r="26" spans="1:13" ht="13.8">
      <c r="A26" s="192" t="s">
        <v>1030</v>
      </c>
      <c r="B26" s="195" t="s">
        <v>1031</v>
      </c>
      <c r="C26" s="176"/>
      <c r="D26" s="176"/>
      <c r="E26" s="228">
        <v>400</v>
      </c>
      <c r="F26" s="230">
        <v>2</v>
      </c>
      <c r="G26" s="1214">
        <f t="shared" si="2"/>
        <v>800</v>
      </c>
      <c r="H26" s="225">
        <v>2</v>
      </c>
      <c r="I26" s="1214">
        <f t="shared" si="3"/>
        <v>800</v>
      </c>
      <c r="J26" s="237">
        <v>2</v>
      </c>
      <c r="K26" s="1214">
        <f t="shared" si="4"/>
        <v>800</v>
      </c>
      <c r="L26" s="237">
        <v>2</v>
      </c>
      <c r="M26" s="1214">
        <f t="shared" si="5"/>
        <v>800</v>
      </c>
    </row>
    <row r="27" spans="1:13" ht="13.8">
      <c r="A27" s="192" t="s">
        <v>1032</v>
      </c>
      <c r="B27" s="195" t="s">
        <v>1033</v>
      </c>
      <c r="C27" s="176"/>
      <c r="D27" s="176"/>
      <c r="E27" s="228">
        <v>100</v>
      </c>
      <c r="F27" s="230">
        <v>3</v>
      </c>
      <c r="G27" s="1214">
        <f t="shared" si="2"/>
        <v>300</v>
      </c>
      <c r="H27" s="225">
        <v>3</v>
      </c>
      <c r="I27" s="1214">
        <f t="shared" si="3"/>
        <v>300</v>
      </c>
      <c r="J27" s="237">
        <v>3</v>
      </c>
      <c r="K27" s="1214">
        <f t="shared" si="4"/>
        <v>300</v>
      </c>
      <c r="L27" s="237">
        <v>3</v>
      </c>
      <c r="M27" s="1214">
        <f t="shared" si="5"/>
        <v>300</v>
      </c>
    </row>
    <row r="28" spans="1:13" ht="27.6">
      <c r="A28" s="192" t="s">
        <v>1034</v>
      </c>
      <c r="B28" s="195" t="s">
        <v>1035</v>
      </c>
      <c r="C28" s="176"/>
      <c r="D28" s="176"/>
      <c r="E28" s="228">
        <v>4000</v>
      </c>
      <c r="F28" s="230">
        <v>1</v>
      </c>
      <c r="G28" s="1214">
        <f t="shared" si="2"/>
        <v>4000</v>
      </c>
      <c r="H28" s="225">
        <v>0</v>
      </c>
      <c r="I28" s="1214">
        <f t="shared" si="3"/>
        <v>0</v>
      </c>
      <c r="J28" s="237">
        <v>0</v>
      </c>
      <c r="K28" s="1214">
        <f t="shared" si="4"/>
        <v>0</v>
      </c>
      <c r="L28" s="237">
        <v>0</v>
      </c>
      <c r="M28" s="1214">
        <f t="shared" si="5"/>
        <v>0</v>
      </c>
    </row>
    <row r="29" spans="1:13" ht="27.6">
      <c r="A29" s="192" t="s">
        <v>1036</v>
      </c>
      <c r="B29" s="195" t="s">
        <v>1037</v>
      </c>
      <c r="C29" s="176">
        <v>7</v>
      </c>
      <c r="D29" s="176">
        <v>10</v>
      </c>
      <c r="E29" s="1215" t="s">
        <v>1038</v>
      </c>
      <c r="F29" s="231">
        <v>0</v>
      </c>
      <c r="G29" s="1214">
        <f>+F29*F9</f>
        <v>0</v>
      </c>
      <c r="H29" s="231">
        <v>7</v>
      </c>
      <c r="I29" s="1214">
        <f>+H29*H9</f>
        <v>2800</v>
      </c>
      <c r="J29" s="231">
        <v>7</v>
      </c>
      <c r="K29" s="1214">
        <f>+J29*J9</f>
        <v>1925</v>
      </c>
      <c r="L29" s="231">
        <v>7</v>
      </c>
      <c r="M29" s="1214">
        <f>+L29*L9</f>
        <v>3150</v>
      </c>
    </row>
    <row r="30" spans="1:13" ht="13.8">
      <c r="A30" s="192" t="s">
        <v>1039</v>
      </c>
      <c r="B30" s="195" t="s">
        <v>1040</v>
      </c>
      <c r="C30" s="176"/>
      <c r="D30" s="176"/>
      <c r="E30" s="228">
        <v>1000</v>
      </c>
      <c r="F30" s="230">
        <v>1</v>
      </c>
      <c r="G30" s="1214">
        <f>+$E30*F30</f>
        <v>1000</v>
      </c>
      <c r="H30" s="225">
        <v>1</v>
      </c>
      <c r="I30" s="1214">
        <f>+$E30*H30</f>
        <v>1000</v>
      </c>
      <c r="J30" s="237">
        <v>1</v>
      </c>
      <c r="K30" s="1214">
        <f>+$E30*J30</f>
        <v>1000</v>
      </c>
      <c r="L30" s="237">
        <v>1</v>
      </c>
      <c r="M30" s="1214">
        <f>+$E30*L30</f>
        <v>1000</v>
      </c>
    </row>
    <row r="31" spans="1:13" ht="13.8">
      <c r="A31" s="192" t="s">
        <v>1041</v>
      </c>
      <c r="B31" s="195" t="s">
        <v>1042</v>
      </c>
      <c r="C31" s="176"/>
      <c r="D31" s="176"/>
      <c r="E31" s="228">
        <v>300</v>
      </c>
      <c r="F31" s="230">
        <v>2</v>
      </c>
      <c r="G31" s="1214">
        <f>+$E31*F31</f>
        <v>600</v>
      </c>
      <c r="H31" s="225">
        <v>2</v>
      </c>
      <c r="I31" s="1214">
        <f>+$E31*H31</f>
        <v>600</v>
      </c>
      <c r="J31" s="237">
        <v>1</v>
      </c>
      <c r="K31" s="1214">
        <f>+$E31*J31</f>
        <v>300</v>
      </c>
      <c r="L31" s="237">
        <v>2</v>
      </c>
      <c r="M31" s="1214">
        <f>+$E31*L31</f>
        <v>600</v>
      </c>
    </row>
    <row r="32" spans="1:13" ht="13.8">
      <c r="A32" s="192" t="s">
        <v>1043</v>
      </c>
      <c r="B32" s="195" t="s">
        <v>1044</v>
      </c>
      <c r="C32" s="176"/>
      <c r="D32" s="176"/>
      <c r="E32" s="228">
        <v>150</v>
      </c>
      <c r="F32" s="230">
        <v>1</v>
      </c>
      <c r="G32" s="1214">
        <f>+$E32*F32</f>
        <v>150</v>
      </c>
      <c r="H32" s="225">
        <v>1</v>
      </c>
      <c r="I32" s="1214">
        <f>+$E32*H32</f>
        <v>150</v>
      </c>
      <c r="J32" s="237">
        <v>0.2</v>
      </c>
      <c r="K32" s="1214">
        <f>+$E32*J32</f>
        <v>30</v>
      </c>
      <c r="L32" s="237">
        <v>1</v>
      </c>
      <c r="M32" s="1214">
        <f>+$E32*L32</f>
        <v>150</v>
      </c>
    </row>
    <row r="33" spans="1:13" ht="13.8">
      <c r="A33" s="192" t="s">
        <v>1045</v>
      </c>
      <c r="B33" s="195" t="s">
        <v>1046</v>
      </c>
      <c r="C33" s="176"/>
      <c r="D33" s="176"/>
      <c r="E33" s="228">
        <v>250</v>
      </c>
      <c r="F33" s="230">
        <v>1</v>
      </c>
      <c r="G33" s="1214">
        <f>+$E33*F33</f>
        <v>250</v>
      </c>
      <c r="H33" s="225">
        <v>1</v>
      </c>
      <c r="I33" s="1214">
        <f>+$E33*H33</f>
        <v>250</v>
      </c>
      <c r="J33" s="237">
        <v>0.2</v>
      </c>
      <c r="K33" s="1214">
        <f>+$E33*J33</f>
        <v>50</v>
      </c>
      <c r="L33" s="237">
        <v>1</v>
      </c>
      <c r="M33" s="1214">
        <f>+$E33*L33</f>
        <v>250</v>
      </c>
    </row>
    <row r="34" spans="1:13" ht="27.6">
      <c r="A34" s="193" t="s">
        <v>1047</v>
      </c>
      <c r="B34" s="196" t="s">
        <v>1048</v>
      </c>
      <c r="C34" s="177"/>
      <c r="D34" s="177"/>
      <c r="E34" s="233">
        <v>200</v>
      </c>
      <c r="F34" s="232">
        <v>1</v>
      </c>
      <c r="G34" s="1216">
        <f>+$E34*F34</f>
        <v>200</v>
      </c>
      <c r="H34" s="236">
        <v>1</v>
      </c>
      <c r="I34" s="1216">
        <f>+$E34*H34</f>
        <v>200</v>
      </c>
      <c r="J34" s="238">
        <v>0.5</v>
      </c>
      <c r="K34" s="1216">
        <f>+$E34*J34</f>
        <v>100</v>
      </c>
      <c r="L34" s="238">
        <v>1</v>
      </c>
      <c r="M34" s="1216">
        <f>+$E34*L34</f>
        <v>200</v>
      </c>
    </row>
    <row r="35" spans="1:13" ht="13.8">
      <c r="A35" s="171" t="s">
        <v>1049</v>
      </c>
      <c r="B35" s="197"/>
      <c r="C35" s="174"/>
      <c r="D35" s="174"/>
      <c r="E35" s="1217"/>
      <c r="F35" s="1218"/>
      <c r="G35" s="1219">
        <f>SUM(G15:G34)</f>
        <v>32000</v>
      </c>
      <c r="H35" s="1220"/>
      <c r="I35" s="1219">
        <f>SUM(I15:I34)</f>
        <v>27400</v>
      </c>
      <c r="J35" s="1220"/>
      <c r="K35" s="1219">
        <f>SUM(K15:K34)</f>
        <v>20355</v>
      </c>
      <c r="L35" s="1220"/>
      <c r="M35" s="1219">
        <f>SUM(M15:M34)</f>
        <v>29450</v>
      </c>
    </row>
    <row r="36" spans="1:13" ht="13.8">
      <c r="A36" s="172" t="s">
        <v>1050</v>
      </c>
      <c r="B36" s="199" t="s">
        <v>1051</v>
      </c>
      <c r="C36" s="200"/>
      <c r="D36" s="200"/>
      <c r="E36" s="240">
        <v>0.15</v>
      </c>
      <c r="F36" s="1221"/>
      <c r="G36" s="1222">
        <f>+G35*$E36</f>
        <v>4800</v>
      </c>
      <c r="H36" s="1223"/>
      <c r="I36" s="1222">
        <f>+I35*$E36</f>
        <v>4110</v>
      </c>
      <c r="J36" s="1223"/>
      <c r="K36" s="1222">
        <f>+K35*$E36</f>
        <v>3053.25</v>
      </c>
      <c r="L36" s="1223"/>
      <c r="M36" s="1222">
        <f>+M35*$E36</f>
        <v>4417.5</v>
      </c>
    </row>
    <row r="37" spans="1:13" ht="13.8">
      <c r="A37" s="178" t="s">
        <v>1052</v>
      </c>
      <c r="B37" s="179" t="s">
        <v>1053</v>
      </c>
      <c r="C37" s="173"/>
      <c r="D37" s="173"/>
      <c r="E37" s="1224"/>
      <c r="F37" s="1224"/>
      <c r="G37" s="1225">
        <f>+G35+G36</f>
        <v>36800</v>
      </c>
      <c r="H37" s="1226"/>
      <c r="I37" s="1225">
        <f>+I35+I36</f>
        <v>31510</v>
      </c>
      <c r="J37" s="1226"/>
      <c r="K37" s="1225">
        <f>+K35+K36</f>
        <v>23408.25</v>
      </c>
      <c r="L37" s="1226"/>
      <c r="M37" s="1225">
        <f>+M35+M36</f>
        <v>33867.5</v>
      </c>
    </row>
    <row r="38" spans="1:13" ht="13.8">
      <c r="A38" s="180" t="s">
        <v>1054</v>
      </c>
      <c r="B38" s="181" t="s">
        <v>1055</v>
      </c>
      <c r="C38" s="173"/>
      <c r="D38" s="173"/>
      <c r="E38" s="1224"/>
      <c r="F38" s="1224"/>
      <c r="G38" s="1227">
        <f>+G37/F9</f>
        <v>73.599999999999994</v>
      </c>
      <c r="H38" s="1228"/>
      <c r="I38" s="1227">
        <f>+I37/H9</f>
        <v>78.775000000000006</v>
      </c>
      <c r="J38" s="1228"/>
      <c r="K38" s="1227">
        <f>+K37/J9</f>
        <v>85.120909090909095</v>
      </c>
      <c r="L38" s="1228"/>
      <c r="M38" s="1227">
        <f>+M37/L9</f>
        <v>75.261111111111106</v>
      </c>
    </row>
    <row r="39" spans="1:13" ht="15.6">
      <c r="C39" s="275" t="s">
        <v>1056</v>
      </c>
      <c r="D39" s="275"/>
      <c r="E39" s="1229">
        <v>1.2</v>
      </c>
      <c r="F39" s="1230"/>
      <c r="G39" s="1231">
        <f>+$E39*G$37*12</f>
        <v>529920</v>
      </c>
      <c r="H39" s="1232" t="s">
        <v>545</v>
      </c>
      <c r="I39" s="1231">
        <f>+$E39*I$37*12</f>
        <v>453744</v>
      </c>
      <c r="J39" s="1232" t="s">
        <v>545</v>
      </c>
      <c r="K39" s="1233">
        <f>+$E39*K$37</f>
        <v>28089.899999999998</v>
      </c>
      <c r="M39" s="1233">
        <f>+$E39*M$37</f>
        <v>40641</v>
      </c>
    </row>
    <row r="40" spans="1:13" ht="15.6">
      <c r="A40" s="198" t="s">
        <v>1057</v>
      </c>
      <c r="C40" s="275" t="s">
        <v>1058</v>
      </c>
      <c r="D40" s="275"/>
      <c r="E40" s="1229">
        <v>1.5</v>
      </c>
      <c r="F40" s="1230"/>
      <c r="G40" s="1231">
        <f t="shared" ref="G40:I40" si="6">+$E40*G$37*12</f>
        <v>662400</v>
      </c>
      <c r="H40" s="1232" t="s">
        <v>545</v>
      </c>
      <c r="I40" s="1231">
        <f t="shared" si="6"/>
        <v>567180</v>
      </c>
      <c r="J40" s="1232" t="s">
        <v>545</v>
      </c>
      <c r="K40" s="1233">
        <f>+$E40*K$37</f>
        <v>35112.375</v>
      </c>
      <c r="M40" s="1233">
        <f>+$E40*M$37</f>
        <v>50801.25</v>
      </c>
    </row>
    <row r="41" spans="1:13">
      <c r="A41" s="166" t="s">
        <v>1059</v>
      </c>
    </row>
    <row r="42" spans="1:13">
      <c r="A42" s="166" t="s">
        <v>1060</v>
      </c>
    </row>
    <row r="43" spans="1:13">
      <c r="A43" s="166" t="s">
        <v>1061</v>
      </c>
    </row>
  </sheetData>
  <mergeCells count="4">
    <mergeCell ref="F8:G8"/>
    <mergeCell ref="H8:I8"/>
    <mergeCell ref="J8:K8"/>
    <mergeCell ref="L8:M8"/>
  </mergeCells>
  <conditionalFormatting sqref="D1">
    <cfRule type="expression" dxfId="5" priority="2" stopIfTrue="1">
      <formula>MOD(ROW(),2)=0</formula>
    </cfRule>
  </conditionalFormatting>
  <hyperlinks>
    <hyperlink ref="D1" location="HypLink1" display="HypLink1" xr:uid="{50E317FE-1D40-462D-BA80-07D89AD0AAEE}"/>
  </hyperlinks>
  <pageMargins left="0.25" right="0.25" top="0.5" bottom="0.44999999999999996" header="0.25" footer="0.25"/>
  <pageSetup scale="69" orientation="landscape" r:id="rId1"/>
  <headerFooter>
    <oddHeader xml:space="preserve">&amp;L &amp;C &amp;R </oddHeader>
    <oddFooter>&amp;L&amp;7&amp;D  at &amp;T Mike 702.486.8879&amp;C&amp;7&amp;F  &amp;A&amp;R&amp;7Page &amp;P of &amp;N</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27527-B61A-43B9-B961-6241615C3083}">
  <sheetPr codeName="Sheet20">
    <tabColor theme="0" tint="-0.34998626667073579"/>
  </sheetPr>
  <dimension ref="A1:U98"/>
  <sheetViews>
    <sheetView workbookViewId="0">
      <selection activeCell="Q19" sqref="Q19"/>
    </sheetView>
  </sheetViews>
  <sheetFormatPr defaultColWidth="9.33203125" defaultRowHeight="13.2"/>
  <cols>
    <col min="1" max="1" width="5.33203125" style="5" customWidth="1"/>
    <col min="2" max="16384" width="9.33203125" style="5"/>
  </cols>
  <sheetData>
    <row r="1" spans="1:11" ht="15.6">
      <c r="A1" s="255" t="s">
        <v>1062</v>
      </c>
      <c r="B1" s="255"/>
      <c r="C1" s="255"/>
      <c r="K1" s="313" t="s">
        <v>1</v>
      </c>
    </row>
    <row r="2" spans="1:11" ht="15.6">
      <c r="A2" s="24" t="str">
        <f>SchoolName</f>
        <v>Pahrump Valley Academy</v>
      </c>
      <c r="B2" s="26"/>
      <c r="C2" s="26"/>
    </row>
    <row r="3" spans="1:11">
      <c r="A3" s="9" t="s">
        <v>5</v>
      </c>
    </row>
    <row r="4" spans="1:11">
      <c r="A4" s="8" t="s">
        <v>6</v>
      </c>
    </row>
    <row r="5" spans="1:11">
      <c r="A5" s="7" t="str">
        <f ca="1">CELL("filename")</f>
        <v>https://csmci.sharepoint.com/sites/csmc-nevada/Shared Documents/General/CSMC/Potential Clients/Pahrump Valley Academy/Revision/[Attachment 24_Financial-Plan-Workbook Pahrump Valley Academy -Draft (3).xlsx]CF Y1 Mo</v>
      </c>
    </row>
    <row r="7" spans="1:11">
      <c r="B7" s="308" t="s">
        <v>1063</v>
      </c>
      <c r="C7" s="5" t="s">
        <v>1064</v>
      </c>
    </row>
    <row r="8" spans="1:11">
      <c r="B8" s="308" t="s">
        <v>1065</v>
      </c>
      <c r="C8" s="5" t="s">
        <v>1066</v>
      </c>
    </row>
    <row r="9" spans="1:11">
      <c r="C9" s="5" t="s">
        <v>1067</v>
      </c>
    </row>
    <row r="10" spans="1:11">
      <c r="C10" s="5" t="s">
        <v>1068</v>
      </c>
    </row>
    <row r="11" spans="1:11">
      <c r="C11" s="5" t="s">
        <v>1069</v>
      </c>
    </row>
    <row r="12" spans="1:11">
      <c r="C12" s="5" t="s">
        <v>1070</v>
      </c>
    </row>
    <row r="13" spans="1:11">
      <c r="B13" s="308" t="s">
        <v>1071</v>
      </c>
      <c r="C13" s="5" t="s">
        <v>1072</v>
      </c>
    </row>
    <row r="25" spans="1:21">
      <c r="A25" s="6" t="s">
        <v>1073</v>
      </c>
      <c r="B25" s="6"/>
      <c r="C25" s="6"/>
      <c r="D25" s="6"/>
      <c r="E25" s="6" t="s">
        <v>1074</v>
      </c>
      <c r="F25" s="6"/>
      <c r="G25" s="6"/>
      <c r="H25" s="6"/>
      <c r="I25" s="6"/>
      <c r="J25" s="6"/>
      <c r="K25" s="6"/>
      <c r="L25" s="6"/>
      <c r="M25" s="6"/>
      <c r="N25" s="6"/>
      <c r="O25" s="6"/>
      <c r="P25" s="6"/>
    </row>
    <row r="26" spans="1:21">
      <c r="A26" s="6"/>
      <c r="B26" s="6"/>
      <c r="C26" s="6"/>
      <c r="D26" s="6"/>
      <c r="E26" s="6"/>
      <c r="F26" s="6"/>
      <c r="G26" s="6"/>
      <c r="H26" s="6"/>
      <c r="I26" s="6"/>
      <c r="J26" s="6"/>
      <c r="K26" s="6"/>
      <c r="L26" s="6"/>
      <c r="M26" s="6"/>
      <c r="N26" s="6"/>
      <c r="O26" s="6"/>
      <c r="P26" s="6"/>
    </row>
    <row r="27" spans="1:21">
      <c r="A27" s="6"/>
      <c r="B27" s="6"/>
      <c r="C27" s="6"/>
      <c r="D27" s="6"/>
      <c r="E27" s="6"/>
      <c r="F27" s="6"/>
      <c r="G27" s="6"/>
      <c r="H27" s="6"/>
      <c r="I27" s="6"/>
      <c r="J27" s="6"/>
      <c r="K27" s="6"/>
      <c r="L27" s="6"/>
      <c r="M27" s="6"/>
      <c r="N27" s="6"/>
      <c r="O27" s="6"/>
      <c r="P27" s="6"/>
    </row>
    <row r="28" spans="1:21">
      <c r="A28" s="6" t="s">
        <v>150</v>
      </c>
      <c r="B28" s="286">
        <v>1</v>
      </c>
      <c r="C28" s="6"/>
      <c r="D28" s="6"/>
      <c r="E28" s="6"/>
      <c r="F28" s="6"/>
      <c r="G28" s="6"/>
      <c r="H28" s="6"/>
      <c r="I28" s="6"/>
      <c r="J28" s="6"/>
      <c r="K28" s="6"/>
      <c r="L28" s="6"/>
      <c r="M28" s="6"/>
      <c r="N28" s="6"/>
      <c r="O28" s="6"/>
      <c r="P28" s="6"/>
    </row>
    <row r="29" spans="1:21">
      <c r="A29" s="6" t="s">
        <v>150</v>
      </c>
      <c r="B29" s="286">
        <v>2</v>
      </c>
      <c r="C29" s="6"/>
      <c r="D29" s="6"/>
      <c r="E29" s="6"/>
      <c r="F29" s="6"/>
      <c r="G29" s="6"/>
      <c r="H29" s="6"/>
      <c r="I29" s="6"/>
      <c r="J29" s="6"/>
      <c r="K29" s="6"/>
      <c r="L29" s="6"/>
      <c r="M29" s="6"/>
      <c r="N29" s="6"/>
      <c r="O29" s="6"/>
      <c r="P29" s="6"/>
      <c r="U29" s="5" t="s">
        <v>1075</v>
      </c>
    </row>
    <row r="30" spans="1:21">
      <c r="A30" s="6" t="s">
        <v>150</v>
      </c>
      <c r="B30" s="286">
        <v>3</v>
      </c>
      <c r="C30" s="6"/>
      <c r="D30" s="6"/>
      <c r="E30" s="6"/>
      <c r="F30" s="6"/>
      <c r="G30" s="6"/>
      <c r="H30" s="6"/>
      <c r="I30" s="6"/>
      <c r="J30" s="6"/>
      <c r="K30" s="6"/>
      <c r="L30" s="6"/>
      <c r="M30" s="6"/>
      <c r="N30" s="6"/>
      <c r="O30" s="6"/>
      <c r="P30" s="6"/>
    </row>
    <row r="31" spans="1:21">
      <c r="A31" s="6" t="s">
        <v>150</v>
      </c>
      <c r="B31" s="286">
        <v>4</v>
      </c>
      <c r="C31" s="6"/>
      <c r="D31" s="6"/>
      <c r="E31" s="6"/>
      <c r="F31" s="6"/>
      <c r="G31" s="6"/>
      <c r="H31" s="6"/>
      <c r="I31" s="6"/>
      <c r="J31" s="6"/>
      <c r="K31" s="6"/>
      <c r="L31" s="6"/>
      <c r="M31" s="6"/>
      <c r="N31" s="6"/>
      <c r="O31" s="6"/>
      <c r="P31" s="6"/>
    </row>
    <row r="32" spans="1:21">
      <c r="A32" s="6" t="s">
        <v>150</v>
      </c>
      <c r="B32" s="286">
        <v>5</v>
      </c>
      <c r="C32" s="6"/>
      <c r="D32" s="6"/>
      <c r="E32" s="6"/>
      <c r="F32" s="6"/>
      <c r="G32" s="6"/>
      <c r="H32" s="6"/>
      <c r="I32" s="6"/>
      <c r="J32" s="6"/>
      <c r="K32" s="6"/>
      <c r="L32" s="6"/>
      <c r="M32" s="6"/>
      <c r="N32" s="6"/>
      <c r="O32" s="6"/>
      <c r="P32" s="6"/>
    </row>
    <row r="33" spans="1:16">
      <c r="A33" s="6" t="s">
        <v>1076</v>
      </c>
      <c r="B33" s="6"/>
      <c r="C33" s="6"/>
      <c r="D33" s="6"/>
      <c r="E33" s="6"/>
      <c r="F33" s="6"/>
      <c r="G33" s="6"/>
      <c r="H33" s="6"/>
      <c r="I33" s="6"/>
      <c r="J33" s="6"/>
      <c r="K33" s="6"/>
      <c r="L33" s="6"/>
      <c r="M33" s="6"/>
      <c r="N33" s="6"/>
      <c r="O33" s="6"/>
      <c r="P33" s="6"/>
    </row>
    <row r="34" spans="1:16">
      <c r="A34" s="6" t="s">
        <v>1076</v>
      </c>
      <c r="B34" s="6"/>
      <c r="C34" s="6"/>
      <c r="D34" s="6"/>
      <c r="E34" s="6"/>
      <c r="F34" s="6"/>
      <c r="G34" s="6"/>
      <c r="H34" s="6"/>
      <c r="I34" s="6"/>
      <c r="J34" s="6"/>
      <c r="K34" s="6"/>
      <c r="L34" s="6"/>
      <c r="M34" s="6"/>
      <c r="N34" s="6"/>
      <c r="O34" s="6"/>
      <c r="P34" s="6"/>
    </row>
    <row r="35" spans="1:16">
      <c r="A35" s="6" t="s">
        <v>1077</v>
      </c>
      <c r="B35" s="6"/>
      <c r="C35" s="6"/>
      <c r="D35" s="6"/>
      <c r="E35" s="6"/>
      <c r="F35" s="6"/>
      <c r="G35" s="6"/>
      <c r="H35" s="6"/>
      <c r="I35" s="6"/>
      <c r="J35" s="6"/>
      <c r="K35" s="6"/>
      <c r="L35" s="6"/>
      <c r="M35" s="6"/>
      <c r="N35" s="6"/>
      <c r="O35" s="6"/>
      <c r="P35" s="6"/>
    </row>
    <row r="36" spans="1:16">
      <c r="A36" s="6" t="s">
        <v>1078</v>
      </c>
      <c r="B36" s="6"/>
      <c r="C36" s="6"/>
      <c r="D36" s="6"/>
      <c r="E36" s="6"/>
      <c r="F36" s="6"/>
      <c r="G36" s="6"/>
      <c r="H36" s="6"/>
      <c r="I36" s="6"/>
      <c r="J36" s="6"/>
      <c r="K36" s="6"/>
      <c r="L36" s="6"/>
      <c r="M36" s="6"/>
      <c r="N36" s="6"/>
      <c r="O36" s="6"/>
      <c r="P36" s="6"/>
    </row>
    <row r="37" spans="1:16">
      <c r="A37" s="6" t="s">
        <v>1079</v>
      </c>
      <c r="B37" s="6"/>
      <c r="C37" s="6"/>
      <c r="D37" s="6"/>
      <c r="E37" s="6"/>
      <c r="F37" s="6"/>
      <c r="G37" s="6"/>
      <c r="H37" s="6"/>
      <c r="I37" s="6"/>
      <c r="J37" s="6"/>
      <c r="K37" s="6"/>
      <c r="L37" s="6"/>
      <c r="M37" s="6"/>
      <c r="N37" s="6"/>
      <c r="O37" s="6"/>
      <c r="P37" s="6"/>
    </row>
    <row r="38" spans="1:16">
      <c r="A38" s="6" t="s">
        <v>1080</v>
      </c>
      <c r="B38" s="6"/>
      <c r="C38" s="6"/>
      <c r="D38" s="6"/>
      <c r="E38" s="6"/>
      <c r="F38" s="6"/>
      <c r="G38" s="6"/>
      <c r="H38" s="6"/>
      <c r="I38" s="6"/>
      <c r="J38" s="6"/>
      <c r="K38" s="6"/>
      <c r="L38" s="6"/>
      <c r="M38" s="6"/>
      <c r="N38" s="6"/>
      <c r="O38" s="6"/>
      <c r="P38" s="6"/>
    </row>
    <row r="39" spans="1:16">
      <c r="A39" s="6" t="s">
        <v>497</v>
      </c>
      <c r="B39" s="6"/>
      <c r="C39" s="6"/>
      <c r="D39" s="6"/>
      <c r="E39" s="6"/>
      <c r="F39" s="6"/>
      <c r="G39" s="6"/>
      <c r="H39" s="6"/>
      <c r="I39" s="6"/>
      <c r="J39" s="6"/>
      <c r="K39" s="6"/>
      <c r="L39" s="6"/>
      <c r="M39" s="6"/>
      <c r="N39" s="6"/>
      <c r="O39" s="6"/>
      <c r="P39" s="6"/>
    </row>
    <row r="40" spans="1:16">
      <c r="A40" s="285" t="s">
        <v>1081</v>
      </c>
      <c r="B40" s="6"/>
      <c r="C40" s="6"/>
      <c r="D40" s="6"/>
      <c r="E40" s="6"/>
      <c r="F40" s="6"/>
      <c r="G40" s="6"/>
      <c r="H40" s="6"/>
      <c r="I40" s="6"/>
      <c r="J40" s="6"/>
      <c r="K40" s="6"/>
      <c r="L40" s="6"/>
      <c r="M40" s="6"/>
      <c r="N40" s="6"/>
      <c r="O40" s="6"/>
      <c r="P40" s="6"/>
    </row>
    <row r="41" spans="1:16">
      <c r="A41" s="6" t="s">
        <v>1082</v>
      </c>
      <c r="B41" s="6"/>
      <c r="C41" s="6"/>
      <c r="D41" s="6"/>
      <c r="E41" s="6"/>
      <c r="F41" s="6"/>
      <c r="G41" s="6"/>
      <c r="H41" s="6"/>
      <c r="I41" s="6"/>
      <c r="J41" s="6"/>
      <c r="K41" s="6"/>
      <c r="L41" s="6"/>
      <c r="M41" s="6"/>
      <c r="N41" s="6"/>
      <c r="O41" s="6"/>
      <c r="P41" s="6"/>
    </row>
    <row r="42" spans="1:16">
      <c r="A42" s="6" t="s">
        <v>1083</v>
      </c>
      <c r="B42" s="6"/>
      <c r="C42" s="6"/>
      <c r="D42" s="6"/>
      <c r="E42" s="6"/>
      <c r="F42" s="6"/>
      <c r="G42" s="6"/>
      <c r="H42" s="6"/>
      <c r="I42" s="6"/>
      <c r="J42" s="6"/>
      <c r="K42" s="6"/>
      <c r="L42" s="6"/>
      <c r="M42" s="6"/>
      <c r="N42" s="6"/>
      <c r="O42" s="6"/>
      <c r="P42" s="6"/>
    </row>
    <row r="43" spans="1:16">
      <c r="A43" s="6" t="s">
        <v>1078</v>
      </c>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t="s">
        <v>1084</v>
      </c>
      <c r="C58" s="6"/>
      <c r="D58" s="6"/>
      <c r="E58" s="6"/>
      <c r="F58" s="6"/>
      <c r="G58" s="6"/>
      <c r="H58" s="6"/>
      <c r="I58" s="6"/>
      <c r="J58" s="6"/>
      <c r="K58" s="6"/>
      <c r="L58" s="6"/>
      <c r="M58" s="6"/>
      <c r="N58" s="6"/>
      <c r="O58" s="6"/>
      <c r="P58" s="6"/>
    </row>
    <row r="59" spans="1:16">
      <c r="A59" s="6"/>
      <c r="B59" s="6" t="s">
        <v>1085</v>
      </c>
      <c r="C59" s="6"/>
      <c r="D59" s="6"/>
      <c r="E59" s="6"/>
      <c r="F59" s="6"/>
      <c r="G59" s="6"/>
      <c r="H59" s="6"/>
      <c r="I59" s="6"/>
      <c r="J59" s="6"/>
      <c r="K59" s="6"/>
      <c r="L59" s="6"/>
      <c r="M59" s="6"/>
      <c r="N59" s="6"/>
      <c r="O59" s="6"/>
      <c r="P59" s="6"/>
    </row>
    <row r="60" spans="1:16">
      <c r="A60" s="6"/>
      <c r="B60" s="5" t="s">
        <v>1086</v>
      </c>
      <c r="D60" s="6" t="s">
        <v>1087</v>
      </c>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285"/>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row r="81" spans="1:21">
      <c r="A81" s="6"/>
      <c r="B81" s="6"/>
      <c r="C81" s="6"/>
      <c r="D81" s="6"/>
      <c r="E81" s="6"/>
      <c r="F81" s="6"/>
      <c r="G81" s="6"/>
      <c r="H81" s="6"/>
      <c r="I81" s="6"/>
      <c r="J81" s="6"/>
      <c r="K81" s="6"/>
      <c r="L81" s="6"/>
      <c r="M81" s="6"/>
      <c r="N81" s="6"/>
      <c r="O81" s="6"/>
      <c r="P81" s="6"/>
    </row>
    <row r="82" spans="1:21">
      <c r="A82" s="6"/>
      <c r="B82" s="6"/>
      <c r="C82" s="6"/>
      <c r="D82" s="6"/>
      <c r="E82" s="6"/>
      <c r="F82" s="6"/>
      <c r="G82" s="6"/>
      <c r="H82" s="6"/>
      <c r="I82" s="6"/>
      <c r="J82" s="6"/>
      <c r="K82" s="6"/>
      <c r="L82" s="6"/>
      <c r="M82" s="6"/>
      <c r="N82" s="6"/>
      <c r="O82" s="6"/>
      <c r="P82" s="6"/>
      <c r="U82" s="5" t="s">
        <v>1088</v>
      </c>
    </row>
    <row r="83" spans="1:21">
      <c r="A83" s="6"/>
      <c r="B83" s="6"/>
      <c r="C83" s="6"/>
      <c r="D83" s="6"/>
      <c r="E83" s="6"/>
      <c r="F83" s="6"/>
      <c r="G83" s="6"/>
      <c r="H83" s="6"/>
      <c r="I83" s="6"/>
      <c r="J83" s="6"/>
      <c r="K83" s="6"/>
      <c r="L83" s="6"/>
      <c r="M83" s="6"/>
      <c r="N83" s="6"/>
      <c r="O83" s="6"/>
      <c r="P83" s="6"/>
    </row>
    <row r="84" spans="1:21">
      <c r="A84" s="6"/>
      <c r="B84" s="6"/>
      <c r="C84" s="6"/>
      <c r="D84" s="6"/>
      <c r="E84" s="6"/>
      <c r="F84" s="6"/>
      <c r="G84" s="6"/>
      <c r="H84" s="6"/>
      <c r="I84" s="6"/>
      <c r="J84" s="6"/>
      <c r="K84" s="6"/>
      <c r="L84" s="6"/>
      <c r="M84" s="6"/>
      <c r="N84" s="6"/>
      <c r="O84" s="6"/>
      <c r="P84" s="6"/>
    </row>
    <row r="85" spans="1:21">
      <c r="A85" s="6"/>
      <c r="B85" s="6"/>
      <c r="C85" s="6"/>
      <c r="D85" s="6"/>
      <c r="E85" s="6"/>
      <c r="F85" s="6"/>
      <c r="G85" s="6"/>
      <c r="H85" s="6"/>
      <c r="I85" s="6"/>
      <c r="J85" s="6"/>
      <c r="K85" s="6"/>
      <c r="L85" s="6"/>
      <c r="M85" s="6"/>
      <c r="N85" s="6"/>
      <c r="O85" s="6"/>
      <c r="P85" s="6"/>
    </row>
    <row r="86" spans="1:21">
      <c r="A86" s="6"/>
      <c r="B86" s="6"/>
      <c r="C86" s="6"/>
      <c r="D86" s="6"/>
      <c r="E86" s="6"/>
      <c r="F86" s="6"/>
      <c r="G86" s="6"/>
      <c r="H86" s="6"/>
      <c r="I86" s="6"/>
      <c r="J86" s="6"/>
      <c r="K86" s="6"/>
      <c r="L86" s="6"/>
      <c r="M86" s="6"/>
      <c r="N86" s="6"/>
      <c r="O86" s="6"/>
      <c r="P86" s="6"/>
    </row>
    <row r="87" spans="1:21">
      <c r="A87" s="6"/>
      <c r="B87" s="6"/>
      <c r="C87" s="6"/>
      <c r="D87" s="6"/>
      <c r="E87" s="6"/>
      <c r="F87" s="6"/>
      <c r="G87" s="6"/>
      <c r="H87" s="6"/>
      <c r="I87" s="6"/>
      <c r="J87" s="6"/>
      <c r="K87" s="6"/>
      <c r="L87" s="6"/>
      <c r="M87" s="6"/>
      <c r="N87" s="6"/>
      <c r="O87" s="6"/>
      <c r="P87" s="6"/>
    </row>
    <row r="88" spans="1:21">
      <c r="A88" s="6"/>
      <c r="B88" s="6"/>
      <c r="C88" s="6"/>
      <c r="D88" s="6"/>
      <c r="E88" s="6"/>
      <c r="F88" s="6"/>
      <c r="G88" s="6"/>
      <c r="H88" s="6"/>
      <c r="I88" s="6"/>
      <c r="J88" s="6"/>
      <c r="K88" s="6"/>
      <c r="L88" s="6"/>
      <c r="M88" s="6"/>
      <c r="N88" s="6"/>
      <c r="O88" s="6"/>
      <c r="P88" s="6"/>
    </row>
    <row r="89" spans="1:21">
      <c r="A89" s="6" t="s">
        <v>1089</v>
      </c>
      <c r="B89" s="6"/>
      <c r="C89" s="6"/>
      <c r="D89" s="6"/>
      <c r="E89" s="6"/>
      <c r="F89" s="6"/>
      <c r="G89" s="6"/>
      <c r="H89" s="6"/>
      <c r="I89" s="6"/>
      <c r="J89" s="6"/>
      <c r="K89" s="6"/>
      <c r="L89" s="6"/>
      <c r="M89" s="6"/>
      <c r="N89" s="6"/>
      <c r="O89" s="6"/>
      <c r="P89" s="6"/>
    </row>
    <row r="90" spans="1:21">
      <c r="A90" s="6" t="s">
        <v>1090</v>
      </c>
      <c r="B90" s="6"/>
      <c r="C90" s="6"/>
      <c r="D90" s="6"/>
      <c r="E90" s="6"/>
      <c r="F90" s="6"/>
      <c r="G90" s="6"/>
      <c r="H90" s="6"/>
      <c r="I90" s="6"/>
      <c r="J90" s="6"/>
      <c r="K90" s="6"/>
      <c r="L90" s="6"/>
      <c r="M90" s="6"/>
      <c r="N90" s="6"/>
      <c r="O90" s="6"/>
      <c r="P90" s="6"/>
    </row>
    <row r="91" spans="1:21">
      <c r="A91" s="6"/>
      <c r="B91" s="6"/>
      <c r="C91" s="6"/>
      <c r="D91" s="6"/>
      <c r="E91" s="6"/>
      <c r="F91" s="6"/>
      <c r="G91" s="6"/>
      <c r="H91" s="6"/>
      <c r="I91" s="6"/>
      <c r="J91" s="6"/>
      <c r="K91" s="6"/>
      <c r="L91" s="6"/>
      <c r="M91" s="6"/>
      <c r="N91" s="6"/>
      <c r="O91" s="6"/>
      <c r="P91" s="6"/>
    </row>
    <row r="92" spans="1:21">
      <c r="A92" s="6"/>
      <c r="B92" s="6"/>
      <c r="C92" s="6"/>
      <c r="D92" s="6"/>
      <c r="E92" s="6"/>
      <c r="F92" s="6"/>
      <c r="G92" s="6"/>
      <c r="H92" s="6"/>
      <c r="I92" s="6"/>
      <c r="J92" s="6"/>
      <c r="K92" s="6"/>
      <c r="L92" s="6"/>
      <c r="M92" s="6"/>
      <c r="N92" s="6"/>
      <c r="O92" s="6"/>
      <c r="P92" s="6"/>
    </row>
    <row r="93" spans="1:21">
      <c r="A93" s="6"/>
      <c r="B93" s="6"/>
      <c r="C93" s="6"/>
      <c r="D93" s="6"/>
      <c r="E93" s="6"/>
      <c r="F93" s="6"/>
      <c r="G93" s="6"/>
      <c r="H93" s="6"/>
      <c r="I93" s="6"/>
      <c r="J93" s="6"/>
      <c r="K93" s="6"/>
      <c r="L93" s="6"/>
      <c r="M93" s="6"/>
      <c r="N93" s="6"/>
      <c r="O93" s="6"/>
      <c r="P93" s="6"/>
    </row>
    <row r="94" spans="1:21">
      <c r="A94" s="6"/>
      <c r="B94" s="6"/>
      <c r="C94" s="6"/>
      <c r="D94" s="6"/>
      <c r="E94" s="6"/>
      <c r="F94" s="6"/>
      <c r="G94" s="6"/>
      <c r="H94" s="6"/>
      <c r="I94" s="6"/>
      <c r="J94" s="6"/>
      <c r="K94" s="6"/>
      <c r="L94" s="6"/>
      <c r="M94" s="6"/>
      <c r="N94" s="6"/>
      <c r="O94" s="6"/>
      <c r="P94" s="6"/>
    </row>
    <row r="95" spans="1:21">
      <c r="A95" s="6"/>
      <c r="B95" s="6"/>
      <c r="C95" s="6"/>
      <c r="D95" s="6"/>
      <c r="E95" s="6"/>
      <c r="F95" s="6"/>
      <c r="G95" s="6"/>
      <c r="H95" s="6"/>
      <c r="I95" s="6"/>
      <c r="J95" s="6"/>
      <c r="K95" s="6"/>
      <c r="L95" s="6"/>
      <c r="M95" s="6"/>
      <c r="N95" s="6"/>
      <c r="O95" s="6"/>
      <c r="P95" s="6"/>
    </row>
    <row r="96" spans="1:21">
      <c r="A96" s="6"/>
      <c r="B96" s="6"/>
      <c r="C96" s="6"/>
      <c r="D96" s="6"/>
      <c r="E96" s="6"/>
      <c r="F96" s="6"/>
      <c r="G96" s="6"/>
      <c r="H96" s="6"/>
      <c r="I96" s="6"/>
      <c r="J96" s="6"/>
      <c r="K96" s="6"/>
      <c r="L96" s="6"/>
      <c r="M96" s="6"/>
      <c r="N96" s="6"/>
      <c r="O96" s="6"/>
      <c r="P96" s="6"/>
    </row>
    <row r="97" spans="1:16">
      <c r="A97" s="6"/>
      <c r="B97" s="6"/>
      <c r="C97" s="6"/>
      <c r="D97" s="6"/>
      <c r="E97" s="6"/>
      <c r="F97" s="6"/>
      <c r="G97" s="6"/>
      <c r="H97" s="6"/>
      <c r="I97" s="6"/>
      <c r="J97" s="6"/>
      <c r="K97" s="6"/>
      <c r="L97" s="6"/>
      <c r="M97" s="6"/>
      <c r="N97" s="6"/>
      <c r="O97" s="6"/>
      <c r="P97" s="6"/>
    </row>
    <row r="98" spans="1:16">
      <c r="A98" s="6"/>
      <c r="B98" s="6"/>
      <c r="C98" s="6"/>
      <c r="D98" s="6"/>
      <c r="E98" s="6"/>
      <c r="F98" s="6"/>
      <c r="G98" s="6"/>
      <c r="H98" s="6"/>
      <c r="I98" s="6"/>
      <c r="J98" s="6"/>
      <c r="K98" s="6"/>
      <c r="L98" s="6"/>
      <c r="M98" s="6"/>
      <c r="N98" s="6"/>
      <c r="O98" s="6"/>
      <c r="P98" s="6"/>
    </row>
  </sheetData>
  <conditionalFormatting sqref="K1">
    <cfRule type="expression" dxfId="4" priority="1" stopIfTrue="1">
      <formula>MOD(ROW(),2)=0</formula>
    </cfRule>
  </conditionalFormatting>
  <hyperlinks>
    <hyperlink ref="K1" location="HypLink1" display="HypLink1" xr:uid="{D4C50C46-9FD4-41DC-9616-2CDDF62982E7}"/>
  </hyperlinks>
  <pageMargins left="0.35" right="0.25" top="0.32" bottom="0.5" header="0.32" footer="0.3"/>
  <pageSetup orientation="portrait" r:id="rId1"/>
  <headerFooter alignWithMargins="0">
    <oddFooter>&amp;L&amp;7&amp;D  at &amp;T Mike 702.486.8879&amp;C&amp;7Page &amp;P of &amp;N&amp;R&amp;7&amp;F  &amp;A</oddFooter>
  </headerFooter>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8D807-2CAD-4923-8FCE-A69239E669ED}">
  <sheetPr codeName="Sheet6">
    <tabColor theme="0" tint="-0.34998626667073579"/>
  </sheetPr>
  <dimension ref="A1:T80"/>
  <sheetViews>
    <sheetView workbookViewId="0"/>
  </sheetViews>
  <sheetFormatPr defaultColWidth="9.33203125" defaultRowHeight="13.2"/>
  <cols>
    <col min="1" max="1" width="10.6640625" style="5" bestFit="1" customWidth="1"/>
    <col min="2" max="16384" width="9.33203125" style="5"/>
  </cols>
  <sheetData>
    <row r="1" spans="1:20" ht="15.6">
      <c r="A1" s="255" t="s">
        <v>1091</v>
      </c>
      <c r="B1" s="255"/>
      <c r="C1" s="255"/>
      <c r="E1" s="347" t="s">
        <v>1</v>
      </c>
      <c r="P1" s="6"/>
      <c r="Q1" s="6"/>
      <c r="R1" s="6"/>
      <c r="S1" s="6"/>
      <c r="T1" s="6"/>
    </row>
    <row r="2" spans="1:20" ht="15.6">
      <c r="A2" s="24" t="str">
        <f>SchoolName</f>
        <v>Pahrump Valley Academy</v>
      </c>
      <c r="B2" s="26"/>
      <c r="C2" s="26"/>
      <c r="P2" s="6"/>
      <c r="Q2" s="6"/>
      <c r="R2" s="6"/>
      <c r="S2" s="6"/>
      <c r="T2" s="6"/>
    </row>
    <row r="3" spans="1:20">
      <c r="A3" s="9" t="s">
        <v>5</v>
      </c>
      <c r="P3" s="6"/>
      <c r="Q3" s="6"/>
      <c r="R3" s="6"/>
      <c r="S3" s="6"/>
      <c r="T3" s="6"/>
    </row>
    <row r="4" spans="1:20">
      <c r="A4" s="8" t="s">
        <v>6</v>
      </c>
      <c r="P4" s="6"/>
      <c r="Q4" s="6"/>
      <c r="R4" s="6"/>
      <c r="S4" s="6"/>
      <c r="T4" s="6"/>
    </row>
    <row r="5" spans="1:20">
      <c r="A5" s="7" t="str">
        <f ca="1">CELL("filename")</f>
        <v>https://csmci.sharepoint.com/sites/csmc-nevada/Shared Documents/General/CSMC/Potential Clients/Pahrump Valley Academy/Revision/[Attachment 24_Financial-Plan-Workbook Pahrump Valley Academy -Draft (3).xlsx]CF Y1 Mo</v>
      </c>
      <c r="P5" s="6"/>
      <c r="Q5" s="6"/>
      <c r="R5" s="6"/>
      <c r="S5" s="6"/>
      <c r="T5" s="6"/>
    </row>
    <row r="6" spans="1:20">
      <c r="P6" s="6"/>
      <c r="Q6" s="6"/>
      <c r="R6" s="6"/>
      <c r="S6" s="6"/>
      <c r="T6" s="6"/>
    </row>
    <row r="7" spans="1:20">
      <c r="A7" s="6"/>
      <c r="B7" s="6"/>
      <c r="C7" s="6"/>
      <c r="D7" s="6"/>
      <c r="E7" s="6"/>
      <c r="F7" s="6"/>
      <c r="G7" s="6"/>
      <c r="H7" s="6"/>
      <c r="I7" s="6"/>
      <c r="J7" s="6"/>
      <c r="K7" s="6"/>
      <c r="L7" s="6"/>
      <c r="M7" s="6"/>
      <c r="N7" s="6"/>
      <c r="O7" s="6"/>
      <c r="P7" s="6"/>
      <c r="Q7" s="6"/>
      <c r="R7" s="6"/>
      <c r="S7" s="6"/>
      <c r="T7" s="6"/>
    </row>
    <row r="8" spans="1:20">
      <c r="A8" s="6"/>
      <c r="B8" s="6"/>
      <c r="C8" s="6"/>
      <c r="D8" s="6"/>
      <c r="E8" s="6"/>
      <c r="F8" s="6"/>
      <c r="G8" s="6"/>
      <c r="H8" s="6"/>
      <c r="I8" s="6"/>
      <c r="J8" s="6"/>
      <c r="K8" s="6"/>
      <c r="L8" s="6"/>
      <c r="M8" s="6"/>
      <c r="N8" s="6"/>
      <c r="O8" s="6"/>
      <c r="P8" s="6"/>
      <c r="Q8" s="6"/>
      <c r="R8" s="6"/>
      <c r="S8" s="6"/>
      <c r="T8" s="6"/>
    </row>
    <row r="9" spans="1:20">
      <c r="A9" s="6"/>
      <c r="B9" s="6"/>
      <c r="C9" s="6"/>
      <c r="D9" s="6"/>
      <c r="E9" s="6"/>
      <c r="F9" s="6"/>
      <c r="G9" s="6"/>
      <c r="H9" s="6"/>
      <c r="I9" s="6"/>
      <c r="J9" s="6"/>
      <c r="K9" s="6"/>
      <c r="L9" s="6"/>
      <c r="M9" s="6"/>
      <c r="N9" s="6"/>
      <c r="O9" s="6"/>
      <c r="P9" s="6"/>
      <c r="Q9" s="6"/>
      <c r="R9" s="6"/>
      <c r="S9" s="6"/>
      <c r="T9" s="6"/>
    </row>
    <row r="10" spans="1:20">
      <c r="A10" s="6"/>
      <c r="B10" s="6"/>
      <c r="C10" s="6"/>
      <c r="D10" s="6"/>
      <c r="E10" s="6"/>
      <c r="F10" s="6"/>
      <c r="G10" s="6"/>
      <c r="H10" s="6"/>
      <c r="I10" s="6"/>
      <c r="J10" s="6"/>
      <c r="K10" s="6"/>
      <c r="L10" s="6"/>
      <c r="M10" s="6"/>
      <c r="N10" s="6"/>
      <c r="O10" s="6"/>
      <c r="P10" s="6"/>
      <c r="Q10" s="6"/>
      <c r="R10" s="6"/>
      <c r="S10" s="6"/>
      <c r="T10" s="6"/>
    </row>
    <row r="11" spans="1:20">
      <c r="A11" s="6"/>
      <c r="B11" s="6"/>
      <c r="C11" s="6"/>
      <c r="D11" s="6"/>
      <c r="E11" s="6"/>
      <c r="F11" s="6"/>
      <c r="G11" s="6"/>
      <c r="H11" s="6"/>
      <c r="I11" s="6"/>
      <c r="J11" s="6"/>
      <c r="K11" s="6"/>
      <c r="L11" s="6"/>
      <c r="M11" s="6"/>
      <c r="N11" s="6"/>
      <c r="O11" s="6"/>
      <c r="P11" s="6"/>
      <c r="Q11" s="6"/>
      <c r="R11" s="6"/>
      <c r="S11" s="6"/>
      <c r="T11" s="6"/>
    </row>
    <row r="12" spans="1:20">
      <c r="A12" s="6"/>
      <c r="B12" s="6"/>
      <c r="C12" s="6"/>
      <c r="D12" s="6"/>
      <c r="E12" s="6"/>
      <c r="F12" s="6"/>
      <c r="G12" s="6"/>
      <c r="H12" s="6"/>
      <c r="I12" s="6"/>
      <c r="J12" s="6"/>
      <c r="K12" s="6"/>
      <c r="L12" s="6"/>
      <c r="M12" s="6"/>
      <c r="N12" s="6"/>
      <c r="O12" s="6"/>
      <c r="P12" s="6"/>
      <c r="Q12" s="6"/>
      <c r="R12" s="6"/>
      <c r="S12" s="6"/>
      <c r="T12" s="6"/>
    </row>
    <row r="13" spans="1:20">
      <c r="A13" s="6"/>
      <c r="B13" s="6"/>
      <c r="C13" s="6"/>
      <c r="D13" s="6"/>
      <c r="E13" s="6"/>
      <c r="F13" s="6"/>
      <c r="G13" s="6"/>
      <c r="H13" s="6"/>
      <c r="I13" s="6"/>
      <c r="J13" s="6"/>
      <c r="K13" s="6"/>
      <c r="L13" s="6"/>
      <c r="M13" s="6"/>
      <c r="N13" s="6"/>
      <c r="O13" s="6"/>
      <c r="P13" s="6"/>
      <c r="Q13" s="6"/>
      <c r="R13" s="6"/>
      <c r="S13" s="6"/>
      <c r="T13" s="6"/>
    </row>
    <row r="14" spans="1:20">
      <c r="A14" s="6"/>
      <c r="B14" s="6"/>
      <c r="C14" s="6"/>
      <c r="D14" s="6"/>
      <c r="E14" s="6"/>
      <c r="F14" s="6"/>
      <c r="G14" s="6"/>
      <c r="H14" s="6"/>
      <c r="I14" s="6"/>
      <c r="J14" s="6"/>
      <c r="K14" s="6"/>
      <c r="L14" s="6"/>
      <c r="M14" s="6"/>
      <c r="N14" s="6"/>
      <c r="O14" s="6"/>
      <c r="P14" s="6"/>
      <c r="Q14" s="6"/>
      <c r="R14" s="6"/>
      <c r="S14" s="6"/>
      <c r="T14" s="6"/>
    </row>
    <row r="15" spans="1:20">
      <c r="A15" s="6"/>
      <c r="B15" s="6"/>
      <c r="C15" s="6"/>
      <c r="D15" s="6"/>
      <c r="E15" s="6"/>
      <c r="F15" s="6"/>
      <c r="G15" s="6"/>
      <c r="H15" s="6"/>
      <c r="I15" s="6"/>
      <c r="J15" s="6"/>
      <c r="K15" s="6"/>
      <c r="L15" s="6"/>
      <c r="M15" s="6"/>
      <c r="N15" s="6"/>
      <c r="O15" s="6"/>
      <c r="P15" s="6"/>
      <c r="Q15" s="6"/>
      <c r="R15" s="6"/>
      <c r="S15" s="6"/>
      <c r="T15" s="6"/>
    </row>
    <row r="16" spans="1:20">
      <c r="A16" s="6"/>
      <c r="B16" s="6"/>
      <c r="C16" s="6"/>
      <c r="D16" s="6"/>
      <c r="E16" s="6"/>
      <c r="F16" s="6"/>
      <c r="G16" s="6"/>
      <c r="H16" s="6"/>
      <c r="I16" s="6"/>
      <c r="J16" s="6"/>
      <c r="K16" s="6"/>
      <c r="L16" s="6"/>
      <c r="M16" s="6"/>
      <c r="N16" s="6"/>
      <c r="O16" s="6"/>
      <c r="P16" s="6"/>
      <c r="Q16" s="6"/>
      <c r="R16" s="6"/>
      <c r="S16" s="6"/>
      <c r="T16" s="6"/>
    </row>
    <row r="17" spans="1:20">
      <c r="A17" s="6"/>
      <c r="B17" s="6"/>
      <c r="C17" s="6"/>
      <c r="D17" s="6"/>
      <c r="E17" s="6"/>
      <c r="F17" s="6"/>
      <c r="G17" s="6"/>
      <c r="H17" s="6"/>
      <c r="I17" s="6"/>
      <c r="J17" s="6"/>
      <c r="K17" s="6"/>
      <c r="L17" s="6"/>
      <c r="M17" s="6"/>
      <c r="N17" s="6"/>
      <c r="O17" s="6"/>
      <c r="P17" s="6"/>
      <c r="Q17" s="6"/>
      <c r="R17" s="6"/>
      <c r="S17" s="6"/>
      <c r="T17" s="6"/>
    </row>
    <row r="18" spans="1:20">
      <c r="A18" s="6"/>
      <c r="B18" s="6"/>
      <c r="C18" s="6"/>
      <c r="D18" s="6"/>
      <c r="E18" s="6"/>
      <c r="F18" s="6"/>
      <c r="G18" s="6"/>
      <c r="H18" s="6"/>
      <c r="I18" s="6"/>
      <c r="J18" s="6"/>
      <c r="K18" s="6"/>
      <c r="L18" s="6"/>
      <c r="M18" s="6"/>
      <c r="N18" s="6"/>
      <c r="O18" s="6"/>
      <c r="P18" s="6"/>
      <c r="Q18" s="6"/>
      <c r="R18" s="6"/>
      <c r="S18" s="6"/>
      <c r="T18" s="6"/>
    </row>
    <row r="19" spans="1:20">
      <c r="A19" s="6"/>
      <c r="B19" s="6"/>
      <c r="C19" s="6"/>
      <c r="D19" s="6"/>
      <c r="E19" s="6"/>
      <c r="F19" s="6"/>
      <c r="G19" s="6"/>
      <c r="H19" s="6"/>
      <c r="I19" s="6"/>
      <c r="J19" s="6"/>
      <c r="K19" s="6"/>
      <c r="L19" s="6"/>
      <c r="M19" s="6"/>
      <c r="N19" s="6"/>
      <c r="O19" s="6"/>
      <c r="P19" s="6"/>
      <c r="Q19" s="6"/>
      <c r="R19" s="6"/>
      <c r="S19" s="6"/>
      <c r="T19" s="6"/>
    </row>
    <row r="20" spans="1:20">
      <c r="A20" s="6"/>
      <c r="B20" s="6"/>
      <c r="C20" s="6"/>
      <c r="D20" s="6"/>
      <c r="E20" s="6"/>
      <c r="F20" s="6"/>
      <c r="G20" s="6"/>
      <c r="H20" s="6"/>
      <c r="I20" s="6"/>
      <c r="J20" s="6"/>
      <c r="K20" s="6"/>
      <c r="L20" s="6"/>
      <c r="M20" s="6"/>
      <c r="N20" s="6"/>
      <c r="O20" s="6"/>
      <c r="P20" s="6"/>
      <c r="Q20" s="6"/>
      <c r="R20" s="6"/>
      <c r="S20" s="6"/>
      <c r="T20" s="6"/>
    </row>
    <row r="21" spans="1:20">
      <c r="A21" s="6"/>
      <c r="B21" s="6"/>
      <c r="C21" s="6"/>
      <c r="D21" s="6"/>
      <c r="E21" s="6"/>
      <c r="F21" s="6"/>
      <c r="G21" s="6"/>
      <c r="H21" s="6"/>
      <c r="I21" s="6"/>
      <c r="J21" s="6"/>
      <c r="K21" s="6"/>
      <c r="L21" s="6"/>
      <c r="M21" s="6"/>
      <c r="N21" s="6"/>
      <c r="O21" s="6"/>
      <c r="P21" s="6"/>
      <c r="Q21" s="6"/>
      <c r="R21" s="6"/>
      <c r="S21" s="6"/>
      <c r="T21" s="6"/>
    </row>
    <row r="22" spans="1:20">
      <c r="A22" s="6"/>
      <c r="B22" s="6"/>
      <c r="C22" s="6"/>
      <c r="D22" s="6"/>
      <c r="E22" s="6"/>
      <c r="F22" s="6"/>
      <c r="G22" s="6"/>
      <c r="H22" s="6"/>
      <c r="I22" s="6"/>
      <c r="J22" s="6"/>
      <c r="K22" s="6"/>
      <c r="L22" s="6"/>
      <c r="M22" s="6"/>
      <c r="N22" s="6"/>
      <c r="O22" s="6"/>
      <c r="P22" s="6"/>
      <c r="Q22" s="6"/>
      <c r="R22" s="6"/>
      <c r="S22" s="6"/>
      <c r="T22" s="6"/>
    </row>
    <row r="23" spans="1:20">
      <c r="A23" s="6"/>
      <c r="B23" s="6"/>
      <c r="C23" s="6"/>
      <c r="D23" s="6"/>
      <c r="E23" s="6"/>
      <c r="F23" s="6"/>
      <c r="G23" s="6"/>
      <c r="H23" s="6"/>
      <c r="I23" s="6"/>
      <c r="J23" s="6"/>
      <c r="K23" s="6"/>
      <c r="L23" s="6"/>
      <c r="M23" s="6"/>
      <c r="N23" s="6"/>
      <c r="O23" s="6"/>
      <c r="P23" s="6"/>
      <c r="Q23" s="6"/>
      <c r="R23" s="6"/>
      <c r="S23" s="6"/>
      <c r="T23" s="6"/>
    </row>
    <row r="24" spans="1:20">
      <c r="A24" s="6"/>
      <c r="B24" s="6"/>
      <c r="C24" s="6"/>
      <c r="D24" s="6"/>
      <c r="E24" s="6"/>
      <c r="F24" s="6"/>
      <c r="G24" s="6"/>
      <c r="H24" s="6"/>
      <c r="I24" s="6"/>
      <c r="J24" s="6"/>
      <c r="K24" s="6"/>
      <c r="L24" s="6"/>
      <c r="M24" s="6"/>
      <c r="N24" s="6"/>
      <c r="O24" s="6"/>
      <c r="P24" s="6"/>
      <c r="Q24" s="6"/>
      <c r="R24" s="6"/>
      <c r="S24" s="6"/>
      <c r="T24" s="6"/>
    </row>
    <row r="25" spans="1:20">
      <c r="A25" s="6"/>
      <c r="B25" s="6"/>
      <c r="C25" s="6"/>
      <c r="D25" s="6"/>
      <c r="E25" s="6"/>
      <c r="F25" s="6"/>
      <c r="G25" s="6"/>
      <c r="H25" s="6"/>
      <c r="I25" s="6"/>
      <c r="J25" s="6"/>
      <c r="K25" s="6"/>
      <c r="L25" s="6"/>
      <c r="M25" s="6"/>
      <c r="N25" s="6"/>
      <c r="O25" s="6"/>
      <c r="P25" s="6"/>
      <c r="Q25" s="6"/>
      <c r="R25" s="6"/>
      <c r="S25" s="6"/>
      <c r="T25" s="6"/>
    </row>
    <row r="26" spans="1:20">
      <c r="A26" s="6"/>
      <c r="B26" s="6"/>
      <c r="C26" s="6"/>
      <c r="D26" s="6"/>
      <c r="E26" s="6"/>
      <c r="F26" s="6"/>
      <c r="G26" s="6"/>
      <c r="H26" s="6"/>
      <c r="I26" s="6"/>
      <c r="J26" s="6"/>
      <c r="K26" s="6"/>
      <c r="L26" s="6"/>
      <c r="M26" s="6"/>
      <c r="N26" s="6"/>
      <c r="O26" s="6"/>
      <c r="P26" s="6"/>
      <c r="Q26" s="6"/>
      <c r="R26" s="6"/>
      <c r="S26" s="6"/>
      <c r="T26" s="6"/>
    </row>
    <row r="27" spans="1:20">
      <c r="A27" s="6"/>
      <c r="B27" s="6"/>
      <c r="C27" s="6"/>
      <c r="D27" s="6"/>
      <c r="E27" s="6"/>
      <c r="F27" s="6"/>
      <c r="G27" s="6"/>
      <c r="H27" s="6"/>
      <c r="I27" s="6"/>
      <c r="J27" s="6"/>
      <c r="K27" s="6"/>
      <c r="L27" s="6"/>
      <c r="M27" s="6"/>
      <c r="N27" s="6"/>
      <c r="O27" s="6"/>
      <c r="P27" s="6"/>
      <c r="Q27" s="6"/>
      <c r="R27" s="6"/>
      <c r="S27" s="6"/>
      <c r="T27" s="6"/>
    </row>
    <row r="28" spans="1:20">
      <c r="A28" s="6"/>
      <c r="B28" s="6"/>
      <c r="C28" s="6"/>
      <c r="D28" s="6"/>
      <c r="E28" s="6"/>
      <c r="F28" s="6"/>
      <c r="G28" s="6"/>
      <c r="H28" s="6"/>
      <c r="I28" s="6"/>
      <c r="J28" s="6"/>
      <c r="K28" s="6"/>
      <c r="L28" s="6"/>
      <c r="M28" s="6"/>
      <c r="N28" s="6"/>
      <c r="O28" s="6"/>
      <c r="P28" s="6"/>
      <c r="Q28" s="6"/>
      <c r="R28" s="6"/>
      <c r="S28" s="6"/>
      <c r="T28" s="6"/>
    </row>
    <row r="29" spans="1:20">
      <c r="A29" s="6"/>
      <c r="B29" s="6"/>
      <c r="C29" s="6"/>
      <c r="D29" s="6"/>
      <c r="E29" s="6"/>
      <c r="F29" s="6"/>
      <c r="G29" s="6"/>
      <c r="H29" s="6"/>
      <c r="I29" s="6"/>
      <c r="J29" s="6"/>
      <c r="K29" s="6"/>
      <c r="L29" s="6"/>
      <c r="M29" s="6"/>
      <c r="N29" s="6"/>
      <c r="O29" s="6"/>
      <c r="P29" s="6"/>
      <c r="Q29" s="6"/>
      <c r="R29" s="6"/>
      <c r="S29" s="6"/>
      <c r="T29" s="6"/>
    </row>
    <row r="30" spans="1:20">
      <c r="A30" s="6"/>
      <c r="B30" s="6"/>
      <c r="C30" s="6"/>
      <c r="D30" s="6"/>
      <c r="E30" s="6"/>
      <c r="F30" s="6"/>
      <c r="G30" s="6"/>
      <c r="H30" s="6"/>
      <c r="I30" s="6"/>
      <c r="J30" s="6"/>
      <c r="K30" s="6"/>
      <c r="L30" s="6"/>
      <c r="M30" s="6"/>
      <c r="N30" s="6"/>
      <c r="O30" s="6"/>
      <c r="P30" s="6"/>
    </row>
    <row r="31" spans="1:20">
      <c r="A31" s="6"/>
      <c r="B31" s="6"/>
      <c r="C31" s="6"/>
      <c r="D31" s="6"/>
      <c r="E31" s="6"/>
      <c r="F31" s="6"/>
      <c r="G31" s="6"/>
      <c r="H31" s="6"/>
      <c r="I31" s="6"/>
      <c r="J31" s="6"/>
      <c r="K31" s="6"/>
      <c r="L31" s="6"/>
      <c r="M31" s="6"/>
      <c r="N31" s="6"/>
      <c r="O31" s="6"/>
      <c r="P31" s="6"/>
    </row>
    <row r="32" spans="1:20">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sheetProtection algorithmName="SHA-512" hashValue="HxAGCs6slx+HBwLfONVLkOIcdGZ3O8YKZnustKEn16ubxos3D3uW6gdgGa8ST4txPB0AEf16M6gWcq1iBPNNSg==" saltValue="NRnHKWVpw/NU0N+i2hlnZg==" spinCount="100000" sheet="1" objects="1" scenarios="1"/>
  <conditionalFormatting sqref="E1">
    <cfRule type="expression" dxfId="3" priority="2" stopIfTrue="1">
      <formula>MOD(ROW(),2)=0</formula>
    </cfRule>
  </conditionalFormatting>
  <conditionalFormatting sqref="P1:T29">
    <cfRule type="cellIs" dxfId="2" priority="1" stopIfTrue="1" operator="equal">
      <formula>0</formula>
    </cfRule>
  </conditionalFormatting>
  <hyperlinks>
    <hyperlink ref="E1" location="HypLink1" display="HypLink1" xr:uid="{5C5619E5-080E-4FEB-8E13-B074694B0C79}"/>
  </hyperlinks>
  <pageMargins left="0.35" right="0.25" top="0.32" bottom="0.5" header="0.32" footer="0.3"/>
  <pageSetup orientation="portrait" r:id="rId1"/>
  <headerFooter alignWithMargins="0">
    <oddFooter>&amp;L&amp;7&amp;D  at &amp;T Mike 702.486.8879&amp;C&amp;7Page &amp;P of &amp;N&amp;R&amp;7&amp;F  &amp;A</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27E77-F4B8-40BE-960A-A8B5FC622A25}">
  <sheetPr codeName="Sheet19">
    <tabColor theme="0" tint="-0.34998626667073579"/>
  </sheetPr>
  <dimension ref="A1:P80"/>
  <sheetViews>
    <sheetView workbookViewId="0"/>
  </sheetViews>
  <sheetFormatPr defaultColWidth="9.33203125" defaultRowHeight="13.2"/>
  <cols>
    <col min="1" max="1" width="4.44140625" style="5" customWidth="1"/>
    <col min="2" max="16384" width="9.33203125" style="5"/>
  </cols>
  <sheetData>
    <row r="1" spans="1:16" ht="15.6">
      <c r="A1" s="258" t="s">
        <v>1092</v>
      </c>
      <c r="B1" s="258"/>
      <c r="C1" s="258"/>
      <c r="D1" s="258"/>
      <c r="E1" s="258"/>
      <c r="F1" s="258"/>
      <c r="G1" s="258"/>
      <c r="M1" s="313" t="s">
        <v>1</v>
      </c>
    </row>
    <row r="2" spans="1:16" ht="15.6">
      <c r="A2" s="24"/>
      <c r="B2" s="26"/>
      <c r="C2" s="26"/>
      <c r="D2" s="26"/>
      <c r="E2" s="26"/>
      <c r="F2" s="26"/>
      <c r="G2" s="26"/>
      <c r="H2" s="5" t="s">
        <v>1093</v>
      </c>
    </row>
    <row r="3" spans="1:16">
      <c r="A3" s="9" t="s">
        <v>325</v>
      </c>
      <c r="H3" s="5" t="s">
        <v>1094</v>
      </c>
    </row>
    <row r="4" spans="1:16">
      <c r="A4" s="8" t="s">
        <v>5</v>
      </c>
    </row>
    <row r="5" spans="1:16">
      <c r="A5" s="7" t="str">
        <f ca="1">CELL("filename")</f>
        <v>https://csmci.sharepoint.com/sites/csmc-nevada/Shared Documents/General/CSMC/Potential Clients/Pahrump Valley Academy/Revision/[Attachment 24_Financial-Plan-Workbook Pahrump Valley Academy -Draft (3).xlsx]CF Y1 Mo</v>
      </c>
    </row>
    <row r="6" spans="1:16">
      <c r="A6" s="6"/>
      <c r="B6" s="6"/>
      <c r="C6" s="6"/>
      <c r="D6" s="6"/>
      <c r="E6" s="6"/>
      <c r="F6" s="6"/>
      <c r="G6" s="6"/>
      <c r="H6" s="6"/>
      <c r="I6" s="6"/>
      <c r="J6" s="6"/>
      <c r="K6" s="6"/>
      <c r="L6" s="6"/>
      <c r="M6" s="6"/>
      <c r="N6" s="6"/>
      <c r="O6" s="6"/>
      <c r="P6" s="6"/>
    </row>
    <row r="7" spans="1:16">
      <c r="A7" s="6"/>
      <c r="B7" s="6" t="s">
        <v>1095</v>
      </c>
      <c r="C7" s="6"/>
      <c r="D7" s="6"/>
      <c r="E7" s="6"/>
      <c r="F7" s="6"/>
      <c r="G7" s="6"/>
      <c r="H7" s="6"/>
      <c r="I7" s="6"/>
      <c r="J7" s="6"/>
      <c r="K7" s="6"/>
      <c r="L7" s="6"/>
      <c r="M7" s="6"/>
      <c r="N7" s="6"/>
      <c r="O7" s="6"/>
      <c r="P7" s="6"/>
    </row>
    <row r="8" spans="1:16">
      <c r="A8" s="6"/>
      <c r="B8" s="6" t="s">
        <v>1096</v>
      </c>
      <c r="C8" s="6"/>
      <c r="D8" s="6"/>
      <c r="E8" s="6"/>
      <c r="F8" s="6"/>
      <c r="G8" s="6"/>
      <c r="H8" s="6"/>
      <c r="I8" s="6"/>
      <c r="J8" s="6"/>
      <c r="K8" s="6"/>
      <c r="L8" s="6"/>
      <c r="M8" s="6"/>
      <c r="N8" s="6"/>
      <c r="O8" s="6"/>
      <c r="P8" s="6"/>
    </row>
    <row r="9" spans="1:16">
      <c r="A9" s="6"/>
      <c r="B9" s="6"/>
      <c r="C9" s="6"/>
      <c r="D9" s="6"/>
      <c r="E9" s="6"/>
      <c r="F9" s="6"/>
      <c r="G9" s="6"/>
      <c r="H9" s="6"/>
      <c r="I9" s="6"/>
      <c r="J9" s="6"/>
      <c r="K9" s="6"/>
      <c r="L9" s="6"/>
      <c r="M9" s="6"/>
      <c r="N9" s="6"/>
      <c r="O9" s="6"/>
      <c r="P9" s="6"/>
    </row>
    <row r="10" spans="1:16">
      <c r="A10" s="6"/>
      <c r="B10" s="276"/>
      <c r="C10" s="276"/>
      <c r="D10" s="276"/>
      <c r="E10" s="276"/>
      <c r="F10" s="276"/>
      <c r="G10" s="1869" t="s">
        <v>1097</v>
      </c>
      <c r="H10" s="1869"/>
      <c r="I10" s="1314" t="s">
        <v>1098</v>
      </c>
      <c r="J10" s="1314"/>
      <c r="K10" s="1314"/>
      <c r="L10" s="1314"/>
      <c r="M10" s="1314"/>
      <c r="N10" s="1314"/>
      <c r="O10" s="6"/>
      <c r="P10" s="6"/>
    </row>
    <row r="11" spans="1:16">
      <c r="A11" s="6"/>
      <c r="B11" s="277"/>
      <c r="C11" s="16"/>
      <c r="D11" s="16"/>
      <c r="E11" s="16"/>
      <c r="F11" s="16"/>
      <c r="G11" s="278" t="s">
        <v>1099</v>
      </c>
      <c r="H11" s="278" t="s">
        <v>1100</v>
      </c>
      <c r="I11" s="278" t="s">
        <v>483</v>
      </c>
      <c r="J11" s="278">
        <v>1</v>
      </c>
      <c r="K11" s="278">
        <f>+J11+1</f>
        <v>2</v>
      </c>
      <c r="L11" s="278">
        <f>+K11+1</f>
        <v>3</v>
      </c>
      <c r="M11" s="278">
        <f>+L11+1</f>
        <v>4</v>
      </c>
      <c r="N11" s="278">
        <f>+M11+1</f>
        <v>5</v>
      </c>
      <c r="O11" s="6"/>
      <c r="P11" s="6"/>
    </row>
    <row r="12" spans="1:16">
      <c r="A12" s="6"/>
      <c r="C12" s="6"/>
      <c r="D12" s="6"/>
      <c r="E12" s="6"/>
      <c r="F12" s="6"/>
      <c r="G12" s="6"/>
      <c r="H12" s="6"/>
      <c r="I12" s="6"/>
      <c r="J12" s="6"/>
      <c r="K12" s="6"/>
      <c r="L12" s="6"/>
      <c r="M12" s="6"/>
      <c r="N12" s="6"/>
      <c r="O12" s="6"/>
      <c r="P12" s="6"/>
    </row>
    <row r="13" spans="1:16">
      <c r="A13" s="6"/>
      <c r="B13" s="279" t="s">
        <v>1101</v>
      </c>
      <c r="C13" s="16"/>
      <c r="D13" s="16"/>
      <c r="E13" s="16"/>
      <c r="F13" s="16"/>
      <c r="G13" s="16"/>
      <c r="H13" s="16"/>
      <c r="I13" s="16"/>
      <c r="J13" s="16"/>
      <c r="K13" s="16"/>
      <c r="L13" s="16"/>
      <c r="M13" s="16"/>
      <c r="N13" s="16"/>
      <c r="O13" s="6"/>
      <c r="P13" s="6"/>
    </row>
    <row r="14" spans="1:16">
      <c r="A14" s="6"/>
      <c r="B14" s="280" t="s">
        <v>1102</v>
      </c>
      <c r="C14" s="280"/>
      <c r="D14" s="280"/>
      <c r="E14" s="280"/>
      <c r="F14" s="280"/>
      <c r="G14" s="281"/>
      <c r="H14" s="281"/>
      <c r="I14" s="281"/>
      <c r="J14" s="281"/>
      <c r="K14" s="281"/>
      <c r="L14" s="281"/>
      <c r="M14" s="281"/>
      <c r="N14" s="281"/>
      <c r="O14" s="6"/>
      <c r="P14" s="6"/>
    </row>
    <row r="15" spans="1:16">
      <c r="A15" s="6"/>
      <c r="B15" s="282" t="s">
        <v>1103</v>
      </c>
      <c r="C15" s="282"/>
      <c r="D15" s="282"/>
      <c r="E15" s="282"/>
      <c r="F15" s="282"/>
      <c r="G15" s="283"/>
      <c r="H15" s="283"/>
      <c r="I15" s="283"/>
      <c r="J15" s="283"/>
      <c r="K15" s="283"/>
      <c r="L15" s="283"/>
      <c r="M15" s="283"/>
      <c r="N15" s="283"/>
      <c r="O15" s="6"/>
      <c r="P15" s="6"/>
    </row>
    <row r="16" spans="1:16">
      <c r="A16" s="6"/>
      <c r="B16" s="282" t="s">
        <v>1104</v>
      </c>
      <c r="C16" s="282"/>
      <c r="D16" s="282"/>
      <c r="E16" s="282"/>
      <c r="F16" s="282"/>
      <c r="G16" s="283"/>
      <c r="H16" s="283"/>
      <c r="I16" s="283"/>
      <c r="J16" s="283"/>
      <c r="K16" s="283"/>
      <c r="L16" s="283"/>
      <c r="M16" s="283"/>
      <c r="N16" s="283"/>
      <c r="O16" s="6"/>
      <c r="P16" s="6"/>
    </row>
    <row r="17" spans="1:16">
      <c r="A17" s="6"/>
      <c r="B17" s="282" t="s">
        <v>1105</v>
      </c>
      <c r="C17" s="282"/>
      <c r="D17" s="282"/>
      <c r="E17" s="282"/>
      <c r="F17" s="282"/>
      <c r="G17" s="283"/>
      <c r="H17" s="283"/>
      <c r="I17" s="283"/>
      <c r="J17" s="283"/>
      <c r="K17" s="283"/>
      <c r="L17" s="283"/>
      <c r="M17" s="283"/>
      <c r="N17" s="283"/>
      <c r="O17" s="6"/>
      <c r="P17" s="6"/>
    </row>
    <row r="18" spans="1:16">
      <c r="A18" s="6"/>
      <c r="B18" s="282" t="s">
        <v>1106</v>
      </c>
      <c r="C18" s="282"/>
      <c r="D18" s="282"/>
      <c r="E18" s="282"/>
      <c r="F18" s="282"/>
      <c r="G18" s="283"/>
      <c r="H18" s="283"/>
      <c r="I18" s="283"/>
      <c r="J18" s="283"/>
      <c r="K18" s="283"/>
      <c r="L18" s="283"/>
      <c r="M18" s="283"/>
      <c r="N18" s="283"/>
      <c r="O18" s="6"/>
      <c r="P18" s="6"/>
    </row>
    <row r="19" spans="1:16">
      <c r="A19" s="6"/>
      <c r="B19" s="282" t="s">
        <v>1107</v>
      </c>
      <c r="C19" s="282"/>
      <c r="D19" s="282"/>
      <c r="E19" s="282"/>
      <c r="F19" s="282"/>
      <c r="G19" s="283"/>
      <c r="H19" s="283"/>
      <c r="I19" s="283"/>
      <c r="J19" s="283"/>
      <c r="K19" s="283"/>
      <c r="L19" s="283"/>
      <c r="M19" s="283"/>
      <c r="N19" s="283"/>
      <c r="O19" s="6"/>
      <c r="P19" s="6"/>
    </row>
    <row r="20" spans="1:16">
      <c r="A20" s="6"/>
      <c r="B20" s="282" t="s">
        <v>1108</v>
      </c>
      <c r="C20" s="282"/>
      <c r="D20" s="282"/>
      <c r="E20" s="282"/>
      <c r="F20" s="282"/>
      <c r="G20" s="283"/>
      <c r="H20" s="283"/>
      <c r="I20" s="283"/>
      <c r="J20" s="283"/>
      <c r="K20" s="283"/>
      <c r="L20" s="283"/>
      <c r="M20" s="283"/>
      <c r="N20" s="283"/>
      <c r="O20" s="6"/>
      <c r="P20" s="6"/>
    </row>
    <row r="21" spans="1:16">
      <c r="A21" s="6"/>
      <c r="B21" s="282" t="s">
        <v>1109</v>
      </c>
      <c r="C21" s="282"/>
      <c r="D21" s="282"/>
      <c r="E21" s="282"/>
      <c r="F21" s="282"/>
      <c r="G21" s="283"/>
      <c r="H21" s="283"/>
      <c r="I21" s="283"/>
      <c r="J21" s="283"/>
      <c r="K21" s="283"/>
      <c r="L21" s="283"/>
      <c r="M21" s="283"/>
      <c r="N21" s="283"/>
      <c r="O21" s="6"/>
      <c r="P21" s="6"/>
    </row>
    <row r="22" spans="1:16">
      <c r="A22" s="6"/>
      <c r="B22" s="282" t="s">
        <v>1110</v>
      </c>
      <c r="C22" s="282"/>
      <c r="D22" s="282"/>
      <c r="E22" s="282"/>
      <c r="F22" s="282"/>
      <c r="G22" s="283"/>
      <c r="H22" s="283"/>
      <c r="I22" s="283"/>
      <c r="J22" s="283"/>
      <c r="K22" s="283"/>
      <c r="L22" s="283"/>
      <c r="M22" s="283"/>
      <c r="N22" s="283"/>
      <c r="O22" s="6"/>
      <c r="P22" s="6"/>
    </row>
    <row r="23" spans="1:16">
      <c r="A23" s="6"/>
      <c r="B23" s="282" t="s">
        <v>1111</v>
      </c>
      <c r="C23" s="282"/>
      <c r="D23" s="282"/>
      <c r="E23" s="282"/>
      <c r="F23" s="282"/>
      <c r="G23" s="283"/>
      <c r="H23" s="283"/>
      <c r="I23" s="283"/>
      <c r="J23" s="283"/>
      <c r="K23" s="283"/>
      <c r="L23" s="283"/>
      <c r="M23" s="283"/>
      <c r="N23" s="283"/>
      <c r="O23" s="6"/>
      <c r="P23" s="6"/>
    </row>
    <row r="24" spans="1:16">
      <c r="A24" s="6"/>
      <c r="B24" s="282" t="s">
        <v>1112</v>
      </c>
      <c r="C24" s="282"/>
      <c r="D24" s="282"/>
      <c r="E24" s="282"/>
      <c r="F24" s="282"/>
      <c r="G24" s="283"/>
      <c r="H24" s="283"/>
      <c r="I24" s="283"/>
      <c r="J24" s="283"/>
      <c r="K24" s="283"/>
      <c r="L24" s="283"/>
      <c r="M24" s="283"/>
      <c r="N24" s="283"/>
      <c r="O24" s="6"/>
      <c r="P24" s="6"/>
    </row>
    <row r="25" spans="1:16">
      <c r="A25" s="6"/>
      <c r="B25" s="282" t="s">
        <v>1113</v>
      </c>
      <c r="C25" s="282"/>
      <c r="D25" s="282"/>
      <c r="E25" s="282"/>
      <c r="F25" s="282"/>
      <c r="G25" s="283"/>
      <c r="H25" s="283"/>
      <c r="I25" s="283"/>
      <c r="J25" s="283"/>
      <c r="K25" s="283"/>
      <c r="L25" s="283"/>
      <c r="M25" s="283"/>
      <c r="N25" s="283"/>
      <c r="O25" s="6"/>
      <c r="P25" s="6"/>
    </row>
    <row r="26" spans="1:16">
      <c r="A26" s="6"/>
      <c r="B26" s="6"/>
      <c r="C26" s="6"/>
      <c r="D26" s="6"/>
      <c r="E26" s="6"/>
      <c r="F26" s="6"/>
      <c r="G26" s="6"/>
      <c r="H26" s="6"/>
      <c r="I26" s="6">
        <f>SUM(I14:I25)</f>
        <v>0</v>
      </c>
      <c r="J26" s="6">
        <f t="shared" ref="J26:N26" si="0">SUM(J14:J25)</f>
        <v>0</v>
      </c>
      <c r="K26" s="6">
        <f t="shared" si="0"/>
        <v>0</v>
      </c>
      <c r="L26" s="6">
        <f t="shared" si="0"/>
        <v>0</v>
      </c>
      <c r="M26" s="6">
        <f t="shared" si="0"/>
        <v>0</v>
      </c>
      <c r="N26" s="6">
        <f t="shared" si="0"/>
        <v>0</v>
      </c>
      <c r="O26" s="6"/>
      <c r="P26" s="6"/>
    </row>
    <row r="27" spans="1:16">
      <c r="A27" s="6"/>
      <c r="B27" s="6"/>
      <c r="C27" s="6"/>
      <c r="D27" s="6"/>
      <c r="E27" s="6"/>
      <c r="F27" s="6"/>
      <c r="G27" s="6"/>
      <c r="H27" s="6"/>
      <c r="I27" s="6"/>
      <c r="J27" s="6"/>
      <c r="K27" s="6"/>
      <c r="L27" s="6"/>
      <c r="M27" s="6"/>
      <c r="N27" s="6"/>
      <c r="O27" s="6"/>
      <c r="P27" s="6"/>
    </row>
    <row r="28" spans="1:16">
      <c r="A28" s="6"/>
      <c r="B28" s="279" t="s">
        <v>1114</v>
      </c>
      <c r="C28" s="16"/>
      <c r="D28" s="16"/>
      <c r="E28" s="16"/>
      <c r="F28" s="16"/>
      <c r="G28" s="16"/>
      <c r="H28" s="16"/>
      <c r="I28" s="16"/>
      <c r="J28" s="16"/>
      <c r="K28" s="16"/>
      <c r="L28" s="16"/>
      <c r="M28" s="16"/>
      <c r="N28" s="16"/>
      <c r="O28" s="6"/>
      <c r="P28" s="6"/>
    </row>
    <row r="29" spans="1:16">
      <c r="A29" s="6"/>
      <c r="B29" s="280" t="s">
        <v>1115</v>
      </c>
      <c r="C29" s="280"/>
      <c r="D29" s="280"/>
      <c r="E29" s="280"/>
      <c r="F29" s="280"/>
      <c r="G29" s="281"/>
      <c r="H29" s="281"/>
      <c r="I29" s="281"/>
      <c r="J29" s="281"/>
      <c r="K29" s="281"/>
      <c r="L29" s="281"/>
      <c r="M29" s="281"/>
      <c r="N29" s="281"/>
      <c r="O29" s="6"/>
      <c r="P29" s="6"/>
    </row>
    <row r="30" spans="1:16">
      <c r="A30" s="6"/>
      <c r="B30" s="282" t="s">
        <v>1116</v>
      </c>
      <c r="C30" s="282"/>
      <c r="D30" s="282"/>
      <c r="E30" s="282"/>
      <c r="F30" s="282"/>
      <c r="G30" s="283"/>
      <c r="H30" s="283"/>
      <c r="I30" s="283"/>
      <c r="J30" s="283"/>
      <c r="K30" s="283"/>
      <c r="L30" s="283"/>
      <c r="M30" s="283"/>
      <c r="N30" s="283"/>
      <c r="O30" s="6"/>
      <c r="P30" s="6"/>
    </row>
    <row r="31" spans="1:16">
      <c r="A31" s="6"/>
      <c r="B31" s="282" t="s">
        <v>1117</v>
      </c>
      <c r="C31" s="282"/>
      <c r="D31" s="282"/>
      <c r="E31" s="282"/>
      <c r="F31" s="282"/>
      <c r="G31" s="283"/>
      <c r="H31" s="283"/>
      <c r="I31" s="283"/>
      <c r="J31" s="283"/>
      <c r="K31" s="283"/>
      <c r="L31" s="283"/>
      <c r="M31" s="283"/>
      <c r="N31" s="283"/>
      <c r="O31" s="6"/>
      <c r="P31" s="6"/>
    </row>
    <row r="32" spans="1:16">
      <c r="A32" s="6"/>
      <c r="B32" s="282" t="s">
        <v>1118</v>
      </c>
      <c r="C32" s="282"/>
      <c r="D32" s="282"/>
      <c r="E32" s="282"/>
      <c r="F32" s="282"/>
      <c r="G32" s="283"/>
      <c r="H32" s="283"/>
      <c r="I32" s="283"/>
      <c r="J32" s="283"/>
      <c r="K32" s="283"/>
      <c r="L32" s="283"/>
      <c r="M32" s="283"/>
      <c r="N32" s="283"/>
      <c r="O32" s="6"/>
      <c r="P32" s="6"/>
    </row>
    <row r="33" spans="1:16">
      <c r="A33" s="6"/>
      <c r="B33" s="282" t="s">
        <v>1119</v>
      </c>
      <c r="C33" s="282"/>
      <c r="D33" s="282"/>
      <c r="E33" s="282"/>
      <c r="F33" s="282"/>
      <c r="G33" s="283"/>
      <c r="H33" s="283"/>
      <c r="I33" s="283"/>
      <c r="J33" s="283"/>
      <c r="K33" s="283"/>
      <c r="L33" s="283"/>
      <c r="M33" s="283"/>
      <c r="N33" s="283"/>
      <c r="O33" s="6"/>
      <c r="P33" s="6"/>
    </row>
    <row r="34" spans="1:16">
      <c r="A34" s="6"/>
      <c r="B34" s="284" t="s">
        <v>1120</v>
      </c>
      <c r="C34" s="282"/>
      <c r="D34" s="282"/>
      <c r="E34" s="282"/>
      <c r="F34" s="282"/>
      <c r="G34" s="283"/>
      <c r="H34" s="283"/>
      <c r="I34" s="283"/>
      <c r="J34" s="283"/>
      <c r="K34" s="283"/>
      <c r="L34" s="283"/>
      <c r="M34" s="283"/>
      <c r="N34" s="283"/>
      <c r="O34" s="6"/>
      <c r="P34" s="6"/>
    </row>
    <row r="35" spans="1:16">
      <c r="A35" s="6"/>
      <c r="B35" s="284" t="s">
        <v>1121</v>
      </c>
      <c r="C35" s="282"/>
      <c r="D35" s="282"/>
      <c r="E35" s="282"/>
      <c r="F35" s="282"/>
      <c r="G35" s="283"/>
      <c r="H35" s="283"/>
      <c r="I35" s="283"/>
      <c r="J35" s="283"/>
      <c r="K35" s="283"/>
      <c r="L35" s="283"/>
      <c r="M35" s="283"/>
      <c r="N35" s="283"/>
      <c r="O35" s="6"/>
      <c r="P35" s="6"/>
    </row>
    <row r="36" spans="1:16">
      <c r="A36" s="6"/>
      <c r="B36" s="284" t="s">
        <v>1122</v>
      </c>
      <c r="C36" s="282"/>
      <c r="D36" s="282"/>
      <c r="E36" s="282"/>
      <c r="F36" s="282"/>
      <c r="G36" s="283"/>
      <c r="H36" s="283"/>
      <c r="I36" s="283"/>
      <c r="J36" s="283"/>
      <c r="K36" s="283"/>
      <c r="L36" s="283"/>
      <c r="M36" s="283"/>
      <c r="N36" s="283"/>
      <c r="O36" s="6"/>
      <c r="P36" s="6"/>
    </row>
    <row r="37" spans="1:16">
      <c r="A37" s="6"/>
      <c r="B37" s="284" t="s">
        <v>1123</v>
      </c>
      <c r="C37" s="282"/>
      <c r="D37" s="282"/>
      <c r="E37" s="282"/>
      <c r="F37" s="282"/>
      <c r="G37" s="283"/>
      <c r="H37" s="283"/>
      <c r="I37" s="283"/>
      <c r="J37" s="283"/>
      <c r="K37" s="283"/>
      <c r="L37" s="283"/>
      <c r="M37" s="283"/>
      <c r="N37" s="283"/>
      <c r="O37" s="6"/>
      <c r="P37" s="6"/>
    </row>
    <row r="38" spans="1:16">
      <c r="A38" s="6"/>
      <c r="B38" s="284" t="s">
        <v>1124</v>
      </c>
      <c r="C38" s="282"/>
      <c r="D38" s="282"/>
      <c r="E38" s="282"/>
      <c r="F38" s="282"/>
      <c r="G38" s="283"/>
      <c r="H38" s="283"/>
      <c r="I38" s="283"/>
      <c r="J38" s="283"/>
      <c r="K38" s="283"/>
      <c r="L38" s="283"/>
      <c r="M38" s="283"/>
      <c r="N38" s="283"/>
      <c r="O38" s="6"/>
      <c r="P38" s="6"/>
    </row>
    <row r="39" spans="1:16">
      <c r="A39" s="6"/>
      <c r="B39" s="6"/>
      <c r="C39" s="6"/>
      <c r="D39" s="6"/>
      <c r="E39" s="6"/>
      <c r="F39" s="6"/>
      <c r="G39" s="6"/>
      <c r="H39" s="6"/>
      <c r="I39" s="6">
        <f>SUM(I29:I38)</f>
        <v>0</v>
      </c>
      <c r="J39" s="6">
        <f t="shared" ref="J39:N39" si="1">SUM(J29:J38)</f>
        <v>0</v>
      </c>
      <c r="K39" s="6">
        <f t="shared" si="1"/>
        <v>0</v>
      </c>
      <c r="L39" s="6">
        <f t="shared" si="1"/>
        <v>0</v>
      </c>
      <c r="M39" s="6">
        <f t="shared" si="1"/>
        <v>0</v>
      </c>
      <c r="N39" s="6">
        <f t="shared" si="1"/>
        <v>0</v>
      </c>
      <c r="O39" s="6"/>
      <c r="P39" s="6"/>
    </row>
    <row r="40" spans="1:16">
      <c r="A40" s="6"/>
      <c r="B40" s="6"/>
      <c r="C40" s="6"/>
      <c r="D40" s="6"/>
      <c r="E40" s="6"/>
      <c r="F40" s="6"/>
      <c r="G40" s="6"/>
      <c r="H40" s="6"/>
      <c r="I40" s="6"/>
      <c r="J40" s="6"/>
      <c r="K40" s="6"/>
      <c r="L40" s="6"/>
      <c r="M40" s="6"/>
      <c r="N40" s="6"/>
      <c r="O40" s="6"/>
      <c r="P40" s="6"/>
    </row>
    <row r="41" spans="1:16">
      <c r="A41" s="6"/>
      <c r="B41" s="6" t="s">
        <v>1125</v>
      </c>
      <c r="C41" s="6"/>
      <c r="D41" s="6"/>
      <c r="E41" s="6"/>
      <c r="F41" s="6"/>
      <c r="G41" s="6"/>
      <c r="H41" s="6"/>
      <c r="I41" s="6"/>
      <c r="J41" s="6"/>
      <c r="K41" s="6"/>
      <c r="L41" s="6"/>
      <c r="M41" s="6"/>
      <c r="N41" s="6"/>
      <c r="O41" s="6"/>
      <c r="P41" s="6"/>
    </row>
    <row r="42" spans="1:16">
      <c r="A42" s="6"/>
      <c r="B42" s="6" t="s">
        <v>1126</v>
      </c>
      <c r="C42" s="6"/>
      <c r="D42" s="6"/>
      <c r="E42" s="6"/>
      <c r="F42" s="6"/>
      <c r="G42" s="6"/>
      <c r="H42" s="6"/>
      <c r="I42" s="6"/>
      <c r="J42" s="6"/>
      <c r="K42" s="6"/>
      <c r="L42" s="6"/>
      <c r="M42" s="6"/>
      <c r="N42" s="6"/>
      <c r="O42" s="6"/>
      <c r="P42" s="6"/>
    </row>
    <row r="43" spans="1:16">
      <c r="A43" s="6"/>
      <c r="B43" s="6" t="s">
        <v>1127</v>
      </c>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sheetProtection algorithmName="SHA-512" hashValue="DM/4y5gxKjjlDyI2fVSzWAg1zG2c/G6hjxG8EQ8LDKNtklZPbqAAxK6xudyimwHaD6SN5RoThJYLfAzor037Pw==" saltValue="WMveOM/CsaHNAp6q8ukjGg==" spinCount="100000" sheet="1" objects="1" scenarios="1"/>
  <mergeCells count="1">
    <mergeCell ref="G10:H10"/>
  </mergeCells>
  <conditionalFormatting sqref="M1">
    <cfRule type="expression" dxfId="1" priority="1" stopIfTrue="1">
      <formula>MOD(ROW(),2)=0</formula>
    </cfRule>
  </conditionalFormatting>
  <hyperlinks>
    <hyperlink ref="M1" location="HypLink1" display="HypLink1" xr:uid="{85CCFE78-A35E-43C6-A759-2216D742A8F0}"/>
  </hyperlinks>
  <pageMargins left="0.35" right="0.25" top="0.32" bottom="0.5" header="0.32" footer="0.3"/>
  <pageSetup orientation="portrait" r:id="rId1"/>
  <headerFooter alignWithMargins="0">
    <oddFooter>&amp;L&amp;7&amp;D  at &amp;T Mike 702.486.8879&amp;C&amp;7Page &amp;P of &amp;N&amp;R&amp;7&amp;F  &amp;A</oddFooter>
  </headerFooter>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CF183-256C-4722-AF04-6B2DFBB26ACD}">
  <sheetPr codeName="Sheet22"/>
  <dimension ref="A1:P81"/>
  <sheetViews>
    <sheetView workbookViewId="0"/>
  </sheetViews>
  <sheetFormatPr defaultColWidth="8.6640625" defaultRowHeight="13.2"/>
  <cols>
    <col min="1" max="1" width="1.33203125" style="5" customWidth="1"/>
    <col min="2" max="2" width="2.6640625" style="5" customWidth="1"/>
    <col min="3" max="5" width="8.6640625" style="5"/>
    <col min="6" max="6" width="9" style="5" bestFit="1" customWidth="1"/>
    <col min="7" max="7" width="9.6640625" style="5" bestFit="1" customWidth="1"/>
    <col min="8" max="8" width="9" style="5" bestFit="1" customWidth="1"/>
    <col min="9" max="11" width="9.6640625" style="5" bestFit="1" customWidth="1"/>
    <col min="12" max="13" width="1.6640625" style="5" customWidth="1"/>
    <col min="14" max="14" width="18.6640625" style="5" customWidth="1"/>
    <col min="15" max="15" width="22.33203125" style="5" customWidth="1"/>
    <col min="16" max="16" width="16.33203125" style="5" customWidth="1"/>
    <col min="17" max="16384" width="8.6640625" style="5"/>
  </cols>
  <sheetData>
    <row r="1" spans="1:14" ht="15.6">
      <c r="A1" s="258"/>
      <c r="B1" s="258"/>
      <c r="C1" s="258"/>
    </row>
    <row r="2" spans="1:14" ht="15.6">
      <c r="A2" s="24"/>
      <c r="B2" s="26"/>
      <c r="C2" s="26"/>
    </row>
    <row r="3" spans="1:14">
      <c r="A3" s="9" t="s">
        <v>325</v>
      </c>
    </row>
    <row r="4" spans="1:14">
      <c r="A4" s="8" t="s">
        <v>5</v>
      </c>
    </row>
    <row r="5" spans="1:14">
      <c r="A5" s="7" t="str">
        <f ca="1">CELL("filename")</f>
        <v>https://csmci.sharepoint.com/sites/csmc-nevada/Shared Documents/General/CSMC/Potential Clients/Pahrump Valley Academy/Revision/[Attachment 24_Financial-Plan-Workbook Pahrump Valley Academy -Draft (3).xlsx]CF Y1 Mo</v>
      </c>
    </row>
    <row r="6" spans="1:14">
      <c r="A6" s="6"/>
      <c r="L6" s="6"/>
      <c r="M6" s="6"/>
      <c r="N6" s="6"/>
    </row>
    <row r="7" spans="1:14">
      <c r="A7" s="6"/>
      <c r="L7" s="6"/>
      <c r="M7" s="6"/>
      <c r="N7" s="6"/>
    </row>
    <row r="8" spans="1:14">
      <c r="A8" s="6"/>
      <c r="B8" s="22" t="s">
        <v>1128</v>
      </c>
      <c r="L8" s="6"/>
      <c r="M8" s="6"/>
      <c r="N8" s="6"/>
    </row>
    <row r="9" spans="1:14">
      <c r="A9" s="6"/>
      <c r="L9" s="6"/>
      <c r="M9" s="6"/>
      <c r="N9" s="6"/>
    </row>
    <row r="10" spans="1:14" ht="13.8">
      <c r="A10" s="6"/>
      <c r="F10" s="1051">
        <v>1</v>
      </c>
      <c r="G10" s="616">
        <v>2</v>
      </c>
      <c r="H10" s="616">
        <v>3</v>
      </c>
      <c r="I10" s="616">
        <v>4</v>
      </c>
      <c r="J10" s="616">
        <v>5</v>
      </c>
      <c r="K10" s="958">
        <v>6</v>
      </c>
      <c r="L10" s="6"/>
      <c r="M10" s="6"/>
    </row>
    <row r="11" spans="1:14" ht="13.8">
      <c r="A11" s="6"/>
      <c r="B11" s="6"/>
      <c r="C11" s="6"/>
      <c r="D11" s="6"/>
      <c r="E11" s="6"/>
      <c r="F11" s="617">
        <v>2022</v>
      </c>
      <c r="G11" s="618">
        <v>2023</v>
      </c>
      <c r="H11" s="618">
        <v>2024</v>
      </c>
      <c r="I11" s="618">
        <v>2025</v>
      </c>
      <c r="J11" s="618">
        <v>2026</v>
      </c>
      <c r="K11" s="619">
        <v>2027</v>
      </c>
      <c r="L11" s="6"/>
      <c r="M11" s="6"/>
    </row>
    <row r="12" spans="1:14" ht="13.8">
      <c r="A12" s="6"/>
      <c r="B12" s="1048" t="s">
        <v>1129</v>
      </c>
      <c r="C12" s="6"/>
      <c r="D12" s="6"/>
      <c r="E12" s="6"/>
      <c r="F12" s="620">
        <v>2023</v>
      </c>
      <c r="G12" s="621">
        <v>2024</v>
      </c>
      <c r="H12" s="621">
        <v>2025</v>
      </c>
      <c r="I12" s="621">
        <v>2026</v>
      </c>
      <c r="J12" s="621">
        <v>2027</v>
      </c>
      <c r="K12" s="622">
        <v>2028</v>
      </c>
      <c r="L12" s="6"/>
      <c r="M12" s="6"/>
    </row>
    <row r="13" spans="1:14">
      <c r="A13" s="6"/>
      <c r="B13" s="5" t="s">
        <v>1130</v>
      </c>
      <c r="C13" s="6"/>
      <c r="D13" s="6"/>
      <c r="E13" s="6"/>
      <c r="F13" s="6">
        <v>10</v>
      </c>
      <c r="G13" s="6">
        <v>16</v>
      </c>
      <c r="H13" s="6">
        <v>20</v>
      </c>
      <c r="I13" s="6">
        <v>21</v>
      </c>
      <c r="J13" s="6">
        <v>21</v>
      </c>
      <c r="K13" s="6">
        <v>21</v>
      </c>
      <c r="L13" s="6"/>
      <c r="M13" s="6"/>
    </row>
    <row r="14" spans="1:14">
      <c r="A14" s="6"/>
      <c r="B14" s="5" t="s">
        <v>1131</v>
      </c>
      <c r="C14" s="6"/>
      <c r="D14" s="6"/>
      <c r="E14" s="6"/>
      <c r="F14" s="6">
        <v>10</v>
      </c>
      <c r="G14" s="6">
        <v>13</v>
      </c>
      <c r="H14" s="6">
        <v>18</v>
      </c>
      <c r="I14" s="6">
        <v>18</v>
      </c>
      <c r="J14" s="6">
        <f>+I14</f>
        <v>18</v>
      </c>
      <c r="K14" s="6">
        <f>+J14</f>
        <v>18</v>
      </c>
      <c r="L14" s="6"/>
      <c r="M14" s="6"/>
    </row>
    <row r="15" spans="1:14">
      <c r="A15" s="6"/>
      <c r="B15" s="6"/>
      <c r="C15" s="6" t="s">
        <v>1132</v>
      </c>
      <c r="D15" s="6"/>
      <c r="E15" s="1050">
        <v>40000</v>
      </c>
      <c r="F15" s="6">
        <f>+F13-F14</f>
        <v>0</v>
      </c>
      <c r="G15" s="6">
        <f t="shared" ref="G15:K15" si="0">+G13-G14</f>
        <v>3</v>
      </c>
      <c r="H15" s="6">
        <f t="shared" si="0"/>
        <v>2</v>
      </c>
      <c r="I15" s="6">
        <f t="shared" si="0"/>
        <v>3</v>
      </c>
      <c r="J15" s="6">
        <f t="shared" si="0"/>
        <v>3</v>
      </c>
      <c r="K15" s="6">
        <f t="shared" si="0"/>
        <v>3</v>
      </c>
      <c r="L15" s="6"/>
      <c r="M15" s="6"/>
      <c r="N15" s="6"/>
    </row>
    <row r="16" spans="1:14">
      <c r="A16" s="6"/>
      <c r="B16" s="6"/>
      <c r="C16" s="1049" t="s">
        <v>1133</v>
      </c>
      <c r="D16" s="6"/>
      <c r="E16" s="6"/>
      <c r="F16" s="1047">
        <f t="shared" ref="F16:K16" si="1">+F15*$E$15</f>
        <v>0</v>
      </c>
      <c r="G16" s="1047">
        <f t="shared" si="1"/>
        <v>120000</v>
      </c>
      <c r="H16" s="1047">
        <f t="shared" si="1"/>
        <v>80000</v>
      </c>
      <c r="I16" s="1047">
        <f t="shared" si="1"/>
        <v>120000</v>
      </c>
      <c r="J16" s="1047">
        <f t="shared" si="1"/>
        <v>120000</v>
      </c>
      <c r="K16" s="1047">
        <f t="shared" si="1"/>
        <v>120000</v>
      </c>
      <c r="L16" s="6"/>
      <c r="M16" s="6"/>
      <c r="N16" s="6"/>
    </row>
    <row r="17" spans="1:16">
      <c r="A17" s="6"/>
      <c r="B17" s="6"/>
      <c r="C17" s="6"/>
      <c r="D17" s="6"/>
      <c r="E17" s="6"/>
      <c r="F17" s="6"/>
      <c r="G17" s="6"/>
      <c r="H17" s="6"/>
      <c r="I17" s="6"/>
      <c r="J17" s="6"/>
      <c r="K17" s="6"/>
      <c r="L17" s="6"/>
      <c r="M17" s="6"/>
    </row>
    <row r="18" spans="1:16" ht="30">
      <c r="A18" s="6"/>
      <c r="B18" s="6"/>
      <c r="C18" s="6"/>
      <c r="D18" s="6"/>
      <c r="E18" s="6"/>
      <c r="F18" s="6"/>
      <c r="G18" s="6"/>
      <c r="H18" s="6"/>
      <c r="I18" s="6"/>
      <c r="J18" s="6"/>
      <c r="K18" s="6"/>
      <c r="L18" s="6"/>
      <c r="M18" s="6"/>
      <c r="N18" s="1052" t="s">
        <v>937</v>
      </c>
      <c r="O18" s="1052" t="s">
        <v>938</v>
      </c>
      <c r="P18" s="1052" t="s">
        <v>939</v>
      </c>
    </row>
    <row r="19" spans="1:16" ht="15">
      <c r="A19" s="6"/>
      <c r="B19" s="6"/>
      <c r="C19" s="6"/>
      <c r="D19" s="6"/>
      <c r="E19" s="6"/>
      <c r="F19" s="6"/>
      <c r="G19" s="6"/>
      <c r="H19" s="6"/>
      <c r="I19" s="6"/>
      <c r="J19" s="6"/>
      <c r="K19" s="6"/>
      <c r="L19" s="6"/>
      <c r="M19" s="6"/>
      <c r="N19" s="1052" t="s">
        <v>293</v>
      </c>
      <c r="O19" s="1052" t="s">
        <v>940</v>
      </c>
      <c r="P19" s="1052" t="s">
        <v>941</v>
      </c>
    </row>
    <row r="20" spans="1:16" ht="30">
      <c r="A20" s="6"/>
      <c r="B20" s="6"/>
      <c r="C20" s="6"/>
      <c r="D20" s="6"/>
      <c r="E20" s="6"/>
      <c r="F20" s="6"/>
      <c r="G20" s="6"/>
      <c r="H20" s="6"/>
      <c r="I20" s="6"/>
      <c r="J20" s="6"/>
      <c r="K20" s="6"/>
      <c r="L20" s="6"/>
      <c r="M20" s="6"/>
      <c r="N20" s="1052" t="s">
        <v>84</v>
      </c>
      <c r="O20" s="1052" t="s">
        <v>942</v>
      </c>
      <c r="P20" s="1052" t="s">
        <v>943</v>
      </c>
    </row>
    <row r="21" spans="1:16" ht="15">
      <c r="A21" s="6"/>
      <c r="B21" s="6"/>
      <c r="C21" s="6"/>
      <c r="D21" s="6"/>
      <c r="E21" s="6"/>
      <c r="F21" s="6"/>
      <c r="G21" s="6"/>
      <c r="H21" s="6"/>
      <c r="I21" s="6"/>
      <c r="J21" s="6"/>
      <c r="K21" s="6"/>
      <c r="L21" s="6"/>
      <c r="M21" s="6"/>
      <c r="N21" s="1052" t="s">
        <v>295</v>
      </c>
      <c r="O21" s="1052" t="s">
        <v>944</v>
      </c>
      <c r="P21" s="1052" t="s">
        <v>943</v>
      </c>
    </row>
    <row r="22" spans="1:16" ht="30">
      <c r="A22" s="6"/>
      <c r="B22" s="6"/>
      <c r="C22" s="6"/>
      <c r="D22" s="6"/>
      <c r="H22" s="6"/>
      <c r="I22" s="6"/>
      <c r="J22" s="6"/>
      <c r="K22" s="6"/>
      <c r="L22" s="6"/>
      <c r="M22" s="6"/>
      <c r="N22" s="1052" t="s">
        <v>945</v>
      </c>
      <c r="O22" s="1052" t="s">
        <v>946</v>
      </c>
      <c r="P22" s="1052" t="s">
        <v>947</v>
      </c>
    </row>
    <row r="23" spans="1:16">
      <c r="A23" s="6"/>
      <c r="B23" s="6"/>
      <c r="C23" s="6"/>
      <c r="D23" s="6"/>
      <c r="H23" s="6"/>
      <c r="I23" s="6"/>
      <c r="J23" s="6"/>
      <c r="K23" s="6"/>
      <c r="L23" s="6"/>
      <c r="M23" s="6"/>
      <c r="N23" s="6"/>
    </row>
    <row r="24" spans="1:16">
      <c r="A24" s="6"/>
      <c r="B24" s="6"/>
      <c r="C24" s="6"/>
      <c r="D24" s="6"/>
      <c r="H24" s="6"/>
      <c r="I24" s="6"/>
      <c r="J24" s="6"/>
      <c r="K24" s="6"/>
      <c r="L24" s="6"/>
      <c r="M24" s="6"/>
      <c r="N24" s="6"/>
    </row>
    <row r="25" spans="1:16">
      <c r="A25" s="6"/>
      <c r="B25" s="6"/>
      <c r="C25" s="6"/>
      <c r="D25" s="6"/>
      <c r="H25" s="6"/>
      <c r="I25" s="6"/>
      <c r="J25" s="6"/>
      <c r="K25" s="6"/>
      <c r="L25" s="6"/>
      <c r="M25" s="6"/>
      <c r="N25" s="6"/>
    </row>
    <row r="26" spans="1:16">
      <c r="A26" s="6"/>
      <c r="B26" s="6"/>
      <c r="C26" s="6"/>
      <c r="D26" s="6"/>
      <c r="H26" s="6"/>
      <c r="I26" s="6"/>
      <c r="J26" s="6"/>
      <c r="K26" s="6"/>
      <c r="L26" s="6"/>
      <c r="M26" s="6"/>
      <c r="N26" s="6"/>
    </row>
    <row r="27" spans="1:16">
      <c r="A27" s="6"/>
      <c r="B27" s="6"/>
      <c r="C27" s="6"/>
      <c r="D27" s="6"/>
      <c r="E27" s="6"/>
      <c r="F27" s="6"/>
      <c r="G27" s="6"/>
      <c r="H27" s="6"/>
      <c r="I27" s="6"/>
      <c r="J27" s="6"/>
      <c r="K27" s="6"/>
      <c r="L27" s="6"/>
      <c r="M27" s="6"/>
      <c r="N27" s="6"/>
    </row>
    <row r="28" spans="1:16">
      <c r="A28" s="6"/>
      <c r="B28" s="6"/>
      <c r="C28" s="6"/>
      <c r="D28" s="6"/>
      <c r="E28" s="6"/>
      <c r="F28" s="6"/>
      <c r="G28" s="6"/>
      <c r="H28" s="6"/>
      <c r="I28" s="6"/>
      <c r="J28" s="6"/>
      <c r="K28" s="6"/>
      <c r="L28" s="6"/>
      <c r="M28" s="6"/>
      <c r="N28" s="6"/>
    </row>
    <row r="29" spans="1:16">
      <c r="A29" s="6"/>
      <c r="B29" s="6"/>
      <c r="C29" s="6"/>
      <c r="D29" s="6"/>
      <c r="E29" s="6"/>
      <c r="F29" s="6"/>
      <c r="G29" s="6"/>
      <c r="H29" s="6"/>
      <c r="I29" s="6"/>
      <c r="J29" s="6"/>
      <c r="K29" s="6"/>
      <c r="L29" s="6"/>
      <c r="M29" s="6"/>
      <c r="N29" s="6"/>
    </row>
    <row r="30" spans="1:16">
      <c r="A30" s="6"/>
      <c r="B30" s="6"/>
      <c r="C30" s="6"/>
      <c r="D30" s="6"/>
      <c r="E30" s="6"/>
      <c r="F30" s="6"/>
      <c r="G30" s="6"/>
      <c r="H30" s="6"/>
      <c r="I30" s="6"/>
      <c r="J30" s="6"/>
      <c r="K30" s="6"/>
      <c r="L30" s="6"/>
      <c r="M30" s="6"/>
      <c r="N30" s="6"/>
    </row>
    <row r="31" spans="1:16">
      <c r="A31" s="6"/>
      <c r="B31" s="6"/>
      <c r="C31" s="6"/>
      <c r="D31" s="6"/>
      <c r="E31" s="6"/>
      <c r="F31" s="6"/>
      <c r="G31" s="6"/>
      <c r="H31" s="6"/>
      <c r="I31" s="6"/>
      <c r="J31" s="6"/>
      <c r="K31" s="6"/>
      <c r="L31" s="6"/>
      <c r="M31" s="6"/>
      <c r="N31" s="6"/>
    </row>
    <row r="32" spans="1:16">
      <c r="A32" s="6"/>
      <c r="B32" s="6"/>
      <c r="C32" s="6"/>
      <c r="D32" s="6"/>
      <c r="E32" s="6"/>
      <c r="F32" s="6"/>
      <c r="G32" s="6"/>
      <c r="H32" s="6"/>
      <c r="I32" s="6"/>
      <c r="J32" s="6"/>
      <c r="K32" s="6"/>
      <c r="L32" s="6"/>
      <c r="M32" s="6"/>
      <c r="N32" s="6"/>
    </row>
    <row r="33" spans="1:14">
      <c r="A33" s="6"/>
      <c r="B33" s="6"/>
      <c r="C33" s="6"/>
      <c r="D33" s="6"/>
      <c r="E33" s="6"/>
      <c r="F33" s="6"/>
      <c r="G33" s="6"/>
      <c r="H33" s="6"/>
      <c r="I33" s="6"/>
      <c r="J33" s="6"/>
      <c r="K33" s="6"/>
      <c r="L33" s="6"/>
      <c r="M33" s="6"/>
      <c r="N33" s="6"/>
    </row>
    <row r="34" spans="1:14">
      <c r="A34" s="6"/>
      <c r="B34" s="6"/>
      <c r="C34" s="6"/>
      <c r="D34" s="6"/>
      <c r="E34" s="6"/>
      <c r="F34" s="6"/>
      <c r="G34" s="6"/>
      <c r="H34" s="6"/>
      <c r="I34" s="6"/>
      <c r="J34" s="6"/>
      <c r="K34" s="6"/>
      <c r="L34" s="6"/>
      <c r="M34" s="6"/>
      <c r="N34" s="6"/>
    </row>
    <row r="35" spans="1:14">
      <c r="A35" s="6"/>
      <c r="B35" s="6"/>
      <c r="C35" s="6"/>
      <c r="D35" s="6"/>
      <c r="E35" s="6"/>
      <c r="F35" s="6"/>
      <c r="G35" s="6"/>
      <c r="H35" s="6"/>
      <c r="I35" s="6"/>
      <c r="J35" s="6"/>
      <c r="K35" s="6"/>
      <c r="L35" s="6"/>
      <c r="M35" s="6"/>
      <c r="N35" s="6"/>
    </row>
    <row r="36" spans="1:14">
      <c r="A36" s="6"/>
      <c r="B36" s="6"/>
      <c r="C36" s="6"/>
      <c r="D36" s="6"/>
      <c r="E36" s="6"/>
      <c r="F36" s="6"/>
      <c r="G36" s="6"/>
      <c r="H36" s="6"/>
      <c r="I36" s="6"/>
      <c r="J36" s="6"/>
      <c r="K36" s="6"/>
      <c r="L36" s="6"/>
      <c r="M36" s="6"/>
      <c r="N36" s="6"/>
    </row>
    <row r="37" spans="1:14">
      <c r="A37" s="6"/>
      <c r="B37" s="6"/>
      <c r="C37" s="6"/>
      <c r="D37" s="6"/>
      <c r="E37" s="6"/>
      <c r="F37" s="6"/>
      <c r="G37" s="6"/>
      <c r="H37" s="6"/>
      <c r="I37" s="6"/>
      <c r="J37" s="6"/>
      <c r="K37" s="6"/>
      <c r="L37" s="6"/>
      <c r="M37" s="6"/>
      <c r="N37" s="6"/>
    </row>
    <row r="38" spans="1:14">
      <c r="A38" s="6"/>
      <c r="B38" s="6"/>
      <c r="C38" s="6"/>
      <c r="D38" s="6"/>
      <c r="E38" s="6"/>
      <c r="F38" s="6"/>
      <c r="G38" s="6"/>
      <c r="H38" s="6"/>
      <c r="I38" s="6"/>
      <c r="J38" s="6"/>
      <c r="K38" s="6"/>
      <c r="L38" s="6"/>
      <c r="M38" s="6"/>
      <c r="N38" s="6"/>
    </row>
    <row r="39" spans="1:14">
      <c r="A39" s="6"/>
      <c r="B39" s="6"/>
      <c r="C39" s="6"/>
      <c r="D39" s="6"/>
      <c r="E39" s="6"/>
      <c r="F39" s="6"/>
      <c r="G39" s="6"/>
      <c r="H39" s="6"/>
      <c r="I39" s="6"/>
      <c r="J39" s="6"/>
      <c r="K39" s="6"/>
      <c r="L39" s="6"/>
      <c r="M39" s="6"/>
      <c r="N39" s="6"/>
    </row>
    <row r="40" spans="1:14">
      <c r="A40" s="6"/>
      <c r="B40" s="6"/>
      <c r="C40" s="6"/>
      <c r="D40" s="6"/>
      <c r="E40" s="6"/>
      <c r="F40" s="6"/>
      <c r="G40" s="6"/>
      <c r="H40" s="6"/>
      <c r="I40" s="6"/>
      <c r="J40" s="6"/>
      <c r="K40" s="6"/>
      <c r="L40" s="6"/>
      <c r="M40" s="6"/>
      <c r="N40" s="6"/>
    </row>
    <row r="41" spans="1:14">
      <c r="A41" s="6"/>
      <c r="B41" s="6"/>
      <c r="C41" s="6"/>
      <c r="D41" s="6"/>
      <c r="E41" s="6"/>
      <c r="F41" s="6"/>
      <c r="G41" s="6"/>
      <c r="H41" s="6"/>
      <c r="I41" s="6"/>
      <c r="J41" s="6"/>
      <c r="K41" s="6"/>
      <c r="L41" s="6"/>
      <c r="M41" s="6"/>
      <c r="N41" s="6"/>
    </row>
    <row r="42" spans="1:14">
      <c r="A42" s="6"/>
      <c r="B42" s="6"/>
      <c r="C42" s="6"/>
      <c r="D42" s="6"/>
      <c r="E42" s="6"/>
      <c r="F42" s="6"/>
      <c r="G42" s="6"/>
      <c r="H42" s="6"/>
      <c r="I42" s="6"/>
      <c r="J42" s="6"/>
      <c r="K42" s="6"/>
      <c r="L42" s="6"/>
      <c r="M42" s="6"/>
      <c r="N42" s="6"/>
    </row>
    <row r="43" spans="1:14">
      <c r="A43" s="6"/>
      <c r="B43" s="6"/>
      <c r="C43" s="6"/>
      <c r="D43" s="6"/>
      <c r="E43" s="6"/>
      <c r="F43" s="6"/>
      <c r="G43" s="6"/>
      <c r="H43" s="6"/>
      <c r="I43" s="6"/>
      <c r="J43" s="6"/>
      <c r="K43" s="6"/>
      <c r="L43" s="6"/>
      <c r="M43" s="6"/>
      <c r="N43" s="6"/>
    </row>
    <row r="44" spans="1:14">
      <c r="A44" s="6"/>
      <c r="B44" s="6"/>
      <c r="C44" s="6"/>
      <c r="D44" s="6"/>
      <c r="E44" s="6"/>
      <c r="F44" s="6"/>
      <c r="G44" s="6"/>
      <c r="H44" s="6"/>
      <c r="I44" s="6"/>
      <c r="J44" s="6"/>
      <c r="K44" s="6"/>
      <c r="L44" s="6"/>
      <c r="M44" s="6"/>
      <c r="N44" s="6"/>
    </row>
    <row r="45" spans="1:14">
      <c r="A45" s="6"/>
      <c r="B45" s="6"/>
      <c r="C45" s="6"/>
      <c r="D45" s="6"/>
      <c r="E45" s="6"/>
      <c r="F45" s="6"/>
      <c r="G45" s="6"/>
      <c r="H45" s="6"/>
      <c r="I45" s="6"/>
      <c r="J45" s="6"/>
      <c r="K45" s="6"/>
      <c r="L45" s="6"/>
      <c r="M45" s="6"/>
      <c r="N45" s="6"/>
    </row>
    <row r="46" spans="1:14">
      <c r="A46" s="6"/>
      <c r="B46" s="6"/>
      <c r="C46" s="6"/>
      <c r="D46" s="6"/>
      <c r="E46" s="6"/>
      <c r="F46" s="6"/>
      <c r="G46" s="6"/>
      <c r="H46" s="6"/>
      <c r="I46" s="6"/>
      <c r="J46" s="6"/>
      <c r="K46" s="6"/>
      <c r="L46" s="6"/>
      <c r="M46" s="6"/>
      <c r="N46" s="6"/>
    </row>
    <row r="47" spans="1:14">
      <c r="A47" s="6"/>
      <c r="B47" s="6"/>
      <c r="C47" s="6"/>
      <c r="D47" s="6"/>
      <c r="E47" s="6"/>
      <c r="F47" s="6"/>
      <c r="G47" s="6"/>
      <c r="H47" s="6"/>
      <c r="I47" s="6"/>
      <c r="J47" s="6"/>
      <c r="K47" s="6"/>
      <c r="L47" s="6"/>
      <c r="M47" s="6"/>
      <c r="N47" s="6"/>
    </row>
    <row r="48" spans="1:14">
      <c r="A48" s="6"/>
      <c r="B48" s="6"/>
      <c r="C48" s="6"/>
      <c r="D48" s="6"/>
      <c r="E48" s="6"/>
      <c r="F48" s="6"/>
      <c r="G48" s="6"/>
      <c r="H48" s="6"/>
      <c r="I48" s="6"/>
      <c r="J48" s="6"/>
      <c r="K48" s="6"/>
      <c r="L48" s="6"/>
      <c r="M48" s="6"/>
      <c r="N48" s="6"/>
    </row>
    <row r="49" spans="1:14">
      <c r="A49" s="6"/>
      <c r="B49" s="6"/>
      <c r="C49" s="6"/>
      <c r="D49" s="6"/>
      <c r="E49" s="6"/>
      <c r="F49" s="6"/>
      <c r="G49" s="6"/>
      <c r="H49" s="6"/>
      <c r="I49" s="6"/>
      <c r="J49" s="6"/>
      <c r="K49" s="6"/>
      <c r="L49" s="6"/>
      <c r="M49" s="6"/>
      <c r="N49" s="6"/>
    </row>
    <row r="50" spans="1:14">
      <c r="A50" s="6"/>
      <c r="B50" s="6"/>
      <c r="C50" s="6"/>
      <c r="D50" s="6"/>
      <c r="E50" s="6"/>
      <c r="F50" s="6"/>
      <c r="G50" s="6"/>
      <c r="H50" s="6"/>
      <c r="I50" s="6"/>
      <c r="J50" s="6"/>
      <c r="K50" s="6"/>
      <c r="L50" s="6"/>
      <c r="M50" s="6"/>
      <c r="N50" s="6"/>
    </row>
    <row r="51" spans="1:14">
      <c r="A51" s="6"/>
      <c r="B51" s="6"/>
      <c r="C51" s="6"/>
      <c r="D51" s="6"/>
      <c r="E51" s="6"/>
      <c r="F51" s="6"/>
      <c r="G51" s="6"/>
      <c r="H51" s="6"/>
      <c r="I51" s="6"/>
      <c r="J51" s="6"/>
      <c r="K51" s="6"/>
      <c r="L51" s="6"/>
      <c r="M51" s="6"/>
      <c r="N51" s="6"/>
    </row>
    <row r="52" spans="1:14">
      <c r="A52" s="6"/>
      <c r="B52" s="6"/>
      <c r="C52" s="6"/>
      <c r="D52" s="6"/>
      <c r="E52" s="6"/>
      <c r="F52" s="6"/>
      <c r="G52" s="6"/>
      <c r="H52" s="6"/>
      <c r="I52" s="6"/>
      <c r="J52" s="6"/>
      <c r="K52" s="6"/>
      <c r="L52" s="6"/>
      <c r="M52" s="6"/>
      <c r="N52" s="6"/>
    </row>
    <row r="53" spans="1:14">
      <c r="A53" s="6"/>
      <c r="B53" s="6"/>
      <c r="C53" s="6"/>
      <c r="D53" s="6"/>
      <c r="E53" s="6"/>
      <c r="F53" s="6"/>
      <c r="G53" s="6"/>
      <c r="H53" s="6"/>
      <c r="I53" s="6"/>
      <c r="J53" s="6"/>
      <c r="K53" s="6"/>
      <c r="L53" s="6"/>
      <c r="M53" s="6"/>
      <c r="N53" s="6"/>
    </row>
    <row r="54" spans="1:14">
      <c r="A54" s="6"/>
      <c r="B54" s="6"/>
      <c r="C54" s="6"/>
      <c r="D54" s="6"/>
      <c r="E54" s="6"/>
      <c r="F54" s="6"/>
      <c r="G54" s="6"/>
      <c r="H54" s="6"/>
      <c r="I54" s="6"/>
      <c r="J54" s="6"/>
      <c r="K54" s="6"/>
      <c r="L54" s="6"/>
      <c r="M54" s="6"/>
      <c r="N54" s="6"/>
    </row>
    <row r="55" spans="1:14">
      <c r="A55" s="6"/>
      <c r="B55" s="6"/>
      <c r="C55" s="6"/>
      <c r="D55" s="6"/>
      <c r="E55" s="6"/>
      <c r="F55" s="6"/>
      <c r="G55" s="6"/>
      <c r="H55" s="6"/>
      <c r="I55" s="6"/>
      <c r="J55" s="6"/>
      <c r="K55" s="6"/>
      <c r="L55" s="6"/>
      <c r="M55" s="6"/>
      <c r="N55" s="6"/>
    </row>
    <row r="56" spans="1:14">
      <c r="A56" s="6"/>
      <c r="B56" s="6"/>
      <c r="C56" s="6"/>
      <c r="D56" s="6"/>
      <c r="E56" s="6"/>
      <c r="F56" s="6"/>
      <c r="G56" s="6"/>
      <c r="H56" s="6"/>
      <c r="I56" s="6"/>
      <c r="J56" s="6"/>
      <c r="K56" s="6"/>
      <c r="L56" s="6"/>
      <c r="M56" s="6"/>
      <c r="N56" s="6"/>
    </row>
    <row r="57" spans="1:14">
      <c r="A57" s="6"/>
      <c r="B57" s="6"/>
      <c r="C57" s="6"/>
      <c r="D57" s="6"/>
      <c r="E57" s="6"/>
      <c r="F57" s="6"/>
      <c r="G57" s="6"/>
      <c r="H57" s="6"/>
      <c r="I57" s="6"/>
      <c r="J57" s="6"/>
      <c r="K57" s="6"/>
      <c r="L57" s="6"/>
      <c r="M57" s="6"/>
      <c r="N57" s="6"/>
    </row>
    <row r="58" spans="1:14">
      <c r="A58" s="6"/>
      <c r="B58" s="6"/>
      <c r="C58" s="6"/>
      <c r="D58" s="6"/>
      <c r="E58" s="6"/>
      <c r="F58" s="6"/>
      <c r="G58" s="6"/>
      <c r="H58" s="6"/>
      <c r="I58" s="6"/>
      <c r="J58" s="6"/>
      <c r="K58" s="6"/>
      <c r="L58" s="6"/>
      <c r="M58" s="6"/>
      <c r="N58" s="6"/>
    </row>
    <row r="59" spans="1:14">
      <c r="A59" s="6"/>
      <c r="B59" s="6"/>
      <c r="C59" s="6"/>
      <c r="D59" s="6"/>
      <c r="E59" s="6"/>
      <c r="F59" s="6"/>
      <c r="G59" s="6"/>
      <c r="H59" s="6"/>
      <c r="I59" s="6"/>
      <c r="J59" s="6"/>
      <c r="K59" s="6"/>
      <c r="L59" s="6"/>
      <c r="M59" s="6"/>
      <c r="N59" s="6"/>
    </row>
    <row r="60" spans="1:14">
      <c r="A60" s="6"/>
      <c r="B60" s="6"/>
      <c r="C60" s="6"/>
      <c r="D60" s="6"/>
      <c r="E60" s="6"/>
      <c r="F60" s="6"/>
      <c r="G60" s="6"/>
      <c r="H60" s="6"/>
      <c r="I60" s="6"/>
      <c r="J60" s="6"/>
      <c r="K60" s="6"/>
      <c r="L60" s="6"/>
      <c r="M60" s="6"/>
      <c r="N60" s="6"/>
    </row>
    <row r="61" spans="1:14">
      <c r="A61" s="6"/>
      <c r="B61" s="6"/>
      <c r="C61" s="6"/>
      <c r="D61" s="6"/>
      <c r="E61" s="6"/>
      <c r="F61" s="6"/>
      <c r="G61" s="6"/>
      <c r="H61" s="6"/>
      <c r="I61" s="6"/>
      <c r="J61" s="6"/>
      <c r="K61" s="6"/>
      <c r="L61" s="6"/>
      <c r="M61" s="6"/>
      <c r="N61" s="6"/>
    </row>
    <row r="62" spans="1:14">
      <c r="A62" s="6"/>
      <c r="B62" s="6"/>
      <c r="C62" s="6"/>
      <c r="D62" s="6"/>
      <c r="E62" s="6"/>
      <c r="F62" s="6"/>
      <c r="G62" s="6"/>
      <c r="H62" s="6"/>
      <c r="I62" s="6"/>
      <c r="J62" s="6"/>
      <c r="K62" s="6"/>
      <c r="L62" s="6"/>
      <c r="M62" s="6"/>
      <c r="N62" s="6"/>
    </row>
    <row r="63" spans="1:14">
      <c r="A63" s="6"/>
      <c r="B63" s="6"/>
      <c r="C63" s="6"/>
      <c r="D63" s="6"/>
      <c r="E63" s="6"/>
      <c r="F63" s="6"/>
      <c r="G63" s="6"/>
      <c r="H63" s="6"/>
      <c r="I63" s="6"/>
      <c r="J63" s="6"/>
      <c r="K63" s="6"/>
      <c r="L63" s="6"/>
      <c r="M63" s="6"/>
      <c r="N63" s="6"/>
    </row>
    <row r="64" spans="1:14">
      <c r="A64" s="6"/>
      <c r="B64" s="6"/>
      <c r="C64" s="6"/>
      <c r="D64" s="6"/>
      <c r="E64" s="6"/>
      <c r="F64" s="6"/>
      <c r="G64" s="6"/>
      <c r="H64" s="6"/>
      <c r="I64" s="6"/>
      <c r="J64" s="6"/>
      <c r="K64" s="6"/>
      <c r="L64" s="6"/>
      <c r="M64" s="6"/>
      <c r="N64" s="6"/>
    </row>
    <row r="65" spans="1:14">
      <c r="A65" s="6"/>
      <c r="B65" s="6"/>
      <c r="C65" s="6"/>
      <c r="D65" s="6"/>
      <c r="E65" s="6"/>
      <c r="F65" s="6"/>
      <c r="G65" s="6"/>
      <c r="H65" s="6"/>
      <c r="I65" s="6"/>
      <c r="J65" s="6"/>
      <c r="K65" s="6"/>
      <c r="L65" s="6"/>
      <c r="M65" s="6"/>
      <c r="N65" s="6"/>
    </row>
    <row r="66" spans="1:14">
      <c r="A66" s="6"/>
      <c r="B66" s="6"/>
      <c r="C66" s="6"/>
      <c r="D66" s="6"/>
      <c r="E66" s="6"/>
      <c r="F66" s="6"/>
      <c r="G66" s="6"/>
      <c r="H66" s="6"/>
      <c r="I66" s="6"/>
      <c r="J66" s="6"/>
      <c r="K66" s="6"/>
      <c r="L66" s="6"/>
      <c r="M66" s="6"/>
      <c r="N66" s="6"/>
    </row>
    <row r="67" spans="1:14">
      <c r="A67" s="6"/>
      <c r="B67" s="6"/>
      <c r="C67" s="6"/>
      <c r="D67" s="6"/>
      <c r="E67" s="6"/>
      <c r="F67" s="6"/>
      <c r="G67" s="6"/>
      <c r="H67" s="6"/>
      <c r="I67" s="6"/>
      <c r="J67" s="6"/>
      <c r="K67" s="6"/>
      <c r="L67" s="6"/>
      <c r="M67" s="6"/>
      <c r="N67" s="6"/>
    </row>
    <row r="68" spans="1:14">
      <c r="A68" s="6"/>
      <c r="B68" s="6"/>
      <c r="C68" s="6"/>
      <c r="D68" s="6"/>
      <c r="E68" s="6"/>
      <c r="F68" s="6"/>
      <c r="G68" s="6"/>
      <c r="H68" s="6"/>
      <c r="I68" s="6"/>
      <c r="J68" s="6"/>
      <c r="K68" s="6"/>
      <c r="L68" s="6"/>
      <c r="M68" s="6"/>
      <c r="N68" s="6"/>
    </row>
    <row r="69" spans="1:14">
      <c r="A69" s="6"/>
      <c r="B69" s="6"/>
      <c r="C69" s="6"/>
      <c r="D69" s="6"/>
      <c r="E69" s="6"/>
      <c r="F69" s="6"/>
      <c r="G69" s="6"/>
      <c r="H69" s="6"/>
      <c r="I69" s="6"/>
      <c r="J69" s="6"/>
      <c r="K69" s="6"/>
      <c r="L69" s="6"/>
      <c r="M69" s="6"/>
      <c r="N69" s="6"/>
    </row>
    <row r="70" spans="1:14">
      <c r="A70" s="6"/>
      <c r="B70" s="6"/>
      <c r="C70" s="6"/>
      <c r="D70" s="6"/>
      <c r="E70" s="6"/>
      <c r="F70" s="6"/>
      <c r="G70" s="6"/>
      <c r="H70" s="6"/>
      <c r="I70" s="6"/>
      <c r="J70" s="6"/>
      <c r="K70" s="6"/>
      <c r="L70" s="6"/>
      <c r="M70" s="6"/>
      <c r="N70" s="6"/>
    </row>
    <row r="71" spans="1:14">
      <c r="A71" s="6"/>
      <c r="B71" s="6"/>
      <c r="C71" s="6"/>
      <c r="D71" s="6"/>
      <c r="E71" s="6"/>
      <c r="F71" s="6"/>
      <c r="G71" s="6"/>
      <c r="H71" s="6"/>
      <c r="I71" s="6"/>
      <c r="J71" s="6"/>
      <c r="K71" s="6"/>
      <c r="L71" s="6"/>
      <c r="M71" s="6"/>
      <c r="N71" s="6"/>
    </row>
    <row r="72" spans="1:14">
      <c r="A72" s="6"/>
      <c r="B72" s="6"/>
      <c r="C72" s="6"/>
      <c r="D72" s="6"/>
      <c r="E72" s="6"/>
      <c r="F72" s="6"/>
      <c r="G72" s="6"/>
      <c r="H72" s="6"/>
      <c r="I72" s="6"/>
      <c r="J72" s="6"/>
      <c r="K72" s="6"/>
      <c r="L72" s="6"/>
      <c r="M72" s="6"/>
      <c r="N72" s="6"/>
    </row>
    <row r="73" spans="1:14">
      <c r="A73" s="6"/>
      <c r="B73" s="6"/>
      <c r="C73" s="6"/>
      <c r="D73" s="6"/>
      <c r="E73" s="6"/>
      <c r="F73" s="6"/>
      <c r="G73" s="6"/>
      <c r="H73" s="6"/>
      <c r="I73" s="6"/>
      <c r="J73" s="6"/>
      <c r="K73" s="6"/>
      <c r="L73" s="6"/>
      <c r="M73" s="6"/>
      <c r="N73" s="6"/>
    </row>
    <row r="74" spans="1:14">
      <c r="A74" s="6"/>
      <c r="B74" s="6"/>
      <c r="C74" s="6"/>
      <c r="D74" s="6"/>
      <c r="E74" s="6"/>
      <c r="F74" s="6"/>
      <c r="G74" s="6"/>
      <c r="H74" s="6"/>
      <c r="I74" s="6"/>
      <c r="J74" s="6"/>
      <c r="K74" s="6"/>
      <c r="L74" s="6"/>
      <c r="M74" s="6"/>
      <c r="N74" s="6"/>
    </row>
    <row r="75" spans="1:14">
      <c r="A75" s="6"/>
      <c r="B75" s="6"/>
      <c r="C75" s="6"/>
      <c r="D75" s="6"/>
      <c r="E75" s="6"/>
      <c r="F75" s="6"/>
      <c r="G75" s="6"/>
      <c r="H75" s="6"/>
      <c r="I75" s="6"/>
      <c r="J75" s="6"/>
      <c r="K75" s="6"/>
      <c r="L75" s="6"/>
      <c r="M75" s="6"/>
      <c r="N75" s="6"/>
    </row>
    <row r="76" spans="1:14">
      <c r="A76" s="6"/>
      <c r="B76" s="6"/>
      <c r="C76" s="6"/>
      <c r="D76" s="6"/>
      <c r="E76" s="6"/>
      <c r="F76" s="6"/>
      <c r="G76" s="6"/>
      <c r="H76" s="6"/>
      <c r="I76" s="6"/>
      <c r="J76" s="6"/>
      <c r="K76" s="6"/>
      <c r="L76" s="6"/>
      <c r="M76" s="6"/>
      <c r="N76" s="6"/>
    </row>
    <row r="77" spans="1:14">
      <c r="A77" s="6"/>
      <c r="B77" s="6"/>
      <c r="C77" s="6"/>
      <c r="D77" s="6"/>
      <c r="E77" s="6"/>
      <c r="F77" s="6"/>
      <c r="G77" s="6"/>
      <c r="H77" s="6"/>
      <c r="I77" s="6"/>
      <c r="J77" s="6"/>
      <c r="K77" s="6"/>
      <c r="L77" s="6"/>
      <c r="M77" s="6"/>
      <c r="N77" s="6"/>
    </row>
    <row r="78" spans="1:14">
      <c r="A78" s="6"/>
      <c r="B78" s="6"/>
      <c r="C78" s="6"/>
      <c r="D78" s="6"/>
      <c r="E78" s="6"/>
      <c r="F78" s="6"/>
      <c r="G78" s="6"/>
      <c r="H78" s="6"/>
      <c r="I78" s="6"/>
      <c r="J78" s="6"/>
      <c r="K78" s="6"/>
      <c r="L78" s="6"/>
      <c r="M78" s="6"/>
      <c r="N78" s="6"/>
    </row>
    <row r="79" spans="1:14">
      <c r="A79" s="6"/>
      <c r="B79" s="6"/>
      <c r="C79" s="6"/>
      <c r="D79" s="6"/>
      <c r="E79" s="6"/>
      <c r="F79" s="6"/>
      <c r="G79" s="6"/>
      <c r="H79" s="6"/>
      <c r="I79" s="6"/>
      <c r="J79" s="6"/>
      <c r="K79" s="6"/>
      <c r="L79" s="6"/>
      <c r="M79" s="6"/>
      <c r="N79" s="6"/>
    </row>
    <row r="80" spans="1:14">
      <c r="A80" s="6"/>
      <c r="B80" s="6"/>
      <c r="C80" s="6"/>
      <c r="D80" s="6"/>
      <c r="E80" s="6"/>
      <c r="F80" s="6"/>
      <c r="G80" s="6"/>
      <c r="H80" s="6"/>
      <c r="I80" s="6"/>
      <c r="J80" s="6"/>
      <c r="K80" s="6"/>
      <c r="L80" s="6"/>
      <c r="M80" s="6"/>
      <c r="N80" s="6"/>
    </row>
    <row r="81" spans="1:14">
      <c r="A81" s="6"/>
      <c r="B81" s="6"/>
      <c r="C81" s="6"/>
      <c r="D81" s="6"/>
      <c r="E81" s="6"/>
      <c r="F81" s="6"/>
      <c r="G81" s="6"/>
      <c r="H81" s="6"/>
      <c r="I81" s="6"/>
      <c r="J81" s="6"/>
      <c r="K81" s="6"/>
      <c r="L81" s="6"/>
      <c r="M81" s="6"/>
      <c r="N81" s="6"/>
    </row>
  </sheetData>
  <sheetProtection algorithmName="SHA-512" hashValue="zeMkOPlh1aLkfl6pyrujhQ3LcI/hjTj2iq0D+d05x4b5h/2FSDaZozpg13bd7EUFbjO+R/oNYvv7FjiLr0d4CQ==" saltValue="nZfEUAAwDknc2D+ltfmlrg==" spinCount="100000" sheet="1" objects="1" scenarios="1"/>
  <pageMargins left="0.35" right="0.25" top="0.32" bottom="0.5" header="0.32" footer="0.3"/>
  <pageSetup orientation="portrait" r:id="rId1"/>
  <headerFooter alignWithMargins="0">
    <oddFooter>&amp;L&amp;7&amp;D  at &amp;T Mike 702.486.8879&amp;C&amp;7Page &amp;P of &amp;N&amp;R&amp;7&amp;F  &amp;A</oddFooter>
  </headerFooter>
  <colBreaks count="1" manualBreakCount="1">
    <brk id="12" max="43"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EDEFC-9DA9-41D9-942D-EEC6CFBD05C9}">
  <sheetPr codeName="Sheet21">
    <tabColor theme="0" tint="-0.34998626667073579"/>
  </sheetPr>
  <dimension ref="A1:I39"/>
  <sheetViews>
    <sheetView zoomScale="56" zoomScaleNormal="145" workbookViewId="0">
      <selection activeCell="G11" sqref="G11"/>
    </sheetView>
  </sheetViews>
  <sheetFormatPr defaultRowHeight="14.4"/>
  <cols>
    <col min="1" max="1" width="27.6640625" customWidth="1"/>
    <col min="2" max="2" width="13.5546875" customWidth="1"/>
    <col min="3" max="3" width="11.5546875" bestFit="1" customWidth="1"/>
    <col min="4" max="9" width="14.44140625" bestFit="1" customWidth="1"/>
  </cols>
  <sheetData>
    <row r="1" spans="1:9" ht="15.6">
      <c r="A1" s="20" t="s">
        <v>1134</v>
      </c>
      <c r="I1" s="346" t="s">
        <v>1</v>
      </c>
    </row>
    <row r="2" spans="1:9" ht="15.6">
      <c r="A2" s="1311" t="str">
        <f>SchoolName</f>
        <v>Pahrump Valley Academy</v>
      </c>
    </row>
    <row r="3" spans="1:9">
      <c r="A3" s="316" t="s">
        <v>0</v>
      </c>
    </row>
    <row r="4" spans="1:9">
      <c r="A4" s="317" t="str">
        <f ca="1">CELL("filename")</f>
        <v>https://csmci.sharepoint.com/sites/csmc-nevada/Shared Documents/General/CSMC/Potential Clients/Pahrump Valley Academy/Revision/[Attachment 24_Financial-Plan-Workbook Pahrump Valley Academy -Draft (3).xlsx]CF Y1 Mo</v>
      </c>
    </row>
    <row r="5" spans="1:9">
      <c r="A5" s="32"/>
      <c r="B5" s="32"/>
      <c r="C5" s="31"/>
      <c r="D5" s="30"/>
      <c r="E5" s="32"/>
      <c r="F5" s="32"/>
      <c r="G5" s="32"/>
      <c r="H5" s="32"/>
      <c r="I5" s="32"/>
    </row>
    <row r="6" spans="1:9">
      <c r="A6" s="32"/>
      <c r="B6" s="32"/>
      <c r="C6" s="623">
        <f>' Enrol &amp; Rev'!F9</f>
        <v>0</v>
      </c>
      <c r="D6" s="652">
        <f>' Enrol &amp; Rev'!G9</f>
        <v>1</v>
      </c>
      <c r="E6" s="652">
        <f>' Enrol &amp; Rev'!H9</f>
        <v>2</v>
      </c>
      <c r="F6" s="652">
        <f>' Enrol &amp; Rev'!I9</f>
        <v>3</v>
      </c>
      <c r="G6" s="652">
        <f>' Enrol &amp; Rev'!J9</f>
        <v>4</v>
      </c>
      <c r="H6" s="652">
        <f>' Enrol &amp; Rev'!K9</f>
        <v>5</v>
      </c>
      <c r="I6" s="653">
        <f>' Enrol &amp; Rev'!L9</f>
        <v>6</v>
      </c>
    </row>
    <row r="7" spans="1:9" ht="15.6">
      <c r="A7" s="32"/>
      <c r="B7" s="32"/>
      <c r="C7" s="654">
        <f>' Enrol &amp; Rev'!F10</f>
        <v>2025</v>
      </c>
      <c r="D7" s="643">
        <f>' Enrol &amp; Rev'!G10</f>
        <v>2026</v>
      </c>
      <c r="E7" s="644">
        <f>' Enrol &amp; Rev'!H10</f>
        <v>2027</v>
      </c>
      <c r="F7" s="644">
        <f>' Enrol &amp; Rev'!I10</f>
        <v>2028</v>
      </c>
      <c r="G7" s="644">
        <f>' Enrol &amp; Rev'!J10</f>
        <v>2029</v>
      </c>
      <c r="H7" s="644">
        <f>' Enrol &amp; Rev'!K10</f>
        <v>2030</v>
      </c>
      <c r="I7" s="645">
        <f>' Enrol &amp; Rev'!L10</f>
        <v>2031</v>
      </c>
    </row>
    <row r="8" spans="1:9" ht="15.6">
      <c r="A8" s="979"/>
      <c r="B8" s="980" t="s">
        <v>244</v>
      </c>
      <c r="C8" s="655">
        <f>' Enrol &amp; Rev'!F11</f>
        <v>2026</v>
      </c>
      <c r="D8" s="640">
        <f>' Enrol &amp; Rev'!G11</f>
        <v>2027</v>
      </c>
      <c r="E8" s="641">
        <f>' Enrol &amp; Rev'!H11</f>
        <v>2028</v>
      </c>
      <c r="F8" s="641">
        <f>' Enrol &amp; Rev'!I11</f>
        <v>2029</v>
      </c>
      <c r="G8" s="641">
        <f>' Enrol &amp; Rev'!J11</f>
        <v>2030</v>
      </c>
      <c r="H8" s="641">
        <f>' Enrol &amp; Rev'!K11</f>
        <v>2031</v>
      </c>
      <c r="I8" s="642">
        <f>' Enrol &amp; Rev'!L11</f>
        <v>2032</v>
      </c>
    </row>
    <row r="9" spans="1:9">
      <c r="A9" t="s">
        <v>735</v>
      </c>
      <c r="B9" s="4">
        <f>SUM(C9:I9)</f>
        <v>2375</v>
      </c>
      <c r="C9" s="4" t="s">
        <v>1135</v>
      </c>
      <c r="D9" s="4">
        <f>' Enrol &amp; Rev'!G36</f>
        <v>275</v>
      </c>
      <c r="E9" s="4">
        <f>' Enrol &amp; Rev'!H36</f>
        <v>350</v>
      </c>
      <c r="F9" s="4">
        <f>' Enrol &amp; Rev'!I36</f>
        <v>400</v>
      </c>
      <c r="G9" s="4">
        <f>' Enrol &amp; Rev'!J36</f>
        <v>450</v>
      </c>
      <c r="H9" s="4">
        <f>' Enrol &amp; Rev'!K36</f>
        <v>450</v>
      </c>
      <c r="I9" s="4">
        <f>' Enrol &amp; Rev'!L36</f>
        <v>450</v>
      </c>
    </row>
    <row r="10" spans="1:9">
      <c r="A10" t="s">
        <v>440</v>
      </c>
      <c r="B10" s="423">
        <f>SUM(C10:I10)</f>
        <v>30850600.329303101</v>
      </c>
      <c r="C10" s="423">
        <f>' Enrol &amp; Rev'!F145</f>
        <v>0</v>
      </c>
      <c r="D10" s="423">
        <f>' Enrol &amp; Rev'!G145</f>
        <v>3377599.6375000002</v>
      </c>
      <c r="E10" s="423">
        <f>' Enrol &amp; Rev'!H145</f>
        <v>4550328.4095433</v>
      </c>
      <c r="F10" s="423">
        <f>' Enrol &amp; Rev'!I145</f>
        <v>5222587.0439642007</v>
      </c>
      <c r="G10" s="423">
        <f>' Enrol &amp; Rev'!J145</f>
        <v>5879297.4752447996</v>
      </c>
      <c r="H10" s="423">
        <f>' Enrol &amp; Rev'!K145</f>
        <v>5910393.8815254001</v>
      </c>
      <c r="I10" s="423">
        <f>' Enrol &amp; Rev'!L145</f>
        <v>5910393.8815254001</v>
      </c>
    </row>
    <row r="11" spans="1:9">
      <c r="A11" t="s">
        <v>736</v>
      </c>
      <c r="B11" s="424">
        <f>IFERROR(B10/B9,0)</f>
        <v>12989.726454443411</v>
      </c>
      <c r="C11" s="424"/>
      <c r="D11" s="424">
        <f>IFERROR(D10/D9,0)</f>
        <v>12282.1805</v>
      </c>
      <c r="E11" s="424">
        <f t="shared" ref="E11:I11" si="0">IFERROR(E10/E9,0)</f>
        <v>13000.938312980858</v>
      </c>
      <c r="F11" s="424">
        <f t="shared" si="0"/>
        <v>13056.467609910502</v>
      </c>
      <c r="G11" s="424">
        <f t="shared" si="0"/>
        <v>13065.105500543999</v>
      </c>
      <c r="H11" s="424">
        <f t="shared" si="0"/>
        <v>13134.208625612</v>
      </c>
      <c r="I11" s="424">
        <f t="shared" si="0"/>
        <v>13134.208625612</v>
      </c>
    </row>
    <row r="12" spans="1:9">
      <c r="A12" t="s">
        <v>1136</v>
      </c>
      <c r="B12" s="424">
        <f>SUM(C12:I12)</f>
        <v>19649970.848071374</v>
      </c>
      <c r="C12" s="423">
        <f>Staff!G43</f>
        <v>0</v>
      </c>
      <c r="D12" s="423">
        <f>Staff!H43</f>
        <v>2149372.4977356</v>
      </c>
      <c r="E12" s="423">
        <f>Staff!I43</f>
        <v>2885598.6787991999</v>
      </c>
      <c r="F12" s="423">
        <f>Staff!J43</f>
        <v>3253634.8998791999</v>
      </c>
      <c r="G12" s="423">
        <f>Staff!K43</f>
        <v>3782849.21003424</v>
      </c>
      <c r="H12" s="423">
        <f>Staff!L43</f>
        <v>3787093.2966417405</v>
      </c>
      <c r="I12" s="423">
        <f>Staff!M43</f>
        <v>3791422.2649813914</v>
      </c>
    </row>
    <row r="13" spans="1:9">
      <c r="A13" t="s">
        <v>1137</v>
      </c>
      <c r="B13" s="424">
        <f>IFERROR(B12/B9,0)</f>
        <v>8273.6719360300522</v>
      </c>
      <c r="C13" s="424"/>
      <c r="D13" s="424">
        <f>IFERROR(D12/D9,0)</f>
        <v>7815.8999917658184</v>
      </c>
      <c r="E13" s="424">
        <f t="shared" ref="E13:I13" si="1">IFERROR(E12/E9,0)</f>
        <v>8244.5676537119998</v>
      </c>
      <c r="F13" s="424">
        <f t="shared" si="1"/>
        <v>8134.0872496980001</v>
      </c>
      <c r="G13" s="424">
        <f t="shared" si="1"/>
        <v>8406.3315778538672</v>
      </c>
      <c r="H13" s="424">
        <f t="shared" si="1"/>
        <v>8415.7628814260897</v>
      </c>
      <c r="I13" s="424">
        <f t="shared" si="1"/>
        <v>8425.3828110697577</v>
      </c>
    </row>
    <row r="14" spans="1:9">
      <c r="A14" t="s">
        <v>448</v>
      </c>
      <c r="B14" s="424">
        <f>B10-B12</f>
        <v>11200629.481231727</v>
      </c>
      <c r="C14" s="424">
        <f t="shared" ref="C14:I14" si="2">C10-C12</f>
        <v>0</v>
      </c>
      <c r="D14" s="424">
        <f t="shared" si="2"/>
        <v>1228227.1397644002</v>
      </c>
      <c r="E14" s="424">
        <f t="shared" si="2"/>
        <v>1664729.7307441002</v>
      </c>
      <c r="F14" s="424">
        <f t="shared" si="2"/>
        <v>1968952.1440850007</v>
      </c>
      <c r="G14" s="424">
        <f t="shared" si="2"/>
        <v>2096448.2652105596</v>
      </c>
      <c r="H14" s="424">
        <f t="shared" si="2"/>
        <v>2123300.5848836596</v>
      </c>
      <c r="I14" s="424">
        <f t="shared" si="2"/>
        <v>2118971.6165440087</v>
      </c>
    </row>
    <row r="15" spans="1:9" ht="30" customHeight="1">
      <c r="A15" s="309" t="s">
        <v>1138</v>
      </c>
      <c r="B15" s="424">
        <f>IFERROR(B14/B9,0)</f>
        <v>4716.0545184133589</v>
      </c>
      <c r="C15" s="424"/>
      <c r="D15" s="424">
        <f>IFERROR(D14/D9,0)</f>
        <v>4466.2805082341829</v>
      </c>
      <c r="E15" s="424">
        <f t="shared" ref="E15:I15" si="3">IFERROR(E14/E9,0)</f>
        <v>4756.3706592688577</v>
      </c>
      <c r="F15" s="424">
        <f t="shared" si="3"/>
        <v>4922.3803602125017</v>
      </c>
      <c r="G15" s="424">
        <f t="shared" si="3"/>
        <v>4658.7739226901322</v>
      </c>
      <c r="H15" s="424">
        <f t="shared" si="3"/>
        <v>4718.4457441859104</v>
      </c>
      <c r="I15" s="424">
        <f t="shared" si="3"/>
        <v>4708.8258145422415</v>
      </c>
    </row>
    <row r="16" spans="1:9">
      <c r="A16" t="s">
        <v>1139</v>
      </c>
      <c r="B16" s="424">
        <f>SUM(C16:I16)</f>
        <v>3403271.5092225429</v>
      </c>
      <c r="C16" s="423">
        <f>'Gen Optg'!F201</f>
        <v>0</v>
      </c>
      <c r="D16" s="423">
        <f>'Gen Optg'!G201</f>
        <v>392656.52250000002</v>
      </c>
      <c r="E16" s="423">
        <f>'Gen Optg'!H201</f>
        <v>479286.0099</v>
      </c>
      <c r="F16" s="423">
        <f>'Gen Optg'!I201</f>
        <v>552702.59539199993</v>
      </c>
      <c r="G16" s="423">
        <f>'Gen Optg'!J201</f>
        <v>635190.94587492</v>
      </c>
      <c r="H16" s="423">
        <f>'Gen Optg'!K201</f>
        <v>647784.35671209847</v>
      </c>
      <c r="I16" s="423">
        <f>'Gen Optg'!L201</f>
        <v>695651.07884352445</v>
      </c>
    </row>
    <row r="17" spans="1:9">
      <c r="A17" t="s">
        <v>1140</v>
      </c>
      <c r="B17" s="424">
        <f>IFERROR(B16/B9,0)</f>
        <v>1432.9564249358075</v>
      </c>
      <c r="C17" s="424"/>
      <c r="D17" s="424">
        <f>IFERROR(D16/D9,0)</f>
        <v>1427.8419000000001</v>
      </c>
      <c r="E17" s="424">
        <f t="shared" ref="E17:I17" si="4">IFERROR(E16/E9,0)</f>
        <v>1369.3885997142856</v>
      </c>
      <c r="F17" s="424">
        <f t="shared" si="4"/>
        <v>1381.7564884799999</v>
      </c>
      <c r="G17" s="424">
        <f t="shared" si="4"/>
        <v>1411.5354352776001</v>
      </c>
      <c r="H17" s="424">
        <f t="shared" si="4"/>
        <v>1439.520792693552</v>
      </c>
      <c r="I17" s="424">
        <f t="shared" si="4"/>
        <v>1545.8912863189432</v>
      </c>
    </row>
    <row r="18" spans="1:9">
      <c r="A18" t="s">
        <v>609</v>
      </c>
      <c r="B18" s="424">
        <f>B10-B16</f>
        <v>27447328.820080556</v>
      </c>
      <c r="C18" s="424">
        <f t="shared" ref="C18:I18" si="5">C10-C16</f>
        <v>0</v>
      </c>
      <c r="D18" s="424">
        <f t="shared" si="5"/>
        <v>2984943.1150000002</v>
      </c>
      <c r="E18" s="424">
        <f t="shared" si="5"/>
        <v>4071042.3996433001</v>
      </c>
      <c r="F18" s="424">
        <f t="shared" si="5"/>
        <v>4669884.4485722007</v>
      </c>
      <c r="G18" s="424">
        <f t="shared" si="5"/>
        <v>5244106.5293698795</v>
      </c>
      <c r="H18" s="424">
        <f t="shared" si="5"/>
        <v>5262609.5248133019</v>
      </c>
      <c r="I18" s="424">
        <f t="shared" si="5"/>
        <v>5214742.8026818754</v>
      </c>
    </row>
    <row r="19" spans="1:9" ht="31.5" customHeight="1">
      <c r="A19" s="2" t="s">
        <v>610</v>
      </c>
      <c r="B19" s="424">
        <f>IFERROR(B18/B9,0)</f>
        <v>11556.770029507603</v>
      </c>
      <c r="C19" s="424"/>
      <c r="D19" s="424">
        <f>IFERROR(D18/D9,0)</f>
        <v>10854.338600000001</v>
      </c>
      <c r="E19" s="424">
        <f t="shared" ref="E19:I19" si="6">IFERROR(E18/E9,0)</f>
        <v>11631.549713266571</v>
      </c>
      <c r="F19" s="424">
        <f t="shared" si="6"/>
        <v>11674.711121430502</v>
      </c>
      <c r="G19" s="424">
        <f t="shared" si="6"/>
        <v>11653.570065266398</v>
      </c>
      <c r="H19" s="424">
        <f t="shared" si="6"/>
        <v>11694.687832918449</v>
      </c>
      <c r="I19" s="424">
        <f t="shared" si="6"/>
        <v>11588.317339293057</v>
      </c>
    </row>
    <row r="20" spans="1:9">
      <c r="A20" t="s">
        <v>1141</v>
      </c>
      <c r="B20" s="424">
        <f>SUM(C20:I20)</f>
        <v>2897726.60561598</v>
      </c>
      <c r="C20" s="423">
        <f>Facilities!F76</f>
        <v>0</v>
      </c>
      <c r="D20" s="423">
        <f>Facilities!G76</f>
        <v>310612.5</v>
      </c>
      <c r="E20" s="423">
        <f>Facilities!H76</f>
        <v>406381.5</v>
      </c>
      <c r="F20" s="423">
        <f>Facilities!I76</f>
        <v>477432.72</v>
      </c>
      <c r="G20" s="423">
        <f>Facilities!J76</f>
        <v>552150.6912</v>
      </c>
      <c r="H20" s="423">
        <f>Facilities!K76</f>
        <v>567619.24937400001</v>
      </c>
      <c r="I20" s="423">
        <f>Facilities!L76</f>
        <v>583529.94504198013</v>
      </c>
    </row>
    <row r="21" spans="1:9">
      <c r="A21" t="s">
        <v>1142</v>
      </c>
      <c r="B21" s="424">
        <f>IFERROR(B20/B9,0)</f>
        <v>1220.0954128909389</v>
      </c>
      <c r="C21" s="424"/>
      <c r="D21" s="424">
        <f t="shared" ref="D21:I21" si="7">IFERROR(D20/D9,0)</f>
        <v>1129.5</v>
      </c>
      <c r="E21" s="424">
        <f t="shared" si="7"/>
        <v>1161.0899999999999</v>
      </c>
      <c r="F21" s="424">
        <f t="shared" si="7"/>
        <v>1193.5817999999999</v>
      </c>
      <c r="G21" s="424">
        <f t="shared" si="7"/>
        <v>1227.001536</v>
      </c>
      <c r="H21" s="424">
        <f t="shared" si="7"/>
        <v>1261.3761097199999</v>
      </c>
      <c r="I21" s="424">
        <f t="shared" si="7"/>
        <v>1296.7332112044003</v>
      </c>
    </row>
    <row r="22" spans="1:9">
      <c r="A22" t="s">
        <v>1143</v>
      </c>
      <c r="B22" s="424">
        <f>B10-B20</f>
        <v>27952873.72368712</v>
      </c>
      <c r="C22" s="424">
        <f t="shared" ref="C22:I22" si="8">C10-C20</f>
        <v>0</v>
      </c>
      <c r="D22" s="424">
        <f t="shared" si="8"/>
        <v>3066987.1375000002</v>
      </c>
      <c r="E22" s="424">
        <f t="shared" si="8"/>
        <v>4143946.9095433</v>
      </c>
      <c r="F22" s="424">
        <f t="shared" si="8"/>
        <v>4745154.3239642009</v>
      </c>
      <c r="G22" s="424">
        <f t="shared" si="8"/>
        <v>5327146.7840447994</v>
      </c>
      <c r="H22" s="424">
        <f t="shared" si="8"/>
        <v>5342774.6321513997</v>
      </c>
      <c r="I22" s="424">
        <f t="shared" si="8"/>
        <v>5326863.9364834204</v>
      </c>
    </row>
    <row r="23" spans="1:9" ht="30.75" customHeight="1">
      <c r="A23" s="2" t="s">
        <v>1144</v>
      </c>
      <c r="B23" s="424">
        <f>IFERROR(B22/B9,0)</f>
        <v>11769.631041552471</v>
      </c>
      <c r="C23" s="424"/>
      <c r="D23" s="424">
        <f t="shared" ref="D23:I23" si="9">IFERROR(D22/D9,0)</f>
        <v>11152.6805</v>
      </c>
      <c r="E23" s="424">
        <f t="shared" si="9"/>
        <v>11839.848312980857</v>
      </c>
      <c r="F23" s="424">
        <f t="shared" si="9"/>
        <v>11862.885809910502</v>
      </c>
      <c r="G23" s="424">
        <f t="shared" si="9"/>
        <v>11838.103964543998</v>
      </c>
      <c r="H23" s="424">
        <f t="shared" si="9"/>
        <v>11872.832515892</v>
      </c>
      <c r="I23" s="424">
        <f t="shared" si="9"/>
        <v>11837.475414407601</v>
      </c>
    </row>
    <row r="24" spans="1:9">
      <c r="A24" t="s">
        <v>737</v>
      </c>
      <c r="B24" s="424">
        <f>SUM(C24:I24)</f>
        <v>825751.25</v>
      </c>
      <c r="C24" s="423">
        <f>'FFE&amp;T'!F43</f>
        <v>0</v>
      </c>
      <c r="D24" s="423">
        <f>'FFE&amp;T'!G43</f>
        <v>202562.91666666669</v>
      </c>
      <c r="E24" s="423">
        <f>'FFE&amp;T'!H43</f>
        <v>114296.25</v>
      </c>
      <c r="F24" s="423">
        <f>'FFE&amp;T'!I43</f>
        <v>109854.16666666666</v>
      </c>
      <c r="G24" s="423">
        <f>'FFE&amp;T'!J43</f>
        <v>121544.16666666666</v>
      </c>
      <c r="H24" s="423">
        <f>'FFE&amp;T'!K43</f>
        <v>94650</v>
      </c>
      <c r="I24" s="423">
        <f>'FFE&amp;T'!L43</f>
        <v>182843.75</v>
      </c>
    </row>
    <row r="25" spans="1:9">
      <c r="A25" t="s">
        <v>738</v>
      </c>
      <c r="B25" s="424">
        <f>IFERROR(B24/B9,0)</f>
        <v>347.68473684210528</v>
      </c>
      <c r="C25" s="424"/>
      <c r="D25" s="424">
        <f t="shared" ref="D25:I25" si="10">IFERROR(D24/D9,0)</f>
        <v>736.59242424242427</v>
      </c>
      <c r="E25" s="424">
        <f t="shared" si="10"/>
        <v>326.56071428571431</v>
      </c>
      <c r="F25" s="424">
        <f t="shared" si="10"/>
        <v>274.63541666666663</v>
      </c>
      <c r="G25" s="424">
        <f t="shared" si="10"/>
        <v>270.09814814814814</v>
      </c>
      <c r="H25" s="424">
        <f t="shared" si="10"/>
        <v>210.33333333333334</v>
      </c>
      <c r="I25" s="424">
        <f t="shared" si="10"/>
        <v>406.31944444444446</v>
      </c>
    </row>
    <row r="26" spans="1:9">
      <c r="A26" t="s">
        <v>739</v>
      </c>
      <c r="B26" s="424">
        <f>B10-B24</f>
        <v>30024849.079303101</v>
      </c>
      <c r="C26" s="424">
        <f t="shared" ref="C26:I26" si="11">C10-C24</f>
        <v>0</v>
      </c>
      <c r="D26" s="424">
        <f t="shared" si="11"/>
        <v>3175036.7208333337</v>
      </c>
      <c r="E26" s="424">
        <f t="shared" si="11"/>
        <v>4436032.1595433</v>
      </c>
      <c r="F26" s="424">
        <f t="shared" si="11"/>
        <v>5112732.8772975337</v>
      </c>
      <c r="G26" s="424">
        <f t="shared" si="11"/>
        <v>5757753.3085781327</v>
      </c>
      <c r="H26" s="424">
        <f t="shared" si="11"/>
        <v>5815743.8815254001</v>
      </c>
      <c r="I26" s="424">
        <f t="shared" si="11"/>
        <v>5727550.1315254001</v>
      </c>
    </row>
    <row r="27" spans="1:9" ht="30.75" customHeight="1">
      <c r="A27" s="2" t="s">
        <v>740</v>
      </c>
      <c r="B27" s="424">
        <f>IFERROR(B26/B9,0)</f>
        <v>12642.041717601305</v>
      </c>
      <c r="C27" s="424"/>
      <c r="D27" s="424">
        <f t="shared" ref="D27:I27" si="12">IFERROR(D26/D9,0)</f>
        <v>11545.588075757578</v>
      </c>
      <c r="E27" s="424">
        <f t="shared" si="12"/>
        <v>12674.377598695142</v>
      </c>
      <c r="F27" s="424">
        <f t="shared" si="12"/>
        <v>12781.832193243834</v>
      </c>
      <c r="G27" s="424">
        <f t="shared" si="12"/>
        <v>12795.007352395851</v>
      </c>
      <c r="H27" s="424">
        <f t="shared" si="12"/>
        <v>12923.875292278666</v>
      </c>
      <c r="I27" s="424">
        <f t="shared" si="12"/>
        <v>12727.889181167557</v>
      </c>
    </row>
    <row r="28" spans="1:9">
      <c r="A28" t="s">
        <v>1145</v>
      </c>
      <c r="B28" s="424">
        <f>SUM(C28:I28)</f>
        <v>0</v>
      </c>
      <c r="C28" s="423">
        <f>'Gen Optg'!F181</f>
        <v>0</v>
      </c>
      <c r="D28" s="423">
        <f>'Gen Optg'!G181</f>
        <v>0</v>
      </c>
      <c r="E28" s="423">
        <f>'Gen Optg'!H181</f>
        <v>0</v>
      </c>
      <c r="F28" s="423">
        <f>'Gen Optg'!I181</f>
        <v>0</v>
      </c>
      <c r="G28" s="423">
        <f>'Gen Optg'!J181</f>
        <v>0</v>
      </c>
      <c r="H28" s="423">
        <f>'Gen Optg'!K181</f>
        <v>0</v>
      </c>
      <c r="I28" s="423">
        <f>'Gen Optg'!L181</f>
        <v>0</v>
      </c>
    </row>
    <row r="29" spans="1:9">
      <c r="A29" t="s">
        <v>1146</v>
      </c>
      <c r="B29" s="424">
        <f>IFERROR(B28/B9,0)</f>
        <v>0</v>
      </c>
      <c r="C29" s="424"/>
      <c r="D29" s="424">
        <f t="shared" ref="D29:I29" si="13">IFERROR(D28/D9,0)</f>
        <v>0</v>
      </c>
      <c r="E29" s="424">
        <f t="shared" si="13"/>
        <v>0</v>
      </c>
      <c r="F29" s="424">
        <f t="shared" si="13"/>
        <v>0</v>
      </c>
      <c r="G29" s="424">
        <f t="shared" si="13"/>
        <v>0</v>
      </c>
      <c r="H29" s="424">
        <f t="shared" si="13"/>
        <v>0</v>
      </c>
      <c r="I29" s="424">
        <f t="shared" si="13"/>
        <v>0</v>
      </c>
    </row>
    <row r="30" spans="1:9">
      <c r="A30" t="s">
        <v>1147</v>
      </c>
      <c r="B30" s="424">
        <f>SUM(C30:I30)</f>
        <v>133249.24361658</v>
      </c>
      <c r="C30" s="423">
        <f>Ins!F51</f>
        <v>0</v>
      </c>
      <c r="D30" s="423">
        <f>Ins!G51</f>
        <v>20600</v>
      </c>
      <c r="E30" s="423">
        <f>Ins!H51</f>
        <v>21218</v>
      </c>
      <c r="F30" s="423">
        <f>Ins!I51</f>
        <v>21854.54</v>
      </c>
      <c r="G30" s="423">
        <f>Ins!J51</f>
        <v>22510.176199999998</v>
      </c>
      <c r="H30" s="423">
        <f>Ins!K51</f>
        <v>23185.481485999997</v>
      </c>
      <c r="I30" s="423">
        <f>Ins!L51</f>
        <v>23881.04593058</v>
      </c>
    </row>
    <row r="31" spans="1:9">
      <c r="A31" t="s">
        <v>1148</v>
      </c>
      <c r="B31" s="424">
        <f>IFERROR(B30/B9,0)</f>
        <v>56.104944680665263</v>
      </c>
      <c r="C31" s="424"/>
      <c r="D31" s="424">
        <f t="shared" ref="D31:I31" si="14">IFERROR(D30/D9,0)</f>
        <v>74.909090909090907</v>
      </c>
      <c r="E31" s="424">
        <f t="shared" si="14"/>
        <v>60.622857142857143</v>
      </c>
      <c r="F31" s="424">
        <f t="shared" si="14"/>
        <v>54.63635</v>
      </c>
      <c r="G31" s="424">
        <f t="shared" si="14"/>
        <v>50.022613777777771</v>
      </c>
      <c r="H31" s="424">
        <f t="shared" si="14"/>
        <v>51.523292191111103</v>
      </c>
      <c r="I31" s="424">
        <f t="shared" si="14"/>
        <v>53.068990956844445</v>
      </c>
    </row>
    <row r="32" spans="1:9">
      <c r="A32" t="s">
        <v>1149</v>
      </c>
      <c r="B32" s="424">
        <f>SUM(C32:I32)</f>
        <v>30000</v>
      </c>
      <c r="C32" s="423">
        <f>Marketing!H44</f>
        <v>0</v>
      </c>
      <c r="D32" s="423">
        <f>Marketing!I44</f>
        <v>5000</v>
      </c>
      <c r="E32" s="423">
        <f>Marketing!J44</f>
        <v>5000</v>
      </c>
      <c r="F32" s="423">
        <f>Marketing!K44</f>
        <v>5000</v>
      </c>
      <c r="G32" s="423">
        <f>Marketing!L44</f>
        <v>5000</v>
      </c>
      <c r="H32" s="423">
        <f>Marketing!M44</f>
        <v>5000</v>
      </c>
      <c r="I32" s="423">
        <f>Marketing!N44</f>
        <v>5000</v>
      </c>
    </row>
    <row r="33" spans="1:9">
      <c r="A33" t="s">
        <v>1150</v>
      </c>
      <c r="B33" s="424">
        <f>IFERROR(B32/B9,0)</f>
        <v>12.631578947368421</v>
      </c>
      <c r="C33" s="424"/>
      <c r="D33" s="424">
        <f t="shared" ref="D33:I33" si="15">IFERROR(D32/D9,0)</f>
        <v>18.181818181818183</v>
      </c>
      <c r="E33" s="424">
        <f t="shared" si="15"/>
        <v>14.285714285714286</v>
      </c>
      <c r="F33" s="424">
        <f t="shared" si="15"/>
        <v>12.5</v>
      </c>
      <c r="G33" s="424">
        <f t="shared" si="15"/>
        <v>11.111111111111111</v>
      </c>
      <c r="H33" s="424">
        <f t="shared" si="15"/>
        <v>11.111111111111111</v>
      </c>
      <c r="I33" s="424">
        <f t="shared" si="15"/>
        <v>11.111111111111111</v>
      </c>
    </row>
    <row r="34" spans="1:9">
      <c r="A34" t="s">
        <v>1151</v>
      </c>
      <c r="B34" s="424">
        <f>B32+B30+B28</f>
        <v>163249.24361658</v>
      </c>
      <c r="C34" s="424">
        <f t="shared" ref="C34:I34" si="16">C32+C30+C28</f>
        <v>0</v>
      </c>
      <c r="D34" s="424">
        <f t="shared" si="16"/>
        <v>25600</v>
      </c>
      <c r="E34" s="424">
        <f t="shared" si="16"/>
        <v>26218</v>
      </c>
      <c r="F34" s="424">
        <f t="shared" si="16"/>
        <v>26854.54</v>
      </c>
      <c r="G34" s="424">
        <f t="shared" si="16"/>
        <v>27510.176199999998</v>
      </c>
      <c r="H34" s="424">
        <f t="shared" si="16"/>
        <v>28185.481485999997</v>
      </c>
      <c r="I34" s="424">
        <f t="shared" si="16"/>
        <v>28881.04593058</v>
      </c>
    </row>
    <row r="35" spans="1:9">
      <c r="A35" t="s">
        <v>1152</v>
      </c>
      <c r="B35" s="424">
        <f>IFERROR(B34/B9,0)</f>
        <v>68.73652362803368</v>
      </c>
      <c r="C35" s="424"/>
      <c r="D35" s="424">
        <f t="shared" ref="D35:I35" si="17">IFERROR(D34/D9,0)</f>
        <v>93.090909090909093</v>
      </c>
      <c r="E35" s="424">
        <f t="shared" si="17"/>
        <v>74.908571428571435</v>
      </c>
      <c r="F35" s="424">
        <f t="shared" si="17"/>
        <v>67.136350000000007</v>
      </c>
      <c r="G35" s="424">
        <f t="shared" si="17"/>
        <v>61.133724888888885</v>
      </c>
      <c r="H35" s="424">
        <f t="shared" si="17"/>
        <v>62.634403302222218</v>
      </c>
      <c r="I35" s="424">
        <f t="shared" si="17"/>
        <v>64.180102067955559</v>
      </c>
    </row>
    <row r="36" spans="1:9">
      <c r="A36" t="s">
        <v>1153</v>
      </c>
      <c r="B36" s="424">
        <f>B10-B34</f>
        <v>30687351.08568652</v>
      </c>
      <c r="C36" s="424">
        <f t="shared" ref="C36:I36" si="18">C10-C34</f>
        <v>0</v>
      </c>
      <c r="D36" s="424">
        <f t="shared" si="18"/>
        <v>3351999.6375000002</v>
      </c>
      <c r="E36" s="424">
        <f t="shared" si="18"/>
        <v>4524110.4095433</v>
      </c>
      <c r="F36" s="424">
        <f t="shared" si="18"/>
        <v>5195732.5039642006</v>
      </c>
      <c r="G36" s="424">
        <f t="shared" si="18"/>
        <v>5851787.2990448</v>
      </c>
      <c r="H36" s="424">
        <f t="shared" si="18"/>
        <v>5882208.4000394</v>
      </c>
      <c r="I36" s="424">
        <f t="shared" si="18"/>
        <v>5881512.8355948199</v>
      </c>
    </row>
    <row r="37" spans="1:9" ht="30" customHeight="1">
      <c r="A37" s="2" t="s">
        <v>1154</v>
      </c>
      <c r="B37" s="424">
        <f>IFERROR(B36/B9,0)</f>
        <v>12920.989930815376</v>
      </c>
      <c r="C37" s="424"/>
      <c r="D37" s="424">
        <f t="shared" ref="D37:I37" si="19">IFERROR(D36/D9,0)</f>
        <v>12189.089590909092</v>
      </c>
      <c r="E37" s="424">
        <f t="shared" si="19"/>
        <v>12926.029741552285</v>
      </c>
      <c r="F37" s="424">
        <f t="shared" si="19"/>
        <v>12989.331259910501</v>
      </c>
      <c r="G37" s="424">
        <f t="shared" si="19"/>
        <v>13003.971775655111</v>
      </c>
      <c r="H37" s="424">
        <f t="shared" si="19"/>
        <v>13071.574222309777</v>
      </c>
      <c r="I37" s="424">
        <f t="shared" si="19"/>
        <v>13070.028523544044</v>
      </c>
    </row>
    <row r="38" spans="1:9">
      <c r="A38" t="s">
        <v>450</v>
      </c>
      <c r="B38" s="424">
        <f t="shared" ref="B38:I38" si="20">B10-B12-B16-B28-B20-B24-B30-B32</f>
        <v>3910630.8727766238</v>
      </c>
      <c r="C38" s="424">
        <f t="shared" si="20"/>
        <v>0</v>
      </c>
      <c r="D38" s="424">
        <f t="shared" si="20"/>
        <v>296795.20059773355</v>
      </c>
      <c r="E38" s="424">
        <f t="shared" si="20"/>
        <v>638547.97084410023</v>
      </c>
      <c r="F38" s="424">
        <f t="shared" si="20"/>
        <v>802108.12202633417</v>
      </c>
      <c r="G38" s="424">
        <f t="shared" si="20"/>
        <v>760052.28526897286</v>
      </c>
      <c r="H38" s="424">
        <f t="shared" si="20"/>
        <v>785061.49731156114</v>
      </c>
      <c r="I38" s="424">
        <f t="shared" si="20"/>
        <v>628065.79672792414</v>
      </c>
    </row>
    <row r="39" spans="1:9">
      <c r="A39" t="s">
        <v>451</v>
      </c>
      <c r="B39" s="424">
        <f>IFERROR(B38/B9,0)</f>
        <v>1646.5814201164733</v>
      </c>
      <c r="C39" s="424"/>
      <c r="D39" s="424">
        <f t="shared" ref="D39:I39" si="21">IFERROR(D38/D9,0)</f>
        <v>1079.2552749008494</v>
      </c>
      <c r="E39" s="424">
        <f t="shared" si="21"/>
        <v>1824.4227738402865</v>
      </c>
      <c r="F39" s="424">
        <f t="shared" si="21"/>
        <v>2005.2703050658354</v>
      </c>
      <c r="G39" s="424">
        <f t="shared" si="21"/>
        <v>1689.0050783754953</v>
      </c>
      <c r="H39" s="424">
        <f t="shared" si="21"/>
        <v>1744.5811051368025</v>
      </c>
      <c r="I39" s="424">
        <f t="shared" si="21"/>
        <v>1395.7017705064982</v>
      </c>
    </row>
  </sheetData>
  <conditionalFormatting sqref="I1">
    <cfRule type="expression" dxfId="0" priority="1" stopIfTrue="1">
      <formula>MOD(ROW(),2)=0</formula>
    </cfRule>
  </conditionalFormatting>
  <hyperlinks>
    <hyperlink ref="I1" location="HypLink1" display="HypLink1" xr:uid="{02FD0511-F737-42FA-9006-EB9148511053}"/>
  </hyperlinks>
  <pageMargins left="0.25" right="0.25" top="0.5" bottom="0.45" header="0.25" footer="0.25"/>
  <pageSetup scale="88" orientation="landscape" r:id="rId1"/>
  <headerFooter>
    <oddHeader xml:space="preserve">&amp;L &amp;C &amp;R </oddHeader>
    <oddFooter>&amp;L&amp;7&amp;D  at &amp;T Mike 702.486.8879&amp;C&amp;7&amp;F  &amp;A&amp;R&amp;7Page &amp;P of &amp;N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02EFA-0E70-4ACB-9106-1EB9A4C28635}">
  <sheetPr codeName="Sheet24"/>
  <dimension ref="A1:R81"/>
  <sheetViews>
    <sheetView workbookViewId="0">
      <selection activeCell="R33" sqref="R33"/>
    </sheetView>
  </sheetViews>
  <sheetFormatPr defaultColWidth="8.6640625" defaultRowHeight="13.2"/>
  <cols>
    <col min="1" max="1" width="1.33203125" style="5" customWidth="1"/>
    <col min="2" max="2" width="2.6640625" style="5" customWidth="1"/>
    <col min="3" max="5" width="8.6640625" style="5"/>
    <col min="6" max="6" width="16.33203125" style="5" customWidth="1"/>
    <col min="7" max="17" width="8.6640625" style="1090"/>
    <col min="18" max="16384" width="8.6640625" style="5"/>
  </cols>
  <sheetData>
    <row r="1" spans="1:18" ht="15.6">
      <c r="A1" s="20" t="s">
        <v>1155</v>
      </c>
      <c r="B1" s="20"/>
      <c r="C1" s="20"/>
      <c r="D1" s="20"/>
    </row>
    <row r="2" spans="1:18" ht="15.6">
      <c r="A2" s="1311" t="str">
        <f>SchoolName</f>
        <v>Pahrump Valley Academy</v>
      </c>
      <c r="B2" s="1311"/>
      <c r="C2" s="1311"/>
      <c r="D2" s="1311"/>
    </row>
    <row r="3" spans="1:18">
      <c r="A3" s="9" t="s">
        <v>325</v>
      </c>
    </row>
    <row r="4" spans="1:18">
      <c r="A4" s="8" t="s">
        <v>5</v>
      </c>
    </row>
    <row r="5" spans="1:18">
      <c r="A5" s="7" t="str">
        <f ca="1">CELL("filename")</f>
        <v>https://csmci.sharepoint.com/sites/csmc-nevada/Shared Documents/General/CSMC/Potential Clients/Pahrump Valley Academy/Revision/[Attachment 24_Financial-Plan-Workbook Pahrump Valley Academy -Draft (3).xlsx]CF Y1 Mo</v>
      </c>
    </row>
    <row r="6" spans="1:18">
      <c r="A6" s="1089"/>
      <c r="B6" s="1090"/>
      <c r="C6" s="1090"/>
      <c r="D6" s="1090"/>
      <c r="E6" s="1090"/>
      <c r="F6" s="1090"/>
      <c r="R6" s="1090"/>
    </row>
    <row r="7" spans="1:18">
      <c r="A7" s="1089"/>
      <c r="B7" s="1090"/>
      <c r="C7" s="1090"/>
      <c r="D7" s="1090"/>
      <c r="E7" s="1090"/>
      <c r="F7" s="1090"/>
      <c r="R7" s="1090"/>
    </row>
    <row r="8" spans="1:18">
      <c r="A8" s="1089"/>
      <c r="B8" s="1090"/>
      <c r="C8" s="1090"/>
      <c r="D8" s="1090"/>
      <c r="E8" s="1090"/>
      <c r="F8" s="1090"/>
      <c r="R8" s="1090"/>
    </row>
    <row r="9" spans="1:18">
      <c r="A9" s="1089"/>
      <c r="B9" s="1090"/>
      <c r="C9" s="1090"/>
      <c r="D9" s="1090"/>
      <c r="E9" s="1090"/>
      <c r="F9" s="1090"/>
      <c r="R9" s="1090"/>
    </row>
    <row r="10" spans="1:18">
      <c r="A10" s="1089"/>
      <c r="B10" s="1090"/>
      <c r="C10" s="1090"/>
      <c r="D10" s="1090"/>
      <c r="E10" s="1090"/>
      <c r="F10" s="1090"/>
      <c r="R10" s="1090"/>
    </row>
    <row r="11" spans="1:18">
      <c r="A11" s="1089"/>
      <c r="B11" s="1090"/>
      <c r="C11" s="1090"/>
      <c r="D11" s="1090"/>
      <c r="E11" s="1090"/>
      <c r="F11" s="1090"/>
      <c r="R11" s="1090"/>
    </row>
    <row r="12" spans="1:18">
      <c r="A12" s="1089"/>
      <c r="B12" s="1090"/>
      <c r="C12" s="1090"/>
      <c r="D12" s="1090"/>
      <c r="E12" s="1090"/>
      <c r="F12" s="1090"/>
      <c r="R12" s="1090"/>
    </row>
    <row r="13" spans="1:18">
      <c r="A13" s="1089"/>
      <c r="B13" s="1090"/>
      <c r="C13" s="1090"/>
      <c r="D13" s="1090"/>
      <c r="E13" s="1090"/>
      <c r="F13" s="1090"/>
      <c r="R13" s="1090"/>
    </row>
    <row r="14" spans="1:18">
      <c r="A14" s="1089"/>
      <c r="B14" s="1090"/>
      <c r="C14" s="1090"/>
      <c r="D14" s="1090"/>
      <c r="E14" s="1090"/>
      <c r="F14" s="1090"/>
      <c r="R14" s="1090"/>
    </row>
    <row r="15" spans="1:18">
      <c r="A15" s="1089"/>
      <c r="B15" s="1090"/>
      <c r="C15" s="1090"/>
      <c r="D15" s="1090"/>
      <c r="E15" s="1090"/>
      <c r="F15" s="1090"/>
      <c r="R15" s="1090"/>
    </row>
    <row r="16" spans="1:18">
      <c r="A16" s="1089"/>
      <c r="B16" s="1090"/>
      <c r="C16" s="1090"/>
      <c r="D16" s="1090"/>
      <c r="E16" s="1090"/>
      <c r="F16" s="1090"/>
      <c r="R16" s="1090"/>
    </row>
    <row r="17" spans="1:18">
      <c r="A17" s="1089"/>
      <c r="B17" s="1090"/>
      <c r="C17" s="1090"/>
      <c r="D17" s="1090"/>
      <c r="E17" s="1090"/>
      <c r="F17" s="1090"/>
      <c r="R17" s="1090"/>
    </row>
    <row r="18" spans="1:18">
      <c r="A18" s="1089"/>
      <c r="B18" s="1090"/>
      <c r="C18" s="1090"/>
      <c r="D18" s="1090"/>
      <c r="E18" s="1090"/>
      <c r="F18" s="1090"/>
      <c r="R18" s="1090"/>
    </row>
    <row r="19" spans="1:18">
      <c r="A19" s="1089"/>
      <c r="B19" s="1090"/>
      <c r="C19" s="1090"/>
      <c r="D19" s="1090"/>
      <c r="E19" s="1090"/>
      <c r="F19" s="1090"/>
      <c r="R19" s="1090"/>
    </row>
    <row r="20" spans="1:18">
      <c r="A20" s="1089"/>
      <c r="B20" s="1090"/>
      <c r="C20" s="1090"/>
      <c r="D20" s="1090"/>
      <c r="E20" s="1090"/>
      <c r="F20" s="1090"/>
      <c r="R20" s="1090"/>
    </row>
    <row r="21" spans="1:18">
      <c r="A21" s="1089"/>
      <c r="B21" s="1090"/>
      <c r="C21" s="1090"/>
      <c r="D21" s="1090"/>
      <c r="E21" s="1090"/>
      <c r="F21" s="1090"/>
      <c r="R21" s="1090"/>
    </row>
    <row r="22" spans="1:18">
      <c r="A22" s="1089"/>
      <c r="B22" s="1090"/>
      <c r="C22" s="1090"/>
      <c r="D22" s="1090"/>
      <c r="E22" s="1090"/>
      <c r="F22" s="1090"/>
      <c r="R22" s="1090"/>
    </row>
    <row r="23" spans="1:18">
      <c r="A23" s="1089"/>
      <c r="B23" s="1090"/>
      <c r="C23" s="1090"/>
      <c r="D23" s="1090"/>
      <c r="E23" s="1090"/>
      <c r="F23" s="1090"/>
      <c r="R23" s="1090"/>
    </row>
    <row r="24" spans="1:18">
      <c r="A24" s="1089"/>
      <c r="B24" s="1090"/>
      <c r="C24" s="1090"/>
      <c r="D24" s="1090"/>
      <c r="E24" s="1090"/>
      <c r="F24" s="1090"/>
      <c r="R24" s="1090"/>
    </row>
    <row r="25" spans="1:18">
      <c r="A25" s="1089"/>
      <c r="B25" s="1090"/>
      <c r="C25" s="1090"/>
      <c r="D25" s="1090"/>
      <c r="E25" s="1090"/>
      <c r="F25" s="1090"/>
      <c r="R25" s="1090"/>
    </row>
    <row r="26" spans="1:18">
      <c r="A26" s="1089"/>
      <c r="B26" s="1090"/>
      <c r="C26" s="1090"/>
      <c r="D26" s="1090"/>
      <c r="E26" s="1090"/>
      <c r="F26" s="1090"/>
      <c r="R26" s="1090"/>
    </row>
    <row r="27" spans="1:18">
      <c r="A27" s="1089"/>
      <c r="B27" s="1090"/>
      <c r="C27" s="1090"/>
      <c r="D27" s="1090"/>
      <c r="E27" s="1090"/>
      <c r="F27" s="1090"/>
      <c r="R27" s="1090"/>
    </row>
    <row r="28" spans="1:18">
      <c r="A28" s="1089"/>
      <c r="B28" s="1090"/>
      <c r="C28" s="1090"/>
      <c r="D28" s="1090"/>
      <c r="E28" s="1090"/>
      <c r="F28" s="1090"/>
      <c r="R28" s="1090"/>
    </row>
    <row r="29" spans="1:18">
      <c r="A29" s="1089"/>
      <c r="B29" s="1090"/>
      <c r="C29" s="1090"/>
      <c r="D29" s="1090"/>
      <c r="E29" s="1090"/>
      <c r="F29" s="1090"/>
      <c r="R29" s="1090"/>
    </row>
    <row r="30" spans="1:18">
      <c r="A30" s="1089"/>
      <c r="B30" s="1089"/>
      <c r="C30" s="1089"/>
      <c r="D30" s="1089"/>
      <c r="E30" s="1089"/>
      <c r="F30" s="1090"/>
      <c r="R30" s="1090"/>
    </row>
    <row r="31" spans="1:18">
      <c r="A31" s="1089"/>
      <c r="B31" s="1089"/>
      <c r="C31" s="1089"/>
      <c r="D31" s="1089"/>
      <c r="E31" s="1089"/>
      <c r="F31" s="1090"/>
      <c r="R31" s="1090"/>
    </row>
    <row r="32" spans="1:18">
      <c r="A32" s="1089"/>
      <c r="B32" s="1089"/>
      <c r="C32" s="1089"/>
      <c r="D32" s="1089"/>
      <c r="E32" s="1089"/>
      <c r="F32" s="1090"/>
      <c r="R32" s="1090"/>
    </row>
    <row r="33" spans="1:18">
      <c r="A33" s="1089"/>
      <c r="B33" s="1089"/>
      <c r="C33" s="1089"/>
      <c r="D33" s="1089"/>
      <c r="E33" s="1089"/>
      <c r="F33" s="1090"/>
      <c r="R33" s="1090"/>
    </row>
    <row r="34" spans="1:18">
      <c r="A34" s="1089"/>
      <c r="B34" s="1089"/>
      <c r="C34" s="1089"/>
      <c r="D34" s="1089"/>
      <c r="E34" s="1089"/>
      <c r="F34" s="1090"/>
      <c r="R34" s="1090"/>
    </row>
    <row r="35" spans="1:18">
      <c r="A35" s="1089"/>
      <c r="B35" s="1089"/>
      <c r="C35" s="1089"/>
      <c r="D35" s="1089"/>
      <c r="E35" s="1089"/>
      <c r="F35" s="1090"/>
      <c r="R35" s="1090"/>
    </row>
    <row r="36" spans="1:18">
      <c r="A36" s="1089"/>
      <c r="B36" s="1089"/>
      <c r="C36" s="1089"/>
      <c r="D36" s="1089"/>
      <c r="E36" s="1089"/>
      <c r="F36" s="1090"/>
      <c r="R36" s="1090"/>
    </row>
    <row r="37" spans="1:18">
      <c r="A37" s="1089"/>
      <c r="B37" s="1089"/>
      <c r="C37" s="1089"/>
      <c r="D37" s="1089"/>
      <c r="E37" s="1089"/>
      <c r="F37" s="1090"/>
      <c r="R37" s="1090"/>
    </row>
    <row r="38" spans="1:18">
      <c r="A38" s="1089"/>
      <c r="B38" s="1089"/>
      <c r="C38" s="1089"/>
      <c r="D38" s="1089"/>
      <c r="E38" s="1089"/>
      <c r="F38" s="1090"/>
      <c r="R38" s="1090"/>
    </row>
    <row r="39" spans="1:18">
      <c r="A39" s="1089"/>
      <c r="B39" s="1089"/>
      <c r="C39" s="1089"/>
      <c r="D39" s="1089"/>
      <c r="E39" s="1089"/>
      <c r="F39" s="1090"/>
      <c r="R39" s="1090"/>
    </row>
    <row r="40" spans="1:18">
      <c r="A40" s="1089"/>
      <c r="B40" s="1089"/>
      <c r="C40" s="1089"/>
      <c r="D40" s="1089"/>
      <c r="E40" s="1089"/>
      <c r="F40" s="1090"/>
      <c r="R40" s="1090"/>
    </row>
    <row r="41" spans="1:18">
      <c r="A41" s="1089"/>
      <c r="B41" s="1089"/>
      <c r="C41" s="1089"/>
      <c r="D41" s="1089"/>
      <c r="E41" s="1089"/>
      <c r="F41" s="1090"/>
      <c r="R41" s="1090"/>
    </row>
    <row r="42" spans="1:18">
      <c r="A42" s="1089"/>
      <c r="B42" s="1089"/>
      <c r="C42" s="1089"/>
      <c r="D42" s="1089"/>
      <c r="E42" s="1089"/>
      <c r="F42" s="1090"/>
      <c r="R42" s="1090"/>
    </row>
    <row r="43" spans="1:18">
      <c r="A43" s="1089"/>
      <c r="B43" s="1089"/>
      <c r="C43" s="1089"/>
      <c r="D43" s="1089"/>
      <c r="E43" s="1089"/>
      <c r="F43" s="1090"/>
      <c r="R43" s="1090"/>
    </row>
    <row r="44" spans="1:18">
      <c r="A44" s="1089"/>
      <c r="B44" s="1089"/>
      <c r="C44" s="1089"/>
      <c r="D44" s="1089"/>
      <c r="E44" s="1089"/>
      <c r="F44" s="1090"/>
      <c r="R44" s="1090"/>
    </row>
    <row r="45" spans="1:18">
      <c r="A45" s="1089"/>
      <c r="B45" s="1089"/>
      <c r="C45" s="1089"/>
      <c r="D45" s="1089"/>
      <c r="E45" s="1089"/>
      <c r="F45" s="1090"/>
      <c r="R45" s="1090"/>
    </row>
    <row r="46" spans="1:18">
      <c r="A46" s="1089"/>
      <c r="B46" s="1089"/>
      <c r="C46" s="1089"/>
      <c r="D46" s="1089"/>
      <c r="E46" s="1089"/>
      <c r="F46" s="1090"/>
      <c r="R46" s="1090"/>
    </row>
    <row r="47" spans="1:18">
      <c r="A47" s="1089"/>
      <c r="B47" s="1089"/>
      <c r="C47" s="1089"/>
      <c r="D47" s="1089"/>
      <c r="E47" s="1089"/>
      <c r="F47" s="1090"/>
      <c r="R47" s="1090"/>
    </row>
    <row r="48" spans="1:18">
      <c r="A48" s="1089"/>
      <c r="B48" s="1089"/>
      <c r="C48" s="1089"/>
      <c r="D48" s="1089"/>
      <c r="E48" s="1089"/>
      <c r="F48" s="1090"/>
      <c r="R48" s="1090"/>
    </row>
    <row r="49" spans="1:18">
      <c r="A49" s="1089"/>
      <c r="B49" s="1089"/>
      <c r="C49" s="1089"/>
      <c r="D49" s="1089"/>
      <c r="E49" s="1089"/>
      <c r="F49" s="1090"/>
      <c r="R49" s="1090"/>
    </row>
    <row r="50" spans="1:18">
      <c r="A50" s="1089"/>
      <c r="B50" s="1089"/>
      <c r="C50" s="1089"/>
      <c r="D50" s="1089"/>
      <c r="E50" s="1089"/>
      <c r="F50" s="1090"/>
      <c r="R50" s="1090"/>
    </row>
    <row r="51" spans="1:18">
      <c r="A51" s="1089"/>
      <c r="B51" s="1089"/>
      <c r="C51" s="1089"/>
      <c r="D51" s="1089"/>
      <c r="E51" s="1089"/>
      <c r="F51" s="1090"/>
      <c r="R51" s="1090"/>
    </row>
    <row r="52" spans="1:18">
      <c r="A52" s="1089"/>
      <c r="B52" s="1089"/>
      <c r="C52" s="1089"/>
      <c r="D52" s="1089"/>
      <c r="E52" s="1089"/>
      <c r="F52" s="1090"/>
      <c r="R52" s="1090"/>
    </row>
    <row r="53" spans="1:18">
      <c r="A53" s="1089"/>
      <c r="B53" s="1089"/>
      <c r="C53" s="1089"/>
      <c r="D53" s="1089"/>
      <c r="E53" s="1089"/>
      <c r="F53" s="1090"/>
      <c r="R53" s="1090"/>
    </row>
    <row r="54" spans="1:18">
      <c r="A54" s="1089"/>
      <c r="B54" s="1089"/>
      <c r="C54" s="1089"/>
      <c r="D54" s="1089"/>
      <c r="E54" s="1089"/>
      <c r="F54" s="1090"/>
      <c r="R54" s="1090"/>
    </row>
    <row r="55" spans="1:18">
      <c r="A55" s="1089"/>
      <c r="B55" s="1089"/>
      <c r="C55" s="1089"/>
      <c r="D55" s="1089"/>
      <c r="E55" s="1089"/>
      <c r="F55" s="1090"/>
      <c r="R55" s="1090"/>
    </row>
    <row r="56" spans="1:18">
      <c r="A56" s="1089"/>
      <c r="B56" s="1089"/>
      <c r="C56" s="1089"/>
      <c r="D56" s="1089"/>
      <c r="E56" s="1089"/>
      <c r="F56" s="1090"/>
      <c r="R56" s="1090"/>
    </row>
    <row r="57" spans="1:18">
      <c r="A57" s="1089"/>
      <c r="B57" s="1089"/>
      <c r="C57" s="1089"/>
      <c r="D57" s="1089"/>
      <c r="E57" s="1089"/>
      <c r="F57" s="1090"/>
      <c r="R57" s="1090"/>
    </row>
    <row r="58" spans="1:18">
      <c r="A58" s="1089"/>
      <c r="B58" s="1089"/>
      <c r="C58" s="1089"/>
      <c r="D58" s="1089"/>
      <c r="E58" s="1089"/>
      <c r="F58" s="1090"/>
      <c r="R58" s="1090"/>
    </row>
    <row r="59" spans="1:18">
      <c r="A59" s="1089"/>
      <c r="B59" s="1089"/>
      <c r="C59" s="1089"/>
      <c r="D59" s="1089"/>
      <c r="E59" s="1089"/>
      <c r="F59" s="1090"/>
      <c r="R59" s="1090"/>
    </row>
    <row r="60" spans="1:18">
      <c r="A60" s="1089"/>
      <c r="B60" s="1089"/>
      <c r="C60" s="1089"/>
      <c r="D60" s="1089"/>
      <c r="E60" s="1089"/>
      <c r="F60" s="1090"/>
      <c r="R60" s="1090"/>
    </row>
    <row r="61" spans="1:18">
      <c r="A61" s="1089"/>
      <c r="B61" s="1089"/>
      <c r="C61" s="1089"/>
      <c r="D61" s="1089"/>
      <c r="E61" s="1089"/>
      <c r="F61" s="1090"/>
      <c r="R61" s="1090"/>
    </row>
    <row r="62" spans="1:18">
      <c r="A62" s="1089"/>
      <c r="B62" s="1089"/>
      <c r="C62" s="1089"/>
      <c r="D62" s="1089"/>
      <c r="E62" s="1089"/>
      <c r="F62" s="1090"/>
      <c r="R62" s="1090"/>
    </row>
    <row r="63" spans="1:18">
      <c r="A63" s="1089"/>
      <c r="B63" s="1089"/>
      <c r="C63" s="1089"/>
      <c r="D63" s="1089"/>
      <c r="E63" s="1089"/>
      <c r="F63" s="1090"/>
      <c r="R63" s="1090"/>
    </row>
    <row r="64" spans="1:18">
      <c r="A64" s="1089"/>
      <c r="B64" s="1089"/>
      <c r="C64" s="1089"/>
      <c r="D64" s="1089"/>
      <c r="E64" s="1089"/>
      <c r="F64" s="1090"/>
      <c r="R64" s="1090"/>
    </row>
    <row r="65" spans="1:18">
      <c r="A65" s="1089"/>
      <c r="B65" s="1089"/>
      <c r="C65" s="1089"/>
      <c r="D65" s="1089"/>
      <c r="E65" s="1089"/>
      <c r="F65" s="1090"/>
      <c r="R65" s="1090"/>
    </row>
    <row r="66" spans="1:18">
      <c r="A66" s="1089"/>
      <c r="B66" s="1089"/>
      <c r="C66" s="1089"/>
      <c r="D66" s="1089"/>
      <c r="E66" s="1089"/>
      <c r="F66" s="1090"/>
      <c r="R66" s="1090"/>
    </row>
    <row r="67" spans="1:18">
      <c r="A67" s="1089"/>
      <c r="B67" s="1089"/>
      <c r="C67" s="1089"/>
      <c r="D67" s="1089"/>
      <c r="E67" s="1089"/>
      <c r="F67" s="1090"/>
    </row>
    <row r="68" spans="1:18">
      <c r="A68" s="1089"/>
      <c r="B68" s="1089"/>
      <c r="C68" s="1089"/>
      <c r="D68" s="1089"/>
      <c r="E68" s="1089"/>
      <c r="F68" s="1090"/>
    </row>
    <row r="69" spans="1:18">
      <c r="A69" s="1089"/>
      <c r="B69" s="1089"/>
      <c r="C69" s="1089"/>
      <c r="D69" s="1089"/>
      <c r="E69" s="1089"/>
      <c r="F69" s="1090"/>
    </row>
    <row r="70" spans="1:18">
      <c r="A70" s="6"/>
      <c r="B70" s="6"/>
      <c r="C70" s="6"/>
      <c r="D70" s="6"/>
      <c r="E70" s="6"/>
    </row>
    <row r="71" spans="1:18">
      <c r="A71" s="6"/>
      <c r="B71" s="6"/>
      <c r="C71" s="6"/>
      <c r="D71" s="6"/>
      <c r="E71" s="6"/>
    </row>
    <row r="72" spans="1:18">
      <c r="A72" s="6"/>
      <c r="B72" s="6"/>
      <c r="C72" s="6"/>
      <c r="D72" s="6"/>
      <c r="E72" s="6"/>
    </row>
    <row r="73" spans="1:18">
      <c r="A73" s="6"/>
      <c r="B73" s="6"/>
      <c r="C73" s="6"/>
      <c r="D73" s="6"/>
      <c r="E73" s="6"/>
    </row>
    <row r="74" spans="1:18">
      <c r="A74" s="6"/>
      <c r="B74" s="6"/>
      <c r="C74" s="6"/>
      <c r="D74" s="6"/>
      <c r="E74" s="6"/>
    </row>
    <row r="75" spans="1:18">
      <c r="A75" s="6"/>
      <c r="B75" s="6"/>
      <c r="C75" s="6"/>
      <c r="D75" s="6"/>
      <c r="E75" s="6"/>
    </row>
    <row r="76" spans="1:18">
      <c r="A76" s="6"/>
      <c r="B76" s="6"/>
      <c r="C76" s="6"/>
      <c r="D76" s="6"/>
      <c r="E76" s="6"/>
    </row>
    <row r="77" spans="1:18">
      <c r="A77" s="6"/>
      <c r="B77" s="6"/>
      <c r="C77" s="6"/>
      <c r="D77" s="6"/>
      <c r="E77" s="6"/>
    </row>
    <row r="78" spans="1:18">
      <c r="A78" s="6"/>
      <c r="B78" s="6"/>
      <c r="C78" s="6"/>
      <c r="D78" s="6"/>
      <c r="E78" s="6"/>
    </row>
    <row r="79" spans="1:18">
      <c r="A79" s="6"/>
      <c r="B79" s="6"/>
      <c r="C79" s="6"/>
      <c r="D79" s="6"/>
      <c r="E79" s="6"/>
    </row>
    <row r="80" spans="1:18">
      <c r="A80" s="6"/>
      <c r="B80" s="6"/>
      <c r="C80" s="6"/>
      <c r="D80" s="6"/>
      <c r="E80" s="6"/>
    </row>
    <row r="81" spans="1:5">
      <c r="A81" s="6"/>
      <c r="B81" s="6"/>
      <c r="C81" s="6"/>
      <c r="D81" s="6"/>
      <c r="E81"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137A-DCC1-4E9D-9D5F-F0F162269F2E}">
  <sheetPr codeName="Sheet25">
    <tabColor theme="0" tint="-0.14999847407452621"/>
  </sheetPr>
  <dimension ref="A1:P79"/>
  <sheetViews>
    <sheetView workbookViewId="0"/>
  </sheetViews>
  <sheetFormatPr defaultColWidth="9.33203125" defaultRowHeight="13.2"/>
  <cols>
    <col min="1" max="1" width="9.33203125" style="5"/>
    <col min="2" max="2" width="2.33203125" style="5" customWidth="1"/>
    <col min="3" max="3" width="19.5546875" style="5" customWidth="1"/>
    <col min="4" max="8" width="11.6640625" style="5" customWidth="1"/>
    <col min="9" max="16384" width="9.33203125" style="5"/>
  </cols>
  <sheetData>
    <row r="1" spans="1:16" ht="15.6">
      <c r="A1" s="258"/>
      <c r="B1" s="258"/>
      <c r="C1" s="258"/>
    </row>
    <row r="2" spans="1:16" ht="15.6">
      <c r="A2" s="24"/>
      <c r="B2" s="26"/>
      <c r="C2" s="26"/>
    </row>
    <row r="3" spans="1:16">
      <c r="A3" s="9" t="s">
        <v>325</v>
      </c>
    </row>
    <row r="4" spans="1:16">
      <c r="A4" s="8" t="s">
        <v>5</v>
      </c>
    </row>
    <row r="5" spans="1:16">
      <c r="A5" s="7" t="str">
        <f ca="1">CELL("filename")</f>
        <v>https://csmci.sharepoint.com/sites/csmc-nevada/Shared Documents/General/CSMC/Potential Clients/Pahrump Valley Academy/Revision/[Attachment 24_Financial-Plan-Workbook Pahrump Valley Academy -Draft (3).xlsx]CF Y1 Mo</v>
      </c>
    </row>
    <row r="6" spans="1:16">
      <c r="A6" s="6"/>
      <c r="B6" s="6"/>
      <c r="C6" s="6"/>
      <c r="D6" s="6"/>
      <c r="E6" s="6"/>
      <c r="F6" s="6"/>
      <c r="G6" s="6"/>
      <c r="H6" s="6"/>
      <c r="I6" s="6"/>
      <c r="J6" s="6"/>
      <c r="K6" s="6"/>
      <c r="L6" s="6"/>
      <c r="M6" s="6"/>
      <c r="N6" s="6"/>
      <c r="O6" s="6"/>
      <c r="P6" s="6"/>
    </row>
    <row r="7" spans="1:16">
      <c r="A7" s="6"/>
      <c r="B7" s="6"/>
      <c r="C7" s="6"/>
      <c r="D7" s="6"/>
      <c r="E7" s="6"/>
      <c r="F7" s="6"/>
      <c r="G7" s="6"/>
      <c r="H7" s="6"/>
      <c r="I7" s="6"/>
      <c r="J7" s="6"/>
      <c r="K7" s="6"/>
      <c r="L7" s="6"/>
      <c r="M7" s="6"/>
      <c r="N7" s="6"/>
      <c r="O7" s="6"/>
      <c r="P7" s="6"/>
    </row>
    <row r="8" spans="1:16">
      <c r="A8" s="6"/>
      <c r="B8" s="6"/>
      <c r="I8" s="6"/>
      <c r="J8" s="6"/>
      <c r="K8" s="6"/>
      <c r="L8" s="6"/>
      <c r="M8" s="6"/>
      <c r="N8" s="6"/>
      <c r="O8" s="6"/>
      <c r="P8" s="6"/>
    </row>
    <row r="9" spans="1:16">
      <c r="A9" s="6"/>
      <c r="B9" s="6"/>
      <c r="C9" s="5" t="s">
        <v>1156</v>
      </c>
      <c r="I9" s="6"/>
      <c r="J9" s="6"/>
      <c r="K9" s="6"/>
      <c r="L9" s="6"/>
      <c r="M9" s="6"/>
      <c r="N9" s="6"/>
      <c r="O9" s="6"/>
      <c r="P9" s="6"/>
    </row>
    <row r="10" spans="1:16">
      <c r="A10" s="6"/>
      <c r="B10" s="6"/>
      <c r="I10" s="6"/>
      <c r="J10" s="6"/>
      <c r="K10" s="6"/>
      <c r="L10" s="6"/>
      <c r="M10" s="6"/>
      <c r="N10" s="6"/>
      <c r="O10" s="6"/>
      <c r="P10" s="6"/>
    </row>
    <row r="11" spans="1:16">
      <c r="A11" s="6"/>
      <c r="B11" s="6"/>
      <c r="I11" s="6"/>
      <c r="J11" s="6"/>
      <c r="K11" s="6"/>
      <c r="L11" s="6"/>
      <c r="M11" s="6"/>
      <c r="N11" s="6"/>
      <c r="O11" s="6"/>
      <c r="P11" s="6"/>
    </row>
    <row r="12" spans="1:16">
      <c r="A12" s="6"/>
      <c r="B12" s="6"/>
      <c r="I12" s="6"/>
      <c r="J12" s="6"/>
      <c r="K12" s="6"/>
      <c r="L12" s="6"/>
      <c r="M12" s="6"/>
      <c r="N12" s="6"/>
      <c r="O12" s="6"/>
      <c r="P12" s="6"/>
    </row>
    <row r="13" spans="1:16">
      <c r="A13" s="6"/>
      <c r="B13" s="6"/>
      <c r="I13" s="6"/>
      <c r="J13" s="6"/>
      <c r="K13" s="6"/>
      <c r="L13" s="6"/>
      <c r="M13" s="6"/>
      <c r="N13" s="6"/>
      <c r="O13" s="6"/>
      <c r="P13" s="6"/>
    </row>
    <row r="14" spans="1:16">
      <c r="A14" s="6"/>
      <c r="B14" s="6"/>
      <c r="I14" s="6"/>
      <c r="J14" s="6"/>
      <c r="K14" s="6"/>
      <c r="L14" s="6"/>
      <c r="M14" s="6"/>
      <c r="N14" s="6"/>
      <c r="O14" s="6"/>
      <c r="P14" s="6"/>
    </row>
    <row r="15" spans="1:16">
      <c r="A15" s="6"/>
      <c r="B15" s="6"/>
      <c r="I15" s="6"/>
      <c r="J15" s="6"/>
      <c r="K15" s="6"/>
      <c r="L15" s="6"/>
      <c r="M15" s="6"/>
      <c r="N15" s="6"/>
      <c r="O15" s="6"/>
      <c r="P15" s="6"/>
    </row>
    <row r="16" spans="1:16">
      <c r="A16" s="6"/>
      <c r="B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81B86-EC82-4FED-9467-ABD09240B2A5}">
  <sheetPr codeName="Sheet27">
    <tabColor theme="0" tint="-0.249977111117893"/>
  </sheetPr>
  <dimension ref="A1:P80"/>
  <sheetViews>
    <sheetView workbookViewId="0">
      <selection activeCell="E27" sqref="E27"/>
    </sheetView>
  </sheetViews>
  <sheetFormatPr defaultColWidth="9.33203125" defaultRowHeight="13.2"/>
  <cols>
    <col min="1" max="16384" width="9.33203125" style="5"/>
  </cols>
  <sheetData>
    <row r="1" spans="1:16" ht="15.6">
      <c r="A1" s="258"/>
      <c r="B1" s="258"/>
      <c r="C1" s="258"/>
    </row>
    <row r="2" spans="1:16" ht="15.6">
      <c r="A2" s="24"/>
      <c r="B2" s="26"/>
      <c r="C2" s="26"/>
    </row>
    <row r="3" spans="1:16">
      <c r="A3" s="9" t="s">
        <v>325</v>
      </c>
    </row>
    <row r="4" spans="1:16">
      <c r="A4" s="8" t="s">
        <v>5</v>
      </c>
    </row>
    <row r="5" spans="1:16">
      <c r="A5" s="7" t="str">
        <f ca="1">CELL("filename")</f>
        <v>https://csmci.sharepoint.com/sites/csmc-nevada/Shared Documents/General/CSMC/Potential Clients/Pahrump Valley Academy/Revision/[Attachment 24_Financial-Plan-Workbook Pahrump Valley Academy -Draft (3).xlsx]CF Y1 Mo</v>
      </c>
    </row>
    <row r="6" spans="1:16">
      <c r="A6" s="6"/>
      <c r="B6" s="6"/>
      <c r="C6" s="6"/>
      <c r="D6" s="6"/>
      <c r="E6" s="6"/>
      <c r="F6" s="6"/>
      <c r="G6" s="6"/>
      <c r="H6" s="6"/>
      <c r="I6" s="6"/>
      <c r="J6" s="6"/>
      <c r="K6" s="6"/>
      <c r="L6" s="6"/>
      <c r="M6" s="6"/>
      <c r="N6" s="6"/>
      <c r="O6" s="6"/>
      <c r="P6" s="6"/>
    </row>
    <row r="7" spans="1:16">
      <c r="A7" s="6"/>
      <c r="B7" s="6"/>
      <c r="C7" s="6"/>
      <c r="D7" s="6"/>
      <c r="E7" s="6"/>
      <c r="F7" s="6"/>
      <c r="G7" s="6"/>
      <c r="H7" s="6"/>
      <c r="I7" s="6"/>
      <c r="J7" s="6"/>
      <c r="K7" s="6"/>
      <c r="L7" s="6"/>
      <c r="M7" s="6"/>
      <c r="N7" s="6"/>
      <c r="O7" s="6"/>
      <c r="P7" s="6"/>
    </row>
    <row r="8" spans="1:16">
      <c r="A8" s="6"/>
      <c r="B8" s="6" t="s">
        <v>1156</v>
      </c>
      <c r="C8" s="6"/>
      <c r="D8" s="6"/>
      <c r="E8" s="6"/>
      <c r="F8" s="6"/>
      <c r="G8" s="6"/>
      <c r="H8" s="6"/>
      <c r="I8" s="6"/>
      <c r="J8" s="6"/>
      <c r="K8" s="6"/>
      <c r="L8" s="6"/>
      <c r="M8" s="6"/>
      <c r="N8" s="6"/>
      <c r="O8" s="6"/>
      <c r="P8" s="6"/>
    </row>
    <row r="9" spans="1:16">
      <c r="A9" s="6"/>
      <c r="B9" s="6"/>
      <c r="C9" s="6"/>
      <c r="D9" s="6"/>
      <c r="E9" s="6"/>
      <c r="F9" s="6"/>
      <c r="G9" s="6"/>
      <c r="H9" s="6"/>
      <c r="I9" s="6"/>
      <c r="J9" s="6"/>
      <c r="K9" s="6"/>
      <c r="L9" s="6"/>
      <c r="M9" s="6"/>
      <c r="N9" s="6"/>
      <c r="O9" s="6"/>
      <c r="P9" s="6"/>
    </row>
    <row r="10" spans="1:16">
      <c r="A10" s="6"/>
      <c r="B10" s="6"/>
      <c r="C10" s="6"/>
      <c r="D10" s="6"/>
      <c r="E10" s="6"/>
      <c r="F10" s="6"/>
      <c r="G10" s="6"/>
      <c r="H10" s="6"/>
      <c r="I10" s="6"/>
      <c r="J10" s="6"/>
      <c r="K10" s="6"/>
      <c r="L10" s="6"/>
      <c r="M10" s="6"/>
      <c r="N10" s="6"/>
      <c r="O10" s="6"/>
      <c r="P10" s="6"/>
    </row>
    <row r="11" spans="1:16">
      <c r="A11" s="6"/>
      <c r="B11" s="6"/>
      <c r="C11" s="6"/>
      <c r="D11" s="6"/>
      <c r="E11" s="6"/>
      <c r="F11" s="6"/>
      <c r="G11" s="6"/>
      <c r="H11" s="6"/>
      <c r="I11" s="6"/>
      <c r="J11" s="6"/>
      <c r="K11" s="6"/>
      <c r="L11" s="6"/>
      <c r="M11" s="6"/>
      <c r="N11" s="6"/>
      <c r="O11" s="6"/>
      <c r="P11" s="6"/>
    </row>
    <row r="12" spans="1:16">
      <c r="A12" s="6"/>
      <c r="B12" s="6"/>
      <c r="C12" s="6"/>
      <c r="D12" s="6"/>
      <c r="E12" s="6"/>
      <c r="F12" s="6"/>
      <c r="G12" s="6"/>
      <c r="H12" s="6"/>
      <c r="I12" s="6"/>
      <c r="J12" s="6"/>
      <c r="K12" s="6"/>
      <c r="L12" s="6"/>
      <c r="M12" s="6"/>
      <c r="N12" s="6"/>
      <c r="O12" s="6"/>
      <c r="P12" s="6"/>
    </row>
    <row r="13" spans="1:16">
      <c r="A13" s="6"/>
      <c r="B13" s="6"/>
      <c r="C13" s="6"/>
      <c r="D13" s="6"/>
      <c r="E13" s="6"/>
      <c r="F13" s="6"/>
      <c r="G13" s="6"/>
      <c r="H13" s="6"/>
      <c r="I13" s="6"/>
      <c r="J13" s="6"/>
      <c r="K13" s="6"/>
      <c r="L13" s="6"/>
      <c r="M13" s="6"/>
      <c r="N13" s="6"/>
      <c r="O13" s="6"/>
      <c r="P13" s="6"/>
    </row>
    <row r="14" spans="1:16">
      <c r="A14" s="6"/>
      <c r="B14" s="6"/>
      <c r="C14" s="6"/>
      <c r="D14" s="6"/>
      <c r="E14" s="6"/>
      <c r="F14" s="6"/>
      <c r="G14" s="6"/>
      <c r="H14" s="6"/>
      <c r="I14" s="6"/>
      <c r="J14" s="6"/>
      <c r="K14" s="6"/>
      <c r="L14" s="6"/>
      <c r="M14" s="6"/>
      <c r="N14" s="6"/>
      <c r="O14" s="6"/>
      <c r="P14" s="6"/>
    </row>
    <row r="15" spans="1:16">
      <c r="A15" s="6"/>
      <c r="B15" s="6"/>
      <c r="C15" s="6"/>
      <c r="D15" s="6"/>
      <c r="E15" s="6"/>
      <c r="F15" s="6"/>
      <c r="G15" s="6"/>
      <c r="H15" s="6"/>
      <c r="I15" s="6"/>
      <c r="J15" s="6"/>
      <c r="K15" s="6"/>
      <c r="L15" s="6"/>
      <c r="M15" s="6"/>
      <c r="N15" s="6"/>
      <c r="O15" s="6"/>
      <c r="P15" s="6"/>
    </row>
    <row r="16" spans="1:16">
      <c r="A16" s="6"/>
      <c r="B16" s="6"/>
      <c r="C16" s="6"/>
      <c r="D16" s="6"/>
      <c r="E16" s="6"/>
      <c r="F16" s="6"/>
      <c r="G16" s="6"/>
      <c r="H16" s="6"/>
      <c r="I16" s="6"/>
      <c r="J16" s="6"/>
      <c r="K16" s="6"/>
      <c r="L16" s="6"/>
      <c r="M16" s="6"/>
      <c r="N16" s="6"/>
      <c r="O16" s="6"/>
      <c r="P16" s="6"/>
    </row>
    <row r="17" spans="1:16">
      <c r="A17" s="6"/>
      <c r="B17" s="6"/>
      <c r="C17" s="6"/>
      <c r="D17" s="6"/>
      <c r="E17" s="6"/>
      <c r="F17" s="6"/>
      <c r="G17" s="6"/>
      <c r="H17" s="6"/>
      <c r="I17" s="6"/>
      <c r="J17" s="6"/>
      <c r="K17" s="6"/>
      <c r="L17" s="6"/>
      <c r="M17" s="6"/>
      <c r="N17" s="6"/>
      <c r="O17" s="6"/>
      <c r="P17" s="6"/>
    </row>
    <row r="18" spans="1:16">
      <c r="A18" s="6"/>
      <c r="B18" s="6"/>
      <c r="C18" s="6"/>
      <c r="D18" s="6"/>
      <c r="E18" s="6"/>
      <c r="F18" s="6"/>
      <c r="G18" s="6"/>
      <c r="H18" s="6"/>
      <c r="I18" s="6"/>
      <c r="J18" s="6"/>
      <c r="K18" s="6"/>
      <c r="L18" s="6"/>
      <c r="M18" s="6"/>
      <c r="N18" s="6"/>
      <c r="O18" s="6"/>
      <c r="P18" s="6"/>
    </row>
    <row r="19" spans="1:16">
      <c r="A19" s="6"/>
      <c r="B19" s="6"/>
      <c r="C19" s="6"/>
      <c r="D19" s="6"/>
      <c r="E19" s="6"/>
      <c r="F19" s="6"/>
      <c r="G19" s="6"/>
      <c r="H19" s="6"/>
      <c r="I19" s="6"/>
      <c r="J19" s="6"/>
      <c r="K19" s="6"/>
      <c r="L19" s="6"/>
      <c r="M19" s="6"/>
      <c r="N19" s="6"/>
      <c r="O19" s="6"/>
      <c r="P19" s="6"/>
    </row>
    <row r="20" spans="1:16">
      <c r="A20" s="6"/>
      <c r="B20" s="6"/>
      <c r="C20" s="6"/>
      <c r="D20" s="6"/>
      <c r="E20" s="6"/>
      <c r="F20" s="6"/>
      <c r="G20" s="6"/>
      <c r="H20" s="6"/>
      <c r="I20" s="6"/>
      <c r="J20" s="6"/>
      <c r="K20" s="6"/>
      <c r="L20" s="6"/>
      <c r="M20" s="6"/>
      <c r="N20" s="6"/>
      <c r="O20" s="6"/>
      <c r="P20" s="6"/>
    </row>
    <row r="21" spans="1:16">
      <c r="A21" s="6"/>
      <c r="B21" s="6"/>
      <c r="C21" s="6"/>
      <c r="D21" s="6"/>
      <c r="E21" s="6"/>
      <c r="F21" s="6"/>
      <c r="G21" s="6"/>
      <c r="H21" s="6"/>
      <c r="I21" s="6"/>
      <c r="J21" s="6"/>
      <c r="K21" s="6"/>
      <c r="L21" s="6"/>
      <c r="M21" s="6"/>
      <c r="N21" s="6"/>
      <c r="O21" s="6"/>
      <c r="P21" s="6"/>
    </row>
    <row r="22" spans="1:16">
      <c r="A22" s="6"/>
      <c r="B22" s="6"/>
      <c r="C22" s="6"/>
      <c r="D22" s="6"/>
      <c r="E22" s="6"/>
      <c r="F22" s="6"/>
      <c r="G22" s="6"/>
      <c r="H22" s="6"/>
      <c r="I22" s="6"/>
      <c r="J22" s="6"/>
      <c r="K22" s="6"/>
      <c r="L22" s="6"/>
      <c r="M22" s="6"/>
      <c r="N22" s="6"/>
      <c r="O22" s="6"/>
      <c r="P22" s="6"/>
    </row>
    <row r="23" spans="1:16">
      <c r="A23" s="6"/>
      <c r="B23" s="6"/>
      <c r="C23" s="6"/>
      <c r="D23" s="6"/>
      <c r="E23" s="6"/>
      <c r="F23" s="6"/>
      <c r="G23" s="6"/>
      <c r="H23" s="6"/>
      <c r="I23" s="6"/>
      <c r="J23" s="6"/>
      <c r="K23" s="6"/>
      <c r="L23" s="6"/>
      <c r="M23" s="6"/>
      <c r="N23" s="6"/>
      <c r="O23" s="6"/>
      <c r="P23" s="6"/>
    </row>
    <row r="24" spans="1:16">
      <c r="A24" s="6"/>
      <c r="B24" s="6"/>
      <c r="C24" s="6"/>
      <c r="D24" s="6"/>
      <c r="E24" s="6"/>
      <c r="F24" s="6"/>
      <c r="G24" s="6"/>
      <c r="H24" s="6"/>
      <c r="I24" s="6"/>
      <c r="J24" s="6"/>
      <c r="K24" s="6"/>
      <c r="L24" s="6"/>
      <c r="M24" s="6"/>
      <c r="N24" s="6"/>
      <c r="O24" s="6"/>
      <c r="P24" s="6"/>
    </row>
    <row r="25" spans="1:16">
      <c r="A25" s="6"/>
      <c r="B25" s="6"/>
      <c r="C25" s="6"/>
      <c r="D25" s="6"/>
      <c r="E25" s="6"/>
      <c r="F25" s="6"/>
      <c r="G25" s="6"/>
      <c r="H25" s="6"/>
      <c r="I25" s="6"/>
      <c r="J25" s="6"/>
      <c r="K25" s="6"/>
      <c r="L25" s="6"/>
      <c r="M25" s="6"/>
      <c r="N25" s="6"/>
      <c r="O25" s="6"/>
      <c r="P25" s="6"/>
    </row>
    <row r="26" spans="1:16">
      <c r="A26" s="6"/>
      <c r="B26" s="6"/>
      <c r="C26" s="6"/>
      <c r="D26" s="6"/>
      <c r="E26" s="6"/>
      <c r="F26" s="6"/>
      <c r="G26" s="6"/>
      <c r="H26" s="6"/>
      <c r="I26" s="6"/>
      <c r="J26" s="6"/>
      <c r="K26" s="6"/>
      <c r="L26" s="6"/>
      <c r="M26" s="6"/>
      <c r="N26" s="6"/>
      <c r="O26" s="6"/>
      <c r="P26" s="6"/>
    </row>
    <row r="27" spans="1:16">
      <c r="A27" s="6"/>
      <c r="B27" s="6"/>
      <c r="C27" s="6"/>
      <c r="D27" s="6"/>
      <c r="E27" s="6"/>
      <c r="F27" s="6"/>
      <c r="G27" s="6"/>
      <c r="H27" s="6"/>
      <c r="I27" s="6"/>
      <c r="J27" s="6"/>
      <c r="K27" s="6"/>
      <c r="L27" s="6"/>
      <c r="M27" s="6"/>
      <c r="N27" s="6"/>
      <c r="O27" s="6"/>
      <c r="P27" s="6"/>
    </row>
    <row r="28" spans="1:16">
      <c r="A28" s="6"/>
      <c r="B28" s="6"/>
      <c r="C28" s="6"/>
      <c r="D28" s="6"/>
      <c r="E28" s="6"/>
      <c r="F28" s="6"/>
      <c r="G28" s="6"/>
      <c r="H28" s="6"/>
      <c r="I28" s="6"/>
      <c r="J28" s="6"/>
      <c r="K28" s="6"/>
      <c r="L28" s="6"/>
      <c r="M28" s="6"/>
      <c r="N28" s="6"/>
      <c r="O28" s="6"/>
      <c r="P28" s="6"/>
    </row>
    <row r="29" spans="1:16">
      <c r="A29" s="6"/>
      <c r="B29" s="6"/>
      <c r="C29" s="6"/>
      <c r="D29" s="6"/>
      <c r="E29" s="6"/>
      <c r="F29" s="6"/>
      <c r="G29" s="6"/>
      <c r="H29" s="6"/>
      <c r="I29" s="6"/>
      <c r="J29" s="6"/>
      <c r="K29" s="6"/>
      <c r="L29" s="6"/>
      <c r="M29" s="6"/>
      <c r="N29" s="6"/>
      <c r="O29" s="6"/>
      <c r="P29" s="6"/>
    </row>
    <row r="30" spans="1:16">
      <c r="A30" s="6"/>
      <c r="B30" s="6"/>
      <c r="C30" s="6"/>
      <c r="D30" s="6"/>
      <c r="E30" s="6"/>
      <c r="F30" s="6"/>
      <c r="G30" s="6"/>
      <c r="H30" s="6"/>
      <c r="I30" s="6"/>
      <c r="J30" s="6"/>
      <c r="K30" s="6"/>
      <c r="L30" s="6"/>
      <c r="M30" s="6"/>
      <c r="N30" s="6"/>
      <c r="O30" s="6"/>
      <c r="P30" s="6"/>
    </row>
    <row r="31" spans="1:16">
      <c r="A31" s="6"/>
      <c r="B31" s="6"/>
      <c r="C31" s="6"/>
      <c r="D31" s="6"/>
      <c r="E31" s="6"/>
      <c r="F31" s="6"/>
      <c r="G31" s="6"/>
      <c r="H31" s="6"/>
      <c r="I31" s="6"/>
      <c r="J31" s="6"/>
      <c r="K31" s="6"/>
      <c r="L31" s="6"/>
      <c r="M31" s="6"/>
      <c r="N31" s="6"/>
      <c r="O31" s="6"/>
      <c r="P31" s="6"/>
    </row>
    <row r="32" spans="1:16">
      <c r="A32" s="6"/>
      <c r="B32" s="6"/>
      <c r="C32" s="6"/>
      <c r="D32" s="6"/>
      <c r="E32" s="6"/>
      <c r="F32" s="6"/>
      <c r="G32" s="6"/>
      <c r="H32" s="6"/>
      <c r="I32" s="6"/>
      <c r="J32" s="6"/>
      <c r="K32" s="6"/>
      <c r="L32" s="6"/>
      <c r="M32" s="6"/>
      <c r="N32" s="6"/>
      <c r="O32" s="6"/>
      <c r="P32" s="6"/>
    </row>
    <row r="33" spans="1:16">
      <c r="A33" s="6"/>
      <c r="B33" s="6"/>
      <c r="C33" s="6"/>
      <c r="D33" s="6"/>
      <c r="E33" s="6"/>
      <c r="F33" s="6"/>
      <c r="G33" s="6"/>
      <c r="H33" s="6"/>
      <c r="I33" s="6"/>
      <c r="J33" s="6"/>
      <c r="K33" s="6"/>
      <c r="L33" s="6"/>
      <c r="M33" s="6"/>
      <c r="N33" s="6"/>
      <c r="O33" s="6"/>
      <c r="P33" s="6"/>
    </row>
    <row r="34" spans="1:16">
      <c r="A34" s="6"/>
      <c r="B34" s="6"/>
      <c r="C34" s="6"/>
      <c r="D34" s="6"/>
      <c r="E34" s="6"/>
      <c r="F34" s="6"/>
      <c r="G34" s="6"/>
      <c r="H34" s="6"/>
      <c r="I34" s="6"/>
      <c r="J34" s="6"/>
      <c r="K34" s="6"/>
      <c r="L34" s="6"/>
      <c r="M34" s="6"/>
      <c r="N34" s="6"/>
      <c r="O34" s="6"/>
      <c r="P34" s="6"/>
    </row>
    <row r="35" spans="1:16">
      <c r="A35" s="6"/>
      <c r="B35" s="6"/>
      <c r="C35" s="6"/>
      <c r="D35" s="6"/>
      <c r="E35" s="6"/>
      <c r="F35" s="6"/>
      <c r="G35" s="6"/>
      <c r="H35" s="6"/>
      <c r="I35" s="6"/>
      <c r="J35" s="6"/>
      <c r="K35" s="6"/>
      <c r="L35" s="6"/>
      <c r="M35" s="6"/>
      <c r="N35" s="6"/>
      <c r="O35" s="6"/>
      <c r="P35" s="6"/>
    </row>
    <row r="36" spans="1:16">
      <c r="A36" s="6"/>
      <c r="B36" s="6"/>
      <c r="C36" s="6"/>
      <c r="D36" s="6"/>
      <c r="E36" s="6"/>
      <c r="F36" s="6"/>
      <c r="G36" s="6"/>
      <c r="H36" s="6"/>
      <c r="I36" s="6"/>
      <c r="J36" s="6"/>
      <c r="K36" s="6"/>
      <c r="L36" s="6"/>
      <c r="M36" s="6"/>
      <c r="N36" s="6"/>
      <c r="O36" s="6"/>
      <c r="P36" s="6"/>
    </row>
    <row r="37" spans="1:16">
      <c r="A37" s="6"/>
      <c r="B37" s="6"/>
      <c r="C37" s="6"/>
      <c r="D37" s="6"/>
      <c r="E37" s="6"/>
      <c r="F37" s="6"/>
      <c r="G37" s="6"/>
      <c r="H37" s="6"/>
      <c r="I37" s="6"/>
      <c r="J37" s="6"/>
      <c r="K37" s="6"/>
      <c r="L37" s="6"/>
      <c r="M37" s="6"/>
      <c r="N37" s="6"/>
      <c r="O37" s="6"/>
      <c r="P37" s="6"/>
    </row>
    <row r="38" spans="1:16">
      <c r="A38" s="6"/>
      <c r="B38" s="6"/>
      <c r="C38" s="6"/>
      <c r="D38" s="6"/>
      <c r="E38" s="6"/>
      <c r="F38" s="6"/>
      <c r="G38" s="6"/>
      <c r="H38" s="6"/>
      <c r="I38" s="6"/>
      <c r="J38" s="6"/>
      <c r="K38" s="6"/>
      <c r="L38" s="6"/>
      <c r="M38" s="6"/>
      <c r="N38" s="6"/>
      <c r="O38" s="6"/>
      <c r="P38" s="6"/>
    </row>
    <row r="39" spans="1:16">
      <c r="A39" s="6"/>
      <c r="B39" s="6"/>
      <c r="C39" s="6"/>
      <c r="D39" s="6"/>
      <c r="E39" s="6"/>
      <c r="F39" s="6"/>
      <c r="G39" s="6"/>
      <c r="H39" s="6"/>
      <c r="I39" s="6"/>
      <c r="J39" s="6"/>
      <c r="K39" s="6"/>
      <c r="L39" s="6"/>
      <c r="M39" s="6"/>
      <c r="N39" s="6"/>
      <c r="O39" s="6"/>
      <c r="P39" s="6"/>
    </row>
    <row r="40" spans="1:16">
      <c r="A40" s="6"/>
      <c r="B40" s="6"/>
      <c r="C40" s="6"/>
      <c r="D40" s="6"/>
      <c r="E40" s="6"/>
      <c r="F40" s="6"/>
      <c r="G40" s="6"/>
      <c r="H40" s="6"/>
      <c r="I40" s="6"/>
      <c r="J40" s="6"/>
      <c r="K40" s="6"/>
      <c r="L40" s="6"/>
      <c r="M40" s="6"/>
      <c r="N40" s="6"/>
      <c r="O40" s="6"/>
      <c r="P40" s="6"/>
    </row>
    <row r="41" spans="1:16">
      <c r="A41" s="6"/>
      <c r="B41" s="6"/>
      <c r="C41" s="6"/>
      <c r="D41" s="6"/>
      <c r="E41" s="6"/>
      <c r="F41" s="6"/>
      <c r="G41" s="6"/>
      <c r="H41" s="6"/>
      <c r="I41" s="6"/>
      <c r="J41" s="6"/>
      <c r="K41" s="6"/>
      <c r="L41" s="6"/>
      <c r="M41" s="6"/>
      <c r="N41" s="6"/>
      <c r="O41" s="6"/>
      <c r="P41" s="6"/>
    </row>
    <row r="42" spans="1:16">
      <c r="A42" s="6"/>
      <c r="B42" s="6"/>
      <c r="C42" s="6"/>
      <c r="D42" s="6"/>
      <c r="E42" s="6"/>
      <c r="F42" s="6"/>
      <c r="G42" s="6"/>
      <c r="H42" s="6"/>
      <c r="I42" s="6"/>
      <c r="J42" s="6"/>
      <c r="K42" s="6"/>
      <c r="L42" s="6"/>
      <c r="M42" s="6"/>
      <c r="N42" s="6"/>
      <c r="O42" s="6"/>
      <c r="P42" s="6"/>
    </row>
    <row r="43" spans="1:16">
      <c r="A43" s="6"/>
      <c r="B43" s="6"/>
      <c r="C43" s="6"/>
      <c r="D43" s="6"/>
      <c r="E43" s="6"/>
      <c r="F43" s="6"/>
      <c r="G43" s="6"/>
      <c r="H43" s="6"/>
      <c r="I43" s="6"/>
      <c r="J43" s="6"/>
      <c r="K43" s="6"/>
      <c r="L43" s="6"/>
      <c r="M43" s="6"/>
      <c r="N43" s="6"/>
      <c r="O43" s="6"/>
      <c r="P43" s="6"/>
    </row>
    <row r="44" spans="1:16">
      <c r="A44" s="6"/>
      <c r="B44" s="6"/>
      <c r="C44" s="6"/>
      <c r="D44" s="6"/>
      <c r="E44" s="6"/>
      <c r="F44" s="6"/>
      <c r="G44" s="6"/>
      <c r="H44" s="6"/>
      <c r="I44" s="6"/>
      <c r="J44" s="6"/>
      <c r="K44" s="6"/>
      <c r="L44" s="6"/>
      <c r="M44" s="6"/>
      <c r="N44" s="6"/>
      <c r="O44" s="6"/>
      <c r="P44" s="6"/>
    </row>
    <row r="45" spans="1:16">
      <c r="A45" s="6"/>
      <c r="B45" s="6"/>
      <c r="C45" s="6"/>
      <c r="D45" s="6"/>
      <c r="E45" s="6"/>
      <c r="F45" s="6"/>
      <c r="G45" s="6"/>
      <c r="H45" s="6"/>
      <c r="I45" s="6"/>
      <c r="J45" s="6"/>
      <c r="K45" s="6"/>
      <c r="L45" s="6"/>
      <c r="M45" s="6"/>
      <c r="N45" s="6"/>
      <c r="O45" s="6"/>
      <c r="P45" s="6"/>
    </row>
    <row r="46" spans="1:16">
      <c r="A46" s="6"/>
      <c r="B46" s="6"/>
      <c r="C46" s="6"/>
      <c r="D46" s="6"/>
      <c r="E46" s="6"/>
      <c r="F46" s="6"/>
      <c r="G46" s="6"/>
      <c r="H46" s="6"/>
      <c r="I46" s="6"/>
      <c r="J46" s="6"/>
      <c r="K46" s="6"/>
      <c r="L46" s="6"/>
      <c r="M46" s="6"/>
      <c r="N46" s="6"/>
      <c r="O46" s="6"/>
      <c r="P46" s="6"/>
    </row>
    <row r="47" spans="1:16">
      <c r="A47" s="6"/>
      <c r="B47" s="6"/>
      <c r="C47" s="6"/>
      <c r="D47" s="6"/>
      <c r="E47" s="6"/>
      <c r="F47" s="6"/>
      <c r="G47" s="6"/>
      <c r="H47" s="6"/>
      <c r="I47" s="6"/>
      <c r="J47" s="6"/>
      <c r="K47" s="6"/>
      <c r="L47" s="6"/>
      <c r="M47" s="6"/>
      <c r="N47" s="6"/>
      <c r="O47" s="6"/>
      <c r="P47" s="6"/>
    </row>
    <row r="48" spans="1:16">
      <c r="A48" s="6"/>
      <c r="B48" s="6"/>
      <c r="C48" s="6"/>
      <c r="D48" s="6"/>
      <c r="E48" s="6"/>
      <c r="F48" s="6"/>
      <c r="G48" s="6"/>
      <c r="H48" s="6"/>
      <c r="I48" s="6"/>
      <c r="J48" s="6"/>
      <c r="K48" s="6"/>
      <c r="L48" s="6"/>
      <c r="M48" s="6"/>
      <c r="N48" s="6"/>
      <c r="O48" s="6"/>
      <c r="P48" s="6"/>
    </row>
    <row r="49" spans="1:16">
      <c r="A49" s="6"/>
      <c r="B49" s="6"/>
      <c r="C49" s="6"/>
      <c r="D49" s="6"/>
      <c r="E49" s="6"/>
      <c r="F49" s="6"/>
      <c r="G49" s="6"/>
      <c r="H49" s="6"/>
      <c r="I49" s="6"/>
      <c r="J49" s="6"/>
      <c r="K49" s="6"/>
      <c r="L49" s="6"/>
      <c r="M49" s="6"/>
      <c r="N49" s="6"/>
      <c r="O49" s="6"/>
      <c r="P49" s="6"/>
    </row>
    <row r="50" spans="1:16">
      <c r="A50" s="6"/>
      <c r="B50" s="6"/>
      <c r="C50" s="6"/>
      <c r="D50" s="6"/>
      <c r="E50" s="6"/>
      <c r="F50" s="6"/>
      <c r="G50" s="6"/>
      <c r="H50" s="6"/>
      <c r="I50" s="6"/>
      <c r="J50" s="6"/>
      <c r="K50" s="6"/>
      <c r="L50" s="6"/>
      <c r="M50" s="6"/>
      <c r="N50" s="6"/>
      <c r="O50" s="6"/>
      <c r="P50" s="6"/>
    </row>
    <row r="51" spans="1:16">
      <c r="A51" s="6"/>
      <c r="B51" s="6"/>
      <c r="C51" s="6"/>
      <c r="D51" s="6"/>
      <c r="E51" s="6"/>
      <c r="F51" s="6"/>
      <c r="G51" s="6"/>
      <c r="H51" s="6"/>
      <c r="I51" s="6"/>
      <c r="J51" s="6"/>
      <c r="K51" s="6"/>
      <c r="L51" s="6"/>
      <c r="M51" s="6"/>
      <c r="N51" s="6"/>
      <c r="O51" s="6"/>
      <c r="P51" s="6"/>
    </row>
    <row r="52" spans="1:16">
      <c r="A52" s="6"/>
      <c r="B52" s="6"/>
      <c r="C52" s="6"/>
      <c r="D52" s="6"/>
      <c r="E52" s="6"/>
      <c r="F52" s="6"/>
      <c r="G52" s="6"/>
      <c r="H52" s="6"/>
      <c r="I52" s="6"/>
      <c r="J52" s="6"/>
      <c r="K52" s="6"/>
      <c r="L52" s="6"/>
      <c r="M52" s="6"/>
      <c r="N52" s="6"/>
      <c r="O52" s="6"/>
      <c r="P52" s="6"/>
    </row>
    <row r="53" spans="1:16">
      <c r="A53" s="6"/>
      <c r="B53" s="6"/>
      <c r="C53" s="6"/>
      <c r="D53" s="6"/>
      <c r="E53" s="6"/>
      <c r="F53" s="6"/>
      <c r="G53" s="6"/>
      <c r="H53" s="6"/>
      <c r="I53" s="6"/>
      <c r="J53" s="6"/>
      <c r="K53" s="6"/>
      <c r="L53" s="6"/>
      <c r="M53" s="6"/>
      <c r="N53" s="6"/>
      <c r="O53" s="6"/>
      <c r="P53" s="6"/>
    </row>
    <row r="54" spans="1:16">
      <c r="A54" s="6"/>
      <c r="B54" s="6"/>
      <c r="C54" s="6"/>
      <c r="D54" s="6"/>
      <c r="E54" s="6"/>
      <c r="F54" s="6"/>
      <c r="G54" s="6"/>
      <c r="H54" s="6"/>
      <c r="I54" s="6"/>
      <c r="J54" s="6"/>
      <c r="K54" s="6"/>
      <c r="L54" s="6"/>
      <c r="M54" s="6"/>
      <c r="N54" s="6"/>
      <c r="O54" s="6"/>
      <c r="P54" s="6"/>
    </row>
    <row r="55" spans="1:16">
      <c r="A55" s="6"/>
      <c r="B55" s="6"/>
      <c r="C55" s="6"/>
      <c r="D55" s="6"/>
      <c r="E55" s="6"/>
      <c r="F55" s="6"/>
      <c r="G55" s="6"/>
      <c r="H55" s="6"/>
      <c r="I55" s="6"/>
      <c r="J55" s="6"/>
      <c r="K55" s="6"/>
      <c r="L55" s="6"/>
      <c r="M55" s="6"/>
      <c r="N55" s="6"/>
      <c r="O55" s="6"/>
      <c r="P55" s="6"/>
    </row>
    <row r="56" spans="1:16">
      <c r="A56" s="6"/>
      <c r="B56" s="6"/>
      <c r="C56" s="6"/>
      <c r="D56" s="6"/>
      <c r="E56" s="6"/>
      <c r="F56" s="6"/>
      <c r="G56" s="6"/>
      <c r="H56" s="6"/>
      <c r="I56" s="6"/>
      <c r="J56" s="6"/>
      <c r="K56" s="6"/>
      <c r="L56" s="6"/>
      <c r="M56" s="6"/>
      <c r="N56" s="6"/>
      <c r="O56" s="6"/>
      <c r="P56" s="6"/>
    </row>
    <row r="57" spans="1:16">
      <c r="A57" s="6"/>
      <c r="B57" s="6"/>
      <c r="C57" s="6"/>
      <c r="D57" s="6"/>
      <c r="E57" s="6"/>
      <c r="F57" s="6"/>
      <c r="G57" s="6"/>
      <c r="H57" s="6"/>
      <c r="I57" s="6"/>
      <c r="J57" s="6"/>
      <c r="K57" s="6"/>
      <c r="L57" s="6"/>
      <c r="M57" s="6"/>
      <c r="N57" s="6"/>
      <c r="O57" s="6"/>
      <c r="P57" s="6"/>
    </row>
    <row r="58" spans="1:16">
      <c r="A58" s="6"/>
      <c r="B58" s="6"/>
      <c r="C58" s="6"/>
      <c r="D58" s="6"/>
      <c r="E58" s="6"/>
      <c r="F58" s="6"/>
      <c r="G58" s="6"/>
      <c r="H58" s="6"/>
      <c r="I58" s="6"/>
      <c r="J58" s="6"/>
      <c r="K58" s="6"/>
      <c r="L58" s="6"/>
      <c r="M58" s="6"/>
      <c r="N58" s="6"/>
      <c r="O58" s="6"/>
      <c r="P58" s="6"/>
    </row>
    <row r="59" spans="1:16">
      <c r="A59" s="6"/>
      <c r="B59" s="6"/>
      <c r="C59" s="6"/>
      <c r="D59" s="6"/>
      <c r="E59" s="6"/>
      <c r="F59" s="6"/>
      <c r="G59" s="6"/>
      <c r="H59" s="6"/>
      <c r="I59" s="6"/>
      <c r="J59" s="6"/>
      <c r="K59" s="6"/>
      <c r="L59" s="6"/>
      <c r="M59" s="6"/>
      <c r="N59" s="6"/>
      <c r="O59" s="6"/>
      <c r="P59" s="6"/>
    </row>
    <row r="60" spans="1:16">
      <c r="A60" s="6"/>
      <c r="B60" s="6"/>
      <c r="C60" s="6"/>
      <c r="D60" s="6"/>
      <c r="E60" s="6"/>
      <c r="F60" s="6"/>
      <c r="G60" s="6"/>
      <c r="H60" s="6"/>
      <c r="I60" s="6"/>
      <c r="J60" s="6"/>
      <c r="K60" s="6"/>
      <c r="L60" s="6"/>
      <c r="M60" s="6"/>
      <c r="N60" s="6"/>
      <c r="O60" s="6"/>
      <c r="P60" s="6"/>
    </row>
    <row r="61" spans="1:16">
      <c r="A61" s="6"/>
      <c r="B61" s="6"/>
      <c r="C61" s="6"/>
      <c r="D61" s="6"/>
      <c r="E61" s="6"/>
      <c r="F61" s="6"/>
      <c r="G61" s="6"/>
      <c r="H61" s="6"/>
      <c r="I61" s="6"/>
      <c r="J61" s="6"/>
      <c r="K61" s="6"/>
      <c r="L61" s="6"/>
      <c r="M61" s="6"/>
      <c r="N61" s="6"/>
      <c r="O61" s="6"/>
      <c r="P61" s="6"/>
    </row>
    <row r="62" spans="1:16">
      <c r="A62" s="6"/>
      <c r="B62" s="6"/>
      <c r="C62" s="6"/>
      <c r="D62" s="6"/>
      <c r="E62" s="6"/>
      <c r="F62" s="6"/>
      <c r="G62" s="6"/>
      <c r="H62" s="6"/>
      <c r="I62" s="6"/>
      <c r="J62" s="6"/>
      <c r="K62" s="6"/>
      <c r="L62" s="6"/>
      <c r="M62" s="6"/>
      <c r="N62" s="6"/>
      <c r="O62" s="6"/>
      <c r="P62" s="6"/>
    </row>
    <row r="63" spans="1:16">
      <c r="A63" s="6"/>
      <c r="B63" s="6"/>
      <c r="C63" s="6"/>
      <c r="D63" s="6"/>
      <c r="E63" s="6"/>
      <c r="F63" s="6"/>
      <c r="G63" s="6"/>
      <c r="H63" s="6"/>
      <c r="I63" s="6"/>
      <c r="J63" s="6"/>
      <c r="K63" s="6"/>
      <c r="L63" s="6"/>
      <c r="M63" s="6"/>
      <c r="N63" s="6"/>
      <c r="O63" s="6"/>
      <c r="P63" s="6"/>
    </row>
    <row r="64" spans="1:16">
      <c r="A64" s="6"/>
      <c r="B64" s="6"/>
      <c r="C64" s="6"/>
      <c r="D64" s="6"/>
      <c r="E64" s="6"/>
      <c r="F64" s="6"/>
      <c r="G64" s="6"/>
      <c r="H64" s="6"/>
      <c r="I64" s="6"/>
      <c r="J64" s="6"/>
      <c r="K64" s="6"/>
      <c r="L64" s="6"/>
      <c r="M64" s="6"/>
      <c r="N64" s="6"/>
      <c r="O64" s="6"/>
      <c r="P64" s="6"/>
    </row>
    <row r="65" spans="1:16">
      <c r="A65" s="6"/>
      <c r="B65" s="6"/>
      <c r="C65" s="6"/>
      <c r="D65" s="6"/>
      <c r="E65" s="6"/>
      <c r="F65" s="6"/>
      <c r="G65" s="6"/>
      <c r="H65" s="6"/>
      <c r="I65" s="6"/>
      <c r="J65" s="6"/>
      <c r="K65" s="6"/>
      <c r="L65" s="6"/>
      <c r="M65" s="6"/>
      <c r="N65" s="6"/>
      <c r="O65" s="6"/>
      <c r="P65" s="6"/>
    </row>
    <row r="66" spans="1:16">
      <c r="A66" s="6"/>
      <c r="B66" s="6"/>
      <c r="C66" s="6"/>
      <c r="D66" s="6"/>
      <c r="E66" s="6"/>
      <c r="F66" s="6"/>
      <c r="G66" s="6"/>
      <c r="H66" s="6"/>
      <c r="I66" s="6"/>
      <c r="J66" s="6"/>
      <c r="K66" s="6"/>
      <c r="L66" s="6"/>
      <c r="M66" s="6"/>
      <c r="N66" s="6"/>
      <c r="O66" s="6"/>
      <c r="P66" s="6"/>
    </row>
    <row r="67" spans="1:16">
      <c r="A67" s="6"/>
      <c r="B67" s="6"/>
      <c r="C67" s="6"/>
      <c r="D67" s="6"/>
      <c r="E67" s="6"/>
      <c r="F67" s="6"/>
      <c r="G67" s="6"/>
      <c r="H67" s="6"/>
      <c r="I67" s="6"/>
      <c r="J67" s="6"/>
      <c r="K67" s="6"/>
      <c r="L67" s="6"/>
      <c r="M67" s="6"/>
      <c r="N67" s="6"/>
      <c r="O67" s="6"/>
      <c r="P67" s="6"/>
    </row>
    <row r="68" spans="1:16">
      <c r="A68" s="6"/>
      <c r="B68" s="6"/>
      <c r="C68" s="6"/>
      <c r="D68" s="6"/>
      <c r="E68" s="6"/>
      <c r="F68" s="6"/>
      <c r="G68" s="6"/>
      <c r="H68" s="6"/>
      <c r="I68" s="6"/>
      <c r="J68" s="6"/>
      <c r="K68" s="6"/>
      <c r="L68" s="6"/>
      <c r="M68" s="6"/>
      <c r="N68" s="6"/>
      <c r="O68" s="6"/>
      <c r="P68" s="6"/>
    </row>
    <row r="69" spans="1:16">
      <c r="A69" s="6"/>
      <c r="B69" s="6"/>
      <c r="C69" s="6"/>
      <c r="D69" s="6"/>
      <c r="E69" s="6"/>
      <c r="F69" s="6"/>
      <c r="G69" s="6"/>
      <c r="H69" s="6"/>
      <c r="I69" s="6"/>
      <c r="J69" s="6"/>
      <c r="K69" s="6"/>
      <c r="L69" s="6"/>
      <c r="M69" s="6"/>
      <c r="N69" s="6"/>
      <c r="O69" s="6"/>
      <c r="P69" s="6"/>
    </row>
    <row r="70" spans="1:16">
      <c r="A70" s="6"/>
      <c r="B70" s="6"/>
      <c r="C70" s="6"/>
      <c r="D70" s="6"/>
      <c r="E70" s="6"/>
      <c r="F70" s="6"/>
      <c r="G70" s="6"/>
      <c r="H70" s="6"/>
      <c r="I70" s="6"/>
      <c r="J70" s="6"/>
      <c r="K70" s="6"/>
      <c r="L70" s="6"/>
      <c r="M70" s="6"/>
      <c r="N70" s="6"/>
      <c r="O70" s="6"/>
      <c r="P70" s="6"/>
    </row>
    <row r="71" spans="1:16">
      <c r="A71" s="6"/>
      <c r="B71" s="6"/>
      <c r="C71" s="6"/>
      <c r="D71" s="6"/>
      <c r="E71" s="6"/>
      <c r="F71" s="6"/>
      <c r="G71" s="6"/>
      <c r="H71" s="6"/>
      <c r="I71" s="6"/>
      <c r="J71" s="6"/>
      <c r="K71" s="6"/>
      <c r="L71" s="6"/>
      <c r="M71" s="6"/>
      <c r="N71" s="6"/>
      <c r="O71" s="6"/>
      <c r="P71" s="6"/>
    </row>
    <row r="72" spans="1:16">
      <c r="A72" s="6"/>
      <c r="B72" s="6"/>
      <c r="C72" s="6"/>
      <c r="D72" s="6"/>
      <c r="E72" s="6"/>
      <c r="F72" s="6"/>
      <c r="G72" s="6"/>
      <c r="H72" s="6"/>
      <c r="I72" s="6"/>
      <c r="J72" s="6"/>
      <c r="K72" s="6"/>
      <c r="L72" s="6"/>
      <c r="M72" s="6"/>
      <c r="N72" s="6"/>
      <c r="O72" s="6"/>
      <c r="P72" s="6"/>
    </row>
    <row r="73" spans="1:16">
      <c r="A73" s="6"/>
      <c r="B73" s="6"/>
      <c r="C73" s="6"/>
      <c r="D73" s="6"/>
      <c r="E73" s="6"/>
      <c r="F73" s="6"/>
      <c r="G73" s="6"/>
      <c r="H73" s="6"/>
      <c r="I73" s="6"/>
      <c r="J73" s="6"/>
      <c r="K73" s="6"/>
      <c r="L73" s="6"/>
      <c r="M73" s="6"/>
      <c r="N73" s="6"/>
      <c r="O73" s="6"/>
      <c r="P73" s="6"/>
    </row>
    <row r="74" spans="1:16">
      <c r="A74" s="6"/>
      <c r="B74" s="6"/>
      <c r="C74" s="6"/>
      <c r="D74" s="6"/>
      <c r="E74" s="6"/>
      <c r="F74" s="6"/>
      <c r="G74" s="6"/>
      <c r="H74" s="6"/>
      <c r="I74" s="6"/>
      <c r="J74" s="6"/>
      <c r="K74" s="6"/>
      <c r="L74" s="6"/>
      <c r="M74" s="6"/>
      <c r="N74" s="6"/>
      <c r="O74" s="6"/>
      <c r="P74" s="6"/>
    </row>
    <row r="75" spans="1:16">
      <c r="A75" s="6"/>
      <c r="B75" s="6"/>
      <c r="C75" s="6"/>
      <c r="D75" s="6"/>
      <c r="E75" s="6"/>
      <c r="F75" s="6"/>
      <c r="G75" s="6"/>
      <c r="H75" s="6"/>
      <c r="I75" s="6"/>
      <c r="J75" s="6"/>
      <c r="K75" s="6"/>
      <c r="L75" s="6"/>
      <c r="M75" s="6"/>
      <c r="N75" s="6"/>
      <c r="O75" s="6"/>
      <c r="P75" s="6"/>
    </row>
    <row r="76" spans="1:16">
      <c r="A76" s="6"/>
      <c r="B76" s="6"/>
      <c r="C76" s="6"/>
      <c r="D76" s="6"/>
      <c r="E76" s="6"/>
      <c r="F76" s="6"/>
      <c r="G76" s="6"/>
      <c r="H76" s="6"/>
      <c r="I76" s="6"/>
      <c r="J76" s="6"/>
      <c r="K76" s="6"/>
      <c r="L76" s="6"/>
      <c r="M76" s="6"/>
      <c r="N76" s="6"/>
      <c r="O76" s="6"/>
      <c r="P76" s="6"/>
    </row>
    <row r="77" spans="1:16">
      <c r="A77" s="6"/>
      <c r="B77" s="6"/>
      <c r="C77" s="6"/>
      <c r="D77" s="6"/>
      <c r="E77" s="6"/>
      <c r="F77" s="6"/>
      <c r="G77" s="6"/>
      <c r="H77" s="6"/>
      <c r="I77" s="6"/>
      <c r="J77" s="6"/>
      <c r="K77" s="6"/>
      <c r="L77" s="6"/>
      <c r="M77" s="6"/>
      <c r="N77" s="6"/>
      <c r="O77" s="6"/>
      <c r="P77" s="6"/>
    </row>
    <row r="78" spans="1:16">
      <c r="A78" s="6"/>
      <c r="B78" s="6"/>
      <c r="C78" s="6"/>
      <c r="D78" s="6"/>
      <c r="E78" s="6"/>
      <c r="F78" s="6"/>
      <c r="G78" s="6"/>
      <c r="H78" s="6"/>
      <c r="I78" s="6"/>
      <c r="J78" s="6"/>
      <c r="K78" s="6"/>
      <c r="L78" s="6"/>
      <c r="M78" s="6"/>
      <c r="N78" s="6"/>
      <c r="O78" s="6"/>
      <c r="P78" s="6"/>
    </row>
    <row r="79" spans="1:16">
      <c r="A79" s="6"/>
      <c r="B79" s="6"/>
      <c r="C79" s="6"/>
      <c r="D79" s="6"/>
      <c r="E79" s="6"/>
      <c r="F79" s="6"/>
      <c r="G79" s="6"/>
      <c r="H79" s="6"/>
      <c r="I79" s="6"/>
      <c r="J79" s="6"/>
      <c r="K79" s="6"/>
      <c r="L79" s="6"/>
      <c r="M79" s="6"/>
      <c r="N79" s="6"/>
      <c r="O79" s="6"/>
      <c r="P79" s="6"/>
    </row>
    <row r="80" spans="1:16">
      <c r="A80" s="6"/>
      <c r="B80" s="6"/>
      <c r="C80" s="6"/>
      <c r="D80" s="6"/>
      <c r="E80" s="6"/>
      <c r="F80" s="6"/>
      <c r="G80" s="6"/>
      <c r="H80" s="6"/>
      <c r="I80" s="6"/>
      <c r="J80" s="6"/>
      <c r="K80" s="6"/>
      <c r="L80" s="6"/>
      <c r="M80" s="6"/>
      <c r="N80" s="6"/>
      <c r="O80" s="6"/>
      <c r="P80" s="6"/>
    </row>
  </sheetData>
  <pageMargins left="0.35" right="0.25" top="0.32" bottom="0.5" header="0.32" footer="0.3"/>
  <pageSetup orientation="portrait" r:id="rId1"/>
  <headerFooter alignWithMargins="0">
    <oddFooter>&amp;L&amp;7&amp;D  at &amp;T Mike 702.486.8879&amp;C&amp;7Page &amp;P of &amp;N&amp;R&amp;7&amp;F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81CE9-B846-4798-9852-6D9BC3CBBF3C}">
  <sheetPr codeName="Sheet15">
    <tabColor rgb="FFFFFF99"/>
  </sheetPr>
  <dimension ref="A1:K30"/>
  <sheetViews>
    <sheetView workbookViewId="0">
      <selection activeCell="A9" sqref="A9:E9"/>
    </sheetView>
  </sheetViews>
  <sheetFormatPr defaultColWidth="8.88671875" defaultRowHeight="13.8"/>
  <cols>
    <col min="1" max="1" width="19" style="932" customWidth="1"/>
    <col min="2" max="2" width="15.109375" style="932" customWidth="1"/>
    <col min="3" max="3" width="25.44140625" style="932" customWidth="1"/>
    <col min="4" max="4" width="23.33203125" style="932" customWidth="1"/>
    <col min="5" max="5" width="14.5546875" style="932" customWidth="1"/>
    <col min="6" max="6" width="23" style="932" customWidth="1"/>
    <col min="7" max="7" width="8.88671875" style="932" customWidth="1"/>
    <col min="8" max="8" width="8.44140625" style="932" customWidth="1"/>
    <col min="9" max="9" width="38.88671875" style="932" customWidth="1"/>
    <col min="10" max="10" width="8.88671875" style="932"/>
    <col min="11" max="11" width="0" style="932" hidden="1" customWidth="1"/>
    <col min="12" max="16384" width="8.88671875" style="932"/>
  </cols>
  <sheetData>
    <row r="1" spans="1:11" ht="15.6">
      <c r="A1" s="1563" t="s">
        <v>4</v>
      </c>
      <c r="B1" s="1413"/>
      <c r="D1" s="346"/>
    </row>
    <row r="2" spans="1:11" ht="15.45" customHeight="1">
      <c r="A2" s="1416" t="str">
        <f>SchoolName</f>
        <v>Pahrump Valley Academy</v>
      </c>
      <c r="B2" s="1414"/>
      <c r="F2" s="1828" t="s">
        <v>1249</v>
      </c>
      <c r="G2" s="1828"/>
      <c r="H2" s="1828"/>
      <c r="I2" s="1828"/>
    </row>
    <row r="3" spans="1:11" ht="21">
      <c r="F3" s="1417" t="s">
        <v>1246</v>
      </c>
      <c r="G3" s="1418" t="s">
        <v>1250</v>
      </c>
      <c r="H3" s="1418" t="s">
        <v>1247</v>
      </c>
      <c r="I3" s="1417" t="s">
        <v>1248</v>
      </c>
    </row>
    <row r="4" spans="1:11" s="1415" customFormat="1">
      <c r="F4" s="1814"/>
      <c r="G4" s="1814"/>
      <c r="H4" s="1814"/>
      <c r="I4" s="1814"/>
      <c r="K4" s="1415" t="s">
        <v>1251</v>
      </c>
    </row>
    <row r="5" spans="1:11">
      <c r="F5" s="1815"/>
      <c r="G5" s="1814"/>
      <c r="H5" s="1814"/>
      <c r="I5" s="1815"/>
      <c r="K5" s="1415" t="s">
        <v>891</v>
      </c>
    </row>
    <row r="6" spans="1:11">
      <c r="F6" s="1815"/>
      <c r="G6" s="1814"/>
      <c r="H6" s="1814"/>
      <c r="I6" s="1815"/>
    </row>
    <row r="7" spans="1:11">
      <c r="F7" s="1815"/>
      <c r="G7" s="1814"/>
      <c r="H7" s="1814"/>
      <c r="I7" s="1815"/>
    </row>
    <row r="8" spans="1:11">
      <c r="A8" s="32" t="s">
        <v>1242</v>
      </c>
      <c r="B8" s="30"/>
      <c r="C8" s="30"/>
      <c r="D8" s="32"/>
      <c r="E8" s="32"/>
      <c r="G8" s="932" t="s">
        <v>1252</v>
      </c>
    </row>
    <row r="9" spans="1:11" ht="34.799999999999997">
      <c r="A9" s="1830" t="s">
        <v>1422</v>
      </c>
      <c r="B9" s="1831"/>
      <c r="C9" s="1831"/>
      <c r="D9" s="1831"/>
      <c r="E9" s="1832"/>
      <c r="G9" s="1840"/>
      <c r="H9" s="1841"/>
      <c r="I9" s="1842"/>
    </row>
    <row r="11" spans="1:11" ht="15.6">
      <c r="A11" s="1306" t="s">
        <v>1245</v>
      </c>
      <c r="C11" s="1826">
        <v>2026</v>
      </c>
      <c r="D11" s="761" t="str">
        <f>"Fiscal Year beginning July 1, 20"&amp;RIGHT(C11,2)</f>
        <v>Fiscal Year beginning July 1, 2026</v>
      </c>
    </row>
    <row r="12" spans="1:11" ht="15.6">
      <c r="A12" s="1306" t="s">
        <v>7</v>
      </c>
      <c r="C12" s="151">
        <f>+C11+1</f>
        <v>2027</v>
      </c>
      <c r="D12" s="761" t="str">
        <f>"aka Fiscal Year Ending (FYE) Jun 30, 20"&amp;RIGHT(C12,2)</f>
        <v>aka Fiscal Year Ending (FYE) Jun 30, 2027</v>
      </c>
    </row>
    <row r="13" spans="1:11">
      <c r="C13" s="151"/>
      <c r="D13" s="1401"/>
    </row>
    <row r="14" spans="1:11" ht="15.6">
      <c r="A14" s="1306" t="s">
        <v>1243</v>
      </c>
      <c r="B14" s="1306"/>
      <c r="C14" s="1419"/>
      <c r="D14" s="1420"/>
      <c r="E14" s="1421"/>
    </row>
    <row r="15" spans="1:11" ht="15.6">
      <c r="A15" s="1306" t="s">
        <v>1244</v>
      </c>
      <c r="B15" s="1306"/>
      <c r="C15" s="1419"/>
      <c r="D15" s="1420"/>
      <c r="E15" s="1421"/>
    </row>
    <row r="16" spans="1:11">
      <c r="A16" s="1412"/>
    </row>
    <row r="17" spans="1:5" hidden="1">
      <c r="A17" s="1308" t="s">
        <v>8</v>
      </c>
      <c r="B17" s="1308"/>
      <c r="C17" s="53" t="s">
        <v>9</v>
      </c>
      <c r="D17" s="1834" t="s">
        <v>10</v>
      </c>
      <c r="E17" s="1834"/>
    </row>
    <row r="18" spans="1:5" hidden="1">
      <c r="A18" s="1835" t="s">
        <v>11</v>
      </c>
      <c r="B18" s="1835"/>
      <c r="C18" s="254"/>
      <c r="D18" s="1836"/>
      <c r="E18" s="1836"/>
    </row>
    <row r="19" spans="1:5" hidden="1">
      <c r="A19" s="1837"/>
      <c r="B19" s="1837"/>
      <c r="C19" s="254"/>
      <c r="D19" s="1838"/>
      <c r="E19" s="1838"/>
    </row>
    <row r="20" spans="1:5" ht="30.75" hidden="1" customHeight="1">
      <c r="A20" s="1833" t="s">
        <v>12</v>
      </c>
      <c r="B20" s="1833"/>
      <c r="C20" s="1833"/>
      <c r="D20" s="1833"/>
      <c r="E20" s="1833"/>
    </row>
    <row r="21" spans="1:5" ht="18" hidden="1" customHeight="1">
      <c r="A21" s="1839" t="s">
        <v>11</v>
      </c>
      <c r="B21" s="1839"/>
      <c r="C21" s="1839"/>
      <c r="D21" s="1839"/>
      <c r="E21" s="1839"/>
    </row>
    <row r="22" spans="1:5" ht="18" hidden="1" customHeight="1">
      <c r="A22" s="1829" t="s">
        <v>13</v>
      </c>
      <c r="B22" s="1829"/>
      <c r="C22" s="1829"/>
      <c r="D22" s="1829"/>
      <c r="E22" s="1829"/>
    </row>
    <row r="23" spans="1:5" hidden="1">
      <c r="A23" s="74" t="s">
        <v>14</v>
      </c>
    </row>
    <row r="24" spans="1:5" hidden="1">
      <c r="A24" s="74"/>
    </row>
    <row r="25" spans="1:5" hidden="1">
      <c r="A25" s="30" t="s">
        <v>15</v>
      </c>
    </row>
    <row r="26" spans="1:5" hidden="1">
      <c r="A26" s="214"/>
      <c r="B26" s="84" t="s">
        <v>16</v>
      </c>
    </row>
    <row r="27" spans="1:5" hidden="1">
      <c r="A27" s="40"/>
      <c r="B27" s="74" t="s">
        <v>17</v>
      </c>
    </row>
    <row r="28" spans="1:5" hidden="1">
      <c r="A28" s="214"/>
      <c r="B28" s="32" t="s">
        <v>18</v>
      </c>
    </row>
    <row r="29" spans="1:5" hidden="1">
      <c r="A29" s="40"/>
    </row>
    <row r="30" spans="1:5" hidden="1">
      <c r="A30" s="214"/>
      <c r="B30" s="32" t="s">
        <v>19</v>
      </c>
    </row>
  </sheetData>
  <mergeCells count="11">
    <mergeCell ref="F2:I2"/>
    <mergeCell ref="A22:E22"/>
    <mergeCell ref="A9:E9"/>
    <mergeCell ref="A20:E20"/>
    <mergeCell ref="D17:E17"/>
    <mergeCell ref="A18:B18"/>
    <mergeCell ref="D18:E18"/>
    <mergeCell ref="A19:B19"/>
    <mergeCell ref="D19:E19"/>
    <mergeCell ref="A21:E21"/>
    <mergeCell ref="G9:I9"/>
  </mergeCells>
  <conditionalFormatting sqref="A11:A12">
    <cfRule type="cellIs" dxfId="82" priority="2" stopIfTrue="1" operator="equal">
      <formula>0</formula>
    </cfRule>
  </conditionalFormatting>
  <conditionalFormatting sqref="B26">
    <cfRule type="cellIs" dxfId="81" priority="10" stopIfTrue="1" operator="equal">
      <formula>0</formula>
    </cfRule>
  </conditionalFormatting>
  <conditionalFormatting sqref="D1">
    <cfRule type="expression" dxfId="80" priority="4" stopIfTrue="1">
      <formula>MOD(ROW(),2)=0</formula>
    </cfRule>
  </conditionalFormatting>
  <dataValidations count="1">
    <dataValidation type="list" allowBlank="1" showInputMessage="1" showErrorMessage="1" sqref="G4:H7" xr:uid="{8B2D7E19-12DD-4711-9E19-09B2C1A6B7AF}">
      <formula1>$K$4:$K$5</formula1>
    </dataValidation>
  </dataValidations>
  <printOptions horizontalCentered="1"/>
  <pageMargins left="0.25" right="0.25" top="0.5" bottom="0.45" header="0.25" footer="0.25"/>
  <pageSetup scale="98" orientation="landscape" r:id="rId1"/>
  <headerFooter>
    <oddHeader xml:space="preserve">&amp;L &amp;C &amp;R </oddHeader>
    <oddFooter>&amp;L&amp;7&amp;D  at &amp;T Mike 702.486.8879&amp;C&amp;7&amp;F  &amp;A&amp;R&amp;7Page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55338-B7CD-4126-B245-F298DB5C0541}">
  <sheetPr codeName="Sheet23">
    <tabColor rgb="FFFFFF99"/>
  </sheetPr>
  <dimension ref="A1:S37"/>
  <sheetViews>
    <sheetView workbookViewId="0">
      <selection activeCell="D18" sqref="D18"/>
    </sheetView>
  </sheetViews>
  <sheetFormatPr defaultRowHeight="15.6"/>
  <cols>
    <col min="1" max="1" width="6.33203125" style="100" customWidth="1"/>
    <col min="2" max="2" width="31.6640625" style="100" customWidth="1"/>
    <col min="3" max="4" width="11.33203125" style="100" bestFit="1" customWidth="1"/>
    <col min="10" max="10" width="14.6640625" customWidth="1"/>
    <col min="11" max="11" width="2.33203125" customWidth="1"/>
    <col min="12" max="12" width="4.6640625" customWidth="1"/>
    <col min="13" max="13" width="47.6640625" style="1101" customWidth="1"/>
  </cols>
  <sheetData>
    <row r="1" spans="1:19">
      <c r="A1" s="20" t="s">
        <v>20</v>
      </c>
      <c r="B1" s="20"/>
      <c r="C1" s="20"/>
      <c r="D1" s="20"/>
      <c r="E1" s="20"/>
      <c r="F1" s="20"/>
    </row>
    <row r="2" spans="1:19">
      <c r="A2" s="1311" t="str">
        <f>SchoolName</f>
        <v>Pahrump Valley Academy</v>
      </c>
      <c r="B2" s="1311"/>
      <c r="C2" s="1311"/>
      <c r="D2" s="1311"/>
      <c r="E2" s="101"/>
      <c r="F2" s="101"/>
    </row>
    <row r="3" spans="1:19" ht="14.4">
      <c r="A3" s="316" t="s">
        <v>0</v>
      </c>
      <c r="B3" s="316"/>
      <c r="C3" s="316"/>
      <c r="D3" s="316"/>
    </row>
    <row r="4" spans="1:19" ht="14.4">
      <c r="A4" s="317" t="str">
        <f ca="1">CELL("filename")</f>
        <v>https://csmci.sharepoint.com/sites/csmc-nevada/Shared Documents/General/CSMC/Potential Clients/Pahrump Valley Academy/Revision/[Attachment 24_Financial-Plan-Workbook Pahrump Valley Academy -Draft (3).xlsx]CF Y1 Mo</v>
      </c>
      <c r="B4" s="317"/>
      <c r="C4" s="317"/>
      <c r="D4" s="317"/>
    </row>
    <row r="5" spans="1:19">
      <c r="A5" s="1056" t="s">
        <v>21</v>
      </c>
    </row>
    <row r="6" spans="1:19">
      <c r="C6" s="1097" t="s">
        <v>22</v>
      </c>
      <c r="D6" s="1097" t="s">
        <v>22</v>
      </c>
      <c r="E6" s="32"/>
      <c r="F6" s="32"/>
    </row>
    <row r="7" spans="1:19">
      <c r="B7" s="344"/>
      <c r="C7" s="1098" t="s">
        <v>23</v>
      </c>
      <c r="D7" s="1098" t="s">
        <v>24</v>
      </c>
      <c r="E7" s="595" t="s">
        <v>25</v>
      </c>
      <c r="F7" s="58"/>
      <c r="G7" s="345"/>
      <c r="H7" s="345"/>
      <c r="I7" s="345"/>
      <c r="J7" s="345"/>
      <c r="M7" s="1100" t="s">
        <v>26</v>
      </c>
    </row>
    <row r="8" spans="1:19" ht="18.600000000000001" customHeight="1">
      <c r="B8" s="1056" t="s">
        <v>27</v>
      </c>
      <c r="C8" s="1096" t="s">
        <v>28</v>
      </c>
      <c r="F8" s="342"/>
      <c r="G8" s="342"/>
      <c r="H8" s="342"/>
      <c r="I8" s="343"/>
      <c r="J8" s="343"/>
      <c r="M8" s="594"/>
      <c r="S8" s="385"/>
    </row>
    <row r="9" spans="1:19" ht="18.600000000000001" customHeight="1">
      <c r="A9" s="1092">
        <f>ROW()</f>
        <v>9</v>
      </c>
      <c r="B9" s="1241" t="s">
        <v>29</v>
      </c>
      <c r="C9" s="1021"/>
      <c r="D9" s="1021"/>
      <c r="E9" s="1095" t="s">
        <v>30</v>
      </c>
      <c r="F9" s="1093"/>
      <c r="G9" s="1093"/>
      <c r="H9" s="1093"/>
      <c r="I9" s="1094"/>
      <c r="J9" s="1094"/>
      <c r="M9" s="594"/>
      <c r="S9" s="385"/>
    </row>
    <row r="10" spans="1:19" ht="18.600000000000001" customHeight="1">
      <c r="A10" s="1092">
        <f>ROW()</f>
        <v>10</v>
      </c>
      <c r="B10" s="1242" t="s">
        <v>31</v>
      </c>
      <c r="C10" s="1021"/>
      <c r="D10" s="1021"/>
      <c r="E10" s="1285"/>
      <c r="F10" s="66"/>
      <c r="G10" s="66"/>
      <c r="H10" s="66"/>
      <c r="I10" s="315"/>
      <c r="J10" s="315"/>
      <c r="M10" s="594" t="s">
        <v>32</v>
      </c>
      <c r="S10" s="385"/>
    </row>
    <row r="11" spans="1:19" ht="18.600000000000001" customHeight="1">
      <c r="A11" s="1092">
        <f>ROW()</f>
        <v>11</v>
      </c>
      <c r="B11" s="1242" t="s">
        <v>33</v>
      </c>
      <c r="C11" s="1021"/>
      <c r="D11" s="1021"/>
      <c r="E11" s="1286"/>
      <c r="G11" s="66"/>
      <c r="H11" s="66"/>
      <c r="I11" s="315"/>
      <c r="J11" s="315"/>
      <c r="M11" s="594"/>
      <c r="S11" s="385"/>
    </row>
    <row r="12" spans="1:19" ht="18.600000000000001" customHeight="1">
      <c r="A12" s="1092">
        <f>ROW()</f>
        <v>12</v>
      </c>
      <c r="B12" s="1242" t="s">
        <v>34</v>
      </c>
      <c r="C12" s="1021"/>
      <c r="D12" s="1021"/>
      <c r="E12" s="1285" t="s">
        <v>35</v>
      </c>
      <c r="F12" s="66"/>
      <c r="G12" s="66"/>
      <c r="H12" s="66"/>
      <c r="I12" s="315"/>
      <c r="J12" s="315"/>
      <c r="M12" s="594"/>
      <c r="S12" s="385"/>
    </row>
    <row r="13" spans="1:19" ht="18.600000000000001" customHeight="1">
      <c r="A13" s="1092">
        <f>ROW()</f>
        <v>13</v>
      </c>
      <c r="B13" s="1242" t="s">
        <v>36</v>
      </c>
      <c r="C13" s="1021"/>
      <c r="D13" s="1021"/>
      <c r="E13" s="1286"/>
      <c r="F13" s="66"/>
      <c r="G13" s="66"/>
      <c r="H13" s="66"/>
      <c r="I13" s="315"/>
      <c r="J13" s="315"/>
      <c r="M13" s="594"/>
      <c r="S13" s="385"/>
    </row>
    <row r="14" spans="1:19" ht="18.600000000000001" customHeight="1">
      <c r="A14" s="1092">
        <f>ROW()</f>
        <v>14</v>
      </c>
      <c r="B14" s="1242" t="s">
        <v>37</v>
      </c>
      <c r="C14" s="1021"/>
      <c r="D14" s="1021"/>
      <c r="E14" s="1285" t="s">
        <v>38</v>
      </c>
      <c r="F14" s="66"/>
      <c r="G14" s="66"/>
      <c r="H14" s="66"/>
      <c r="I14" s="315"/>
      <c r="J14" s="315"/>
      <c r="M14" s="594"/>
      <c r="S14" s="385"/>
    </row>
    <row r="15" spans="1:19" ht="18.600000000000001" customHeight="1">
      <c r="A15" s="1092">
        <f>ROW()</f>
        <v>15</v>
      </c>
      <c r="B15" s="1242" t="s">
        <v>39</v>
      </c>
      <c r="C15" s="1021"/>
      <c r="D15" s="1021"/>
      <c r="E15" s="1285" t="s">
        <v>40</v>
      </c>
      <c r="F15" s="66"/>
      <c r="G15" s="66"/>
      <c r="H15" s="66"/>
      <c r="I15" s="315"/>
      <c r="J15" s="315"/>
      <c r="M15" s="594"/>
      <c r="S15" s="385"/>
    </row>
    <row r="16" spans="1:19" ht="18.600000000000001" customHeight="1">
      <c r="A16" s="1092">
        <f>ROW()</f>
        <v>16</v>
      </c>
      <c r="B16" s="1242" t="s">
        <v>41</v>
      </c>
      <c r="C16" s="1021"/>
      <c r="D16" s="1021"/>
      <c r="E16" s="1285" t="s">
        <v>42</v>
      </c>
      <c r="F16" s="66"/>
      <c r="G16" s="66"/>
      <c r="H16" s="66"/>
      <c r="I16" s="315"/>
      <c r="J16" s="315"/>
      <c r="M16" s="594"/>
      <c r="S16" s="385"/>
    </row>
    <row r="17" spans="1:19" ht="18.600000000000001" customHeight="1">
      <c r="A17" s="1092">
        <f>ROW()</f>
        <v>17</v>
      </c>
      <c r="B17" s="1242" t="s">
        <v>43</v>
      </c>
      <c r="C17" s="1021"/>
      <c r="D17" s="1021"/>
      <c r="E17" s="1285" t="s">
        <v>44</v>
      </c>
      <c r="M17" s="594"/>
      <c r="S17" s="385"/>
    </row>
    <row r="18" spans="1:19" ht="21.75" customHeight="1">
      <c r="A18" s="1092">
        <f>ROW()</f>
        <v>18</v>
      </c>
      <c r="B18" s="1242" t="s">
        <v>45</v>
      </c>
      <c r="C18" s="1021"/>
      <c r="D18" s="1021"/>
      <c r="E18" s="1285" t="s">
        <v>46</v>
      </c>
      <c r="F18" s="66"/>
      <c r="G18" s="66"/>
      <c r="H18" s="66"/>
      <c r="I18" s="315"/>
      <c r="J18" s="315"/>
      <c r="M18" s="594"/>
      <c r="S18" s="385"/>
    </row>
    <row r="19" spans="1:19" ht="18.600000000000001" customHeight="1">
      <c r="A19" s="1092">
        <f>ROW()</f>
        <v>19</v>
      </c>
      <c r="B19" s="1242" t="s">
        <v>47</v>
      </c>
      <c r="C19" s="1021"/>
      <c r="D19" s="1021"/>
      <c r="E19" s="1285" t="s">
        <v>48</v>
      </c>
      <c r="F19" s="66"/>
      <c r="G19" s="66"/>
      <c r="H19" s="66"/>
      <c r="I19" s="315"/>
      <c r="J19" s="315"/>
      <c r="M19" s="594"/>
      <c r="S19" s="385"/>
    </row>
    <row r="20" spans="1:19" ht="33.6" customHeight="1">
      <c r="A20" s="1092">
        <f>ROW()</f>
        <v>20</v>
      </c>
      <c r="B20" s="1243" t="s">
        <v>49</v>
      </c>
      <c r="C20" s="1021"/>
      <c r="D20" s="1021"/>
      <c r="E20" s="1285" t="s">
        <v>50</v>
      </c>
      <c r="F20" s="66"/>
      <c r="G20" s="66"/>
      <c r="H20" s="66"/>
      <c r="I20" s="315"/>
      <c r="J20" s="315"/>
      <c r="M20" s="594"/>
      <c r="S20" s="385"/>
    </row>
    <row r="21" spans="1:19">
      <c r="A21" s="1092">
        <f>ROW()</f>
        <v>21</v>
      </c>
      <c r="B21" s="1242" t="s">
        <v>51</v>
      </c>
      <c r="C21" s="1021"/>
      <c r="D21" s="1021"/>
      <c r="E21" s="314" t="s">
        <v>52</v>
      </c>
      <c r="M21" s="594"/>
      <c r="S21" s="385"/>
    </row>
    <row r="22" spans="1:19" ht="18.600000000000001" customHeight="1">
      <c r="A22" s="1092">
        <f>ROW()</f>
        <v>22</v>
      </c>
      <c r="B22" s="1242" t="s">
        <v>53</v>
      </c>
      <c r="C22" s="1021"/>
      <c r="D22" s="1021"/>
      <c r="E22" s="314" t="s">
        <v>54</v>
      </c>
      <c r="F22" s="66"/>
      <c r="G22" s="66"/>
      <c r="H22" s="66"/>
      <c r="I22" s="315"/>
      <c r="J22" s="315"/>
      <c r="M22" s="594"/>
      <c r="S22" s="385"/>
    </row>
    <row r="23" spans="1:19" ht="32.25" customHeight="1">
      <c r="A23" s="1092">
        <f>ROW()</f>
        <v>23</v>
      </c>
      <c r="B23" s="1242" t="s">
        <v>55</v>
      </c>
      <c r="C23" s="1021"/>
      <c r="D23" s="1021"/>
      <c r="E23" s="1843" t="s">
        <v>56</v>
      </c>
      <c r="F23" s="1844"/>
      <c r="G23" s="1844"/>
      <c r="H23" s="1844"/>
      <c r="I23" s="1844"/>
      <c r="J23" s="1844"/>
      <c r="M23" s="594"/>
      <c r="S23" s="385"/>
    </row>
    <row r="24" spans="1:19" ht="18.600000000000001" customHeight="1">
      <c r="A24" s="1092">
        <f>ROW()</f>
        <v>24</v>
      </c>
      <c r="B24" s="1242" t="s">
        <v>57</v>
      </c>
      <c r="C24" s="1020" t="s">
        <v>58</v>
      </c>
      <c r="D24" s="1020" t="s">
        <v>58</v>
      </c>
      <c r="E24" s="314" t="s">
        <v>59</v>
      </c>
      <c r="F24" s="66"/>
      <c r="G24" s="66"/>
      <c r="H24" s="66"/>
      <c r="I24" s="315"/>
      <c r="J24" s="315"/>
      <c r="M24" s="594"/>
      <c r="S24" s="385"/>
    </row>
    <row r="25" spans="1:19" ht="18.600000000000001" customHeight="1">
      <c r="A25" s="1092">
        <f>ROW()</f>
        <v>25</v>
      </c>
      <c r="B25" s="1242" t="s">
        <v>60</v>
      </c>
      <c r="C25" s="1020" t="s">
        <v>58</v>
      </c>
      <c r="D25" s="1020" t="s">
        <v>58</v>
      </c>
      <c r="E25" s="314" t="s">
        <v>61</v>
      </c>
      <c r="F25" s="66"/>
      <c r="G25" s="66"/>
      <c r="H25" s="66"/>
      <c r="I25" s="315"/>
      <c r="J25" s="315"/>
      <c r="M25" s="594"/>
      <c r="S25" s="385"/>
    </row>
    <row r="26" spans="1:19" ht="18.600000000000001" customHeight="1">
      <c r="A26" s="1092">
        <f>ROW()</f>
        <v>26</v>
      </c>
      <c r="B26" s="1242" t="s">
        <v>62</v>
      </c>
      <c r="C26" s="1020" t="s">
        <v>58</v>
      </c>
      <c r="D26" s="1020" t="s">
        <v>58</v>
      </c>
      <c r="E26" s="312" t="s">
        <v>63</v>
      </c>
      <c r="F26" s="32"/>
      <c r="G26" s="32"/>
      <c r="H26" s="32"/>
      <c r="M26" s="594"/>
      <c r="S26" s="385"/>
    </row>
    <row r="27" spans="1:19" ht="18.600000000000001" customHeight="1">
      <c r="A27" s="1092">
        <f>ROW()</f>
        <v>27</v>
      </c>
      <c r="B27" s="1244" t="s">
        <v>3</v>
      </c>
      <c r="C27" s="1020" t="s">
        <v>58</v>
      </c>
      <c r="D27" s="1020" t="s">
        <v>58</v>
      </c>
      <c r="E27" s="312" t="s">
        <v>64</v>
      </c>
      <c r="F27" s="32"/>
      <c r="G27" s="32"/>
      <c r="H27" s="32"/>
      <c r="M27" s="594"/>
      <c r="S27" s="385"/>
    </row>
    <row r="28" spans="1:19" ht="18.600000000000001" customHeight="1">
      <c r="A28" s="1092">
        <f>ROW()</f>
        <v>28</v>
      </c>
      <c r="B28" s="1277" t="s">
        <v>65</v>
      </c>
      <c r="C28" s="1021"/>
      <c r="D28" s="1021"/>
      <c r="E28" s="312" t="s">
        <v>66</v>
      </c>
      <c r="S28" s="385"/>
    </row>
    <row r="29" spans="1:19" ht="18.600000000000001" customHeight="1">
      <c r="A29" s="1092">
        <f>ROW()</f>
        <v>29</v>
      </c>
      <c r="S29" s="385"/>
    </row>
    <row r="30" spans="1:19" ht="18.600000000000001" hidden="1" customHeight="1">
      <c r="A30" s="1092">
        <f>ROW()</f>
        <v>30</v>
      </c>
      <c r="B30" s="30" t="s">
        <v>15</v>
      </c>
      <c r="C30"/>
      <c r="D30"/>
      <c r="S30" s="385"/>
    </row>
    <row r="31" spans="1:19" hidden="1">
      <c r="A31" s="1092">
        <f>ROW()</f>
        <v>31</v>
      </c>
      <c r="B31" s="214"/>
      <c r="C31" s="84" t="s">
        <v>67</v>
      </c>
      <c r="D31"/>
      <c r="S31" s="385"/>
    </row>
    <row r="32" spans="1:19" hidden="1">
      <c r="A32" s="1092">
        <f>ROW()</f>
        <v>32</v>
      </c>
      <c r="B32" s="40"/>
      <c r="C32" s="74" t="s">
        <v>68</v>
      </c>
      <c r="D32"/>
      <c r="S32" s="385"/>
    </row>
    <row r="33" spans="1:19" hidden="1">
      <c r="A33" s="1092">
        <f>ROW()</f>
        <v>33</v>
      </c>
      <c r="B33" s="214"/>
      <c r="C33" s="32" t="s">
        <v>18</v>
      </c>
      <c r="D33"/>
      <c r="S33" s="385"/>
    </row>
    <row r="34" spans="1:19" hidden="1">
      <c r="A34" s="1092">
        <f>ROW()</f>
        <v>34</v>
      </c>
      <c r="B34" s="40"/>
      <c r="C34"/>
      <c r="D34"/>
      <c r="S34" s="385"/>
    </row>
    <row r="35" spans="1:19" hidden="1">
      <c r="A35" s="1092">
        <f>ROW()</f>
        <v>35</v>
      </c>
      <c r="B35" s="214"/>
      <c r="C35" s="32" t="s">
        <v>19</v>
      </c>
      <c r="D35"/>
    </row>
    <row r="36" spans="1:19" hidden="1"/>
    <row r="37" spans="1:19" hidden="1">
      <c r="B37" s="1039"/>
    </row>
  </sheetData>
  <mergeCells count="1">
    <mergeCell ref="E23:J23"/>
  </mergeCells>
  <conditionalFormatting sqref="C31">
    <cfRule type="cellIs" dxfId="79" priority="1" stopIfTrue="1" operator="equal">
      <formula>0</formula>
    </cfRule>
  </conditionalFormatting>
  <conditionalFormatting sqref="C24:D27">
    <cfRule type="cellIs" dxfId="78" priority="2" stopIfTrue="1" operator="equal">
      <formula>0</formula>
    </cfRule>
  </conditionalFormatting>
  <hyperlinks>
    <hyperlink ref="B9" location="HypLink2" display="HypLink2" xr:uid="{7D9162AF-D92F-4248-A12C-14964BF55E7E}"/>
    <hyperlink ref="B10" location="HypLink3" display="HypLink3" xr:uid="{C11764ED-49AF-4E94-A571-79759B2234AE}"/>
    <hyperlink ref="B11" location="HypLink4" display="HypLink4" xr:uid="{4B09F3E1-B185-4D83-BC5E-B5A4BA324C14}"/>
    <hyperlink ref="B12" location="HypLink5" display="HypLink5" xr:uid="{5EA45AA0-68B9-4963-8F26-2254ABCD3FDE}"/>
    <hyperlink ref="B13" location="HypLink6" display="HypLink6" xr:uid="{E820666D-67E6-4027-8755-BBCAE7760EA4}"/>
    <hyperlink ref="B14" location="HypLink7" display="HypLink7" xr:uid="{D6ECF6AC-D9D9-407C-AD68-D2CBB235801A}"/>
    <hyperlink ref="B15" location="HypLink8" display="HypLink8" xr:uid="{84AB94D7-3A28-4F5A-9A78-72B10566006F}"/>
    <hyperlink ref="B16" location="HypLink10" display="HypLink10" xr:uid="{8E51BDB3-FE24-4E50-85F6-CB75AC22527B}"/>
    <hyperlink ref="B17" location="HypLink11" display="HypLink11" xr:uid="{F928B374-250C-46BC-91B6-C98B45D462B1}"/>
    <hyperlink ref="B18" location="HypLink12" display="HypLink12" xr:uid="{A31A44E5-7DB5-4E2C-B3CC-B1E73BEF4831}"/>
    <hyperlink ref="B19" location="HypLink13" display="HypLink13" xr:uid="{C283D8BC-017D-427E-94C8-E3068CD67C45}"/>
    <hyperlink ref="B20" location="HypLink14" display="HypLink14" xr:uid="{F8B30D34-F6C9-4205-A905-9D5C0FA9D88D}"/>
    <hyperlink ref="B21" location="HypLink15" display="HypLink15" xr:uid="{233107C2-460C-42C1-9DE5-77B366FCD5B0}"/>
    <hyperlink ref="B22" location="HypLink16" display="HypLink16" xr:uid="{32F28830-12F5-4931-BF54-D56CB8055B56}"/>
    <hyperlink ref="B23" location="HypLink17" display="HypLink17" xr:uid="{6EDF4990-56F9-4E63-8EFB-8AEF34C592F8}"/>
    <hyperlink ref="B24" location="HypLink18" display="HypLink18" xr:uid="{1E05B101-3450-40A9-843A-4FBF37BE668F}"/>
    <hyperlink ref="B25" location="HypLink19" display="HypLink19" xr:uid="{3EA926C5-B772-4B36-8806-94C49FD0BD72}"/>
    <hyperlink ref="B26" location="HypLink25" display="HypLink25" xr:uid="{650F1845-4B0C-43EF-B863-F9C8B954477D}"/>
    <hyperlink ref="B27" location="HypLink26" display="HypLink26" xr:uid="{2C0D588B-8248-4C3D-8F57-01A90DAC8E36}"/>
  </hyperlinks>
  <pageMargins left="0.25" right="0.25" top="0.5" bottom="0.44999999999999996" header="0.25" footer="0.25"/>
  <pageSetup scale="98" orientation="landscape" r:id="rId1"/>
  <headerFooter>
    <oddHeader xml:space="preserve">&amp;L &amp;C &amp;R </oddHeader>
    <oddFooter>&amp;L&amp;7&amp;D  at &amp;T Mike 702.486.8879&amp;C&amp;7&amp;F  &amp;A&amp;R&amp;7Page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0E0E6-1535-4408-B35B-A573593C164E}">
  <sheetPr codeName="Sheet11">
    <tabColor rgb="FFFFFF99"/>
  </sheetPr>
  <dimension ref="A1:W115"/>
  <sheetViews>
    <sheetView zoomScale="74" workbookViewId="0">
      <selection activeCell="B92" sqref="B92:I100"/>
    </sheetView>
  </sheetViews>
  <sheetFormatPr defaultColWidth="8.6640625" defaultRowHeight="13.8"/>
  <cols>
    <col min="1" max="1" width="6.6640625" style="32" bestFit="1" customWidth="1"/>
    <col min="2" max="2" width="21" style="32" customWidth="1"/>
    <col min="3" max="3" width="17.33203125" style="32" customWidth="1"/>
    <col min="4" max="4" width="11.44140625" style="32" customWidth="1"/>
    <col min="5" max="6" width="11" style="32" customWidth="1"/>
    <col min="7" max="7" width="11.5546875" style="32" customWidth="1"/>
    <col min="8" max="8" width="14.6640625" style="32" customWidth="1"/>
    <col min="9" max="10" width="9.6640625" style="32" customWidth="1"/>
    <col min="11" max="11" width="1.6640625" style="32" customWidth="1"/>
    <col min="12" max="12" width="61.33203125" style="257" customWidth="1"/>
    <col min="13" max="14" width="4.5546875" style="32" customWidth="1"/>
    <col min="15" max="15" width="7.33203125" style="32" customWidth="1"/>
    <col min="16" max="19" width="4.5546875" style="32" customWidth="1"/>
    <col min="20" max="16384" width="8.6640625" style="32"/>
  </cols>
  <sheetData>
    <row r="1" spans="1:23" ht="17.399999999999999">
      <c r="A1" s="1494" t="s">
        <v>37</v>
      </c>
      <c r="B1" s="1495"/>
      <c r="C1" s="1495"/>
      <c r="D1" s="347"/>
      <c r="E1" s="1308" t="s">
        <v>209</v>
      </c>
      <c r="F1" s="1308"/>
      <c r="G1" s="1308"/>
      <c r="H1" s="58"/>
      <c r="I1" s="58"/>
      <c r="L1" s="1464"/>
      <c r="M1" s="1464"/>
      <c r="N1" s="1464"/>
      <c r="O1" s="1464"/>
      <c r="P1" s="1464"/>
      <c r="Q1" s="30"/>
    </row>
    <row r="2" spans="1:23" ht="15.6">
      <c r="A2" s="35" t="str">
        <f>SchoolName</f>
        <v>Pahrump Valley Academy</v>
      </c>
      <c r="B2" s="36"/>
      <c r="C2" s="36"/>
      <c r="E2" s="32" t="s">
        <v>210</v>
      </c>
      <c r="F2" s="140">
        <f>+Facilities!G2</f>
        <v>0</v>
      </c>
      <c r="G2" s="136"/>
      <c r="H2" s="136"/>
      <c r="I2" s="136"/>
      <c r="J2" s="136"/>
      <c r="K2" s="164"/>
      <c r="L2" s="1816" t="s">
        <v>1253</v>
      </c>
      <c r="M2" s="1464"/>
      <c r="N2" s="1464"/>
      <c r="O2" s="1464"/>
      <c r="P2" s="1464"/>
      <c r="Q2" s="1464"/>
      <c r="R2" s="1464"/>
      <c r="S2" s="1464"/>
      <c r="T2" s="1464"/>
      <c r="U2" s="1464"/>
      <c r="V2" s="1464"/>
    </row>
    <row r="3" spans="1:23">
      <c r="A3" s="37"/>
      <c r="E3" s="32" t="s">
        <v>13</v>
      </c>
      <c r="F3" s="141">
        <f>+Facilities!G3</f>
        <v>0</v>
      </c>
      <c r="G3" s="137"/>
      <c r="H3" s="137"/>
      <c r="I3" s="137"/>
      <c r="J3" s="137"/>
      <c r="K3" s="164"/>
      <c r="L3" s="394"/>
      <c r="M3" s="1464"/>
      <c r="N3" s="1464"/>
      <c r="O3" s="1464"/>
      <c r="P3" s="1464"/>
      <c r="Q3" s="1464"/>
      <c r="R3" s="1464"/>
      <c r="S3" s="1464"/>
      <c r="T3" s="1464"/>
      <c r="U3" s="1464"/>
      <c r="V3" s="1464"/>
    </row>
    <row r="4" spans="1:23">
      <c r="A4" s="38"/>
      <c r="F4" s="74"/>
      <c r="L4" s="287"/>
      <c r="M4" s="1464"/>
      <c r="N4" s="1464"/>
      <c r="O4" s="1464"/>
      <c r="P4" s="1464"/>
      <c r="Q4" s="1464"/>
      <c r="R4" s="1464"/>
      <c r="S4" s="1464"/>
      <c r="T4" s="1464"/>
      <c r="U4" s="1464"/>
      <c r="V4" s="1464"/>
    </row>
    <row r="5" spans="1:23">
      <c r="A5" s="29"/>
      <c r="L5" s="287"/>
      <c r="M5" s="1464"/>
      <c r="N5" s="1464"/>
      <c r="O5" s="1464"/>
      <c r="P5" s="1464"/>
      <c r="Q5" s="1464"/>
      <c r="R5" s="1464"/>
      <c r="S5" s="1464"/>
      <c r="T5" s="1464"/>
      <c r="U5" s="1464"/>
      <c r="V5" s="1464"/>
    </row>
    <row r="6" spans="1:23">
      <c r="A6" s="59"/>
      <c r="B6" s="81"/>
      <c r="C6" s="81"/>
      <c r="D6" s="81"/>
      <c r="E6" s="31"/>
      <c r="L6" s="287"/>
      <c r="M6" s="1464"/>
      <c r="N6" s="1464"/>
      <c r="O6" s="1464"/>
      <c r="P6" s="1464"/>
      <c r="Q6" s="1464"/>
      <c r="R6" s="1464"/>
      <c r="S6" s="1464"/>
      <c r="T6" s="1464"/>
      <c r="U6" s="1464"/>
      <c r="V6" s="1464"/>
    </row>
    <row r="7" spans="1:23">
      <c r="A7" s="290"/>
      <c r="D7" s="1487" t="s">
        <v>157</v>
      </c>
      <c r="E7" s="1488">
        <v>1</v>
      </c>
      <c r="F7" s="1488">
        <v>2</v>
      </c>
      <c r="G7" s="1488">
        <v>3</v>
      </c>
      <c r="H7" s="1488">
        <v>4</v>
      </c>
      <c r="I7" s="1488">
        <v>5</v>
      </c>
      <c r="J7" s="1489">
        <v>6</v>
      </c>
      <c r="K7" s="31"/>
      <c r="L7" s="287"/>
      <c r="M7" s="1464"/>
      <c r="N7" s="1464"/>
      <c r="O7" s="1464"/>
      <c r="P7" s="1464"/>
      <c r="Q7" s="1464"/>
      <c r="R7" s="1464"/>
      <c r="S7" s="1464"/>
      <c r="T7" s="1464"/>
      <c r="U7" s="1464"/>
      <c r="V7" s="1464"/>
    </row>
    <row r="8" spans="1:23" ht="15.6">
      <c r="A8" s="290"/>
      <c r="D8" s="1487">
        <f>' Enrol &amp; Rev'!F10</f>
        <v>2025</v>
      </c>
      <c r="E8" s="1470">
        <f>' Enrol &amp; Rev'!G10</f>
        <v>2026</v>
      </c>
      <c r="F8" s="1470">
        <f>+E9</f>
        <v>2027</v>
      </c>
      <c r="G8" s="1470">
        <f>+F9</f>
        <v>2028</v>
      </c>
      <c r="H8" s="1470">
        <f>+G9</f>
        <v>2029</v>
      </c>
      <c r="I8" s="1470">
        <f>+H9</f>
        <v>2030</v>
      </c>
      <c r="J8" s="1490">
        <f>+I9</f>
        <v>2031</v>
      </c>
      <c r="K8" s="248"/>
      <c r="L8" s="287"/>
      <c r="M8" s="1464"/>
      <c r="N8" s="1464"/>
      <c r="O8" s="1464"/>
      <c r="P8" s="1464"/>
      <c r="Q8" s="1464"/>
      <c r="R8" s="1464"/>
      <c r="S8" s="1464"/>
      <c r="T8" s="1464"/>
      <c r="U8" s="1464"/>
      <c r="V8" s="1464"/>
    </row>
    <row r="9" spans="1:23" ht="15.6">
      <c r="A9" s="290"/>
      <c r="D9" s="1491">
        <f>+D8+1</f>
        <v>2026</v>
      </c>
      <c r="E9" s="1492">
        <f t="shared" ref="E9:J9" si="0">+E8+1</f>
        <v>2027</v>
      </c>
      <c r="F9" s="1492">
        <f t="shared" si="0"/>
        <v>2028</v>
      </c>
      <c r="G9" s="1492">
        <f t="shared" si="0"/>
        <v>2029</v>
      </c>
      <c r="H9" s="1492">
        <f t="shared" si="0"/>
        <v>2030</v>
      </c>
      <c r="I9" s="1492">
        <f t="shared" si="0"/>
        <v>2031</v>
      </c>
      <c r="J9" s="1493">
        <f t="shared" si="0"/>
        <v>2032</v>
      </c>
      <c r="K9" s="249"/>
      <c r="L9" s="287"/>
      <c r="M9" s="1464"/>
      <c r="N9" s="1464"/>
      <c r="O9" s="1464"/>
      <c r="P9" s="1464"/>
      <c r="Q9" s="1464"/>
      <c r="R9" s="1464"/>
      <c r="S9" s="1464"/>
      <c r="T9" s="1464"/>
      <c r="U9" s="1464"/>
      <c r="V9" s="1464"/>
    </row>
    <row r="10" spans="1:23" ht="15.6">
      <c r="A10" s="290">
        <f>ROW()</f>
        <v>10</v>
      </c>
      <c r="B10" s="30" t="s">
        <v>211</v>
      </c>
      <c r="C10" s="30"/>
      <c r="D10" s="30"/>
      <c r="E10" s="208"/>
      <c r="F10" s="208"/>
      <c r="G10" s="208"/>
      <c r="H10" s="208"/>
      <c r="I10" s="208"/>
      <c r="J10" s="208"/>
      <c r="K10" s="248"/>
      <c r="L10" s="287"/>
      <c r="M10" s="1464"/>
      <c r="N10" s="1464"/>
      <c r="O10" s="1464"/>
      <c r="P10" s="1464"/>
      <c r="Q10" s="1464"/>
      <c r="R10" s="1464"/>
      <c r="S10" s="1464"/>
      <c r="T10" s="1464"/>
      <c r="U10" s="1464"/>
      <c r="V10" s="1464"/>
    </row>
    <row r="11" spans="1:23">
      <c r="A11" s="1564">
        <f>ROW()</f>
        <v>11</v>
      </c>
      <c r="B11" s="1565" t="s">
        <v>212</v>
      </c>
      <c r="C11" s="1565"/>
      <c r="D11" s="1566">
        <f t="shared" ref="D11:J11" si="1">COUNTIF(D14:D26,"&gt;0")</f>
        <v>0</v>
      </c>
      <c r="E11" s="1636">
        <f t="shared" si="1"/>
        <v>6</v>
      </c>
      <c r="F11" s="1637">
        <f t="shared" si="1"/>
        <v>7</v>
      </c>
      <c r="G11" s="1637">
        <f t="shared" si="1"/>
        <v>7</v>
      </c>
      <c r="H11" s="1637">
        <f t="shared" si="1"/>
        <v>9</v>
      </c>
      <c r="I11" s="1637">
        <f t="shared" si="1"/>
        <v>9</v>
      </c>
      <c r="J11" s="1638">
        <f t="shared" si="1"/>
        <v>9</v>
      </c>
      <c r="K11" s="250"/>
      <c r="L11" s="287"/>
      <c r="M11" s="1464"/>
      <c r="N11" s="1464"/>
      <c r="O11" s="1464"/>
      <c r="P11" s="1464"/>
      <c r="Q11" s="1464"/>
      <c r="R11" s="1464"/>
      <c r="S11" s="1464"/>
      <c r="T11" s="1464"/>
      <c r="U11" s="1464"/>
      <c r="V11" s="1464"/>
    </row>
    <row r="12" spans="1:23">
      <c r="A12" s="1564">
        <f>ROW()</f>
        <v>12</v>
      </c>
      <c r="B12" s="1567" t="s">
        <v>213</v>
      </c>
      <c r="C12" s="1567"/>
      <c r="D12" s="1568">
        <f>+' Enrol &amp; Rev'!F19</f>
        <v>0</v>
      </c>
      <c r="E12" s="1568">
        <f>+' Enrol &amp; Rev'!G19</f>
        <v>11</v>
      </c>
      <c r="F12" s="1569">
        <f>+' Enrol &amp; Rev'!H19</f>
        <v>14</v>
      </c>
      <c r="G12" s="1569">
        <f>+' Enrol &amp; Rev'!I19</f>
        <v>16</v>
      </c>
      <c r="H12" s="1569">
        <f>+' Enrol &amp; Rev'!J19</f>
        <v>18</v>
      </c>
      <c r="I12" s="1569">
        <f>+' Enrol &amp; Rev'!K19</f>
        <v>18</v>
      </c>
      <c r="J12" s="1570">
        <f>+' Enrol &amp; Rev'!L19</f>
        <v>18</v>
      </c>
      <c r="K12" s="250"/>
      <c r="L12" s="287"/>
      <c r="M12" s="1464"/>
      <c r="N12" s="1464"/>
      <c r="O12" s="1464"/>
      <c r="P12" s="1464"/>
      <c r="Q12" s="1464"/>
      <c r="R12" s="1464"/>
      <c r="S12" s="1464"/>
      <c r="T12" s="1464"/>
      <c r="U12" s="1464"/>
      <c r="V12" s="1464"/>
    </row>
    <row r="13" spans="1:23">
      <c r="A13" s="1564">
        <f>ROW()</f>
        <v>13</v>
      </c>
      <c r="B13" s="1565"/>
      <c r="C13" s="1565"/>
      <c r="D13" s="1571"/>
      <c r="E13" s="1571"/>
      <c r="F13" s="1571"/>
      <c r="G13" s="1571"/>
      <c r="H13" s="1571"/>
      <c r="I13" s="1571"/>
      <c r="J13" s="1571"/>
      <c r="K13" s="212"/>
      <c r="L13" s="287"/>
      <c r="M13" s="1464"/>
      <c r="N13" s="1464"/>
      <c r="O13" s="1464"/>
      <c r="P13" s="1464"/>
      <c r="Q13" s="1464"/>
      <c r="R13" s="1464"/>
      <c r="S13" s="1464"/>
      <c r="T13" s="1464"/>
      <c r="U13" s="1464"/>
      <c r="V13" s="1464"/>
      <c r="W13" s="1464"/>
    </row>
    <row r="14" spans="1:23">
      <c r="A14" s="1564">
        <f>ROW()</f>
        <v>14</v>
      </c>
      <c r="B14" s="1572" t="s">
        <v>214</v>
      </c>
      <c r="C14" s="1573"/>
      <c r="D14" s="1574">
        <f>' Enrol &amp; Rev'!F23</f>
        <v>0</v>
      </c>
      <c r="E14" s="1574">
        <f>' Enrol &amp; Rev'!G23</f>
        <v>50</v>
      </c>
      <c r="F14" s="1574">
        <f>' Enrol &amp; Rev'!H23</f>
        <v>50</v>
      </c>
      <c r="G14" s="1574">
        <f>' Enrol &amp; Rev'!I23</f>
        <v>50</v>
      </c>
      <c r="H14" s="1574">
        <f>' Enrol &amp; Rev'!J23</f>
        <v>50</v>
      </c>
      <c r="I14" s="1574">
        <f>' Enrol &amp; Rev'!K23</f>
        <v>50</v>
      </c>
      <c r="J14" s="1574">
        <f>' Enrol &amp; Rev'!L23</f>
        <v>50</v>
      </c>
      <c r="K14" s="51"/>
      <c r="L14" s="287"/>
      <c r="M14" s="1464"/>
      <c r="N14" s="1464"/>
      <c r="O14" s="1464"/>
      <c r="P14" s="1464"/>
      <c r="Q14" s="1464"/>
      <c r="R14" s="1464"/>
      <c r="S14" s="1464"/>
      <c r="T14" s="1464"/>
      <c r="U14" s="1464"/>
      <c r="V14" s="1464"/>
      <c r="W14" s="1464"/>
    </row>
    <row r="15" spans="1:23">
      <c r="A15" s="1564">
        <f>ROW()</f>
        <v>15</v>
      </c>
      <c r="B15" s="1507" t="s">
        <v>215</v>
      </c>
      <c r="C15" s="1575"/>
      <c r="D15" s="1576">
        <f>' Enrol &amp; Rev'!F24</f>
        <v>0</v>
      </c>
      <c r="E15" s="1576">
        <f>' Enrol &amp; Rev'!G24</f>
        <v>50</v>
      </c>
      <c r="F15" s="1576">
        <f>' Enrol &amp; Rev'!H24</f>
        <v>50</v>
      </c>
      <c r="G15" s="1576">
        <f>' Enrol &amp; Rev'!I24</f>
        <v>50</v>
      </c>
      <c r="H15" s="1576">
        <f>' Enrol &amp; Rev'!J24</f>
        <v>50</v>
      </c>
      <c r="I15" s="1576">
        <f>' Enrol &amp; Rev'!K24</f>
        <v>50</v>
      </c>
      <c r="J15" s="1576">
        <f>' Enrol &amp; Rev'!L24</f>
        <v>50</v>
      </c>
      <c r="K15" s="51"/>
      <c r="L15" s="287"/>
      <c r="M15" s="1464"/>
      <c r="N15" s="1464"/>
      <c r="O15" s="1464"/>
      <c r="P15" s="1464"/>
      <c r="Q15" s="1464"/>
      <c r="R15" s="1464"/>
      <c r="S15" s="1464"/>
      <c r="T15" s="1464"/>
      <c r="U15" s="1464"/>
      <c r="V15" s="1464"/>
      <c r="W15" s="1464"/>
    </row>
    <row r="16" spans="1:23">
      <c r="A16" s="1564">
        <f>ROW()</f>
        <v>16</v>
      </c>
      <c r="B16" s="1507" t="s">
        <v>216</v>
      </c>
      <c r="C16" s="1575"/>
      <c r="D16" s="1576">
        <f>' Enrol &amp; Rev'!F25</f>
        <v>0</v>
      </c>
      <c r="E16" s="1576">
        <f>' Enrol &amp; Rev'!G25</f>
        <v>50</v>
      </c>
      <c r="F16" s="1576">
        <f>' Enrol &amp; Rev'!H25</f>
        <v>50</v>
      </c>
      <c r="G16" s="1576">
        <f>' Enrol &amp; Rev'!I25</f>
        <v>50</v>
      </c>
      <c r="H16" s="1576">
        <f>' Enrol &amp; Rev'!J25</f>
        <v>50</v>
      </c>
      <c r="I16" s="1576">
        <f>' Enrol &amp; Rev'!K25</f>
        <v>50</v>
      </c>
      <c r="J16" s="1576">
        <f>' Enrol &amp; Rev'!L25</f>
        <v>50</v>
      </c>
      <c r="K16" s="51"/>
      <c r="L16" s="287"/>
      <c r="M16" s="1464"/>
      <c r="N16" s="1464"/>
      <c r="O16" s="1464"/>
      <c r="P16" s="1464"/>
      <c r="Q16" s="1464"/>
      <c r="R16" s="1464"/>
      <c r="S16" s="1464"/>
      <c r="T16" s="1464"/>
      <c r="U16" s="1464"/>
      <c r="V16" s="1464"/>
      <c r="W16" s="1464"/>
    </row>
    <row r="17" spans="1:23">
      <c r="A17" s="1564">
        <f>ROW()</f>
        <v>17</v>
      </c>
      <c r="B17" s="1507" t="s">
        <v>217</v>
      </c>
      <c r="C17" s="1575"/>
      <c r="D17" s="1576">
        <f>' Enrol &amp; Rev'!F26</f>
        <v>0</v>
      </c>
      <c r="E17" s="1576">
        <f>' Enrol &amp; Rev'!G26</f>
        <v>50</v>
      </c>
      <c r="F17" s="1576">
        <f>' Enrol &amp; Rev'!H26</f>
        <v>50</v>
      </c>
      <c r="G17" s="1576"/>
      <c r="H17" s="1576">
        <f>' Enrol &amp; Rev'!J26</f>
        <v>50</v>
      </c>
      <c r="I17" s="1576">
        <f>' Enrol &amp; Rev'!K26</f>
        <v>50</v>
      </c>
      <c r="J17" s="1576">
        <f>' Enrol &amp; Rev'!L26</f>
        <v>50</v>
      </c>
      <c r="K17" s="51"/>
      <c r="L17" s="287"/>
      <c r="M17" s="1464"/>
      <c r="N17" s="1464"/>
      <c r="O17" s="1464"/>
      <c r="P17" s="1464"/>
      <c r="Q17" s="1464"/>
      <c r="R17" s="1464"/>
      <c r="S17" s="1464"/>
      <c r="T17" s="1464"/>
      <c r="U17" s="1464"/>
      <c r="V17" s="1464"/>
      <c r="W17" s="1464"/>
    </row>
    <row r="18" spans="1:23">
      <c r="A18" s="1564">
        <f>ROW()</f>
        <v>18</v>
      </c>
      <c r="B18" s="1507" t="s">
        <v>218</v>
      </c>
      <c r="C18" s="1575"/>
      <c r="D18" s="1576">
        <f>' Enrol &amp; Rev'!F27</f>
        <v>0</v>
      </c>
      <c r="E18" s="1639">
        <f>' Enrol &amp; Rev'!G27</f>
        <v>50</v>
      </c>
      <c r="F18" s="1639">
        <f>' Enrol &amp; Rev'!H27</f>
        <v>50</v>
      </c>
      <c r="G18" s="1639">
        <f>' Enrol &amp; Rev'!I27</f>
        <v>50</v>
      </c>
      <c r="H18" s="1639">
        <f>' Enrol &amp; Rev'!J27</f>
        <v>50</v>
      </c>
      <c r="I18" s="1639">
        <f>' Enrol &amp; Rev'!K27</f>
        <v>50</v>
      </c>
      <c r="J18" s="1639">
        <f>' Enrol &amp; Rev'!L27</f>
        <v>50</v>
      </c>
      <c r="K18" s="51"/>
      <c r="L18" s="287"/>
      <c r="M18" s="1464"/>
      <c r="N18" s="1464"/>
      <c r="O18" s="1464"/>
      <c r="P18" s="1464"/>
      <c r="Q18" s="1464"/>
      <c r="R18" s="1464"/>
      <c r="S18" s="1464"/>
      <c r="T18" s="1464"/>
      <c r="U18" s="1464"/>
      <c r="V18" s="1464"/>
      <c r="W18" s="1464"/>
    </row>
    <row r="19" spans="1:23">
      <c r="A19" s="1564">
        <f>ROW()</f>
        <v>19</v>
      </c>
      <c r="B19" s="1507" t="s">
        <v>219</v>
      </c>
      <c r="C19" s="1575"/>
      <c r="D19" s="1576">
        <f>' Enrol &amp; Rev'!F28</f>
        <v>0</v>
      </c>
      <c r="E19" s="1639">
        <f>' Enrol &amp; Rev'!G28</f>
        <v>25</v>
      </c>
      <c r="F19" s="1639">
        <f>' Enrol &amp; Rev'!H28</f>
        <v>50</v>
      </c>
      <c r="G19" s="1639">
        <f>' Enrol &amp; Rev'!I28</f>
        <v>50</v>
      </c>
      <c r="H19" s="1639">
        <f>' Enrol &amp; Rev'!J28</f>
        <v>50</v>
      </c>
      <c r="I19" s="1639">
        <f>' Enrol &amp; Rev'!K28</f>
        <v>50</v>
      </c>
      <c r="J19" s="1639">
        <f>' Enrol &amp; Rev'!L28</f>
        <v>50</v>
      </c>
      <c r="K19" s="51"/>
      <c r="L19" s="287"/>
      <c r="M19" s="1464"/>
      <c r="N19" s="1464"/>
      <c r="O19" s="1464"/>
      <c r="P19" s="1464"/>
      <c r="Q19" s="1464"/>
      <c r="R19" s="1464"/>
      <c r="S19" s="1464"/>
      <c r="T19" s="1464"/>
      <c r="U19" s="1464"/>
      <c r="V19" s="1464"/>
      <c r="W19" s="1464"/>
    </row>
    <row r="20" spans="1:23">
      <c r="A20" s="1564">
        <f>ROW()</f>
        <v>20</v>
      </c>
      <c r="B20" s="1507" t="s">
        <v>220</v>
      </c>
      <c r="C20" s="1575"/>
      <c r="D20" s="1576">
        <f>' Enrol &amp; Rev'!F29</f>
        <v>0</v>
      </c>
      <c r="E20" s="1639">
        <f>' Enrol &amp; Rev'!G29</f>
        <v>0</v>
      </c>
      <c r="F20" s="1639">
        <f>' Enrol &amp; Rev'!H29</f>
        <v>50</v>
      </c>
      <c r="G20" s="1639">
        <f>' Enrol &amp; Rev'!I29</f>
        <v>50</v>
      </c>
      <c r="H20" s="1639">
        <f>' Enrol &amp; Rev'!J29</f>
        <v>50</v>
      </c>
      <c r="I20" s="1639">
        <f>' Enrol &amp; Rev'!K29</f>
        <v>50</v>
      </c>
      <c r="J20" s="1639">
        <f>' Enrol &amp; Rev'!L29</f>
        <v>50</v>
      </c>
      <c r="K20" s="51"/>
      <c r="L20" s="287"/>
      <c r="M20" s="1464"/>
      <c r="N20" s="1464"/>
      <c r="O20" s="1464"/>
      <c r="P20" s="1464"/>
      <c r="Q20" s="1464"/>
      <c r="R20" s="1464"/>
      <c r="S20" s="1464"/>
      <c r="T20" s="1464"/>
      <c r="U20" s="1464"/>
      <c r="V20" s="1464"/>
      <c r="W20" s="1464"/>
    </row>
    <row r="21" spans="1:23">
      <c r="A21" s="1564">
        <f>ROW()</f>
        <v>21</v>
      </c>
      <c r="B21" s="1507" t="s">
        <v>221</v>
      </c>
      <c r="C21" s="1575"/>
      <c r="D21" s="1576">
        <f>' Enrol &amp; Rev'!F30</f>
        <v>0</v>
      </c>
      <c r="E21" s="1576">
        <f>' Enrol &amp; Rev'!G30</f>
        <v>0</v>
      </c>
      <c r="F21" s="1576">
        <f>' Enrol &amp; Rev'!H30</f>
        <v>0</v>
      </c>
      <c r="G21" s="1576">
        <f>' Enrol &amp; Rev'!I30</f>
        <v>50</v>
      </c>
      <c r="H21" s="1576">
        <f>' Enrol &amp; Rev'!J30</f>
        <v>50</v>
      </c>
      <c r="I21" s="1576">
        <f>' Enrol &amp; Rev'!K30</f>
        <v>50</v>
      </c>
      <c r="J21" s="1576">
        <f>' Enrol &amp; Rev'!L30</f>
        <v>50</v>
      </c>
      <c r="K21" s="51"/>
      <c r="L21" s="287"/>
      <c r="M21" s="1464"/>
      <c r="N21" s="1464"/>
      <c r="O21" s="1464"/>
      <c r="P21" s="1464"/>
      <c r="Q21" s="1464"/>
      <c r="R21" s="1464"/>
      <c r="S21" s="1464"/>
      <c r="T21" s="1464"/>
      <c r="U21" s="1464"/>
      <c r="V21" s="1464"/>
    </row>
    <row r="22" spans="1:23">
      <c r="A22" s="1564">
        <f>ROW()</f>
        <v>22</v>
      </c>
      <c r="B22" s="1507" t="s">
        <v>222</v>
      </c>
      <c r="C22" s="1575"/>
      <c r="D22" s="1576">
        <f>' Enrol &amp; Rev'!F31</f>
        <v>0</v>
      </c>
      <c r="E22" s="1576">
        <f>' Enrol &amp; Rev'!G31</f>
        <v>0</v>
      </c>
      <c r="F22" s="1576">
        <f>' Enrol &amp; Rev'!H31</f>
        <v>0</v>
      </c>
      <c r="G22" s="1576">
        <f>' Enrol &amp; Rev'!I31</f>
        <v>0</v>
      </c>
      <c r="H22" s="1576">
        <f>' Enrol &amp; Rev'!J31</f>
        <v>50</v>
      </c>
      <c r="I22" s="1576">
        <f>' Enrol &amp; Rev'!K31</f>
        <v>50</v>
      </c>
      <c r="J22" s="1576">
        <f>' Enrol &amp; Rev'!L31</f>
        <v>50</v>
      </c>
      <c r="K22" s="51"/>
      <c r="L22" s="287"/>
      <c r="M22" s="1464"/>
      <c r="N22" s="1464"/>
      <c r="O22" s="1464"/>
      <c r="P22" s="1464"/>
      <c r="Q22" s="1464"/>
      <c r="R22" s="1464"/>
      <c r="S22" s="1464"/>
      <c r="T22" s="1464"/>
      <c r="U22" s="1464"/>
      <c r="V22" s="1464"/>
    </row>
    <row r="23" spans="1:23">
      <c r="A23" s="1564">
        <f>ROW()</f>
        <v>23</v>
      </c>
      <c r="B23" s="1507" t="s">
        <v>223</v>
      </c>
      <c r="C23" s="1575"/>
      <c r="D23" s="1576">
        <f>' Enrol &amp; Rev'!F32</f>
        <v>0</v>
      </c>
      <c r="E23" s="1576">
        <f>' Enrol &amp; Rev'!G32</f>
        <v>0</v>
      </c>
      <c r="F23" s="1576">
        <f>' Enrol &amp; Rev'!H32</f>
        <v>0</v>
      </c>
      <c r="G23" s="1576">
        <f>' Enrol &amp; Rev'!I32</f>
        <v>0</v>
      </c>
      <c r="H23" s="1576">
        <f>' Enrol &amp; Rev'!J32</f>
        <v>0</v>
      </c>
      <c r="I23" s="1576">
        <f>' Enrol &amp; Rev'!K32</f>
        <v>0</v>
      </c>
      <c r="J23" s="1576">
        <f>' Enrol &amp; Rev'!L32</f>
        <v>0</v>
      </c>
      <c r="K23" s="51"/>
      <c r="L23" s="287"/>
      <c r="M23" s="1464"/>
      <c r="N23" s="1464"/>
      <c r="O23" s="1464"/>
      <c r="P23" s="1464"/>
      <c r="Q23" s="1464"/>
      <c r="R23" s="1464"/>
      <c r="S23" s="1464"/>
      <c r="T23" s="1464"/>
      <c r="U23" s="1464"/>
      <c r="V23" s="1464"/>
    </row>
    <row r="24" spans="1:23">
      <c r="A24" s="1564">
        <f>ROW()</f>
        <v>24</v>
      </c>
      <c r="B24" s="1507" t="s">
        <v>224</v>
      </c>
      <c r="C24" s="1575"/>
      <c r="D24" s="1576">
        <f>' Enrol &amp; Rev'!F33</f>
        <v>0</v>
      </c>
      <c r="E24" s="1576">
        <f>' Enrol &amp; Rev'!G33</f>
        <v>0</v>
      </c>
      <c r="F24" s="1576">
        <f>' Enrol &amp; Rev'!H33</f>
        <v>0</v>
      </c>
      <c r="G24" s="1576">
        <f>' Enrol &amp; Rev'!I33</f>
        <v>0</v>
      </c>
      <c r="H24" s="1576">
        <f>' Enrol &amp; Rev'!J33</f>
        <v>0</v>
      </c>
      <c r="I24" s="1576">
        <f>' Enrol &amp; Rev'!K33</f>
        <v>0</v>
      </c>
      <c r="J24" s="1576">
        <f>' Enrol &amp; Rev'!L33</f>
        <v>0</v>
      </c>
      <c r="K24" s="51"/>
      <c r="L24" s="287"/>
      <c r="M24" s="1464"/>
      <c r="N24" s="1464"/>
      <c r="O24" s="1464"/>
      <c r="P24" s="1464"/>
      <c r="Q24" s="1464"/>
      <c r="R24" s="1464"/>
      <c r="S24" s="1464"/>
      <c r="T24" s="1464"/>
      <c r="U24" s="1464"/>
      <c r="V24" s="1464"/>
    </row>
    <row r="25" spans="1:23">
      <c r="A25" s="1564">
        <f>ROW()</f>
        <v>25</v>
      </c>
      <c r="B25" s="1507" t="s">
        <v>225</v>
      </c>
      <c r="C25" s="1575"/>
      <c r="D25" s="1576">
        <f>' Enrol &amp; Rev'!F34</f>
        <v>0</v>
      </c>
      <c r="E25" s="1576">
        <f>' Enrol &amp; Rev'!G34</f>
        <v>0</v>
      </c>
      <c r="F25" s="1576">
        <f>' Enrol &amp; Rev'!H34</f>
        <v>0</v>
      </c>
      <c r="G25" s="1576">
        <f>' Enrol &amp; Rev'!I34</f>
        <v>0</v>
      </c>
      <c r="H25" s="1576">
        <f>' Enrol &amp; Rev'!J34</f>
        <v>0</v>
      </c>
      <c r="I25" s="1576">
        <f>' Enrol &amp; Rev'!K34</f>
        <v>0</v>
      </c>
      <c r="J25" s="1576">
        <f>' Enrol &amp; Rev'!L34</f>
        <v>0</v>
      </c>
      <c r="K25" s="51"/>
      <c r="L25" s="287"/>
      <c r="M25" s="1464"/>
      <c r="N25" s="1464"/>
      <c r="O25" s="1464"/>
      <c r="P25" s="1464"/>
      <c r="Q25" s="1464"/>
      <c r="R25" s="1464"/>
      <c r="S25" s="1464"/>
      <c r="T25" s="1464"/>
      <c r="U25" s="1464"/>
      <c r="V25" s="1464"/>
    </row>
    <row r="26" spans="1:23">
      <c r="A26" s="1564">
        <f>ROW()</f>
        <v>26</v>
      </c>
      <c r="B26" s="1577" t="s">
        <v>226</v>
      </c>
      <c r="C26" s="1578"/>
      <c r="D26" s="1579">
        <f>' Enrol &amp; Rev'!F35</f>
        <v>0</v>
      </c>
      <c r="E26" s="1579">
        <f>' Enrol &amp; Rev'!G35</f>
        <v>0</v>
      </c>
      <c r="F26" s="1579">
        <f>' Enrol &amp; Rev'!H35</f>
        <v>0</v>
      </c>
      <c r="G26" s="1579">
        <f>' Enrol &amp; Rev'!I35</f>
        <v>0</v>
      </c>
      <c r="H26" s="1579">
        <f>' Enrol &amp; Rev'!J35</f>
        <v>0</v>
      </c>
      <c r="I26" s="1579">
        <f>' Enrol &amp; Rev'!K35</f>
        <v>0</v>
      </c>
      <c r="J26" s="1579">
        <f>' Enrol &amp; Rev'!L35</f>
        <v>0</v>
      </c>
      <c r="K26" s="51"/>
      <c r="L26" s="287"/>
      <c r="M26" s="1464"/>
      <c r="N26" s="1464"/>
      <c r="O26" s="1464"/>
      <c r="P26" s="1464"/>
      <c r="Q26" s="1464"/>
      <c r="R26" s="1464"/>
      <c r="S26" s="1464"/>
      <c r="T26" s="1464"/>
      <c r="U26" s="1464"/>
      <c r="V26" s="1464"/>
    </row>
    <row r="27" spans="1:23">
      <c r="A27" s="290">
        <f>ROW()</f>
        <v>27</v>
      </c>
      <c r="B27" s="143" t="s">
        <v>227</v>
      </c>
      <c r="C27" s="143"/>
      <c r="D27" s="152">
        <f t="shared" ref="D27:J27" si="2">SUM(D14:D26)</f>
        <v>0</v>
      </c>
      <c r="E27" s="152">
        <f t="shared" si="2"/>
        <v>275</v>
      </c>
      <c r="F27" s="152">
        <f t="shared" si="2"/>
        <v>350</v>
      </c>
      <c r="G27" s="152">
        <f t="shared" si="2"/>
        <v>350</v>
      </c>
      <c r="H27" s="152">
        <f t="shared" si="2"/>
        <v>450</v>
      </c>
      <c r="I27" s="152">
        <f t="shared" si="2"/>
        <v>450</v>
      </c>
      <c r="J27" s="152">
        <f t="shared" si="2"/>
        <v>450</v>
      </c>
      <c r="K27" s="152"/>
      <c r="L27" s="287"/>
      <c r="M27" s="1464"/>
      <c r="N27" s="1464"/>
      <c r="O27" s="1464"/>
      <c r="P27" s="1464"/>
      <c r="Q27" s="1464"/>
      <c r="R27" s="1464"/>
      <c r="S27" s="1464"/>
      <c r="T27" s="1464"/>
      <c r="U27" s="1464"/>
      <c r="V27" s="1464"/>
    </row>
    <row r="28" spans="1:23">
      <c r="A28" s="290">
        <f>ROW()</f>
        <v>28</v>
      </c>
      <c r="B28" s="39" t="s">
        <v>228</v>
      </c>
      <c r="C28" s="39"/>
      <c r="D28" s="103"/>
      <c r="E28" s="103">
        <f>IFERROR(E27/E12,0)</f>
        <v>25</v>
      </c>
      <c r="F28" s="103">
        <f t="shared" ref="F28:J28" si="3">IFERROR(F27/F12,0)</f>
        <v>25</v>
      </c>
      <c r="G28" s="103">
        <f t="shared" si="3"/>
        <v>21.875</v>
      </c>
      <c r="H28" s="103">
        <f t="shared" si="3"/>
        <v>25</v>
      </c>
      <c r="I28" s="103">
        <f t="shared" si="3"/>
        <v>25</v>
      </c>
      <c r="J28" s="103">
        <f t="shared" si="3"/>
        <v>25</v>
      </c>
      <c r="K28" s="103"/>
      <c r="L28" s="287"/>
      <c r="M28" s="1464"/>
      <c r="N28" s="1464"/>
      <c r="O28" s="1464"/>
      <c r="P28" s="1464"/>
      <c r="Q28" s="1464"/>
      <c r="R28" s="1464"/>
      <c r="S28" s="1464"/>
      <c r="T28" s="1464"/>
      <c r="U28" s="1464"/>
      <c r="V28" s="1464"/>
    </row>
    <row r="29" spans="1:23">
      <c r="A29" s="290">
        <f>ROW()</f>
        <v>29</v>
      </c>
      <c r="B29" s="39" t="s">
        <v>229</v>
      </c>
      <c r="C29" s="39"/>
      <c r="D29" s="103"/>
      <c r="E29" s="310">
        <f>IFERROR(IF(AND(E27,$H$71)&gt;0,E27/$H71,0),0)</f>
        <v>0</v>
      </c>
      <c r="F29" s="311">
        <f t="shared" ref="F29:J29" si="4">IFERROR(IF(AND(F27,$H$71)&gt;0,F27/$H71,0),0)</f>
        <v>0</v>
      </c>
      <c r="G29" s="311">
        <f t="shared" si="4"/>
        <v>0</v>
      </c>
      <c r="H29" s="311">
        <f t="shared" si="4"/>
        <v>0</v>
      </c>
      <c r="I29" s="311">
        <f t="shared" si="4"/>
        <v>0</v>
      </c>
      <c r="J29" s="311">
        <f t="shared" si="4"/>
        <v>0</v>
      </c>
      <c r="K29" s="103"/>
      <c r="L29" s="287"/>
      <c r="M29" s="1464"/>
      <c r="N29" s="1464"/>
      <c r="O29" s="1464"/>
      <c r="P29" s="1464"/>
      <c r="Q29" s="1464"/>
      <c r="R29" s="1464"/>
      <c r="S29" s="1464"/>
      <c r="T29" s="1464"/>
      <c r="U29" s="1464"/>
      <c r="V29" s="1464"/>
    </row>
    <row r="30" spans="1:23">
      <c r="A30" s="290">
        <f>ROW()</f>
        <v>30</v>
      </c>
      <c r="B30" s="39" t="s">
        <v>230</v>
      </c>
      <c r="C30" s="39"/>
      <c r="D30" s="103"/>
      <c r="E30" s="310">
        <f t="shared" ref="E30:J30" si="5">IFERROR(IF(AND(E27,$H$101)&gt;0,E27/$H101,0),0)</f>
        <v>0</v>
      </c>
      <c r="F30" s="310">
        <f t="shared" si="5"/>
        <v>0</v>
      </c>
      <c r="G30" s="310">
        <f t="shared" si="5"/>
        <v>0</v>
      </c>
      <c r="H30" s="310">
        <f t="shared" si="5"/>
        <v>0</v>
      </c>
      <c r="I30" s="310">
        <f t="shared" si="5"/>
        <v>0</v>
      </c>
      <c r="J30" s="310">
        <f t="shared" si="5"/>
        <v>0</v>
      </c>
      <c r="K30" s="103"/>
      <c r="L30" s="287"/>
      <c r="M30" s="1464"/>
      <c r="N30" s="1464"/>
      <c r="O30" s="1464"/>
      <c r="P30" s="1464"/>
      <c r="Q30" s="1464"/>
      <c r="R30" s="1464"/>
      <c r="S30" s="1464"/>
      <c r="T30" s="1464"/>
      <c r="U30" s="1464"/>
      <c r="V30" s="1464"/>
    </row>
    <row r="31" spans="1:23">
      <c r="A31" s="290">
        <f>ROW()</f>
        <v>31</v>
      </c>
      <c r="B31" s="139" t="s">
        <v>231</v>
      </c>
      <c r="C31" s="39"/>
      <c r="D31" s="103"/>
      <c r="E31" s="310"/>
      <c r="F31" s="311"/>
      <c r="G31" s="311"/>
      <c r="H31" s="311"/>
      <c r="I31" s="311"/>
      <c r="J31" s="311"/>
      <c r="K31" s="103"/>
      <c r="L31" s="287"/>
      <c r="M31" s="1464"/>
      <c r="N31" s="1464"/>
      <c r="O31" s="1464"/>
      <c r="P31" s="1464"/>
      <c r="Q31" s="1464"/>
      <c r="R31" s="1464"/>
      <c r="S31" s="1464"/>
      <c r="T31" s="1464"/>
      <c r="U31" s="1464"/>
      <c r="V31" s="1464"/>
    </row>
    <row r="32" spans="1:23">
      <c r="A32" s="290">
        <f>ROW()</f>
        <v>32</v>
      </c>
      <c r="B32" s="139"/>
      <c r="C32" s="39"/>
      <c r="D32" s="103"/>
      <c r="E32" s="310"/>
      <c r="F32" s="311"/>
      <c r="G32" s="311"/>
      <c r="H32" s="311"/>
      <c r="I32" s="311"/>
      <c r="J32" s="311"/>
      <c r="K32" s="103"/>
      <c r="L32" s="287"/>
      <c r="M32" s="1464"/>
      <c r="N32" s="1464"/>
      <c r="O32" s="1464"/>
      <c r="P32" s="1464"/>
      <c r="Q32" s="1464"/>
      <c r="R32" s="1464"/>
      <c r="S32" s="1464"/>
      <c r="T32" s="1464"/>
      <c r="U32" s="1464"/>
      <c r="V32" s="1464"/>
    </row>
    <row r="33" spans="1:22">
      <c r="A33" s="290">
        <f>ROW()</f>
        <v>33</v>
      </c>
      <c r="B33" s="44" t="s">
        <v>1198</v>
      </c>
      <c r="C33" s="39"/>
      <c r="D33" s="1398"/>
      <c r="E33" s="310"/>
      <c r="F33" s="311"/>
      <c r="G33" s="311"/>
      <c r="H33" s="311"/>
      <c r="I33" s="311"/>
      <c r="J33" s="311"/>
      <c r="K33" s="103"/>
      <c r="L33" s="287"/>
      <c r="M33" s="1464"/>
      <c r="N33" s="1464"/>
      <c r="O33" s="1464"/>
      <c r="P33" s="1464"/>
      <c r="Q33" s="1464"/>
      <c r="R33" s="1464"/>
      <c r="S33" s="1464"/>
      <c r="T33" s="1464"/>
      <c r="U33" s="1464"/>
      <c r="V33" s="1464"/>
    </row>
    <row r="34" spans="1:22">
      <c r="A34" s="290">
        <f>ROW()</f>
        <v>34</v>
      </c>
      <c r="B34" s="30" t="s">
        <v>1194</v>
      </c>
      <c r="D34" s="1398"/>
      <c r="E34" s="1399"/>
      <c r="F34" s="1399"/>
      <c r="G34" s="1399"/>
      <c r="H34" s="1399"/>
      <c r="I34" s="1399"/>
      <c r="J34" s="1399"/>
      <c r="K34" s="103"/>
      <c r="L34" s="287"/>
      <c r="M34" s="1464"/>
      <c r="N34" s="1464"/>
      <c r="O34" s="1464"/>
      <c r="P34" s="1464"/>
      <c r="Q34" s="1464"/>
      <c r="R34" s="1464"/>
      <c r="S34" s="1464"/>
      <c r="T34" s="1464"/>
      <c r="U34" s="1464"/>
      <c r="V34" s="1464"/>
    </row>
    <row r="35" spans="1:22">
      <c r="A35" s="290">
        <f>ROW()</f>
        <v>35</v>
      </c>
      <c r="B35" s="30" t="s">
        <v>1195</v>
      </c>
      <c r="D35" s="1398"/>
      <c r="E35" s="1398"/>
      <c r="F35" s="1398"/>
      <c r="G35" s="1398"/>
      <c r="H35" s="1398"/>
      <c r="I35" s="1398"/>
      <c r="J35" s="1398"/>
      <c r="K35" s="103"/>
      <c r="L35" s="287"/>
      <c r="M35" s="1464"/>
      <c r="N35" s="1464"/>
      <c r="O35" s="1464"/>
      <c r="P35" s="1464"/>
      <c r="Q35" s="1464"/>
      <c r="R35" s="1464"/>
      <c r="S35" s="1464"/>
      <c r="T35" s="1464"/>
      <c r="U35" s="1464"/>
      <c r="V35" s="1464"/>
    </row>
    <row r="36" spans="1:22">
      <c r="A36" s="290">
        <f>ROW()</f>
        <v>36</v>
      </c>
      <c r="B36" s="30" t="s">
        <v>1196</v>
      </c>
      <c r="D36" s="1466"/>
      <c r="K36" s="103"/>
      <c r="L36" s="287"/>
      <c r="M36" s="1464"/>
      <c r="N36" s="1464"/>
      <c r="O36" s="1464"/>
      <c r="P36" s="1464"/>
      <c r="Q36" s="1464"/>
      <c r="R36" s="1464"/>
      <c r="S36" s="1464"/>
      <c r="T36" s="1464"/>
      <c r="U36" s="1464"/>
      <c r="V36" s="1464"/>
    </row>
    <row r="37" spans="1:22">
      <c r="A37" s="290">
        <f>ROW()</f>
        <v>37</v>
      </c>
      <c r="B37" s="30" t="s">
        <v>1197</v>
      </c>
      <c r="D37" s="1466"/>
      <c r="E37" s="1399"/>
      <c r="F37" s="1399"/>
      <c r="G37" s="1399"/>
      <c r="H37" s="1399"/>
      <c r="I37" s="1399"/>
      <c r="J37" s="1399"/>
      <c r="K37" s="103"/>
      <c r="L37" s="287"/>
      <c r="M37" s="1464"/>
      <c r="N37" s="1464"/>
      <c r="O37" s="1464"/>
      <c r="P37" s="1464"/>
      <c r="Q37" s="1464"/>
      <c r="R37" s="1464"/>
      <c r="S37" s="1464"/>
      <c r="T37" s="1464"/>
      <c r="U37" s="1464"/>
      <c r="V37" s="1464"/>
    </row>
    <row r="38" spans="1:22">
      <c r="A38" s="290">
        <f>ROW()</f>
        <v>38</v>
      </c>
      <c r="B38" s="30"/>
      <c r="D38" s="1398"/>
      <c r="E38" s="1398"/>
      <c r="F38" s="1398"/>
      <c r="G38" s="1398"/>
      <c r="H38" s="1398"/>
      <c r="I38" s="1398"/>
      <c r="J38" s="1398"/>
      <c r="K38" s="103"/>
      <c r="L38" s="287"/>
      <c r="M38" s="1464"/>
      <c r="N38" s="1464"/>
      <c r="O38" s="1464"/>
      <c r="P38" s="1464"/>
      <c r="Q38" s="1464"/>
      <c r="R38" s="1464"/>
      <c r="S38" s="1464"/>
      <c r="T38" s="1464"/>
      <c r="U38" s="1464"/>
      <c r="V38" s="1464"/>
    </row>
    <row r="39" spans="1:22">
      <c r="A39" s="290">
        <f>ROW()</f>
        <v>39</v>
      </c>
      <c r="B39" s="30"/>
      <c r="D39" s="1466"/>
      <c r="E39" s="1398"/>
      <c r="F39" s="1398"/>
      <c r="G39" s="1398"/>
      <c r="H39" s="1398"/>
      <c r="I39" s="1398"/>
      <c r="J39" s="1398"/>
      <c r="K39" s="103"/>
      <c r="L39" s="287"/>
      <c r="M39" s="1464"/>
      <c r="N39" s="1464"/>
      <c r="O39" s="1464"/>
      <c r="P39" s="1464"/>
      <c r="Q39" s="1464"/>
      <c r="R39" s="1464"/>
      <c r="S39" s="1464"/>
      <c r="T39" s="1464"/>
      <c r="U39" s="1464"/>
      <c r="V39" s="1464"/>
    </row>
    <row r="40" spans="1:22">
      <c r="A40" s="290">
        <f>ROW()</f>
        <v>40</v>
      </c>
      <c r="B40" s="30"/>
      <c r="D40" s="1398"/>
      <c r="E40" s="1399"/>
      <c r="F40" s="1399"/>
      <c r="G40" s="1399"/>
      <c r="H40" s="1399"/>
      <c r="I40" s="1399"/>
      <c r="J40" s="1399"/>
      <c r="K40" s="103"/>
      <c r="L40" s="287"/>
      <c r="M40" s="1464"/>
      <c r="N40" s="1464"/>
      <c r="O40" s="1464"/>
      <c r="P40" s="1464"/>
      <c r="Q40" s="1464"/>
      <c r="R40" s="1464"/>
      <c r="S40" s="1464"/>
      <c r="T40" s="1464"/>
      <c r="U40" s="1464"/>
      <c r="V40" s="1464"/>
    </row>
    <row r="41" spans="1:22">
      <c r="A41" s="290">
        <f>ROW()</f>
        <v>41</v>
      </c>
      <c r="C41" s="30"/>
      <c r="D41" s="1466"/>
      <c r="E41" s="1398"/>
      <c r="F41" s="1398"/>
      <c r="G41" s="1398"/>
      <c r="H41" s="1398"/>
      <c r="I41" s="1398"/>
      <c r="J41" s="1398"/>
      <c r="K41" s="103"/>
      <c r="L41" s="287"/>
      <c r="M41" s="1464"/>
      <c r="N41" s="1464"/>
      <c r="O41" s="1464"/>
      <c r="P41" s="1464"/>
      <c r="Q41" s="1464"/>
      <c r="R41" s="1464"/>
      <c r="S41" s="1464"/>
      <c r="T41" s="1464"/>
      <c r="U41" s="1464"/>
      <c r="V41" s="1464"/>
    </row>
    <row r="42" spans="1:22">
      <c r="A42" s="290">
        <f>ROW()</f>
        <v>42</v>
      </c>
      <c r="C42" s="30"/>
      <c r="D42" s="1467"/>
      <c r="E42" s="1399"/>
      <c r="F42" s="1399"/>
      <c r="G42" s="1399"/>
      <c r="H42" s="1399"/>
      <c r="I42" s="1399"/>
      <c r="J42" s="1399"/>
      <c r="K42" s="103"/>
      <c r="L42" s="287"/>
      <c r="M42" s="1464"/>
      <c r="N42" s="1464"/>
      <c r="O42" s="1464"/>
      <c r="P42" s="1464"/>
      <c r="Q42" s="1464"/>
      <c r="R42" s="1464"/>
      <c r="S42" s="1464"/>
      <c r="T42" s="1464"/>
      <c r="U42" s="1464"/>
      <c r="V42" s="1464"/>
    </row>
    <row r="43" spans="1:22">
      <c r="A43" s="290">
        <f>ROW()</f>
        <v>43</v>
      </c>
      <c r="E43" s="1398"/>
      <c r="F43" s="1398"/>
      <c r="G43" s="1398"/>
      <c r="H43" s="1398"/>
      <c r="I43" s="1398"/>
      <c r="J43" s="1398"/>
      <c r="K43" s="68"/>
      <c r="L43" s="287"/>
      <c r="M43" s="1464"/>
      <c r="N43" s="1464"/>
      <c r="O43" s="1464"/>
      <c r="P43" s="1464"/>
      <c r="Q43" s="1464"/>
      <c r="R43" s="1464"/>
      <c r="S43" s="1464"/>
      <c r="T43" s="1464"/>
      <c r="U43" s="1464"/>
      <c r="V43" s="1464"/>
    </row>
    <row r="44" spans="1:22">
      <c r="A44" s="290">
        <f>ROW()</f>
        <v>44</v>
      </c>
      <c r="E44" s="49"/>
      <c r="F44" s="49"/>
      <c r="G44" s="49"/>
      <c r="H44" s="49"/>
      <c r="I44" s="49"/>
      <c r="J44" s="49"/>
      <c r="K44" s="68"/>
      <c r="L44" s="287"/>
      <c r="M44" s="1464"/>
      <c r="N44" s="1464"/>
      <c r="O44" s="1464"/>
      <c r="P44" s="1464"/>
      <c r="Q44" s="1464"/>
      <c r="R44" s="1464"/>
      <c r="S44" s="1464"/>
      <c r="T44" s="1464"/>
      <c r="U44" s="1464"/>
      <c r="V44" s="1464"/>
    </row>
    <row r="45" spans="1:22">
      <c r="A45" s="290">
        <f>ROW()</f>
        <v>45</v>
      </c>
      <c r="C45" s="30"/>
      <c r="D45" s="30"/>
      <c r="E45" s="1400"/>
      <c r="F45" s="1400"/>
      <c r="G45" s="1400"/>
      <c r="H45" s="1400"/>
      <c r="I45" s="1400"/>
      <c r="J45" s="1400"/>
      <c r="K45" s="68"/>
      <c r="L45" s="287"/>
      <c r="M45" s="1464"/>
      <c r="N45" s="1464"/>
      <c r="O45" s="1464"/>
      <c r="P45" s="1464"/>
      <c r="Q45" s="1464"/>
      <c r="R45" s="1464"/>
      <c r="S45" s="1464"/>
      <c r="T45" s="1464"/>
      <c r="U45" s="1464"/>
      <c r="V45" s="1464"/>
    </row>
    <row r="46" spans="1:22">
      <c r="A46" s="290">
        <f>ROW()</f>
        <v>46</v>
      </c>
      <c r="C46" s="44"/>
      <c r="D46" s="44"/>
      <c r="E46" s="39"/>
      <c r="F46" s="67"/>
      <c r="G46" s="68"/>
      <c r="H46" s="68"/>
      <c r="I46" s="68"/>
      <c r="J46" s="68"/>
      <c r="K46" s="68"/>
      <c r="L46" s="287"/>
      <c r="M46" s="1464"/>
      <c r="N46" s="1464"/>
      <c r="O46" s="1464"/>
      <c r="P46" s="1464"/>
      <c r="Q46" s="1464"/>
      <c r="R46" s="1464"/>
      <c r="S46" s="1464"/>
      <c r="T46" s="1464"/>
      <c r="U46" s="1464"/>
      <c r="V46" s="1464"/>
    </row>
    <row r="47" spans="1:22" ht="15.6">
      <c r="A47" s="165" t="s">
        <v>232</v>
      </c>
      <c r="B47" s="44"/>
      <c r="C47" s="44"/>
      <c r="D47" s="44"/>
      <c r="F47" s="67"/>
      <c r="G47" s="68"/>
      <c r="H47" s="68"/>
      <c r="L47" s="287"/>
      <c r="M47" s="1464"/>
      <c r="N47" s="1464"/>
      <c r="O47" s="1464"/>
      <c r="P47" s="1464"/>
      <c r="Q47" s="1464"/>
      <c r="R47" s="1464"/>
      <c r="S47" s="1464"/>
      <c r="T47" s="1464"/>
      <c r="U47" s="1464"/>
      <c r="V47" s="1464"/>
    </row>
    <row r="48" spans="1:22" ht="46.5" customHeight="1">
      <c r="A48" s="698"/>
      <c r="B48" s="1848" t="s">
        <v>233</v>
      </c>
      <c r="C48" s="1848"/>
      <c r="D48" s="1468"/>
      <c r="E48" s="1469" t="s">
        <v>234</v>
      </c>
      <c r="F48" s="1470" t="s">
        <v>235</v>
      </c>
      <c r="G48" s="1471" t="s">
        <v>236</v>
      </c>
      <c r="H48" s="1469" t="s">
        <v>237</v>
      </c>
      <c r="I48" s="1472" t="s">
        <v>1365</v>
      </c>
      <c r="K48" s="46"/>
      <c r="L48" s="750"/>
      <c r="M48" s="1464"/>
      <c r="N48" s="1464"/>
      <c r="O48" s="1464"/>
      <c r="P48" s="1464"/>
      <c r="Q48" s="1464"/>
      <c r="R48" s="1464"/>
      <c r="S48" s="1464"/>
      <c r="T48" s="1464"/>
      <c r="U48" s="1464"/>
      <c r="V48" s="1464"/>
    </row>
    <row r="49" spans="1:22">
      <c r="A49" s="699">
        <f>ROW()</f>
        <v>49</v>
      </c>
      <c r="B49" s="1846" t="s">
        <v>238</v>
      </c>
      <c r="C49" s="1846"/>
      <c r="D49" s="1846"/>
      <c r="E49" s="1473"/>
      <c r="F49" s="1473"/>
      <c r="G49" s="1474"/>
      <c r="H49" s="1475"/>
      <c r="I49" s="1476"/>
      <c r="K49" s="46"/>
      <c r="L49" s="287"/>
      <c r="M49" s="1464"/>
      <c r="N49" s="1464"/>
      <c r="O49" s="1464"/>
      <c r="P49" s="1464"/>
      <c r="Q49" s="1464"/>
      <c r="R49" s="1464"/>
      <c r="S49" s="1464"/>
      <c r="T49" s="1464"/>
      <c r="U49" s="1464"/>
      <c r="V49" s="1464"/>
    </row>
    <row r="50" spans="1:22">
      <c r="A50" s="516">
        <f>ROW()</f>
        <v>50</v>
      </c>
      <c r="B50" s="1847"/>
      <c r="C50" s="1847"/>
      <c r="D50" s="1847"/>
      <c r="E50" s="251"/>
      <c r="F50" s="251"/>
      <c r="G50" s="252"/>
      <c r="H50" s="217"/>
      <c r="I50" s="700"/>
      <c r="K50" s="46"/>
      <c r="L50" s="287"/>
      <c r="M50" s="1464"/>
      <c r="N50" s="1464"/>
      <c r="O50" s="1464"/>
      <c r="P50" s="1464"/>
      <c r="Q50" s="1464"/>
      <c r="R50" s="1464"/>
      <c r="S50" s="1464"/>
      <c r="T50" s="1464"/>
      <c r="U50" s="1464"/>
      <c r="V50" s="1464"/>
    </row>
    <row r="51" spans="1:22">
      <c r="A51" s="516">
        <f>ROW()</f>
        <v>51</v>
      </c>
      <c r="B51" s="1847"/>
      <c r="C51" s="1847"/>
      <c r="D51" s="1847"/>
      <c r="E51" s="251"/>
      <c r="F51" s="251"/>
      <c r="G51" s="252"/>
      <c r="H51" s="217"/>
      <c r="I51" s="700"/>
      <c r="K51" s="46"/>
      <c r="L51" s="287"/>
      <c r="M51" s="1464"/>
      <c r="N51" s="1464"/>
      <c r="O51" s="1464"/>
      <c r="P51" s="1464"/>
      <c r="Q51" s="1464"/>
      <c r="R51" s="1464"/>
      <c r="S51" s="1464"/>
      <c r="T51" s="1464"/>
      <c r="U51" s="1464"/>
      <c r="V51" s="1464"/>
    </row>
    <row r="52" spans="1:22">
      <c r="A52" s="516">
        <f>ROW()</f>
        <v>52</v>
      </c>
      <c r="B52" s="1310"/>
      <c r="C52" s="1310"/>
      <c r="D52" s="1310"/>
      <c r="E52" s="251"/>
      <c r="F52" s="251"/>
      <c r="G52" s="252"/>
      <c r="H52" s="217"/>
      <c r="I52" s="700"/>
      <c r="K52" s="46"/>
      <c r="L52" s="287"/>
      <c r="M52" s="1464"/>
      <c r="N52" s="1464"/>
      <c r="O52" s="1464"/>
      <c r="P52" s="1464"/>
      <c r="Q52" s="1464"/>
      <c r="R52" s="1464"/>
      <c r="S52" s="1464"/>
      <c r="T52" s="1464"/>
      <c r="U52" s="1464"/>
      <c r="V52" s="1464"/>
    </row>
    <row r="53" spans="1:22">
      <c r="A53" s="516">
        <f>ROW()</f>
        <v>53</v>
      </c>
      <c r="B53" s="1847"/>
      <c r="C53" s="1847"/>
      <c r="D53" s="1847"/>
      <c r="E53" s="251"/>
      <c r="F53" s="251"/>
      <c r="G53" s="252"/>
      <c r="H53" s="217"/>
      <c r="I53" s="700"/>
      <c r="K53" s="46"/>
      <c r="L53" s="287"/>
      <c r="M53" s="1464"/>
      <c r="N53" s="1464"/>
      <c r="O53" s="1464"/>
      <c r="P53" s="1464"/>
      <c r="Q53" s="1464"/>
      <c r="R53" s="1464"/>
      <c r="S53" s="1464"/>
      <c r="T53" s="1464"/>
      <c r="U53" s="1464"/>
      <c r="V53" s="1464"/>
    </row>
    <row r="54" spans="1:22">
      <c r="A54" s="516">
        <f>ROW()</f>
        <v>54</v>
      </c>
      <c r="B54" s="1847"/>
      <c r="C54" s="1847"/>
      <c r="D54" s="1847"/>
      <c r="E54" s="251"/>
      <c r="F54" s="251"/>
      <c r="G54" s="252"/>
      <c r="H54" s="217"/>
      <c r="I54" s="700"/>
      <c r="K54" s="46"/>
      <c r="L54" s="287"/>
      <c r="M54" s="1464"/>
      <c r="N54" s="1464"/>
      <c r="O54" s="1464"/>
      <c r="P54" s="1464"/>
      <c r="Q54" s="1464"/>
      <c r="R54" s="1464"/>
      <c r="S54" s="1464"/>
      <c r="T54" s="1464"/>
      <c r="U54" s="1464"/>
      <c r="V54" s="1464"/>
    </row>
    <row r="55" spans="1:22">
      <c r="A55" s="516">
        <f>ROW()</f>
        <v>55</v>
      </c>
      <c r="B55" s="1310"/>
      <c r="C55" s="1310"/>
      <c r="D55" s="1310"/>
      <c r="E55" s="251"/>
      <c r="F55" s="251"/>
      <c r="G55" s="252"/>
      <c r="H55" s="217"/>
      <c r="I55" s="700"/>
      <c r="K55" s="46"/>
      <c r="L55" s="287"/>
      <c r="M55" s="1464"/>
      <c r="N55" s="1464"/>
      <c r="O55" s="1464"/>
      <c r="P55" s="1464"/>
      <c r="Q55" s="1464"/>
      <c r="R55" s="1464"/>
      <c r="S55" s="1464"/>
      <c r="T55" s="1464"/>
      <c r="U55" s="1464"/>
      <c r="V55" s="1464"/>
    </row>
    <row r="56" spans="1:22">
      <c r="A56" s="516">
        <f>ROW()</f>
        <v>56</v>
      </c>
      <c r="B56" s="1310"/>
      <c r="C56" s="1310"/>
      <c r="D56" s="1310"/>
      <c r="E56" s="251"/>
      <c r="F56" s="251"/>
      <c r="G56" s="252"/>
      <c r="H56" s="217"/>
      <c r="I56" s="700"/>
      <c r="K56" s="46"/>
      <c r="L56" s="287"/>
      <c r="M56" s="1464"/>
      <c r="N56" s="1464"/>
      <c r="O56" s="1464"/>
      <c r="P56" s="1464"/>
      <c r="Q56" s="1464"/>
      <c r="R56" s="1464"/>
      <c r="S56" s="1464"/>
      <c r="T56" s="1464"/>
      <c r="U56" s="1464"/>
      <c r="V56" s="1464"/>
    </row>
    <row r="57" spans="1:22">
      <c r="A57" s="516">
        <f>ROW()</f>
        <v>57</v>
      </c>
      <c r="B57" s="1310"/>
      <c r="C57" s="1310"/>
      <c r="D57" s="1310"/>
      <c r="E57" s="251"/>
      <c r="F57" s="251"/>
      <c r="G57" s="252"/>
      <c r="H57" s="217"/>
      <c r="I57" s="700"/>
      <c r="K57" s="46"/>
      <c r="L57" s="287"/>
      <c r="M57" s="1464"/>
      <c r="N57" s="1464"/>
      <c r="O57" s="1464"/>
      <c r="P57" s="1464"/>
      <c r="Q57" s="1464"/>
      <c r="R57" s="1464"/>
      <c r="S57" s="1464"/>
      <c r="T57" s="1464"/>
      <c r="U57" s="1464"/>
      <c r="V57" s="1464"/>
    </row>
    <row r="58" spans="1:22">
      <c r="A58" s="516">
        <f>ROW()</f>
        <v>58</v>
      </c>
      <c r="B58" s="1847"/>
      <c r="C58" s="1847"/>
      <c r="D58" s="1847"/>
      <c r="E58" s="251"/>
      <c r="F58" s="251"/>
      <c r="G58" s="252"/>
      <c r="H58" s="217"/>
      <c r="I58" s="700"/>
      <c r="K58" s="46"/>
      <c r="L58" s="287"/>
      <c r="M58" s="1464"/>
      <c r="N58" s="1464"/>
      <c r="O58" s="1464"/>
      <c r="P58" s="1464"/>
      <c r="Q58" s="1464"/>
      <c r="R58" s="1464"/>
      <c r="S58" s="1464"/>
      <c r="T58" s="1464"/>
      <c r="U58" s="1464"/>
      <c r="V58" s="1464"/>
    </row>
    <row r="59" spans="1:22">
      <c r="A59" s="516">
        <f>ROW()</f>
        <v>59</v>
      </c>
      <c r="B59" s="1847"/>
      <c r="C59" s="1847"/>
      <c r="D59" s="1847"/>
      <c r="E59" s="251"/>
      <c r="F59" s="251"/>
      <c r="G59" s="252"/>
      <c r="H59" s="217"/>
      <c r="I59" s="700"/>
      <c r="K59" s="46"/>
      <c r="L59" s="287"/>
      <c r="M59" s="1464"/>
      <c r="N59" s="1464"/>
      <c r="O59" s="1464"/>
      <c r="P59" s="1464"/>
      <c r="Q59" s="1464"/>
      <c r="R59" s="1464"/>
      <c r="S59" s="1464"/>
      <c r="T59" s="1464"/>
      <c r="U59" s="1464"/>
      <c r="V59" s="1464"/>
    </row>
    <row r="60" spans="1:22">
      <c r="A60" s="516">
        <f>ROW()</f>
        <v>60</v>
      </c>
      <c r="B60" s="1477" t="s">
        <v>239</v>
      </c>
      <c r="C60" s="1478"/>
      <c r="D60" s="1478"/>
      <c r="E60" s="1479"/>
      <c r="F60" s="1479"/>
      <c r="G60" s="1480"/>
      <c r="H60" s="1481"/>
      <c r="I60" s="1482"/>
      <c r="K60" s="46"/>
      <c r="L60" s="287"/>
      <c r="M60" s="1464"/>
      <c r="N60" s="1464"/>
      <c r="O60" s="1464"/>
      <c r="P60" s="1464"/>
      <c r="Q60" s="1464"/>
      <c r="R60" s="1464"/>
      <c r="S60" s="1464"/>
      <c r="T60" s="1464"/>
      <c r="U60" s="1464"/>
      <c r="V60" s="1464"/>
    </row>
    <row r="61" spans="1:22">
      <c r="A61" s="516">
        <f>ROW()</f>
        <v>61</v>
      </c>
      <c r="B61" s="1310"/>
      <c r="C61" s="1310"/>
      <c r="D61" s="1310"/>
      <c r="E61" s="251"/>
      <c r="F61" s="251"/>
      <c r="G61" s="252"/>
      <c r="H61" s="217"/>
      <c r="I61" s="700"/>
      <c r="K61" s="46"/>
      <c r="L61" s="287"/>
      <c r="M61" s="1464"/>
      <c r="N61" s="1464"/>
      <c r="O61" s="1464"/>
      <c r="P61" s="1464"/>
      <c r="Q61" s="1464"/>
      <c r="R61" s="1464"/>
      <c r="S61" s="1464"/>
      <c r="T61" s="1464"/>
      <c r="U61" s="1464"/>
      <c r="V61" s="1464"/>
    </row>
    <row r="62" spans="1:22">
      <c r="A62" s="516">
        <f>ROW()</f>
        <v>62</v>
      </c>
      <c r="B62" s="1847"/>
      <c r="C62" s="1847"/>
      <c r="D62" s="1847"/>
      <c r="E62" s="251"/>
      <c r="F62" s="251"/>
      <c r="G62" s="252"/>
      <c r="H62" s="217"/>
      <c r="I62" s="700"/>
      <c r="K62" s="46"/>
      <c r="L62" s="287"/>
      <c r="M62" s="1464"/>
      <c r="N62" s="1464"/>
      <c r="O62" s="1464"/>
      <c r="P62" s="1464"/>
      <c r="Q62" s="1464"/>
      <c r="R62" s="1464"/>
      <c r="S62" s="1464"/>
      <c r="T62" s="1464"/>
      <c r="U62" s="1464"/>
      <c r="V62" s="1464"/>
    </row>
    <row r="63" spans="1:22">
      <c r="A63" s="770">
        <f>ROW()</f>
        <v>63</v>
      </c>
      <c r="B63" s="1309"/>
      <c r="C63" s="1309"/>
      <c r="D63" s="1309"/>
      <c r="E63" s="744"/>
      <c r="F63" s="744"/>
      <c r="G63" s="745"/>
      <c r="H63" s="219"/>
      <c r="I63" s="746"/>
      <c r="K63" s="46"/>
      <c r="L63" s="287"/>
      <c r="M63" s="1464"/>
      <c r="N63" s="1464"/>
      <c r="O63" s="1464"/>
      <c r="P63" s="1464"/>
      <c r="Q63" s="1464"/>
      <c r="R63" s="1464"/>
      <c r="S63" s="1464"/>
      <c r="T63" s="1464"/>
      <c r="U63" s="1464"/>
      <c r="V63" s="1464"/>
    </row>
    <row r="64" spans="1:22">
      <c r="A64" s="770">
        <f>ROW()</f>
        <v>64</v>
      </c>
      <c r="B64" s="1309"/>
      <c r="C64" s="1309"/>
      <c r="D64" s="1309"/>
      <c r="E64" s="744"/>
      <c r="F64" s="744"/>
      <c r="G64" s="745"/>
      <c r="H64" s="219"/>
      <c r="I64" s="746"/>
      <c r="K64" s="46"/>
      <c r="L64" s="287"/>
      <c r="M64" s="1464"/>
      <c r="N64" s="1464"/>
      <c r="O64" s="1464"/>
      <c r="P64" s="1464"/>
      <c r="Q64" s="1464"/>
      <c r="R64" s="1464"/>
      <c r="S64" s="1464"/>
      <c r="T64" s="1464"/>
      <c r="U64" s="1464"/>
      <c r="V64" s="1464"/>
    </row>
    <row r="65" spans="1:22">
      <c r="A65" s="770">
        <f>ROW()</f>
        <v>65</v>
      </c>
      <c r="B65" s="1309"/>
      <c r="C65" s="1309"/>
      <c r="D65" s="1309"/>
      <c r="E65" s="744"/>
      <c r="F65" s="744"/>
      <c r="G65" s="745"/>
      <c r="H65" s="219"/>
      <c r="I65" s="746"/>
      <c r="K65" s="46"/>
      <c r="L65" s="287"/>
      <c r="M65" s="1464"/>
      <c r="N65" s="1464"/>
      <c r="O65" s="1464"/>
      <c r="P65" s="1464"/>
      <c r="Q65" s="1464"/>
      <c r="R65" s="1464"/>
      <c r="S65" s="1464"/>
      <c r="T65" s="1464"/>
      <c r="U65" s="1464"/>
      <c r="V65" s="1464"/>
    </row>
    <row r="66" spans="1:22">
      <c r="A66" s="770">
        <f>ROW()</f>
        <v>66</v>
      </c>
      <c r="B66" s="1309"/>
      <c r="C66" s="1309"/>
      <c r="D66" s="1309"/>
      <c r="E66" s="744"/>
      <c r="F66" s="744"/>
      <c r="G66" s="745"/>
      <c r="H66" s="219"/>
      <c r="I66" s="746"/>
      <c r="K66" s="46"/>
      <c r="L66" s="287"/>
      <c r="M66" s="1464"/>
      <c r="N66" s="1464"/>
      <c r="O66" s="1464"/>
      <c r="P66" s="1464"/>
      <c r="Q66" s="1464"/>
      <c r="R66" s="1464"/>
      <c r="S66" s="1464"/>
      <c r="T66" s="1464"/>
      <c r="U66" s="1464"/>
      <c r="V66" s="1464"/>
    </row>
    <row r="67" spans="1:22">
      <c r="A67" s="770">
        <f>ROW()</f>
        <v>67</v>
      </c>
      <c r="B67" s="1309"/>
      <c r="C67" s="1309"/>
      <c r="D67" s="1309"/>
      <c r="E67" s="744"/>
      <c r="F67" s="744"/>
      <c r="G67" s="745"/>
      <c r="H67" s="219"/>
      <c r="I67" s="746"/>
      <c r="K67" s="46"/>
      <c r="L67" s="287"/>
      <c r="M67" s="1464"/>
      <c r="N67" s="1464"/>
      <c r="O67" s="1464"/>
      <c r="P67" s="1464"/>
      <c r="Q67" s="1464"/>
      <c r="R67" s="1464"/>
      <c r="S67" s="1464"/>
      <c r="T67" s="1464"/>
      <c r="U67" s="1464"/>
      <c r="V67" s="1464"/>
    </row>
    <row r="68" spans="1:22">
      <c r="A68" s="770">
        <f>ROW()</f>
        <v>68</v>
      </c>
      <c r="B68" s="1309"/>
      <c r="C68" s="1309"/>
      <c r="D68" s="1309"/>
      <c r="E68" s="744"/>
      <c r="F68" s="744"/>
      <c r="G68" s="745"/>
      <c r="H68" s="219"/>
      <c r="I68" s="746"/>
      <c r="K68" s="46"/>
      <c r="L68" s="287"/>
      <c r="M68" s="1464"/>
      <c r="N68" s="1464"/>
      <c r="O68" s="1464"/>
      <c r="P68" s="1464"/>
      <c r="Q68" s="1464"/>
      <c r="R68" s="1464"/>
      <c r="S68" s="1464"/>
      <c r="T68" s="1464"/>
      <c r="U68" s="1464"/>
      <c r="V68" s="1464"/>
    </row>
    <row r="69" spans="1:22">
      <c r="A69" s="770">
        <f>ROW()</f>
        <v>69</v>
      </c>
      <c r="B69" s="1309"/>
      <c r="C69" s="1309"/>
      <c r="D69" s="1309"/>
      <c r="E69" s="744"/>
      <c r="F69" s="744"/>
      <c r="G69" s="745"/>
      <c r="H69" s="219"/>
      <c r="I69" s="746"/>
      <c r="K69" s="46"/>
      <c r="L69" s="287"/>
      <c r="M69" s="1464"/>
      <c r="N69" s="1464"/>
      <c r="O69" s="1464"/>
      <c r="P69" s="1464"/>
      <c r="Q69" s="1464"/>
      <c r="R69" s="1464"/>
      <c r="S69" s="1464"/>
      <c r="T69" s="1464"/>
      <c r="U69" s="1464"/>
      <c r="V69" s="1464"/>
    </row>
    <row r="70" spans="1:22">
      <c r="A70" s="749">
        <f>ROW()</f>
        <v>70</v>
      </c>
      <c r="B70" s="1309"/>
      <c r="C70" s="1309"/>
      <c r="D70" s="1309"/>
      <c r="E70" s="744"/>
      <c r="F70" s="744"/>
      <c r="G70" s="745"/>
      <c r="H70" s="219"/>
      <c r="I70" s="1091"/>
      <c r="K70" s="46"/>
      <c r="L70" s="287"/>
      <c r="M70" s="1464"/>
      <c r="N70" s="1464"/>
      <c r="O70" s="1464"/>
      <c r="P70" s="1464"/>
      <c r="Q70" s="1464"/>
      <c r="R70" s="1464"/>
      <c r="S70" s="1464"/>
      <c r="T70" s="1464"/>
      <c r="U70" s="1464"/>
      <c r="V70" s="1464"/>
    </row>
    <row r="71" spans="1:22">
      <c r="A71" s="516">
        <f>ROW()</f>
        <v>71</v>
      </c>
      <c r="B71" s="1105"/>
      <c r="C71" s="1105"/>
      <c r="D71" s="1105"/>
      <c r="E71" s="1105"/>
      <c r="F71" s="1106"/>
      <c r="G71" s="104"/>
      <c r="H71" s="1106">
        <f>SUM(H49:H70)</f>
        <v>0</v>
      </c>
      <c r="I71" s="1107">
        <f>IFERROR(SUMPRODUCT(H49:H70,I49:I70)/H71,0)</f>
        <v>0</v>
      </c>
      <c r="K71" s="264"/>
      <c r="L71" s="287"/>
      <c r="M71" s="1464"/>
      <c r="N71" s="1464"/>
      <c r="O71" s="1464"/>
      <c r="P71" s="1464"/>
      <c r="Q71" s="1464"/>
      <c r="R71" s="1464"/>
      <c r="S71" s="1464"/>
      <c r="T71" s="1464"/>
      <c r="U71" s="1464"/>
      <c r="V71" s="1464"/>
    </row>
    <row r="72" spans="1:22">
      <c r="A72" s="516">
        <f>ROW()</f>
        <v>72</v>
      </c>
      <c r="B72" s="1109"/>
      <c r="C72" s="1110"/>
      <c r="D72" s="1110"/>
      <c r="E72" s="257"/>
      <c r="F72" s="1108"/>
      <c r="G72" s="1108"/>
      <c r="H72" s="1777"/>
      <c r="I72" s="1108"/>
      <c r="K72" s="264"/>
      <c r="L72" s="287"/>
      <c r="M72" s="1464"/>
      <c r="N72" s="1464"/>
      <c r="O72" s="1464"/>
      <c r="P72" s="1464"/>
      <c r="Q72" s="1464"/>
      <c r="R72" s="1464"/>
      <c r="S72" s="1464"/>
      <c r="T72" s="1464"/>
      <c r="U72" s="1464"/>
      <c r="V72" s="1464"/>
    </row>
    <row r="73" spans="1:22" hidden="1">
      <c r="A73" s="516">
        <f>ROW()</f>
        <v>73</v>
      </c>
      <c r="B73" s="139"/>
      <c r="C73" s="39"/>
      <c r="D73" s="39"/>
      <c r="E73" s="39"/>
      <c r="F73" s="135"/>
      <c r="G73" s="135"/>
      <c r="H73" s="265"/>
      <c r="I73" s="48"/>
      <c r="K73" s="264"/>
      <c r="L73" s="287"/>
      <c r="M73" s="1464"/>
      <c r="N73" s="1464"/>
      <c r="O73" s="1464"/>
      <c r="P73" s="1464"/>
      <c r="Q73" s="1464"/>
      <c r="R73" s="1464"/>
      <c r="S73" s="1464"/>
      <c r="T73" s="1464"/>
      <c r="U73" s="1464"/>
      <c r="V73" s="1464"/>
    </row>
    <row r="74" spans="1:22" ht="15.6" hidden="1">
      <c r="A74" s="516">
        <f>ROW()</f>
        <v>74</v>
      </c>
      <c r="B74" s="1465"/>
      <c r="C74" s="39"/>
      <c r="D74" s="39"/>
      <c r="E74" s="39"/>
      <c r="F74" s="135"/>
      <c r="G74" s="135"/>
      <c r="H74" s="265"/>
      <c r="I74" s="48"/>
      <c r="K74" s="264"/>
      <c r="L74" s="287"/>
      <c r="M74" s="1464"/>
      <c r="N74" s="1464"/>
      <c r="O74" s="1464"/>
      <c r="P74" s="1464"/>
      <c r="Q74" s="1464"/>
      <c r="R74" s="1464"/>
      <c r="S74" s="1464"/>
      <c r="T74" s="1464"/>
      <c r="U74" s="1464"/>
      <c r="V74" s="1464"/>
    </row>
    <row r="75" spans="1:22" ht="15.6" hidden="1">
      <c r="A75" s="516">
        <f>ROW()</f>
        <v>75</v>
      </c>
      <c r="B75" s="1465"/>
      <c r="C75" s="39"/>
      <c r="D75" s="39"/>
      <c r="E75" s="39"/>
      <c r="F75" s="135"/>
      <c r="G75" s="135"/>
      <c r="H75" s="265"/>
      <c r="I75" s="48"/>
      <c r="K75" s="264"/>
      <c r="L75" s="287"/>
      <c r="M75" s="1464"/>
      <c r="N75" s="1464"/>
      <c r="O75" s="1464"/>
      <c r="P75" s="1464"/>
      <c r="Q75" s="1464"/>
      <c r="R75" s="1464"/>
      <c r="S75" s="1464"/>
      <c r="T75" s="1464"/>
      <c r="U75" s="1464"/>
      <c r="V75" s="1464"/>
    </row>
    <row r="76" spans="1:22" hidden="1">
      <c r="A76" s="516">
        <f>ROW()</f>
        <v>76</v>
      </c>
      <c r="B76" s="39"/>
      <c r="C76" s="39"/>
      <c r="D76" s="39"/>
      <c r="E76" s="39"/>
      <c r="F76" s="135"/>
      <c r="G76" s="135"/>
      <c r="H76" s="265"/>
      <c r="I76" s="48"/>
      <c r="K76" s="264"/>
      <c r="L76" s="287"/>
      <c r="M76" s="1464"/>
      <c r="N76" s="1464"/>
      <c r="O76" s="1464"/>
      <c r="P76" s="1464"/>
      <c r="Q76" s="1464"/>
      <c r="R76" s="1464"/>
      <c r="S76" s="1464"/>
      <c r="T76" s="1464"/>
      <c r="U76" s="1464"/>
      <c r="V76" s="1464"/>
    </row>
    <row r="77" spans="1:22" hidden="1">
      <c r="A77" s="516">
        <f>ROW()</f>
        <v>77</v>
      </c>
      <c r="B77" s="139"/>
      <c r="C77" s="39"/>
      <c r="D77" s="39"/>
      <c r="E77" s="39"/>
      <c r="F77" s="135"/>
      <c r="G77" s="135"/>
      <c r="H77" s="265"/>
      <c r="I77" s="48"/>
      <c r="K77" s="264"/>
      <c r="L77" s="287"/>
      <c r="M77" s="1464"/>
      <c r="N77" s="1464"/>
      <c r="O77" s="1464"/>
      <c r="P77" s="1464"/>
      <c r="Q77" s="1464"/>
      <c r="R77" s="1464"/>
      <c r="S77" s="1464"/>
      <c r="T77" s="1464"/>
      <c r="U77" s="1464"/>
      <c r="V77" s="1464"/>
    </row>
    <row r="78" spans="1:22">
      <c r="A78" s="749">
        <f>ROW()</f>
        <v>78</v>
      </c>
      <c r="B78" s="39"/>
      <c r="C78" s="39"/>
      <c r="D78" s="39"/>
      <c r="E78" s="39"/>
      <c r="F78" s="135"/>
      <c r="G78" s="135"/>
      <c r="H78" s="265"/>
      <c r="I78" s="48"/>
      <c r="K78" s="264"/>
      <c r="L78" s="287"/>
      <c r="M78" s="1464"/>
      <c r="N78" s="1464"/>
      <c r="O78" s="1464"/>
      <c r="P78" s="1464"/>
      <c r="Q78" s="1464"/>
      <c r="R78" s="1464"/>
      <c r="S78" s="1464"/>
      <c r="T78" s="1464"/>
      <c r="U78" s="1464"/>
      <c r="V78" s="1464"/>
    </row>
    <row r="79" spans="1:22" ht="15.6">
      <c r="A79" s="165" t="s">
        <v>1255</v>
      </c>
      <c r="B79" s="396"/>
      <c r="C79" s="396"/>
      <c r="D79" s="396"/>
      <c r="E79" s="63"/>
      <c r="F79" s="605"/>
      <c r="G79" s="606"/>
      <c r="H79" s="606"/>
      <c r="I79" s="48"/>
      <c r="L79" s="287"/>
      <c r="M79" s="1464"/>
      <c r="N79" s="1464"/>
      <c r="O79" s="1464"/>
      <c r="P79" s="1464"/>
      <c r="Q79" s="1464"/>
      <c r="R79" s="1464"/>
      <c r="S79" s="1464"/>
      <c r="T79" s="1464"/>
      <c r="U79" s="1464"/>
      <c r="V79" s="1464"/>
    </row>
    <row r="80" spans="1:22" ht="51" customHeight="1">
      <c r="A80" s="749">
        <f>ROW()</f>
        <v>80</v>
      </c>
      <c r="B80" s="1848" t="s">
        <v>233</v>
      </c>
      <c r="C80" s="1848"/>
      <c r="D80" s="1483"/>
      <c r="E80" s="1484" t="s">
        <v>234</v>
      </c>
      <c r="F80" s="1485" t="s">
        <v>235</v>
      </c>
      <c r="G80" s="1486" t="s">
        <v>240</v>
      </c>
      <c r="H80" s="1486" t="s">
        <v>241</v>
      </c>
      <c r="I80" s="1472" t="s">
        <v>1365</v>
      </c>
      <c r="L80" s="750"/>
      <c r="M80" s="1464"/>
      <c r="N80" s="1464"/>
      <c r="O80" s="1464"/>
      <c r="P80" s="1464"/>
      <c r="Q80" s="1464"/>
      <c r="R80" s="1464"/>
      <c r="S80" s="1464"/>
      <c r="T80" s="1464"/>
      <c r="U80" s="1464"/>
      <c r="V80" s="1464"/>
    </row>
    <row r="81" spans="1:22">
      <c r="A81" s="517">
        <f>ROW()</f>
        <v>81</v>
      </c>
      <c r="B81" s="1846" t="s">
        <v>238</v>
      </c>
      <c r="C81" s="1846"/>
      <c r="D81" s="1846"/>
      <c r="E81" s="1473"/>
      <c r="F81" s="1473"/>
      <c r="G81" s="1474"/>
      <c r="H81" s="1475"/>
      <c r="I81" s="1476"/>
      <c r="L81" s="287"/>
      <c r="M81" s="1464"/>
      <c r="N81" s="1464"/>
      <c r="O81" s="1464"/>
      <c r="P81" s="1464"/>
      <c r="Q81" s="1464"/>
      <c r="R81" s="1464"/>
      <c r="S81" s="1464"/>
      <c r="T81" s="1464"/>
      <c r="U81" s="1464"/>
      <c r="V81" s="1464"/>
    </row>
    <row r="82" spans="1:22">
      <c r="A82" s="516">
        <f>ROW()</f>
        <v>82</v>
      </c>
      <c r="B82" s="1847"/>
      <c r="C82" s="1847"/>
      <c r="D82" s="1847"/>
      <c r="E82" s="251"/>
      <c r="F82" s="251"/>
      <c r="G82" s="252"/>
      <c r="H82" s="217"/>
      <c r="I82" s="700"/>
      <c r="L82" s="287"/>
      <c r="M82" s="1464"/>
      <c r="N82" s="1464"/>
      <c r="O82" s="1464"/>
      <c r="P82" s="1464"/>
      <c r="Q82" s="1464"/>
      <c r="R82" s="1464"/>
      <c r="S82" s="1464"/>
      <c r="T82" s="1464"/>
      <c r="U82" s="1464"/>
      <c r="V82" s="1464"/>
    </row>
    <row r="83" spans="1:22">
      <c r="A83" s="516">
        <f>ROW()</f>
        <v>83</v>
      </c>
      <c r="B83" s="1310"/>
      <c r="C83" s="1310"/>
      <c r="D83" s="1310"/>
      <c r="E83" s="251"/>
      <c r="F83" s="251"/>
      <c r="G83" s="252"/>
      <c r="H83" s="1798"/>
      <c r="I83" s="700"/>
      <c r="L83" s="287"/>
      <c r="M83" s="1464"/>
      <c r="N83" s="1464"/>
      <c r="O83" s="1464"/>
      <c r="P83" s="1464"/>
      <c r="Q83" s="1464"/>
      <c r="R83" s="1464"/>
      <c r="S83" s="1464"/>
      <c r="T83" s="1464"/>
      <c r="U83" s="1464"/>
      <c r="V83" s="1464"/>
    </row>
    <row r="84" spans="1:22">
      <c r="A84" s="516">
        <f>ROW()</f>
        <v>84</v>
      </c>
      <c r="B84" s="1310"/>
      <c r="C84" s="1310"/>
      <c r="D84" s="1310"/>
      <c r="E84" s="251"/>
      <c r="F84" s="251"/>
      <c r="G84" s="252"/>
      <c r="H84" s="217"/>
      <c r="I84" s="700"/>
      <c r="L84" s="287"/>
      <c r="M84" s="1464"/>
      <c r="N84" s="1464"/>
      <c r="O84" s="1464"/>
      <c r="P84" s="1464"/>
      <c r="Q84" s="1464"/>
      <c r="R84" s="1464"/>
      <c r="S84" s="1464"/>
      <c r="T84" s="1464"/>
      <c r="U84" s="1464"/>
      <c r="V84" s="1464"/>
    </row>
    <row r="85" spans="1:22">
      <c r="A85" s="516">
        <f>ROW()</f>
        <v>85</v>
      </c>
      <c r="B85" s="1310"/>
      <c r="C85" s="1310"/>
      <c r="D85" s="1310"/>
      <c r="E85" s="251"/>
      <c r="F85" s="251"/>
      <c r="G85" s="252"/>
      <c r="H85" s="217"/>
      <c r="I85" s="700"/>
      <c r="L85" s="287"/>
      <c r="M85" s="1464"/>
      <c r="N85" s="1464"/>
      <c r="O85" s="1464"/>
      <c r="P85" s="1464"/>
      <c r="Q85" s="1464"/>
      <c r="R85" s="1464"/>
      <c r="S85" s="1464"/>
      <c r="T85" s="1464"/>
      <c r="U85" s="1464"/>
      <c r="V85" s="1464"/>
    </row>
    <row r="86" spans="1:22">
      <c r="A86" s="516">
        <f>ROW()</f>
        <v>86</v>
      </c>
      <c r="B86" s="1310"/>
      <c r="C86" s="1310"/>
      <c r="D86" s="1310"/>
      <c r="E86" s="251"/>
      <c r="F86" s="251"/>
      <c r="G86" s="252"/>
      <c r="H86" s="217"/>
      <c r="I86" s="700"/>
      <c r="L86" s="287"/>
      <c r="M86" s="1464"/>
      <c r="N86" s="1464"/>
      <c r="O86" s="1464"/>
      <c r="P86" s="1464"/>
      <c r="Q86" s="1464"/>
      <c r="R86" s="1464"/>
      <c r="S86" s="1464"/>
      <c r="T86" s="1464"/>
      <c r="U86" s="1464"/>
      <c r="V86" s="1464"/>
    </row>
    <row r="87" spans="1:22">
      <c r="A87" s="516">
        <f>ROW()</f>
        <v>87</v>
      </c>
      <c r="B87" s="1310"/>
      <c r="C87" s="1310"/>
      <c r="D87" s="1310"/>
      <c r="E87" s="251"/>
      <c r="F87" s="251"/>
      <c r="G87" s="252"/>
      <c r="H87" s="217"/>
      <c r="I87" s="700"/>
      <c r="L87" s="287"/>
      <c r="M87" s="1464"/>
      <c r="N87" s="1464"/>
      <c r="O87" s="1464"/>
      <c r="P87" s="1464"/>
      <c r="Q87" s="1464"/>
      <c r="R87" s="1464"/>
      <c r="S87" s="1464"/>
      <c r="T87" s="1464"/>
      <c r="U87" s="1464"/>
      <c r="V87" s="1464"/>
    </row>
    <row r="88" spans="1:22">
      <c r="A88" s="516">
        <f>ROW()</f>
        <v>88</v>
      </c>
      <c r="B88" s="1310"/>
      <c r="C88" s="1310"/>
      <c r="D88" s="1310"/>
      <c r="E88" s="251"/>
      <c r="F88" s="251"/>
      <c r="G88" s="252"/>
      <c r="H88" s="217"/>
      <c r="I88" s="700"/>
      <c r="L88" s="287"/>
      <c r="M88" s="1464"/>
      <c r="N88" s="1464"/>
      <c r="O88" s="1464"/>
      <c r="P88" s="1464"/>
      <c r="Q88" s="1464"/>
      <c r="R88" s="1464"/>
      <c r="S88" s="1464"/>
      <c r="T88" s="1464"/>
      <c r="U88" s="1464"/>
      <c r="V88" s="1464"/>
    </row>
    <row r="89" spans="1:22">
      <c r="A89" s="516">
        <f>ROW()</f>
        <v>89</v>
      </c>
      <c r="B89" s="1847"/>
      <c r="C89" s="1847"/>
      <c r="D89" s="1847"/>
      <c r="E89" s="251"/>
      <c r="F89" s="251"/>
      <c r="G89" s="252"/>
      <c r="H89" s="217"/>
      <c r="I89" s="700"/>
      <c r="L89" s="287"/>
      <c r="M89" s="1464"/>
      <c r="N89" s="1464"/>
      <c r="O89" s="1464"/>
      <c r="P89" s="1464"/>
      <c r="Q89" s="1464"/>
      <c r="R89" s="1464"/>
      <c r="S89" s="1464"/>
      <c r="T89" s="1464"/>
      <c r="U89" s="1464"/>
      <c r="V89" s="1464"/>
    </row>
    <row r="90" spans="1:22">
      <c r="A90" s="516">
        <f>ROW()</f>
        <v>90</v>
      </c>
      <c r="B90" s="1310"/>
      <c r="C90" s="1310"/>
      <c r="D90" s="1310"/>
      <c r="E90" s="251"/>
      <c r="F90" s="251"/>
      <c r="G90" s="252"/>
      <c r="H90" s="217"/>
      <c r="I90" s="700"/>
      <c r="L90" s="287"/>
      <c r="M90" s="1464"/>
      <c r="N90" s="1464"/>
      <c r="O90" s="1464"/>
      <c r="P90" s="1464"/>
      <c r="Q90" s="1464"/>
      <c r="R90" s="1464"/>
      <c r="S90" s="1464"/>
      <c r="T90" s="1464"/>
      <c r="U90" s="1464"/>
      <c r="V90" s="1464"/>
    </row>
    <row r="91" spans="1:22">
      <c r="A91" s="516">
        <f>ROW()</f>
        <v>91</v>
      </c>
      <c r="B91" s="1477" t="s">
        <v>239</v>
      </c>
      <c r="C91" s="1478"/>
      <c r="D91" s="1478"/>
      <c r="E91" s="1479"/>
      <c r="F91" s="1479"/>
      <c r="G91" s="1480"/>
      <c r="H91" s="1481"/>
      <c r="I91" s="1482"/>
      <c r="L91" s="287"/>
      <c r="M91" s="1464"/>
      <c r="N91" s="1464"/>
      <c r="O91" s="1464"/>
      <c r="P91" s="1464"/>
      <c r="Q91" s="1464"/>
      <c r="R91" s="1464"/>
      <c r="S91" s="1464"/>
      <c r="T91" s="1464"/>
      <c r="U91" s="1464"/>
      <c r="V91" s="1464"/>
    </row>
    <row r="92" spans="1:22">
      <c r="A92" s="516">
        <f>ROW()</f>
        <v>92</v>
      </c>
      <c r="B92" s="1310"/>
      <c r="C92" s="1310"/>
      <c r="D92" s="1310"/>
      <c r="E92" s="251"/>
      <c r="F92" s="251"/>
      <c r="G92" s="252"/>
      <c r="H92" s="217"/>
      <c r="I92" s="700"/>
      <c r="L92" s="287"/>
      <c r="M92" s="1464"/>
      <c r="N92" s="1464"/>
      <c r="O92" s="1464"/>
      <c r="P92" s="1464"/>
      <c r="Q92" s="1464"/>
      <c r="R92" s="1464"/>
      <c r="S92" s="1464"/>
      <c r="T92" s="1464"/>
      <c r="U92" s="1464"/>
      <c r="V92" s="1464"/>
    </row>
    <row r="93" spans="1:22">
      <c r="A93" s="516">
        <f>ROW()</f>
        <v>93</v>
      </c>
      <c r="B93" s="1310"/>
      <c r="C93" s="1310"/>
      <c r="D93" s="1310"/>
      <c r="E93" s="251"/>
      <c r="F93" s="251"/>
      <c r="G93" s="252"/>
      <c r="H93" s="217"/>
      <c r="I93" s="700"/>
      <c r="L93" s="287"/>
      <c r="M93" s="1464"/>
      <c r="N93" s="1464"/>
      <c r="O93" s="1464"/>
      <c r="P93" s="1464"/>
      <c r="Q93" s="1464"/>
      <c r="R93" s="1464"/>
      <c r="S93" s="1464"/>
      <c r="T93" s="1464"/>
      <c r="U93" s="1464"/>
      <c r="V93" s="1464"/>
    </row>
    <row r="94" spans="1:22">
      <c r="A94" s="516">
        <f>ROW()</f>
        <v>94</v>
      </c>
      <c r="B94" s="1310"/>
      <c r="C94" s="1310"/>
      <c r="D94" s="1310"/>
      <c r="E94" s="251"/>
      <c r="F94" s="251"/>
      <c r="G94" s="252"/>
      <c r="H94" s="217"/>
      <c r="I94" s="700"/>
      <c r="L94" s="287"/>
      <c r="M94" s="1464"/>
      <c r="N94" s="1464"/>
      <c r="O94" s="1464"/>
      <c r="P94" s="1464"/>
      <c r="Q94" s="1464"/>
      <c r="R94" s="1464"/>
      <c r="S94" s="1464"/>
      <c r="T94" s="1464"/>
      <c r="U94" s="1464"/>
      <c r="V94" s="1464"/>
    </row>
    <row r="95" spans="1:22">
      <c r="A95" s="516">
        <f>ROW()</f>
        <v>95</v>
      </c>
      <c r="B95" s="1310"/>
      <c r="C95" s="1310"/>
      <c r="D95" s="1310"/>
      <c r="E95" s="251"/>
      <c r="F95" s="251"/>
      <c r="G95" s="252"/>
      <c r="H95" s="217"/>
      <c r="I95" s="700"/>
      <c r="L95" s="287"/>
      <c r="M95" s="1464"/>
      <c r="N95" s="1464"/>
      <c r="O95" s="1464"/>
      <c r="P95" s="1464"/>
      <c r="Q95" s="1464"/>
      <c r="R95" s="1464"/>
      <c r="S95" s="1464"/>
      <c r="T95" s="1464"/>
      <c r="U95" s="1464"/>
      <c r="V95" s="1464"/>
    </row>
    <row r="96" spans="1:22">
      <c r="A96" s="516">
        <f>ROW()</f>
        <v>96</v>
      </c>
      <c r="B96" s="1310"/>
      <c r="C96" s="1310"/>
      <c r="D96" s="1310"/>
      <c r="E96" s="251"/>
      <c r="F96" s="251"/>
      <c r="G96" s="252"/>
      <c r="H96" s="217"/>
      <c r="I96" s="700"/>
      <c r="L96" s="287"/>
      <c r="M96" s="1464"/>
      <c r="N96" s="1464"/>
      <c r="O96" s="1464"/>
      <c r="P96" s="1464"/>
      <c r="Q96" s="1464"/>
      <c r="R96" s="1464"/>
      <c r="S96" s="1464"/>
      <c r="T96" s="1464"/>
      <c r="U96" s="1464"/>
      <c r="V96" s="1464"/>
    </row>
    <row r="97" spans="1:22">
      <c r="A97" s="516">
        <f>ROW()</f>
        <v>97</v>
      </c>
      <c r="B97" s="1310"/>
      <c r="C97" s="1310"/>
      <c r="D97" s="1310"/>
      <c r="E97" s="251"/>
      <c r="F97" s="251"/>
      <c r="G97" s="252"/>
      <c r="H97" s="217"/>
      <c r="I97" s="700"/>
      <c r="L97" s="287"/>
      <c r="M97" s="1464"/>
      <c r="N97" s="1464"/>
      <c r="O97" s="1464"/>
      <c r="P97" s="1464"/>
      <c r="Q97" s="1464"/>
      <c r="R97" s="1464"/>
      <c r="S97" s="1464"/>
      <c r="T97" s="1464"/>
      <c r="U97" s="1464"/>
      <c r="V97" s="1464"/>
    </row>
    <row r="98" spans="1:22">
      <c r="A98" s="516">
        <f>ROW()</f>
        <v>98</v>
      </c>
      <c r="B98" s="1310"/>
      <c r="C98" s="1310"/>
      <c r="D98" s="1310"/>
      <c r="E98" s="251"/>
      <c r="F98" s="251"/>
      <c r="G98" s="252"/>
      <c r="H98" s="217"/>
      <c r="I98" s="700"/>
      <c r="L98" s="287"/>
      <c r="M98" s="1464"/>
      <c r="N98" s="1464"/>
      <c r="O98" s="1464"/>
      <c r="P98" s="1464"/>
      <c r="Q98" s="1464"/>
      <c r="R98" s="1464"/>
      <c r="S98" s="1464"/>
      <c r="T98" s="1464"/>
      <c r="U98" s="1464"/>
      <c r="V98" s="1464"/>
    </row>
    <row r="99" spans="1:22">
      <c r="A99" s="516">
        <f>ROW()</f>
        <v>99</v>
      </c>
      <c r="B99" s="1310"/>
      <c r="C99" s="1310"/>
      <c r="D99" s="1310"/>
      <c r="E99" s="251"/>
      <c r="F99" s="251"/>
      <c r="G99" s="252"/>
      <c r="H99" s="217"/>
      <c r="I99" s="700"/>
      <c r="L99" s="287"/>
      <c r="M99" s="1464"/>
      <c r="N99" s="1464"/>
      <c r="O99" s="1464"/>
      <c r="P99" s="1464"/>
      <c r="Q99" s="1464"/>
      <c r="R99" s="1464"/>
      <c r="S99" s="1464"/>
      <c r="T99" s="1464"/>
      <c r="U99" s="1464"/>
      <c r="V99" s="1464"/>
    </row>
    <row r="100" spans="1:22">
      <c r="A100" s="749">
        <f>ROW()</f>
        <v>100</v>
      </c>
      <c r="B100" s="1845"/>
      <c r="C100" s="1845"/>
      <c r="D100" s="1845"/>
      <c r="E100" s="744"/>
      <c r="F100" s="744"/>
      <c r="G100" s="745"/>
      <c r="H100" s="219"/>
      <c r="I100" s="746"/>
      <c r="L100" s="287"/>
      <c r="M100" s="1464"/>
      <c r="N100" s="1464"/>
      <c r="O100" s="1464"/>
      <c r="P100" s="1464"/>
      <c r="Q100" s="1464"/>
      <c r="R100" s="1464"/>
      <c r="S100" s="1464"/>
      <c r="T100" s="1464"/>
      <c r="U100" s="1464"/>
      <c r="V100" s="1464"/>
    </row>
    <row r="101" spans="1:22" ht="13.5" customHeight="1">
      <c r="A101" s="59"/>
      <c r="B101" s="122"/>
      <c r="C101" s="122"/>
      <c r="D101" s="122"/>
      <c r="E101" s="122"/>
      <c r="F101" s="122"/>
      <c r="G101" s="747"/>
      <c r="H101" s="747">
        <f>SUM(H81:H100)</f>
        <v>0</v>
      </c>
      <c r="I101" s="748">
        <f>IFERROR(SUMPRODUCT(H81:H100,I81:I100)/H101,0)</f>
        <v>0</v>
      </c>
      <c r="K101" s="135"/>
      <c r="L101" s="287"/>
      <c r="M101" s="1464"/>
      <c r="N101" s="1464"/>
      <c r="O101" s="1464"/>
      <c r="P101" s="1464"/>
      <c r="Q101" s="1464"/>
      <c r="R101" s="1464"/>
      <c r="S101" s="1464"/>
      <c r="T101" s="1464"/>
      <c r="U101" s="1464"/>
      <c r="V101" s="1464"/>
    </row>
    <row r="102" spans="1:22">
      <c r="A102" s="59"/>
      <c r="B102" s="44"/>
      <c r="C102" s="44"/>
      <c r="D102" s="44"/>
      <c r="E102" s="39"/>
      <c r="F102" s="67"/>
      <c r="G102" s="68"/>
      <c r="H102" s="68"/>
      <c r="I102" s="48"/>
      <c r="K102" s="135"/>
      <c r="L102" s="287"/>
      <c r="M102" s="1464"/>
      <c r="N102" s="1464"/>
      <c r="O102" s="1464"/>
      <c r="P102" s="1464"/>
      <c r="Q102" s="1464"/>
      <c r="R102" s="1464"/>
      <c r="S102" s="1464"/>
      <c r="T102" s="1464"/>
      <c r="U102" s="1464"/>
      <c r="V102" s="1464"/>
    </row>
    <row r="103" spans="1:22">
      <c r="I103" s="48"/>
      <c r="M103" s="1464"/>
      <c r="N103" s="1464"/>
      <c r="O103" s="1464"/>
      <c r="P103" s="1464"/>
      <c r="Q103" s="1464"/>
      <c r="R103" s="1464"/>
      <c r="S103" s="1464"/>
      <c r="T103" s="1464"/>
      <c r="U103" s="1464"/>
      <c r="V103" s="1464"/>
    </row>
    <row r="104" spans="1:22">
      <c r="M104" s="1464"/>
      <c r="N104" s="1464"/>
      <c r="O104" s="1464"/>
      <c r="P104" s="1464"/>
      <c r="Q104" s="1464"/>
      <c r="R104" s="1464"/>
      <c r="S104" s="1464"/>
      <c r="T104" s="1464"/>
      <c r="U104" s="1464"/>
      <c r="V104" s="1464"/>
    </row>
    <row r="105" spans="1:22">
      <c r="M105" s="1464"/>
      <c r="N105" s="1464"/>
      <c r="O105" s="1464"/>
      <c r="P105" s="1464"/>
      <c r="Q105" s="1464"/>
      <c r="R105" s="1464"/>
      <c r="S105" s="1464"/>
      <c r="T105" s="1464"/>
      <c r="U105" s="1464"/>
      <c r="V105" s="1464"/>
    </row>
    <row r="106" spans="1:22">
      <c r="M106" s="1464"/>
      <c r="N106" s="1464"/>
      <c r="O106" s="1464"/>
      <c r="P106" s="1464"/>
      <c r="Q106" s="1464"/>
      <c r="R106" s="1464"/>
      <c r="S106" s="1464"/>
      <c r="T106" s="1464"/>
      <c r="U106" s="1464"/>
      <c r="V106" s="1464"/>
    </row>
    <row r="107" spans="1:22">
      <c r="M107" s="1464"/>
      <c r="N107" s="1464"/>
      <c r="O107" s="1464"/>
      <c r="P107" s="1464"/>
      <c r="Q107" s="1464"/>
      <c r="R107" s="1464"/>
      <c r="S107" s="1464"/>
      <c r="T107" s="1464"/>
      <c r="U107" s="1464"/>
      <c r="V107" s="1464"/>
    </row>
    <row r="108" spans="1:22">
      <c r="M108" s="1464"/>
      <c r="N108" s="1464"/>
      <c r="O108" s="1464"/>
      <c r="P108" s="1464"/>
      <c r="Q108" s="1464"/>
      <c r="R108" s="1464"/>
      <c r="S108" s="1464"/>
      <c r="T108" s="1464"/>
      <c r="U108" s="1464"/>
      <c r="V108" s="1464"/>
    </row>
    <row r="109" spans="1:22">
      <c r="M109" s="1464"/>
      <c r="N109" s="1464"/>
      <c r="O109" s="1464"/>
      <c r="P109" s="1464"/>
      <c r="Q109" s="1464"/>
      <c r="R109" s="1464"/>
      <c r="S109" s="1464"/>
      <c r="T109" s="1464"/>
      <c r="U109" s="1464"/>
      <c r="V109" s="1464"/>
    </row>
    <row r="110" spans="1:22">
      <c r="M110" s="1464"/>
      <c r="N110" s="1464"/>
      <c r="O110" s="1464"/>
      <c r="P110" s="1464"/>
      <c r="Q110" s="1464"/>
      <c r="R110" s="1464"/>
      <c r="S110" s="1464"/>
      <c r="T110" s="1464"/>
      <c r="U110" s="1464"/>
      <c r="V110" s="1464"/>
    </row>
    <row r="111" spans="1:22">
      <c r="M111" s="1464"/>
      <c r="N111" s="1464"/>
      <c r="O111" s="1464"/>
      <c r="P111" s="1464"/>
      <c r="Q111" s="1464"/>
      <c r="R111" s="1464"/>
      <c r="S111" s="1464"/>
      <c r="T111" s="1464"/>
      <c r="U111" s="1464"/>
      <c r="V111" s="1464"/>
    </row>
    <row r="112" spans="1:22">
      <c r="M112" s="1464"/>
      <c r="N112" s="1464"/>
      <c r="O112" s="1464"/>
      <c r="P112" s="1464"/>
      <c r="Q112" s="1464"/>
      <c r="R112" s="1464"/>
      <c r="S112" s="1464"/>
      <c r="T112" s="1464"/>
      <c r="U112" s="1464"/>
      <c r="V112" s="1464"/>
    </row>
    <row r="113" spans="13:22">
      <c r="M113" s="1464"/>
      <c r="N113" s="1464"/>
      <c r="O113" s="1464"/>
      <c r="P113" s="1464"/>
      <c r="Q113" s="1464"/>
      <c r="R113" s="1464"/>
      <c r="S113" s="1464"/>
      <c r="T113" s="1464"/>
      <c r="U113" s="1464"/>
      <c r="V113" s="1464"/>
    </row>
    <row r="114" spans="13:22">
      <c r="M114" s="1464"/>
      <c r="N114" s="1464"/>
      <c r="O114" s="1464"/>
      <c r="P114" s="1464"/>
      <c r="Q114" s="1464"/>
      <c r="R114" s="1464"/>
      <c r="S114" s="1464"/>
      <c r="T114" s="1464"/>
      <c r="U114" s="1464"/>
      <c r="V114" s="1464"/>
    </row>
    <row r="115" spans="13:22">
      <c r="M115" s="1464"/>
      <c r="N115" s="1464"/>
      <c r="O115" s="1464"/>
      <c r="P115" s="1464"/>
      <c r="Q115" s="1464"/>
      <c r="R115" s="1464"/>
      <c r="S115" s="1464"/>
      <c r="T115" s="1464"/>
      <c r="U115" s="1464"/>
      <c r="V115" s="1464"/>
    </row>
  </sheetData>
  <sheetProtection sheet="1" objects="1" scenarios="1"/>
  <mergeCells count="14">
    <mergeCell ref="B100:D100"/>
    <mergeCell ref="B81:D81"/>
    <mergeCell ref="B82:D82"/>
    <mergeCell ref="B89:D89"/>
    <mergeCell ref="B48:C48"/>
    <mergeCell ref="B80:C80"/>
    <mergeCell ref="B49:D49"/>
    <mergeCell ref="B50:D50"/>
    <mergeCell ref="B51:D51"/>
    <mergeCell ref="B53:D53"/>
    <mergeCell ref="B54:D54"/>
    <mergeCell ref="B58:D58"/>
    <mergeCell ref="B59:D59"/>
    <mergeCell ref="B62:D62"/>
  </mergeCells>
  <conditionalFormatting sqref="B14:C26">
    <cfRule type="expression" dxfId="77" priority="66" stopIfTrue="1">
      <formula>MOD(ROW(),2)=0</formula>
    </cfRule>
  </conditionalFormatting>
  <conditionalFormatting sqref="D1">
    <cfRule type="expression" dxfId="76" priority="7" stopIfTrue="1">
      <formula>MOD(ROW(),2)=0</formula>
    </cfRule>
  </conditionalFormatting>
  <conditionalFormatting sqref="D11:J12">
    <cfRule type="cellIs" dxfId="75" priority="68" stopIfTrue="1" operator="equal">
      <formula>0</formula>
    </cfRule>
  </conditionalFormatting>
  <conditionalFormatting sqref="D14:J26">
    <cfRule type="cellIs" dxfId="74" priority="67" stopIfTrue="1" operator="equal">
      <formula>0</formula>
    </cfRule>
  </conditionalFormatting>
  <pageMargins left="0.25" right="0.25" top="0.5" bottom="0.45" header="0.25" footer="0.25"/>
  <pageSetup fitToHeight="3" orientation="landscape" r:id="rId1"/>
  <headerFooter>
    <oddHeader xml:space="preserve">&amp;L &amp;C &amp;R </oddHeader>
    <oddFooter>&amp;L&amp;7&amp;D  at &amp;T Mike 702.854.0691&amp;C&amp;7&amp;F  &amp;A&amp;R&amp;7Page &amp;P of &amp;N</oddFooter>
  </headerFooter>
  <rowBreaks count="2" manualBreakCount="2">
    <brk id="46" max="10" man="1"/>
    <brk id="78" max="10"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tabColor rgb="FFFFFF99"/>
  </sheetPr>
  <dimension ref="A1:N149"/>
  <sheetViews>
    <sheetView zoomScale="80" zoomScaleNormal="80" workbookViewId="0">
      <pane ySplit="14" topLeftCell="A98" activePane="bottomLeft" state="frozen"/>
      <selection pane="bottomLeft" activeCell="F143" sqref="F143:L143"/>
    </sheetView>
  </sheetViews>
  <sheetFormatPr defaultColWidth="8.6640625" defaultRowHeight="13.8"/>
  <cols>
    <col min="1" max="1" width="5.5546875" style="32" customWidth="1"/>
    <col min="2" max="2" width="44.33203125" style="32" customWidth="1"/>
    <col min="3" max="3" width="17.6640625" style="32" customWidth="1"/>
    <col min="4" max="4" width="10.44140625" style="32" customWidth="1"/>
    <col min="5" max="5" width="11" style="32" customWidth="1"/>
    <col min="6" max="6" width="15.33203125" style="32" customWidth="1"/>
    <col min="7" max="7" width="16.33203125" style="32" customWidth="1"/>
    <col min="8" max="9" width="21" style="32" customWidth="1"/>
    <col min="10" max="12" width="17" style="32" customWidth="1"/>
    <col min="13" max="13" width="1.33203125" style="32" customWidth="1"/>
    <col min="14" max="14" width="88.5546875" style="257" customWidth="1"/>
    <col min="15" max="15" width="12.33203125" style="32" customWidth="1"/>
    <col min="16" max="16384" width="8.6640625" style="32"/>
  </cols>
  <sheetData>
    <row r="1" spans="1:14" ht="17.399999999999999">
      <c r="A1" s="1494" t="s">
        <v>39</v>
      </c>
      <c r="B1" s="1495"/>
      <c r="D1" s="347"/>
      <c r="E1" s="347"/>
    </row>
    <row r="2" spans="1:14" ht="15.6">
      <c r="A2" s="35" t="str">
        <f>SchoolName</f>
        <v>Pahrump Valley Academy</v>
      </c>
      <c r="B2" s="36"/>
    </row>
    <row r="3" spans="1:14">
      <c r="A3" s="37"/>
      <c r="K3" s="30"/>
    </row>
    <row r="4" spans="1:14">
      <c r="A4" s="38"/>
    </row>
    <row r="5" spans="1:14">
      <c r="A5" s="29"/>
    </row>
    <row r="6" spans="1:14" ht="15.6">
      <c r="A6" s="59"/>
      <c r="E6" s="60"/>
      <c r="G6" s="221"/>
      <c r="J6" s="60"/>
    </row>
    <row r="7" spans="1:14">
      <c r="A7" s="59"/>
      <c r="E7" s="31"/>
      <c r="G7" s="31"/>
      <c r="J7" s="31"/>
    </row>
    <row r="8" spans="1:14">
      <c r="A8" s="59"/>
      <c r="F8" s="31"/>
      <c r="G8" s="30"/>
    </row>
    <row r="9" spans="1:14">
      <c r="A9" s="59"/>
      <c r="B9" s="30"/>
      <c r="F9" s="1511">
        <v>0</v>
      </c>
      <c r="G9" s="1512">
        <v>1</v>
      </c>
      <c r="H9" s="1512">
        <f>1+G9</f>
        <v>2</v>
      </c>
      <c r="I9" s="1512">
        <f>1+H9</f>
        <v>3</v>
      </c>
      <c r="J9" s="1512">
        <f>1+I9</f>
        <v>4</v>
      </c>
      <c r="K9" s="1512">
        <f>1+J9</f>
        <v>5</v>
      </c>
      <c r="L9" s="1513">
        <f>1+K9</f>
        <v>6</v>
      </c>
    </row>
    <row r="10" spans="1:14">
      <c r="A10" s="290"/>
      <c r="B10" s="61"/>
      <c r="E10" s="60"/>
      <c r="F10" s="1514">
        <f>+G10-1</f>
        <v>2025</v>
      </c>
      <c r="G10" s="1515">
        <f>'Cover &amp; Loc'!C11</f>
        <v>2026</v>
      </c>
      <c r="H10" s="1515">
        <f>+G11</f>
        <v>2027</v>
      </c>
      <c r="I10" s="1515">
        <f>+H11</f>
        <v>2028</v>
      </c>
      <c r="J10" s="1515">
        <f>+I11</f>
        <v>2029</v>
      </c>
      <c r="K10" s="1515">
        <f>+J11</f>
        <v>2030</v>
      </c>
      <c r="L10" s="1516">
        <f>+K11</f>
        <v>2031</v>
      </c>
    </row>
    <row r="11" spans="1:14" ht="17.399999999999999">
      <c r="A11" s="290">
        <f>ROW()</f>
        <v>11</v>
      </c>
      <c r="B11" s="1498"/>
      <c r="C11" s="248"/>
      <c r="D11" s="244"/>
      <c r="E11" s="31"/>
      <c r="F11" s="1517">
        <f>+G11-1</f>
        <v>2026</v>
      </c>
      <c r="G11" s="1517">
        <f t="shared" ref="G11:L11" si="0">+G10+1</f>
        <v>2027</v>
      </c>
      <c r="H11" s="1517">
        <f t="shared" si="0"/>
        <v>2028</v>
      </c>
      <c r="I11" s="1517">
        <f t="shared" si="0"/>
        <v>2029</v>
      </c>
      <c r="J11" s="1517">
        <f t="shared" si="0"/>
        <v>2030</v>
      </c>
      <c r="K11" s="1517">
        <f t="shared" si="0"/>
        <v>2031</v>
      </c>
      <c r="L11" s="1518">
        <f t="shared" si="0"/>
        <v>2032</v>
      </c>
    </row>
    <row r="12" spans="1:14" s="58" customFormat="1" ht="15.6">
      <c r="A12" s="1499">
        <f>ROW()</f>
        <v>12</v>
      </c>
      <c r="B12" s="1496"/>
      <c r="D12" s="1497"/>
      <c r="E12" s="1497"/>
      <c r="F12" s="509"/>
      <c r="G12" s="1500">
        <f>+G36</f>
        <v>275</v>
      </c>
      <c r="H12" s="1500">
        <f t="shared" ref="H12:L12" si="1">+H36</f>
        <v>350</v>
      </c>
      <c r="I12" s="1500">
        <f t="shared" si="1"/>
        <v>400</v>
      </c>
      <c r="J12" s="1500">
        <f t="shared" si="1"/>
        <v>450</v>
      </c>
      <c r="K12" s="1500">
        <f t="shared" si="1"/>
        <v>450</v>
      </c>
      <c r="L12" s="1500">
        <f t="shared" si="1"/>
        <v>450</v>
      </c>
      <c r="N12" s="1137"/>
    </row>
    <row r="13" spans="1:14" ht="15.6" hidden="1">
      <c r="A13" s="290">
        <f>ROW()</f>
        <v>13</v>
      </c>
      <c r="B13" s="74"/>
      <c r="D13" s="244"/>
      <c r="E13" s="244"/>
      <c r="F13" s="244"/>
      <c r="G13" s="248"/>
      <c r="H13" s="248"/>
      <c r="I13" s="248"/>
      <c r="J13" s="248"/>
      <c r="K13" s="248"/>
      <c r="L13" s="248"/>
    </row>
    <row r="14" spans="1:14" ht="15.6" hidden="1">
      <c r="A14" s="290"/>
      <c r="B14" s="697"/>
      <c r="C14" s="1501"/>
      <c r="D14" s="1501"/>
      <c r="E14" s="1501"/>
      <c r="F14" s="509"/>
      <c r="G14" s="1502"/>
      <c r="H14" s="1502"/>
      <c r="I14" s="1502"/>
      <c r="J14" s="1502"/>
      <c r="K14" s="1502"/>
      <c r="L14" s="1502"/>
    </row>
    <row r="15" spans="1:14" ht="15.6">
      <c r="A15" s="290">
        <f>ROW()</f>
        <v>15</v>
      </c>
      <c r="B15" s="30"/>
      <c r="F15" s="244"/>
      <c r="G15" s="248"/>
      <c r="H15" s="248"/>
      <c r="I15" s="248"/>
      <c r="J15" s="248"/>
      <c r="K15" s="248"/>
      <c r="L15" s="248"/>
    </row>
    <row r="16" spans="1:14" ht="15.6">
      <c r="A16" s="290">
        <f>ROW()</f>
        <v>16</v>
      </c>
      <c r="B16" s="1503" t="s">
        <v>245</v>
      </c>
      <c r="C16" s="1504"/>
      <c r="D16" s="1504"/>
      <c r="E16" s="1504"/>
      <c r="F16" s="1505"/>
      <c r="G16" s="1506"/>
      <c r="H16" s="1506"/>
      <c r="I16" s="1506"/>
      <c r="J16" s="1506"/>
      <c r="K16" s="1506"/>
      <c r="L16" s="1506"/>
      <c r="N16" s="1426" t="s">
        <v>1253</v>
      </c>
    </row>
    <row r="17" spans="1:14">
      <c r="A17" s="290">
        <f>ROW()</f>
        <v>17</v>
      </c>
      <c r="B17" s="569" t="s">
        <v>212</v>
      </c>
      <c r="C17" s="450"/>
      <c r="D17" s="450"/>
      <c r="E17" s="450"/>
      <c r="F17" s="570"/>
      <c r="G17" s="678">
        <f t="shared" ref="G17:L17" si="2">COUNTIF(G23:G35,"&gt;0")</f>
        <v>6</v>
      </c>
      <c r="H17" s="678">
        <f t="shared" si="2"/>
        <v>7</v>
      </c>
      <c r="I17" s="678">
        <f t="shared" si="2"/>
        <v>8</v>
      </c>
      <c r="J17" s="678">
        <f t="shared" si="2"/>
        <v>9</v>
      </c>
      <c r="K17" s="678">
        <f t="shared" si="2"/>
        <v>9</v>
      </c>
      <c r="L17" s="678">
        <f t="shared" si="2"/>
        <v>9</v>
      </c>
      <c r="N17" s="287"/>
    </row>
    <row r="18" spans="1:14">
      <c r="A18" s="290">
        <f>ROW()</f>
        <v>18</v>
      </c>
      <c r="B18" s="64" t="s">
        <v>1256</v>
      </c>
      <c r="C18" s="66"/>
      <c r="D18" s="66"/>
      <c r="E18" s="66"/>
      <c r="F18" s="421"/>
      <c r="G18" s="535">
        <v>25</v>
      </c>
      <c r="H18" s="535">
        <v>25</v>
      </c>
      <c r="I18" s="535">
        <v>25</v>
      </c>
      <c r="J18" s="535">
        <v>25</v>
      </c>
      <c r="K18" s="535">
        <v>25</v>
      </c>
      <c r="L18" s="535">
        <v>25</v>
      </c>
      <c r="N18" s="287"/>
    </row>
    <row r="19" spans="1:14">
      <c r="A19" s="290">
        <f>ROW()</f>
        <v>19</v>
      </c>
      <c r="B19" s="64" t="s">
        <v>1257</v>
      </c>
      <c r="C19" s="66"/>
      <c r="D19" s="66"/>
      <c r="E19" s="66"/>
      <c r="F19" s="421"/>
      <c r="G19" s="679">
        <f>IFERROR(+G36/G18,0)</f>
        <v>11</v>
      </c>
      <c r="H19" s="679">
        <f t="shared" ref="H19:L19" si="3">IFERROR(+H36/H18,0)</f>
        <v>14</v>
      </c>
      <c r="I19" s="679">
        <f t="shared" si="3"/>
        <v>16</v>
      </c>
      <c r="J19" s="679">
        <f t="shared" si="3"/>
        <v>18</v>
      </c>
      <c r="K19" s="679">
        <f t="shared" si="3"/>
        <v>18</v>
      </c>
      <c r="L19" s="679">
        <f t="shared" si="3"/>
        <v>18</v>
      </c>
      <c r="N19" s="287"/>
    </row>
    <row r="20" spans="1:14">
      <c r="A20" s="290">
        <f>ROW()</f>
        <v>20</v>
      </c>
      <c r="B20" s="64" t="s">
        <v>1258</v>
      </c>
      <c r="C20" s="66"/>
      <c r="D20" s="66"/>
      <c r="E20" s="66"/>
      <c r="F20" s="421"/>
      <c r="G20" s="680">
        <f>G19</f>
        <v>11</v>
      </c>
      <c r="H20" s="680">
        <f t="shared" ref="H20:L20" si="4">H19</f>
        <v>14</v>
      </c>
      <c r="I20" s="680">
        <f t="shared" si="4"/>
        <v>16</v>
      </c>
      <c r="J20" s="680">
        <f t="shared" si="4"/>
        <v>18</v>
      </c>
      <c r="K20" s="680">
        <f t="shared" si="4"/>
        <v>18</v>
      </c>
      <c r="L20" s="680">
        <f t="shared" si="4"/>
        <v>18</v>
      </c>
      <c r="N20" s="287"/>
    </row>
    <row r="21" spans="1:14">
      <c r="A21" s="290">
        <f>ROW()</f>
        <v>21</v>
      </c>
      <c r="B21" s="568" t="s">
        <v>246</v>
      </c>
      <c r="C21" s="581"/>
      <c r="D21" s="581"/>
      <c r="E21" s="581"/>
      <c r="F21" s="582"/>
      <c r="G21" s="681">
        <f>IFERROR(G36/G20,0)</f>
        <v>25</v>
      </c>
      <c r="H21" s="681">
        <f t="shared" ref="H21:L21" si="5">IFERROR(H36/H20,0)</f>
        <v>25</v>
      </c>
      <c r="I21" s="681">
        <f t="shared" si="5"/>
        <v>25</v>
      </c>
      <c r="J21" s="681">
        <f t="shared" si="5"/>
        <v>25</v>
      </c>
      <c r="K21" s="681">
        <f t="shared" si="5"/>
        <v>25</v>
      </c>
      <c r="L21" s="681">
        <f t="shared" si="5"/>
        <v>25</v>
      </c>
      <c r="N21" s="287"/>
    </row>
    <row r="22" spans="1:14">
      <c r="A22" s="290">
        <f>ROW()</f>
        <v>22</v>
      </c>
      <c r="B22" s="39"/>
      <c r="C22" s="39"/>
      <c r="D22" s="39"/>
      <c r="E22" s="39"/>
      <c r="F22" s="212"/>
      <c r="G22" s="212"/>
      <c r="H22" s="212"/>
      <c r="I22" s="212"/>
      <c r="J22" s="212"/>
      <c r="K22" s="212"/>
      <c r="L22" s="212"/>
      <c r="N22" s="287"/>
    </row>
    <row r="23" spans="1:14">
      <c r="A23" s="290">
        <f>ROW()</f>
        <v>23</v>
      </c>
      <c r="B23" s="104" t="s">
        <v>214</v>
      </c>
      <c r="C23" s="104"/>
      <c r="D23" s="104"/>
      <c r="E23" s="104"/>
      <c r="F23" s="1788"/>
      <c r="G23" s="682">
        <v>50</v>
      </c>
      <c r="H23" s="682">
        <v>50</v>
      </c>
      <c r="I23" s="682">
        <v>50</v>
      </c>
      <c r="J23" s="682">
        <v>50</v>
      </c>
      <c r="K23" s="682">
        <v>50</v>
      </c>
      <c r="L23" s="682">
        <v>50</v>
      </c>
      <c r="N23" s="287"/>
    </row>
    <row r="24" spans="1:14">
      <c r="A24" s="290">
        <f>ROW()</f>
        <v>24</v>
      </c>
      <c r="B24" s="66" t="s">
        <v>215</v>
      </c>
      <c r="C24" s="66"/>
      <c r="D24" s="66"/>
      <c r="E24" s="66"/>
      <c r="F24" s="1789"/>
      <c r="G24" s="536">
        <v>50</v>
      </c>
      <c r="H24" s="536">
        <v>50</v>
      </c>
      <c r="I24" s="536">
        <v>50</v>
      </c>
      <c r="J24" s="536">
        <v>50</v>
      </c>
      <c r="K24" s="536">
        <v>50</v>
      </c>
      <c r="L24" s="536">
        <v>50</v>
      </c>
      <c r="N24" s="287"/>
    </row>
    <row r="25" spans="1:14">
      <c r="A25" s="290">
        <f>ROW()</f>
        <v>25</v>
      </c>
      <c r="B25" s="66" t="s">
        <v>216</v>
      </c>
      <c r="C25" s="66"/>
      <c r="D25" s="66"/>
      <c r="E25" s="66"/>
      <c r="F25" s="1789"/>
      <c r="G25" s="536">
        <v>50</v>
      </c>
      <c r="H25" s="536">
        <v>50</v>
      </c>
      <c r="I25" s="536">
        <v>50</v>
      </c>
      <c r="J25" s="536">
        <v>50</v>
      </c>
      <c r="K25" s="536">
        <v>50</v>
      </c>
      <c r="L25" s="536">
        <v>50</v>
      </c>
      <c r="N25" s="287"/>
    </row>
    <row r="26" spans="1:14">
      <c r="A26" s="290">
        <f>ROW()</f>
        <v>26</v>
      </c>
      <c r="B26" s="66" t="s">
        <v>217</v>
      </c>
      <c r="C26" s="66"/>
      <c r="D26" s="66"/>
      <c r="E26" s="66"/>
      <c r="F26" s="1789"/>
      <c r="G26" s="536">
        <v>50</v>
      </c>
      <c r="H26" s="536">
        <v>50</v>
      </c>
      <c r="I26" s="536">
        <v>50</v>
      </c>
      <c r="J26" s="536">
        <v>50</v>
      </c>
      <c r="K26" s="536">
        <v>50</v>
      </c>
      <c r="L26" s="536">
        <v>50</v>
      </c>
      <c r="N26" s="287"/>
    </row>
    <row r="27" spans="1:14">
      <c r="A27" s="290">
        <f>ROW()</f>
        <v>27</v>
      </c>
      <c r="B27" s="66" t="s">
        <v>218</v>
      </c>
      <c r="C27" s="66"/>
      <c r="D27" s="66"/>
      <c r="E27" s="66"/>
      <c r="F27" s="1789"/>
      <c r="G27" s="536">
        <v>50</v>
      </c>
      <c r="H27" s="536">
        <v>50</v>
      </c>
      <c r="I27" s="536">
        <v>50</v>
      </c>
      <c r="J27" s="536">
        <v>50</v>
      </c>
      <c r="K27" s="536">
        <v>50</v>
      </c>
      <c r="L27" s="536">
        <v>50</v>
      </c>
      <c r="N27" s="287"/>
    </row>
    <row r="28" spans="1:14">
      <c r="A28" s="290">
        <f>ROW()</f>
        <v>28</v>
      </c>
      <c r="B28" s="445" t="s">
        <v>219</v>
      </c>
      <c r="C28" s="445"/>
      <c r="D28" s="445"/>
      <c r="E28" s="445"/>
      <c r="F28" s="1790"/>
      <c r="G28" s="1291">
        <v>25</v>
      </c>
      <c r="H28" s="1291">
        <v>50</v>
      </c>
      <c r="I28" s="1291">
        <v>50</v>
      </c>
      <c r="J28" s="1291">
        <v>50</v>
      </c>
      <c r="K28" s="1291">
        <v>50</v>
      </c>
      <c r="L28" s="1291">
        <v>50</v>
      </c>
      <c r="N28" s="287"/>
    </row>
    <row r="29" spans="1:14">
      <c r="A29" s="290">
        <f>ROW()</f>
        <v>29</v>
      </c>
      <c r="B29" s="450" t="s">
        <v>220</v>
      </c>
      <c r="C29" s="450"/>
      <c r="D29" s="450"/>
      <c r="E29" s="450"/>
      <c r="F29" s="1791"/>
      <c r="G29" s="682"/>
      <c r="H29" s="682">
        <v>50</v>
      </c>
      <c r="I29" s="682">
        <v>50</v>
      </c>
      <c r="J29" s="682">
        <v>50</v>
      </c>
      <c r="K29" s="682">
        <v>50</v>
      </c>
      <c r="L29" s="682">
        <v>50</v>
      </c>
      <c r="N29" s="287"/>
    </row>
    <row r="30" spans="1:14">
      <c r="A30" s="290">
        <f>ROW()</f>
        <v>30</v>
      </c>
      <c r="B30" s="66" t="s">
        <v>221</v>
      </c>
      <c r="C30" s="66"/>
      <c r="D30" s="66"/>
      <c r="E30" s="66"/>
      <c r="F30" s="1792"/>
      <c r="G30" s="536"/>
      <c r="H30" s="536"/>
      <c r="I30" s="536">
        <v>50</v>
      </c>
      <c r="J30" s="536">
        <v>50</v>
      </c>
      <c r="K30" s="536">
        <v>50</v>
      </c>
      <c r="L30" s="536">
        <v>50</v>
      </c>
      <c r="N30" s="287"/>
    </row>
    <row r="31" spans="1:14">
      <c r="A31" s="290">
        <f>ROW()</f>
        <v>31</v>
      </c>
      <c r="B31" s="445" t="s">
        <v>222</v>
      </c>
      <c r="C31" s="445"/>
      <c r="D31" s="445"/>
      <c r="E31" s="445"/>
      <c r="F31" s="1790"/>
      <c r="G31" s="1291"/>
      <c r="H31" s="1291"/>
      <c r="I31" s="1291"/>
      <c r="J31" s="1291">
        <v>50</v>
      </c>
      <c r="K31" s="1291">
        <v>50</v>
      </c>
      <c r="L31" s="1291">
        <v>50</v>
      </c>
      <c r="N31" s="287"/>
    </row>
    <row r="32" spans="1:14">
      <c r="A32" s="290">
        <f>ROW()</f>
        <v>32</v>
      </c>
      <c r="B32" s="450" t="s">
        <v>223</v>
      </c>
      <c r="C32" s="450"/>
      <c r="D32" s="450"/>
      <c r="E32" s="450"/>
      <c r="F32" s="1791"/>
      <c r="G32" s="682">
        <v>0</v>
      </c>
      <c r="H32" s="682">
        <v>0</v>
      </c>
      <c r="I32" s="682">
        <v>0</v>
      </c>
      <c r="J32" s="682">
        <v>0</v>
      </c>
      <c r="K32" s="682">
        <v>0</v>
      </c>
      <c r="L32" s="682">
        <v>0</v>
      </c>
      <c r="N32" s="287"/>
    </row>
    <row r="33" spans="1:14">
      <c r="A33" s="290">
        <f>ROW()</f>
        <v>33</v>
      </c>
      <c r="B33" s="66" t="s">
        <v>224</v>
      </c>
      <c r="C33" s="66"/>
      <c r="D33" s="66"/>
      <c r="E33" s="66"/>
      <c r="F33" s="1792"/>
      <c r="G33" s="536">
        <v>0</v>
      </c>
      <c r="H33" s="536">
        <v>0</v>
      </c>
      <c r="I33" s="536">
        <v>0</v>
      </c>
      <c r="J33" s="536">
        <v>0</v>
      </c>
      <c r="K33" s="536">
        <v>0</v>
      </c>
      <c r="L33" s="536">
        <v>0</v>
      </c>
      <c r="N33" s="287"/>
    </row>
    <row r="34" spans="1:14">
      <c r="A34" s="290">
        <f>ROW()</f>
        <v>34</v>
      </c>
      <c r="B34" s="66" t="s">
        <v>225</v>
      </c>
      <c r="C34" s="66"/>
      <c r="D34" s="66"/>
      <c r="E34" s="66"/>
      <c r="F34" s="1792"/>
      <c r="G34" s="536">
        <v>0</v>
      </c>
      <c r="H34" s="536">
        <v>0</v>
      </c>
      <c r="I34" s="536">
        <v>0</v>
      </c>
      <c r="J34" s="536">
        <v>0</v>
      </c>
      <c r="K34" s="536">
        <v>0</v>
      </c>
      <c r="L34" s="536">
        <v>0</v>
      </c>
      <c r="N34" s="287"/>
    </row>
    <row r="35" spans="1:14">
      <c r="A35" s="290">
        <f>ROW()</f>
        <v>35</v>
      </c>
      <c r="B35" s="66" t="s">
        <v>226</v>
      </c>
      <c r="F35" s="1793"/>
      <c r="G35" s="537">
        <v>0</v>
      </c>
      <c r="H35" s="537">
        <v>0</v>
      </c>
      <c r="I35" s="537">
        <v>0</v>
      </c>
      <c r="J35" s="537">
        <v>0</v>
      </c>
      <c r="K35" s="537">
        <v>0</v>
      </c>
      <c r="L35" s="537">
        <v>0</v>
      </c>
      <c r="N35" s="287"/>
    </row>
    <row r="36" spans="1:14">
      <c r="A36" s="290">
        <f>ROW()</f>
        <v>36</v>
      </c>
      <c r="B36" s="122" t="s">
        <v>227</v>
      </c>
      <c r="C36" s="104"/>
      <c r="D36" s="104"/>
      <c r="E36" s="104"/>
      <c r="F36" s="105"/>
      <c r="G36" s="967">
        <f t="shared" ref="G36:L36" si="6">SUM(G23:G35)</f>
        <v>275</v>
      </c>
      <c r="H36" s="967">
        <f t="shared" si="6"/>
        <v>350</v>
      </c>
      <c r="I36" s="967">
        <f t="shared" si="6"/>
        <v>400</v>
      </c>
      <c r="J36" s="967">
        <f t="shared" si="6"/>
        <v>450</v>
      </c>
      <c r="K36" s="967">
        <f t="shared" si="6"/>
        <v>450</v>
      </c>
      <c r="L36" s="967">
        <f t="shared" si="6"/>
        <v>450</v>
      </c>
      <c r="N36" s="287"/>
    </row>
    <row r="37" spans="1:14">
      <c r="A37" s="290">
        <f>ROW()</f>
        <v>37</v>
      </c>
      <c r="B37" s="122" t="s">
        <v>1259</v>
      </c>
      <c r="C37" s="104"/>
      <c r="D37" s="104"/>
      <c r="E37" s="104"/>
      <c r="F37" s="105"/>
      <c r="G37" s="1344">
        <f>G36</f>
        <v>275</v>
      </c>
      <c r="H37" s="1344">
        <f t="shared" ref="H37:L37" si="7">H36</f>
        <v>350</v>
      </c>
      <c r="I37" s="1344">
        <f t="shared" si="7"/>
        <v>400</v>
      </c>
      <c r="J37" s="1344">
        <f t="shared" si="7"/>
        <v>450</v>
      </c>
      <c r="K37" s="1344">
        <f t="shared" si="7"/>
        <v>450</v>
      </c>
      <c r="L37" s="1344">
        <f t="shared" si="7"/>
        <v>450</v>
      </c>
      <c r="N37" s="287"/>
    </row>
    <row r="38" spans="1:14">
      <c r="A38" s="290">
        <f>ROW()</f>
        <v>38</v>
      </c>
      <c r="B38" s="1269" t="s">
        <v>247</v>
      </c>
      <c r="F38" s="152"/>
      <c r="G38" s="1270">
        <f>+G36/G37</f>
        <v>1</v>
      </c>
      <c r="H38" s="1270">
        <f t="shared" ref="H38:L38" si="8">+H36/H37</f>
        <v>1</v>
      </c>
      <c r="I38" s="1270">
        <f t="shared" si="8"/>
        <v>1</v>
      </c>
      <c r="J38" s="1270">
        <f t="shared" si="8"/>
        <v>1</v>
      </c>
      <c r="K38" s="1270">
        <f t="shared" si="8"/>
        <v>1</v>
      </c>
      <c r="L38" s="1270">
        <f t="shared" si="8"/>
        <v>1</v>
      </c>
      <c r="N38" s="287"/>
    </row>
    <row r="39" spans="1:14">
      <c r="A39" s="290">
        <f>ROW()</f>
        <v>39</v>
      </c>
      <c r="B39" s="1269" t="s">
        <v>248</v>
      </c>
      <c r="F39" s="152"/>
      <c r="G39" s="1270"/>
      <c r="H39" s="1271">
        <f>(H36/G36)-1</f>
        <v>0.27272727272727271</v>
      </c>
      <c r="I39" s="1271">
        <f t="shared" ref="I39:L39" si="9">(I36/H36)-1</f>
        <v>0.14285714285714279</v>
      </c>
      <c r="J39" s="1271">
        <f t="shared" si="9"/>
        <v>0.125</v>
      </c>
      <c r="K39" s="1271">
        <f t="shared" si="9"/>
        <v>0</v>
      </c>
      <c r="L39" s="1271">
        <f t="shared" si="9"/>
        <v>0</v>
      </c>
      <c r="N39" s="287"/>
    </row>
    <row r="40" spans="1:14">
      <c r="A40" s="290">
        <f>ROW()</f>
        <v>40</v>
      </c>
      <c r="B40" s="122" t="s">
        <v>249</v>
      </c>
      <c r="C40" s="104"/>
      <c r="D40" s="104"/>
      <c r="E40" s="104"/>
      <c r="F40" s="968"/>
      <c r="G40" s="1795">
        <f>+'Mkt Res'!E29</f>
        <v>0</v>
      </c>
      <c r="H40" s="1795">
        <f>+'Mkt Res'!F29</f>
        <v>0</v>
      </c>
      <c r="I40" s="1795">
        <f>+'Mkt Res'!G29</f>
        <v>0</v>
      </c>
      <c r="J40" s="1795">
        <f>+'Mkt Res'!H29</f>
        <v>0</v>
      </c>
      <c r="K40" s="1795">
        <f>+'Mkt Res'!I29</f>
        <v>0</v>
      </c>
      <c r="L40" s="1795">
        <f>+'Mkt Res'!J29</f>
        <v>0</v>
      </c>
      <c r="N40" s="287"/>
    </row>
    <row r="41" spans="1:14">
      <c r="A41" s="290">
        <f>ROW()</f>
        <v>41</v>
      </c>
      <c r="B41" s="63" t="s">
        <v>250</v>
      </c>
      <c r="C41" s="58"/>
      <c r="D41" s="58"/>
      <c r="E41" s="58"/>
      <c r="F41" s="1796"/>
      <c r="G41" s="1797">
        <f>+'Mkt Res'!E30</f>
        <v>0</v>
      </c>
      <c r="H41" s="1797">
        <f>+'Mkt Res'!F30</f>
        <v>0</v>
      </c>
      <c r="I41" s="1797">
        <f>+'Mkt Res'!G30</f>
        <v>0</v>
      </c>
      <c r="J41" s="1797">
        <f>+'Mkt Res'!H30</f>
        <v>0</v>
      </c>
      <c r="K41" s="1797">
        <f>+'Mkt Res'!I30</f>
        <v>0</v>
      </c>
      <c r="L41" s="1797">
        <f>+'Mkt Res'!J30</f>
        <v>0</v>
      </c>
      <c r="N41" s="287"/>
    </row>
    <row r="42" spans="1:14">
      <c r="A42" s="290">
        <f>ROW()</f>
        <v>42</v>
      </c>
      <c r="B42" s="1269"/>
      <c r="F42" s="361"/>
      <c r="G42" s="651"/>
      <c r="H42" s="551"/>
      <c r="I42" s="551"/>
      <c r="J42" s="551"/>
      <c r="K42" s="551"/>
      <c r="L42" s="551"/>
      <c r="N42" s="287"/>
    </row>
    <row r="43" spans="1:14">
      <c r="A43" s="290">
        <f>ROW()</f>
        <v>43</v>
      </c>
      <c r="B43" s="74" t="s">
        <v>251</v>
      </c>
      <c r="G43" s="1084"/>
      <c r="N43" s="287"/>
    </row>
    <row r="44" spans="1:14" ht="14.4">
      <c r="A44" s="290">
        <f>ROW()</f>
        <v>44</v>
      </c>
      <c r="B44" s="102" t="s">
        <v>252</v>
      </c>
      <c r="F44" s="1331"/>
      <c r="G44" s="683">
        <v>0.85</v>
      </c>
      <c r="H44" s="683">
        <v>0.85</v>
      </c>
      <c r="I44" s="683">
        <v>0.85</v>
      </c>
      <c r="J44" s="683">
        <v>0.85</v>
      </c>
      <c r="K44" s="683">
        <v>0.85</v>
      </c>
      <c r="L44" s="683">
        <v>0.85</v>
      </c>
      <c r="N44" s="287"/>
    </row>
    <row r="45" spans="1:14" ht="14.4">
      <c r="A45" s="290">
        <f>ROW()</f>
        <v>45</v>
      </c>
      <c r="B45" s="102" t="s">
        <v>253</v>
      </c>
      <c r="F45" s="31"/>
      <c r="G45" s="1794">
        <f t="shared" ref="G45:L45" si="10">+G36*(1-G44)</f>
        <v>41.250000000000007</v>
      </c>
      <c r="H45" s="1794">
        <f t="shared" si="10"/>
        <v>52.500000000000007</v>
      </c>
      <c r="I45" s="1794">
        <f t="shared" si="10"/>
        <v>60.000000000000007</v>
      </c>
      <c r="J45" s="1794">
        <f t="shared" si="10"/>
        <v>67.500000000000014</v>
      </c>
      <c r="K45" s="1794">
        <f t="shared" si="10"/>
        <v>67.500000000000014</v>
      </c>
      <c r="L45" s="1794">
        <f t="shared" si="10"/>
        <v>67.500000000000014</v>
      </c>
      <c r="N45" s="287"/>
    </row>
    <row r="46" spans="1:14" ht="14.4">
      <c r="A46" s="290">
        <f>ROW()</f>
        <v>46</v>
      </c>
      <c r="B46" s="102"/>
      <c r="F46" s="31"/>
      <c r="G46" s="429"/>
      <c r="H46" s="429"/>
      <c r="I46" s="429"/>
      <c r="J46" s="429"/>
      <c r="K46" s="429"/>
      <c r="L46" s="429"/>
      <c r="N46" s="287"/>
    </row>
    <row r="47" spans="1:14">
      <c r="A47" s="290">
        <f>ROW()</f>
        <v>47</v>
      </c>
      <c r="B47" s="1508" t="s">
        <v>254</v>
      </c>
      <c r="C47" s="1509"/>
      <c r="D47" s="1509"/>
      <c r="E47" s="1509"/>
      <c r="F47" s="1446"/>
      <c r="G47" s="1492"/>
      <c r="H47" s="1446"/>
      <c r="I47" s="1446"/>
      <c r="J47" s="1446"/>
      <c r="K47" s="1446"/>
      <c r="L47" s="1446"/>
      <c r="N47" s="287"/>
    </row>
    <row r="48" spans="1:14">
      <c r="A48" s="290">
        <f>ROW()</f>
        <v>48</v>
      </c>
      <c r="B48" s="30"/>
      <c r="C48" s="1326"/>
      <c r="D48" s="40" t="s">
        <v>255</v>
      </c>
      <c r="E48" s="40"/>
      <c r="N48" s="287"/>
    </row>
    <row r="49" spans="1:14">
      <c r="A49" s="290">
        <f>ROW()</f>
        <v>49</v>
      </c>
      <c r="C49" s="40"/>
      <c r="D49" s="40" t="s">
        <v>256</v>
      </c>
      <c r="E49" s="40"/>
      <c r="N49" s="287"/>
    </row>
    <row r="50" spans="1:14" hidden="1">
      <c r="A50" s="290">
        <f>ROW()</f>
        <v>50</v>
      </c>
      <c r="B50" s="1327" t="s">
        <v>1166</v>
      </c>
      <c r="C50" s="1328"/>
      <c r="D50" s="450"/>
      <c r="E50" s="1332"/>
      <c r="F50" s="1322"/>
      <c r="G50" s="1322"/>
      <c r="H50" s="1322"/>
      <c r="I50" s="1322"/>
      <c r="J50" s="1322"/>
      <c r="K50" s="1322"/>
      <c r="L50" s="1322"/>
      <c r="N50" s="287"/>
    </row>
    <row r="51" spans="1:14" ht="14.4">
      <c r="A51" s="290">
        <f>ROW()</f>
        <v>51</v>
      </c>
      <c r="B51" s="66" t="s">
        <v>257</v>
      </c>
      <c r="C51" s="1329"/>
      <c r="D51" s="1034">
        <v>0.126</v>
      </c>
      <c r="E51" s="1329"/>
      <c r="F51" s="1333"/>
      <c r="G51" s="1323">
        <f t="shared" ref="G51:L54" si="11">+$D51*G$36</f>
        <v>34.65</v>
      </c>
      <c r="H51" s="1323">
        <f t="shared" si="11"/>
        <v>44.1</v>
      </c>
      <c r="I51" s="1323">
        <f t="shared" si="11"/>
        <v>50.4</v>
      </c>
      <c r="J51" s="1323">
        <f t="shared" si="11"/>
        <v>56.7</v>
      </c>
      <c r="K51" s="1323">
        <f t="shared" si="11"/>
        <v>56.7</v>
      </c>
      <c r="L51" s="1323">
        <f t="shared" si="11"/>
        <v>56.7</v>
      </c>
      <c r="N51" s="287"/>
    </row>
    <row r="52" spans="1:14">
      <c r="A52" s="290">
        <f>ROW()</f>
        <v>52</v>
      </c>
      <c r="B52" s="64" t="s">
        <v>258</v>
      </c>
      <c r="C52" s="1329"/>
      <c r="D52" s="1034">
        <v>7.3999999999999996E-2</v>
      </c>
      <c r="E52" s="1329"/>
      <c r="F52" s="1334"/>
      <c r="G52" s="1323">
        <f t="shared" si="11"/>
        <v>20.349999999999998</v>
      </c>
      <c r="H52" s="1323">
        <f t="shared" si="11"/>
        <v>25.9</v>
      </c>
      <c r="I52" s="1323">
        <f t="shared" si="11"/>
        <v>29.599999999999998</v>
      </c>
      <c r="J52" s="1323">
        <f t="shared" si="11"/>
        <v>33.299999999999997</v>
      </c>
      <c r="K52" s="1323">
        <f t="shared" si="11"/>
        <v>33.299999999999997</v>
      </c>
      <c r="L52" s="1323">
        <f t="shared" si="11"/>
        <v>33.299999999999997</v>
      </c>
      <c r="N52" s="287"/>
    </row>
    <row r="53" spans="1:14" ht="14.4">
      <c r="A53" s="290">
        <f>ROW()</f>
        <v>53</v>
      </c>
      <c r="B53" s="64" t="s">
        <v>259</v>
      </c>
      <c r="C53" s="1329"/>
      <c r="D53" s="1034">
        <v>0</v>
      </c>
      <c r="E53" s="1335"/>
      <c r="F53" s="1336"/>
      <c r="G53" s="1323">
        <f t="shared" si="11"/>
        <v>0</v>
      </c>
      <c r="H53" s="1323">
        <f t="shared" si="11"/>
        <v>0</v>
      </c>
      <c r="I53" s="1323">
        <f t="shared" si="11"/>
        <v>0</v>
      </c>
      <c r="J53" s="1323">
        <f t="shared" si="11"/>
        <v>0</v>
      </c>
      <c r="K53" s="1323">
        <f t="shared" si="11"/>
        <v>0</v>
      </c>
      <c r="L53" s="1323">
        <f t="shared" si="11"/>
        <v>0</v>
      </c>
      <c r="N53" s="287"/>
    </row>
    <row r="54" spans="1:14" ht="14.4">
      <c r="A54" s="290">
        <f>ROW()</f>
        <v>54</v>
      </c>
      <c r="B54" s="66" t="s">
        <v>1385</v>
      </c>
      <c r="C54" s="1329"/>
      <c r="D54" s="1827">
        <v>0.24</v>
      </c>
      <c r="E54" s="1329"/>
      <c r="F54" s="1336"/>
      <c r="G54" s="1323">
        <f t="shared" si="11"/>
        <v>66</v>
      </c>
      <c r="H54" s="1323">
        <f t="shared" si="11"/>
        <v>84</v>
      </c>
      <c r="I54" s="1323">
        <f t="shared" si="11"/>
        <v>96</v>
      </c>
      <c r="J54" s="1323">
        <f t="shared" si="11"/>
        <v>108</v>
      </c>
      <c r="K54" s="1323">
        <f t="shared" si="11"/>
        <v>108</v>
      </c>
      <c r="L54" s="1323">
        <f t="shared" si="11"/>
        <v>108</v>
      </c>
      <c r="N54" s="287"/>
    </row>
    <row r="55" spans="1:14" ht="14.4">
      <c r="A55" s="290">
        <f>ROW()</f>
        <v>55</v>
      </c>
      <c r="B55" s="568"/>
      <c r="C55" s="1330"/>
      <c r="D55" s="1337"/>
      <c r="E55" s="1337"/>
      <c r="F55" s="1338"/>
      <c r="G55" s="1324"/>
      <c r="H55" s="1324"/>
      <c r="I55" s="1324"/>
      <c r="J55" s="1324"/>
      <c r="K55" s="1324"/>
      <c r="L55" s="1324"/>
      <c r="N55" s="287"/>
    </row>
    <row r="56" spans="1:14">
      <c r="A56" s="290">
        <f>ROW()</f>
        <v>56</v>
      </c>
      <c r="B56" s="74" t="s">
        <v>260</v>
      </c>
      <c r="D56" s="1341">
        <f>SUM(D51:D55)</f>
        <v>0.44</v>
      </c>
      <c r="E56" s="1339"/>
      <c r="F56" s="1340" t="s">
        <v>261</v>
      </c>
      <c r="G56" s="1325">
        <f>SUM(G51:G55)</f>
        <v>121</v>
      </c>
      <c r="H56" s="1325">
        <f t="shared" ref="H56:L56" si="12">SUM(H51:H55)</f>
        <v>154</v>
      </c>
      <c r="I56" s="1325">
        <f t="shared" si="12"/>
        <v>176</v>
      </c>
      <c r="J56" s="1325">
        <f t="shared" si="12"/>
        <v>198</v>
      </c>
      <c r="K56" s="1325">
        <f t="shared" si="12"/>
        <v>198</v>
      </c>
      <c r="L56" s="1325">
        <f t="shared" si="12"/>
        <v>198</v>
      </c>
      <c r="N56" s="287"/>
    </row>
    <row r="57" spans="1:14">
      <c r="A57" s="290">
        <f>ROW()</f>
        <v>57</v>
      </c>
      <c r="B57" s="74"/>
      <c r="F57" s="1342"/>
      <c r="G57" s="1343"/>
      <c r="H57" s="1343"/>
      <c r="I57" s="1343"/>
      <c r="J57" s="1343"/>
      <c r="K57" s="1343"/>
      <c r="L57" s="1343"/>
      <c r="N57" s="287"/>
    </row>
    <row r="58" spans="1:14" ht="14.4">
      <c r="A58" s="290">
        <f>ROW()</f>
        <v>58</v>
      </c>
      <c r="B58" s="154"/>
      <c r="F58" s="31"/>
      <c r="G58" s="429"/>
      <c r="H58" s="429"/>
      <c r="I58" s="429"/>
      <c r="J58" s="429"/>
      <c r="K58" s="429"/>
      <c r="L58" s="429"/>
      <c r="N58" s="287"/>
    </row>
    <row r="59" spans="1:14">
      <c r="A59" s="290">
        <f>ROW()</f>
        <v>59</v>
      </c>
      <c r="B59" s="1510" t="s">
        <v>262</v>
      </c>
      <c r="C59" s="1509"/>
      <c r="D59" s="1509"/>
      <c r="E59" s="1509"/>
      <c r="F59" s="1446"/>
      <c r="G59" s="1492"/>
      <c r="H59" s="1446"/>
      <c r="I59" s="1446"/>
      <c r="J59" s="1446"/>
      <c r="K59" s="1446"/>
      <c r="L59" s="1446"/>
      <c r="N59" s="287"/>
    </row>
    <row r="60" spans="1:14">
      <c r="A60" s="290">
        <f>ROW()</f>
        <v>60</v>
      </c>
      <c r="B60" s="1345" t="s">
        <v>263</v>
      </c>
      <c r="C60" s="84"/>
      <c r="D60" s="84"/>
      <c r="E60" s="84"/>
      <c r="F60" s="84"/>
      <c r="G60" s="84"/>
      <c r="H60" s="84"/>
      <c r="I60" s="84"/>
      <c r="J60" s="84"/>
      <c r="K60" s="84"/>
      <c r="L60" s="84"/>
      <c r="N60" s="287"/>
    </row>
    <row r="61" spans="1:14">
      <c r="A61" s="290">
        <f>ROW()</f>
        <v>61</v>
      </c>
      <c r="B61" s="1345" t="s">
        <v>264</v>
      </c>
      <c r="C61" s="84"/>
      <c r="D61" s="1345"/>
      <c r="E61" s="84"/>
      <c r="F61" s="84"/>
      <c r="G61" s="84"/>
      <c r="H61" s="84"/>
      <c r="I61" s="84"/>
      <c r="J61" s="84"/>
      <c r="K61" s="84"/>
      <c r="L61" s="84"/>
      <c r="N61" s="287"/>
    </row>
    <row r="62" spans="1:14">
      <c r="A62" s="290">
        <f>ROW()</f>
        <v>62</v>
      </c>
      <c r="B62" s="1345" t="s">
        <v>265</v>
      </c>
      <c r="C62" s="84"/>
      <c r="D62" s="1345"/>
      <c r="E62" s="84"/>
      <c r="F62" s="84"/>
      <c r="G62" s="84"/>
      <c r="H62" s="84"/>
      <c r="I62" s="84"/>
      <c r="J62" s="84"/>
      <c r="K62" s="84"/>
      <c r="L62" s="84"/>
      <c r="N62" s="287"/>
    </row>
    <row r="63" spans="1:14">
      <c r="A63" s="290">
        <f>ROW()</f>
        <v>63</v>
      </c>
      <c r="B63" s="1345" t="s">
        <v>266</v>
      </c>
      <c r="C63" s="84"/>
      <c r="D63" s="1345"/>
      <c r="E63" s="84"/>
      <c r="F63" s="84"/>
      <c r="G63" s="84"/>
      <c r="H63" s="84"/>
      <c r="I63" s="84"/>
      <c r="J63" s="84"/>
      <c r="K63" s="84"/>
      <c r="L63" s="84"/>
      <c r="N63" s="287"/>
    </row>
    <row r="64" spans="1:14">
      <c r="A64" s="290">
        <f>ROW()</f>
        <v>64</v>
      </c>
      <c r="B64" s="1345"/>
      <c r="C64" s="84"/>
      <c r="D64" s="1345"/>
      <c r="E64" s="84"/>
      <c r="F64" s="84"/>
      <c r="G64" s="84"/>
      <c r="H64" s="84"/>
      <c r="I64" s="84"/>
      <c r="J64" s="84"/>
      <c r="K64" s="84"/>
      <c r="L64" s="84"/>
      <c r="N64" s="287"/>
    </row>
    <row r="65" spans="1:14">
      <c r="A65" s="290">
        <f>ROW()</f>
        <v>65</v>
      </c>
      <c r="B65" s="1326"/>
      <c r="C65" s="40" t="s">
        <v>267</v>
      </c>
      <c r="D65" s="1326" t="s">
        <v>268</v>
      </c>
      <c r="E65" s="40" t="s">
        <v>269</v>
      </c>
      <c r="N65" s="287"/>
    </row>
    <row r="66" spans="1:14">
      <c r="A66" s="290">
        <f>ROW()</f>
        <v>66</v>
      </c>
      <c r="C66" s="40" t="s">
        <v>270</v>
      </c>
      <c r="D66" s="40" t="s">
        <v>271</v>
      </c>
      <c r="E66" s="40" t="s">
        <v>270</v>
      </c>
      <c r="N66" s="287"/>
    </row>
    <row r="67" spans="1:14">
      <c r="A67" s="290">
        <f>ROW()</f>
        <v>67</v>
      </c>
      <c r="B67" s="450"/>
      <c r="C67" s="450"/>
      <c r="D67" s="450"/>
      <c r="E67" s="1332"/>
      <c r="F67" s="1783"/>
      <c r="G67" s="1783"/>
      <c r="H67" s="1783"/>
      <c r="I67" s="1783"/>
      <c r="J67" s="1783"/>
      <c r="K67" s="1783"/>
      <c r="L67" s="1783"/>
      <c r="N67" s="287"/>
    </row>
    <row r="68" spans="1:14">
      <c r="A68" s="290">
        <f>ROW()</f>
        <v>68</v>
      </c>
      <c r="B68" s="66" t="s">
        <v>257</v>
      </c>
      <c r="C68" s="1817">
        <f>D51</f>
        <v>0.126</v>
      </c>
      <c r="D68" s="1346">
        <v>1</v>
      </c>
      <c r="E68" s="1346">
        <f>+C68</f>
        <v>0.126</v>
      </c>
      <c r="F68" s="1784"/>
      <c r="G68" s="942">
        <f>+$E68*G$36</f>
        <v>34.65</v>
      </c>
      <c r="H68" s="942">
        <f t="shared" ref="H68:L68" si="13">+$E68*H$36</f>
        <v>44.1</v>
      </c>
      <c r="I68" s="942">
        <f t="shared" si="13"/>
        <v>50.4</v>
      </c>
      <c r="J68" s="942">
        <f t="shared" si="13"/>
        <v>56.7</v>
      </c>
      <c r="K68" s="942">
        <f t="shared" si="13"/>
        <v>56.7</v>
      </c>
      <c r="L68" s="942">
        <f t="shared" si="13"/>
        <v>56.7</v>
      </c>
      <c r="N68" s="287"/>
    </row>
    <row r="69" spans="1:14">
      <c r="A69" s="290">
        <f>ROW()</f>
        <v>69</v>
      </c>
      <c r="B69" s="64" t="s">
        <v>272</v>
      </c>
      <c r="C69" s="1817">
        <f>+D52</f>
        <v>7.3999999999999996E-2</v>
      </c>
      <c r="D69" s="1346">
        <v>0.8579</v>
      </c>
      <c r="E69" s="1346">
        <f>+C69*D69</f>
        <v>6.3484600000000002E-2</v>
      </c>
      <c r="F69" s="1785"/>
      <c r="G69" s="951">
        <f>+$E69*G$36</f>
        <v>17.458265000000001</v>
      </c>
      <c r="H69" s="951">
        <f t="shared" ref="H69:L71" si="14">+$E69*H$36</f>
        <v>22.219609999999999</v>
      </c>
      <c r="I69" s="951">
        <f t="shared" si="14"/>
        <v>25.393840000000001</v>
      </c>
      <c r="J69" s="951">
        <f t="shared" si="14"/>
        <v>28.568070000000002</v>
      </c>
      <c r="K69" s="951">
        <f t="shared" si="14"/>
        <v>28.568070000000002</v>
      </c>
      <c r="L69" s="951">
        <f t="shared" si="14"/>
        <v>28.568070000000002</v>
      </c>
      <c r="N69" s="287"/>
    </row>
    <row r="70" spans="1:14">
      <c r="A70" s="290">
        <f>ROW()</f>
        <v>70</v>
      </c>
      <c r="B70" s="64" t="s">
        <v>259</v>
      </c>
      <c r="C70" s="1817">
        <f>+D53</f>
        <v>0</v>
      </c>
      <c r="D70" s="1346">
        <v>0.9556</v>
      </c>
      <c r="E70" s="1347">
        <f t="shared" ref="E70" si="15">+C70*D70</f>
        <v>0</v>
      </c>
      <c r="F70" s="1786"/>
      <c r="G70" s="942">
        <f>+$E70*G$36</f>
        <v>0</v>
      </c>
      <c r="H70" s="942">
        <f t="shared" si="14"/>
        <v>0</v>
      </c>
      <c r="I70" s="942">
        <f t="shared" si="14"/>
        <v>0</v>
      </c>
      <c r="J70" s="942">
        <f t="shared" si="14"/>
        <v>0</v>
      </c>
      <c r="K70" s="942">
        <f t="shared" si="14"/>
        <v>0</v>
      </c>
      <c r="L70" s="942">
        <f t="shared" si="14"/>
        <v>0</v>
      </c>
      <c r="N70" s="287"/>
    </row>
    <row r="71" spans="1:14">
      <c r="A71" s="290">
        <f>ROW()</f>
        <v>71</v>
      </c>
      <c r="B71" s="64" t="s">
        <v>1160</v>
      </c>
      <c r="C71" s="1817">
        <v>0.97</v>
      </c>
      <c r="D71" s="1346">
        <v>0.76949999999999996</v>
      </c>
      <c r="E71" s="1346">
        <f>MIN(C71*D71,1-SUM(E68:E70))</f>
        <v>0.74641499999999994</v>
      </c>
      <c r="F71" s="1786"/>
      <c r="G71" s="951">
        <f>+$E71*G$36</f>
        <v>205.26412499999998</v>
      </c>
      <c r="H71" s="951">
        <f t="shared" si="14"/>
        <v>261.24525</v>
      </c>
      <c r="I71" s="951">
        <f t="shared" si="14"/>
        <v>298.56599999999997</v>
      </c>
      <c r="J71" s="951">
        <f t="shared" si="14"/>
        <v>335.88674999999995</v>
      </c>
      <c r="K71" s="951">
        <f t="shared" si="14"/>
        <v>335.88674999999995</v>
      </c>
      <c r="L71" s="951">
        <f t="shared" si="14"/>
        <v>335.88674999999995</v>
      </c>
      <c r="N71" s="287"/>
    </row>
    <row r="72" spans="1:14">
      <c r="A72" s="290">
        <f>ROW()</f>
        <v>72</v>
      </c>
      <c r="B72" s="568" t="s">
        <v>273</v>
      </c>
      <c r="C72" s="1818">
        <v>0</v>
      </c>
      <c r="D72" s="1348">
        <v>0</v>
      </c>
      <c r="E72" s="1349">
        <v>0</v>
      </c>
      <c r="F72" s="1787"/>
      <c r="G72" s="943">
        <f>G$36-SUM(G68:G71)</f>
        <v>17.627610000000004</v>
      </c>
      <c r="H72" s="943">
        <f t="shared" ref="H72" si="16">H$36-SUM(H68:H71)</f>
        <v>22.43513999999999</v>
      </c>
      <c r="I72" s="943">
        <f t="shared" ref="I72" si="17">I$36-SUM(I68:I71)</f>
        <v>25.640160000000037</v>
      </c>
      <c r="J72" s="943">
        <f t="shared" ref="J72" si="18">J$36-SUM(J68:J71)</f>
        <v>28.845180000000028</v>
      </c>
      <c r="K72" s="943">
        <f t="shared" ref="K72" si="19">K$36-SUM(K68:K71)</f>
        <v>28.845180000000028</v>
      </c>
      <c r="L72" s="943">
        <f t="shared" ref="L72" si="20">L$36-SUM(L68:L71)</f>
        <v>28.845180000000028</v>
      </c>
      <c r="N72" s="287"/>
    </row>
    <row r="73" spans="1:14">
      <c r="A73" s="290">
        <f>ROW()</f>
        <v>73</v>
      </c>
      <c r="C73" s="1350">
        <f>SUM(C68:C72)</f>
        <v>1.17</v>
      </c>
      <c r="D73" s="1351"/>
      <c r="E73" s="1351">
        <f>SUM(E68:E72)</f>
        <v>0.93589959999999994</v>
      </c>
      <c r="F73" s="1354"/>
      <c r="G73" s="1355">
        <f>SUM(G68:G72)</f>
        <v>275</v>
      </c>
      <c r="H73" s="1355">
        <f t="shared" ref="H73:L73" si="21">SUM(H68:H72)</f>
        <v>350</v>
      </c>
      <c r="I73" s="1355">
        <f t="shared" si="21"/>
        <v>400</v>
      </c>
      <c r="J73" s="1355">
        <f t="shared" si="21"/>
        <v>450</v>
      </c>
      <c r="K73" s="1355">
        <f t="shared" si="21"/>
        <v>450</v>
      </c>
      <c r="L73" s="1355">
        <f t="shared" si="21"/>
        <v>450</v>
      </c>
      <c r="N73" s="287"/>
    </row>
    <row r="74" spans="1:14">
      <c r="A74" s="290">
        <f>ROW()</f>
        <v>74</v>
      </c>
      <c r="B74" s="32" t="s">
        <v>274</v>
      </c>
      <c r="C74" s="1352" t="str">
        <f>IF(C73&gt;1,"Be sure next data tabe set =100%",0)</f>
        <v>Be sure next data tabe set =100%</v>
      </c>
      <c r="D74" s="1352"/>
      <c r="E74" s="1353"/>
      <c r="F74" s="1342"/>
      <c r="G74" s="1356">
        <f>SUM(G68:G71)</f>
        <v>257.37239</v>
      </c>
      <c r="H74" s="1356">
        <f t="shared" ref="H74:L74" si="22">SUM(H68:H71)</f>
        <v>327.56486000000001</v>
      </c>
      <c r="I74" s="1356">
        <f t="shared" si="22"/>
        <v>374.35983999999996</v>
      </c>
      <c r="J74" s="1356">
        <f t="shared" si="22"/>
        <v>421.15481999999997</v>
      </c>
      <c r="K74" s="1356">
        <f t="shared" si="22"/>
        <v>421.15481999999997</v>
      </c>
      <c r="L74" s="1356">
        <f t="shared" si="22"/>
        <v>421.15481999999997</v>
      </c>
      <c r="N74" s="287"/>
    </row>
    <row r="75" spans="1:14">
      <c r="A75" s="290">
        <f>ROW()</f>
        <v>75</v>
      </c>
      <c r="B75" s="32" t="s">
        <v>275</v>
      </c>
      <c r="D75" s="1352"/>
      <c r="E75" s="1353"/>
      <c r="F75" s="1342"/>
      <c r="G75" s="1357">
        <f>+G74/G73</f>
        <v>0.93589959999999994</v>
      </c>
      <c r="H75" s="1357">
        <f t="shared" ref="H75:L75" si="23">+H74/H73</f>
        <v>0.93589960000000005</v>
      </c>
      <c r="I75" s="1357">
        <f t="shared" si="23"/>
        <v>0.93589959999999994</v>
      </c>
      <c r="J75" s="1357">
        <f t="shared" si="23"/>
        <v>0.93589959999999994</v>
      </c>
      <c r="K75" s="1357">
        <f t="shared" si="23"/>
        <v>0.93589959999999994</v>
      </c>
      <c r="L75" s="1357">
        <f t="shared" si="23"/>
        <v>0.93589959999999994</v>
      </c>
      <c r="N75" s="287"/>
    </row>
    <row r="76" spans="1:14">
      <c r="A76" s="290">
        <f>ROW()</f>
        <v>76</v>
      </c>
      <c r="B76" s="32" t="s">
        <v>276</v>
      </c>
      <c r="F76" s="1342"/>
      <c r="G76" s="1343" t="str">
        <f t="shared" ref="G76:L76" si="24">IF(G72&lt;0,"ERROR", "-")</f>
        <v>-</v>
      </c>
      <c r="H76" s="1343" t="str">
        <f t="shared" si="24"/>
        <v>-</v>
      </c>
      <c r="I76" s="1343" t="str">
        <f t="shared" si="24"/>
        <v>-</v>
      </c>
      <c r="J76" s="1343" t="str">
        <f t="shared" si="24"/>
        <v>-</v>
      </c>
      <c r="K76" s="1343" t="str">
        <f t="shared" si="24"/>
        <v>-</v>
      </c>
      <c r="L76" s="1343" t="str">
        <f t="shared" si="24"/>
        <v>-</v>
      </c>
      <c r="N76" s="287"/>
    </row>
    <row r="77" spans="1:14" ht="14.4" thickBot="1">
      <c r="A77" s="290">
        <f>ROW()</f>
        <v>77</v>
      </c>
      <c r="F77" s="1342"/>
      <c r="G77" s="1358"/>
      <c r="H77" s="1358"/>
      <c r="I77" s="1358"/>
      <c r="J77" s="1358"/>
      <c r="K77" s="1358"/>
      <c r="L77" s="1358"/>
      <c r="N77" s="287"/>
    </row>
    <row r="78" spans="1:14" ht="14.4" thickBot="1">
      <c r="A78" s="290">
        <f>ROW()</f>
        <v>78</v>
      </c>
      <c r="B78" s="32" t="s">
        <v>277</v>
      </c>
      <c r="C78" s="1317" t="s">
        <v>847</v>
      </c>
      <c r="N78" s="287"/>
    </row>
    <row r="79" spans="1:14">
      <c r="A79" s="290">
        <f>ROW()</f>
        <v>79</v>
      </c>
      <c r="D79" s="1361"/>
      <c r="F79" s="1359"/>
      <c r="G79" s="1360"/>
      <c r="H79" s="1360"/>
      <c r="I79" s="1360"/>
      <c r="J79" s="1360"/>
      <c r="K79" s="1360"/>
      <c r="L79" s="1360"/>
      <c r="N79" s="287"/>
    </row>
    <row r="80" spans="1:14">
      <c r="A80" s="290">
        <f>ROW()</f>
        <v>80</v>
      </c>
      <c r="F80" s="1359"/>
      <c r="G80" s="1360"/>
      <c r="H80" s="1360"/>
      <c r="I80" s="1360"/>
      <c r="J80" s="1360"/>
      <c r="K80" s="1360"/>
      <c r="L80" s="1360"/>
      <c r="N80" s="287"/>
    </row>
    <row r="81" spans="1:14">
      <c r="A81" s="290">
        <f>ROW()</f>
        <v>81</v>
      </c>
      <c r="B81" s="1510" t="s">
        <v>279</v>
      </c>
      <c r="C81" s="1519"/>
      <c r="D81" s="1446"/>
      <c r="E81" s="1446"/>
      <c r="F81" s="1520"/>
      <c r="G81" s="1521"/>
      <c r="H81" s="1521"/>
      <c r="I81" s="1521"/>
      <c r="J81" s="1521"/>
      <c r="K81" s="1521"/>
      <c r="L81" s="1521"/>
      <c r="N81" s="287"/>
    </row>
    <row r="82" spans="1:14">
      <c r="A82" s="290">
        <f>ROW()</f>
        <v>82</v>
      </c>
      <c r="B82" s="32" t="s">
        <v>1262</v>
      </c>
      <c r="F82" s="1359"/>
      <c r="G82" s="1359"/>
      <c r="H82" s="1359"/>
      <c r="I82" s="1359"/>
      <c r="J82" s="1359"/>
      <c r="K82" s="1359"/>
      <c r="L82" s="1359"/>
      <c r="N82" s="287"/>
    </row>
    <row r="83" spans="1:14">
      <c r="A83" s="290">
        <f>ROW()</f>
        <v>83</v>
      </c>
      <c r="C83" s="40" t="s">
        <v>280</v>
      </c>
      <c r="D83" s="40" t="s">
        <v>281</v>
      </c>
      <c r="F83" s="1359"/>
      <c r="G83" s="1359"/>
      <c r="H83" s="1359"/>
      <c r="I83" s="1359"/>
      <c r="J83" s="1359"/>
      <c r="K83" s="1359"/>
      <c r="L83" s="1359"/>
      <c r="N83" s="287"/>
    </row>
    <row r="84" spans="1:14">
      <c r="A84" s="290">
        <f>ROW()</f>
        <v>84</v>
      </c>
      <c r="B84" s="32" t="str">
        <f>+B51</f>
        <v>State Special Education (SPED)</v>
      </c>
      <c r="C84" s="1366">
        <f>+D84/C89</f>
        <v>0.40843424686636925</v>
      </c>
      <c r="D84" s="52">
        <f>+'PCFP Rates'!E26</f>
        <v>3845</v>
      </c>
      <c r="F84" s="1362"/>
      <c r="G84" s="1363">
        <f>+F68*$D84</f>
        <v>0</v>
      </c>
      <c r="H84" s="1363">
        <f>+G68*$D84</f>
        <v>133229.25</v>
      </c>
      <c r="I84" s="1363">
        <f t="shared" ref="G84:L87" si="25">+H68*$D84</f>
        <v>169564.5</v>
      </c>
      <c r="J84" s="1363">
        <f t="shared" si="25"/>
        <v>193788</v>
      </c>
      <c r="K84" s="1363">
        <f t="shared" si="25"/>
        <v>218011.5</v>
      </c>
      <c r="L84" s="1363">
        <f t="shared" si="25"/>
        <v>218011.5</v>
      </c>
      <c r="N84" s="287"/>
    </row>
    <row r="85" spans="1:14">
      <c r="A85" s="290">
        <f>ROW()</f>
        <v>85</v>
      </c>
      <c r="B85" s="32" t="str">
        <f>+B52</f>
        <v>English Language Learners (EL)</v>
      </c>
      <c r="C85" s="1366">
        <v>0.23</v>
      </c>
      <c r="D85" s="52">
        <f>+$C$89*C85</f>
        <v>2165.2200000000003</v>
      </c>
      <c r="F85" s="1359"/>
      <c r="G85" s="1364">
        <f t="shared" si="25"/>
        <v>0</v>
      </c>
      <c r="H85" s="1364">
        <f t="shared" si="25"/>
        <v>37800.984543300008</v>
      </c>
      <c r="I85" s="1364">
        <f t="shared" si="25"/>
        <v>48110.343964200001</v>
      </c>
      <c r="J85" s="1364">
        <f t="shared" si="25"/>
        <v>54983.250244800009</v>
      </c>
      <c r="K85" s="1364">
        <f t="shared" si="25"/>
        <v>61856.156525400009</v>
      </c>
      <c r="L85" s="1364">
        <f t="shared" si="25"/>
        <v>61856.156525400009</v>
      </c>
      <c r="N85" s="287"/>
    </row>
    <row r="86" spans="1:14">
      <c r="A86" s="290">
        <f>ROW()</f>
        <v>86</v>
      </c>
      <c r="B86" s="32" t="str">
        <f>+B53</f>
        <v>Gifted &amp; Talented (GATE)</v>
      </c>
      <c r="C86" s="1366">
        <v>0.12</v>
      </c>
      <c r="D86" s="52">
        <f>+$C$89*C86</f>
        <v>1129.68</v>
      </c>
      <c r="F86" s="1359"/>
      <c r="G86" s="1364">
        <f t="shared" si="25"/>
        <v>0</v>
      </c>
      <c r="H86" s="1364">
        <f t="shared" si="25"/>
        <v>0</v>
      </c>
      <c r="I86" s="1364">
        <f t="shared" si="25"/>
        <v>0</v>
      </c>
      <c r="J86" s="1364">
        <f t="shared" si="25"/>
        <v>0</v>
      </c>
      <c r="K86" s="1364">
        <f t="shared" si="25"/>
        <v>0</v>
      </c>
      <c r="L86" s="1364">
        <f t="shared" si="25"/>
        <v>0</v>
      </c>
      <c r="N86" s="287"/>
    </row>
    <row r="87" spans="1:14">
      <c r="A87" s="290">
        <f>ROW()</f>
        <v>87</v>
      </c>
      <c r="B87" s="30" t="s">
        <v>1216</v>
      </c>
      <c r="C87" s="1366"/>
      <c r="D87" s="1367"/>
      <c r="E87" s="66"/>
      <c r="F87" s="1522"/>
      <c r="G87" s="1523">
        <f t="shared" si="25"/>
        <v>0</v>
      </c>
      <c r="H87" s="1523">
        <f t="shared" si="25"/>
        <v>0</v>
      </c>
      <c r="I87" s="1523">
        <f t="shared" si="25"/>
        <v>0</v>
      </c>
      <c r="J87" s="1523">
        <f t="shared" si="25"/>
        <v>0</v>
      </c>
      <c r="K87" s="1523">
        <f t="shared" si="25"/>
        <v>0</v>
      </c>
      <c r="L87" s="1523">
        <f t="shared" si="25"/>
        <v>0</v>
      </c>
      <c r="N87" s="287"/>
    </row>
    <row r="88" spans="1:14">
      <c r="A88" s="290">
        <f>ROW()</f>
        <v>88</v>
      </c>
      <c r="B88" s="32" t="s">
        <v>282</v>
      </c>
      <c r="C88" s="519">
        <f>_xlfn.XLOOKUP(C78,'PCFP Rates'!B12:B20,'PCFP Rates'!E12:E20)</f>
        <v>11505</v>
      </c>
      <c r="D88" s="1367">
        <f>+C88</f>
        <v>11505</v>
      </c>
      <c r="E88" s="66"/>
      <c r="F88" s="66"/>
      <c r="G88" s="1365">
        <f t="shared" ref="G88:L88" si="26">+G36*$D88</f>
        <v>3163875</v>
      </c>
      <c r="H88" s="1365">
        <f t="shared" si="26"/>
        <v>4026750</v>
      </c>
      <c r="I88" s="1365">
        <f t="shared" si="26"/>
        <v>4602000</v>
      </c>
      <c r="J88" s="1365">
        <f t="shared" si="26"/>
        <v>5177250</v>
      </c>
      <c r="K88" s="1365">
        <f t="shared" si="26"/>
        <v>5177250</v>
      </c>
      <c r="L88" s="1365">
        <f t="shared" si="26"/>
        <v>5177250</v>
      </c>
      <c r="N88" s="287"/>
    </row>
    <row r="89" spans="1:14">
      <c r="A89" s="290">
        <f>ROW()</f>
        <v>89</v>
      </c>
      <c r="B89" s="32" t="s">
        <v>283</v>
      </c>
      <c r="C89" s="52">
        <f>+'PCFP Rates'!E20</f>
        <v>9414</v>
      </c>
      <c r="D89" s="190"/>
      <c r="E89" s="190"/>
      <c r="G89" s="190"/>
      <c r="H89" s="955"/>
      <c r="I89" s="955"/>
      <c r="J89" s="955"/>
      <c r="K89" s="955"/>
      <c r="L89" s="955"/>
      <c r="N89" s="287"/>
    </row>
    <row r="90" spans="1:14">
      <c r="A90" s="290">
        <f>ROW()</f>
        <v>90</v>
      </c>
      <c r="C90" s="190"/>
      <c r="D90" s="190"/>
      <c r="E90" s="190"/>
      <c r="F90" s="429"/>
      <c r="G90" s="60"/>
      <c r="H90" s="60"/>
      <c r="I90" s="60"/>
      <c r="J90" s="60"/>
      <c r="K90" s="60"/>
      <c r="L90" s="60"/>
      <c r="N90" s="287"/>
    </row>
    <row r="91" spans="1:14">
      <c r="A91" s="290">
        <f>ROW()</f>
        <v>91</v>
      </c>
      <c r="B91" s="1510" t="s">
        <v>284</v>
      </c>
      <c r="C91" s="1524"/>
      <c r="D91" s="1524"/>
      <c r="E91" s="1524"/>
      <c r="F91" s="1519"/>
      <c r="G91" s="1492"/>
      <c r="H91" s="1492"/>
      <c r="I91" s="1492"/>
      <c r="J91" s="1492"/>
      <c r="K91" s="1492"/>
      <c r="L91" s="1492"/>
      <c r="N91" s="287"/>
    </row>
    <row r="92" spans="1:14">
      <c r="A92" s="290">
        <f>ROW()</f>
        <v>92</v>
      </c>
      <c r="B92" s="342" t="s">
        <v>285</v>
      </c>
      <c r="C92" s="342"/>
      <c r="D92" s="342"/>
      <c r="E92" s="342"/>
      <c r="F92" s="1371"/>
      <c r="G92" s="1368">
        <f>+D54</f>
        <v>0.24</v>
      </c>
      <c r="H92" s="1368">
        <f>+G92</f>
        <v>0.24</v>
      </c>
      <c r="I92" s="1368">
        <f t="shared" ref="I92:L92" si="27">+H92</f>
        <v>0.24</v>
      </c>
      <c r="J92" s="1368">
        <f t="shared" si="27"/>
        <v>0.24</v>
      </c>
      <c r="K92" s="1368">
        <f t="shared" si="27"/>
        <v>0.24</v>
      </c>
      <c r="L92" s="1368">
        <f t="shared" si="27"/>
        <v>0.24</v>
      </c>
      <c r="N92" s="287"/>
    </row>
    <row r="93" spans="1:14">
      <c r="A93" s="290">
        <f>ROW()</f>
        <v>93</v>
      </c>
      <c r="B93" s="64" t="s">
        <v>286</v>
      </c>
      <c r="C93" s="66"/>
      <c r="D93" s="66"/>
      <c r="E93" s="66"/>
      <c r="F93" s="1372"/>
      <c r="G93" s="1369">
        <f>+D52</f>
        <v>7.3999999999999996E-2</v>
      </c>
      <c r="H93" s="1369">
        <f t="shared" ref="H93:L93" si="28">+G93</f>
        <v>7.3999999999999996E-2</v>
      </c>
      <c r="I93" s="1369">
        <f t="shared" si="28"/>
        <v>7.3999999999999996E-2</v>
      </c>
      <c r="J93" s="1369">
        <f t="shared" si="28"/>
        <v>7.3999999999999996E-2</v>
      </c>
      <c r="K93" s="1369">
        <f t="shared" si="28"/>
        <v>7.3999999999999996E-2</v>
      </c>
      <c r="L93" s="1369">
        <f t="shared" si="28"/>
        <v>7.3999999999999996E-2</v>
      </c>
      <c r="N93" s="287"/>
    </row>
    <row r="94" spans="1:14">
      <c r="A94" s="290">
        <f>ROW()</f>
        <v>94</v>
      </c>
      <c r="B94" s="1030" t="s">
        <v>287</v>
      </c>
      <c r="C94" s="445"/>
      <c r="D94" s="445"/>
      <c r="E94" s="445"/>
      <c r="F94" s="1373"/>
      <c r="G94" s="1370">
        <f>+D51</f>
        <v>0.126</v>
      </c>
      <c r="H94" s="1370">
        <f t="shared" ref="H94:L94" si="29">+G94</f>
        <v>0.126</v>
      </c>
      <c r="I94" s="1370">
        <f t="shared" si="29"/>
        <v>0.126</v>
      </c>
      <c r="J94" s="1370">
        <f t="shared" si="29"/>
        <v>0.126</v>
      </c>
      <c r="K94" s="1370">
        <f t="shared" si="29"/>
        <v>0.126</v>
      </c>
      <c r="L94" s="1370">
        <f t="shared" si="29"/>
        <v>0.126</v>
      </c>
      <c r="N94" s="287"/>
    </row>
    <row r="95" spans="1:14">
      <c r="A95" s="290">
        <f>ROW()</f>
        <v>95</v>
      </c>
      <c r="B95" s="569" t="s">
        <v>288</v>
      </c>
      <c r="C95" s="450"/>
      <c r="D95" s="450"/>
      <c r="E95" s="450"/>
      <c r="F95" s="1031"/>
      <c r="G95" s="1032">
        <f t="shared" ref="G95:L95" si="30">+G$36*G94</f>
        <v>34.65</v>
      </c>
      <c r="H95" s="1032">
        <f t="shared" si="30"/>
        <v>44.1</v>
      </c>
      <c r="I95" s="1032">
        <f t="shared" si="30"/>
        <v>50.4</v>
      </c>
      <c r="J95" s="1032">
        <f t="shared" si="30"/>
        <v>56.7</v>
      </c>
      <c r="K95" s="1032">
        <f t="shared" si="30"/>
        <v>56.7</v>
      </c>
      <c r="L95" s="1032">
        <f t="shared" si="30"/>
        <v>56.7</v>
      </c>
      <c r="N95" s="287"/>
    </row>
    <row r="96" spans="1:14">
      <c r="A96" s="290">
        <f>ROW()</f>
        <v>96</v>
      </c>
      <c r="B96" s="774"/>
      <c r="C96" s="775"/>
      <c r="D96" s="775"/>
      <c r="E96" s="775"/>
      <c r="F96" s="58"/>
      <c r="G96" s="58"/>
      <c r="H96" s="58"/>
      <c r="I96" s="58"/>
      <c r="J96" s="776"/>
      <c r="K96" s="776"/>
      <c r="L96" s="776"/>
      <c r="M96" s="83"/>
      <c r="N96" s="287"/>
    </row>
    <row r="97" spans="1:14">
      <c r="A97" s="290">
        <f>ROW()</f>
        <v>97</v>
      </c>
      <c r="B97" s="32" t="s">
        <v>289</v>
      </c>
      <c r="C97" s="773">
        <v>0.02</v>
      </c>
      <c r="D97" s="32" t="s">
        <v>290</v>
      </c>
      <c r="M97" s="39"/>
      <c r="N97" s="287"/>
    </row>
    <row r="98" spans="1:14">
      <c r="A98" s="290">
        <f>ROW()</f>
        <v>98</v>
      </c>
      <c r="B98" s="32" t="s">
        <v>291</v>
      </c>
      <c r="C98" s="1819">
        <v>1.2500000000000001E-2</v>
      </c>
      <c r="D98" s="40" t="s">
        <v>292</v>
      </c>
      <c r="E98" s="31"/>
      <c r="H98" s="31"/>
      <c r="I98" s="31"/>
      <c r="J98" s="40"/>
      <c r="K98" s="40"/>
      <c r="L98" s="40"/>
      <c r="M98" s="85"/>
      <c r="N98" s="287"/>
    </row>
    <row r="99" spans="1:14">
      <c r="A99" s="290">
        <f>ROW()</f>
        <v>99</v>
      </c>
      <c r="B99" s="32" t="s">
        <v>293</v>
      </c>
      <c r="C99" s="772">
        <v>400</v>
      </c>
      <c r="D99" s="84" t="s">
        <v>1219</v>
      </c>
      <c r="E99" s="84"/>
      <c r="H99" s="84"/>
      <c r="I99" s="84"/>
      <c r="J99" s="1761"/>
      <c r="K99" s="1761"/>
      <c r="L99" s="1761"/>
      <c r="M99" s="70"/>
      <c r="N99" s="287"/>
    </row>
    <row r="100" spans="1:14">
      <c r="A100" s="290">
        <f>ROW()</f>
        <v>100</v>
      </c>
      <c r="B100" s="32" t="s">
        <v>1220</v>
      </c>
      <c r="C100" s="772">
        <v>66</v>
      </c>
      <c r="D100" s="84" t="s">
        <v>1219</v>
      </c>
      <c r="E100" s="84"/>
      <c r="H100" s="84"/>
      <c r="I100" s="84"/>
      <c r="J100" s="1761"/>
      <c r="K100" s="1761"/>
      <c r="L100" s="1761"/>
      <c r="M100" s="70"/>
      <c r="N100" s="287"/>
    </row>
    <row r="101" spans="1:14">
      <c r="A101" s="290">
        <f>ROW()</f>
        <v>101</v>
      </c>
      <c r="B101" s="32" t="s">
        <v>294</v>
      </c>
      <c r="C101" s="1820">
        <v>4</v>
      </c>
      <c r="D101" s="84" t="s">
        <v>1219</v>
      </c>
      <c r="E101" s="84"/>
      <c r="H101" s="84"/>
      <c r="I101" s="84"/>
      <c r="J101" s="1761"/>
      <c r="K101" s="1761"/>
      <c r="L101" s="1761"/>
      <c r="M101" s="70"/>
      <c r="N101" s="287"/>
    </row>
    <row r="102" spans="1:14">
      <c r="A102" s="290">
        <f>ROW()</f>
        <v>102</v>
      </c>
      <c r="B102" s="32" t="s">
        <v>295</v>
      </c>
      <c r="C102" s="772">
        <v>97</v>
      </c>
      <c r="D102" s="84" t="s">
        <v>296</v>
      </c>
      <c r="E102" s="84"/>
      <c r="H102" s="84"/>
      <c r="I102" s="84"/>
      <c r="J102" s="1761"/>
      <c r="K102" s="1761"/>
      <c r="L102" s="1761"/>
      <c r="M102" s="70"/>
      <c r="N102" s="287"/>
    </row>
    <row r="103" spans="1:14" hidden="1">
      <c r="A103" s="290">
        <f>ROW()</f>
        <v>103</v>
      </c>
      <c r="B103" s="32" t="s">
        <v>297</v>
      </c>
      <c r="C103" s="1318" t="s">
        <v>298</v>
      </c>
      <c r="D103" s="84"/>
      <c r="E103" s="84"/>
      <c r="H103" s="84"/>
      <c r="I103" s="84"/>
      <c r="J103" s="1761"/>
      <c r="K103" s="1761"/>
      <c r="L103" s="1761"/>
      <c r="M103" s="70"/>
      <c r="N103" s="287"/>
    </row>
    <row r="104" spans="1:14">
      <c r="A104" s="290">
        <f>ROW()</f>
        <v>104</v>
      </c>
      <c r="B104" s="32" t="s">
        <v>299</v>
      </c>
      <c r="C104" s="772">
        <v>1005</v>
      </c>
      <c r="D104" s="32" t="s">
        <v>300</v>
      </c>
      <c r="M104" s="39"/>
      <c r="N104" s="287"/>
    </row>
    <row r="105" spans="1:14">
      <c r="A105" s="290">
        <f>ROW()</f>
        <v>105</v>
      </c>
      <c r="B105" s="32" t="s">
        <v>301</v>
      </c>
      <c r="C105" s="658" t="s">
        <v>891</v>
      </c>
      <c r="D105" s="32" t="s">
        <v>1300</v>
      </c>
      <c r="G105" s="52"/>
      <c r="M105" s="39"/>
      <c r="N105" s="287"/>
    </row>
    <row r="106" spans="1:14">
      <c r="A106" s="290">
        <f>ROW()</f>
        <v>106</v>
      </c>
      <c r="B106" s="32" t="s">
        <v>302</v>
      </c>
      <c r="C106" s="658">
        <v>2.2799999999999998</v>
      </c>
      <c r="D106" s="32" t="s">
        <v>303</v>
      </c>
      <c r="G106" s="52"/>
      <c r="M106" s="39"/>
      <c r="N106" s="287"/>
    </row>
    <row r="107" spans="1:14">
      <c r="A107" s="290">
        <f>ROW()</f>
        <v>107</v>
      </c>
      <c r="B107" s="32" t="s">
        <v>304</v>
      </c>
      <c r="C107" s="658">
        <v>4.25</v>
      </c>
      <c r="D107" s="32" t="s">
        <v>303</v>
      </c>
      <c r="H107" s="78"/>
      <c r="M107" s="39"/>
      <c r="N107" s="287"/>
    </row>
    <row r="108" spans="1:14">
      <c r="A108" s="290">
        <f>ROW()</f>
        <v>108</v>
      </c>
      <c r="B108" s="32" t="s">
        <v>98</v>
      </c>
      <c r="C108" s="658">
        <v>0</v>
      </c>
      <c r="D108" s="32" t="s">
        <v>305</v>
      </c>
      <c r="G108" s="48"/>
      <c r="H108" s="52"/>
      <c r="M108" s="39"/>
      <c r="N108" s="287"/>
    </row>
    <row r="109" spans="1:14">
      <c r="A109" s="290">
        <f>ROW()</f>
        <v>109</v>
      </c>
      <c r="B109" s="30" t="s">
        <v>306</v>
      </c>
      <c r="C109" s="1375" t="str">
        <f>+C78</f>
        <v>Nye</v>
      </c>
      <c r="D109" s="144"/>
      <c r="E109" s="144"/>
      <c r="F109" s="39"/>
      <c r="G109" s="123"/>
      <c r="H109" s="296"/>
      <c r="M109" s="39"/>
      <c r="N109" s="287"/>
    </row>
    <row r="110" spans="1:14">
      <c r="A110" s="290">
        <f>ROW()</f>
        <v>110</v>
      </c>
      <c r="B110" s="106"/>
      <c r="C110" s="106"/>
      <c r="D110" s="106"/>
      <c r="E110" s="106"/>
      <c r="F110" s="104"/>
      <c r="G110" s="303"/>
      <c r="H110" s="303"/>
      <c r="I110" s="303"/>
      <c r="J110" s="303"/>
      <c r="K110" s="303"/>
      <c r="L110" s="303"/>
      <c r="M110" s="86"/>
      <c r="N110" s="287"/>
    </row>
    <row r="111" spans="1:14" hidden="1">
      <c r="A111" s="290">
        <f>ROW()</f>
        <v>111</v>
      </c>
      <c r="B111" s="30" t="s">
        <v>307</v>
      </c>
      <c r="C111" s="30"/>
      <c r="D111" s="30"/>
      <c r="E111" s="30"/>
      <c r="F111" s="1359"/>
      <c r="G111" s="48">
        <f t="shared" ref="G111:L111" si="31">+G36</f>
        <v>275</v>
      </c>
      <c r="H111" s="48">
        <f t="shared" si="31"/>
        <v>350</v>
      </c>
      <c r="I111" s="48">
        <f t="shared" si="31"/>
        <v>400</v>
      </c>
      <c r="J111" s="48">
        <f t="shared" si="31"/>
        <v>450</v>
      </c>
      <c r="K111" s="48">
        <f t="shared" si="31"/>
        <v>450</v>
      </c>
      <c r="L111" s="48">
        <f t="shared" si="31"/>
        <v>450</v>
      </c>
      <c r="M111" s="86"/>
      <c r="N111" s="287"/>
    </row>
    <row r="112" spans="1:14" hidden="1">
      <c r="A112" s="290">
        <f>ROW()</f>
        <v>112</v>
      </c>
      <c r="B112" s="30"/>
      <c r="C112" s="30"/>
      <c r="D112" s="30"/>
      <c r="E112" s="30"/>
      <c r="F112" s="1359"/>
      <c r="G112" s="48"/>
      <c r="H112" s="48"/>
      <c r="I112" s="48"/>
      <c r="J112" s="48"/>
      <c r="K112" s="48"/>
      <c r="L112" s="48"/>
      <c r="M112" s="86"/>
      <c r="N112" s="287"/>
    </row>
    <row r="113" spans="1:14">
      <c r="A113" s="290">
        <f>ROW()</f>
        <v>113</v>
      </c>
      <c r="B113" s="1503" t="s">
        <v>308</v>
      </c>
      <c r="C113" s="1503"/>
      <c r="D113" s="1503"/>
      <c r="E113" s="1503"/>
      <c r="F113" s="1525"/>
      <c r="G113" s="1526"/>
      <c r="H113" s="1526"/>
      <c r="I113" s="1526"/>
      <c r="J113" s="1526"/>
      <c r="K113" s="1526"/>
      <c r="L113" s="1526"/>
      <c r="M113" s="86"/>
      <c r="N113" s="287"/>
    </row>
    <row r="114" spans="1:14">
      <c r="A114" s="290">
        <f>ROW()</f>
        <v>114</v>
      </c>
      <c r="B114" s="104" t="s">
        <v>309</v>
      </c>
      <c r="C114" s="104"/>
      <c r="D114" s="104"/>
      <c r="E114" s="104"/>
      <c r="F114" s="953"/>
      <c r="G114" s="1374">
        <f t="shared" ref="G114:L114" si="32">+G88</f>
        <v>3163875</v>
      </c>
      <c r="H114" s="1374">
        <f t="shared" si="32"/>
        <v>4026750</v>
      </c>
      <c r="I114" s="1374">
        <f t="shared" si="32"/>
        <v>4602000</v>
      </c>
      <c r="J114" s="1374">
        <f t="shared" si="32"/>
        <v>5177250</v>
      </c>
      <c r="K114" s="1374">
        <f t="shared" si="32"/>
        <v>5177250</v>
      </c>
      <c r="L114" s="1374">
        <f t="shared" si="32"/>
        <v>5177250</v>
      </c>
      <c r="M114" s="86"/>
      <c r="N114" s="287"/>
    </row>
    <row r="115" spans="1:14">
      <c r="A115" s="290">
        <f>ROW()</f>
        <v>115</v>
      </c>
      <c r="B115" s="32" t="s">
        <v>1167</v>
      </c>
      <c r="F115" s="949"/>
      <c r="G115" s="1363">
        <f t="shared" ref="G115:L115" si="33">SUM(G85:G87)</f>
        <v>0</v>
      </c>
      <c r="H115" s="1363">
        <f t="shared" si="33"/>
        <v>37800.984543300008</v>
      </c>
      <c r="I115" s="1363">
        <f t="shared" si="33"/>
        <v>48110.343964200001</v>
      </c>
      <c r="J115" s="1363">
        <f t="shared" si="33"/>
        <v>54983.250244800009</v>
      </c>
      <c r="K115" s="1363">
        <f t="shared" si="33"/>
        <v>61856.156525400009</v>
      </c>
      <c r="L115" s="1363">
        <f t="shared" si="33"/>
        <v>61856.156525400009</v>
      </c>
      <c r="M115" s="86"/>
      <c r="N115" s="287"/>
    </row>
    <row r="116" spans="1:14">
      <c r="A116" s="290">
        <f>ROW()</f>
        <v>116</v>
      </c>
      <c r="B116" s="32" t="s">
        <v>310</v>
      </c>
      <c r="F116" s="949"/>
      <c r="G116" s="1364">
        <f t="shared" ref="G116:L116" si="34">+G84</f>
        <v>0</v>
      </c>
      <c r="H116" s="1364">
        <f t="shared" si="34"/>
        <v>133229.25</v>
      </c>
      <c r="I116" s="1364">
        <f t="shared" si="34"/>
        <v>169564.5</v>
      </c>
      <c r="J116" s="1364">
        <f t="shared" si="34"/>
        <v>193788</v>
      </c>
      <c r="K116" s="1364">
        <f t="shared" si="34"/>
        <v>218011.5</v>
      </c>
      <c r="L116" s="1364">
        <f t="shared" si="34"/>
        <v>218011.5</v>
      </c>
      <c r="M116" s="86"/>
      <c r="N116" s="741"/>
    </row>
    <row r="117" spans="1:14">
      <c r="A117" s="290">
        <f>ROW()</f>
        <v>117</v>
      </c>
      <c r="B117" s="32" t="s">
        <v>311</v>
      </c>
      <c r="F117" s="949"/>
      <c r="G117" s="1364">
        <f t="shared" ref="G117:L117" si="35">+G82</f>
        <v>0</v>
      </c>
      <c r="H117" s="1364">
        <f t="shared" si="35"/>
        <v>0</v>
      </c>
      <c r="I117" s="1364">
        <f t="shared" si="35"/>
        <v>0</v>
      </c>
      <c r="J117" s="1364">
        <f t="shared" si="35"/>
        <v>0</v>
      </c>
      <c r="K117" s="1364">
        <f t="shared" si="35"/>
        <v>0</v>
      </c>
      <c r="L117" s="1364">
        <f t="shared" si="35"/>
        <v>0</v>
      </c>
      <c r="M117" s="86"/>
      <c r="N117" s="287"/>
    </row>
    <row r="118" spans="1:14">
      <c r="A118" s="290">
        <f>ROW()</f>
        <v>118</v>
      </c>
      <c r="B118" s="32" t="s">
        <v>1165</v>
      </c>
      <c r="C118" s="952">
        <f>+C97</f>
        <v>0.02</v>
      </c>
      <c r="G118" s="950"/>
      <c r="H118" s="950">
        <f>+$C$97*H114</f>
        <v>80535</v>
      </c>
      <c r="I118" s="950">
        <f>+$C$97*I114</f>
        <v>92040</v>
      </c>
      <c r="J118" s="950">
        <f>+$C$97*J114</f>
        <v>103545</v>
      </c>
      <c r="K118" s="950">
        <f>+$C$97*K114</f>
        <v>103545</v>
      </c>
      <c r="L118" s="950">
        <f>+$C$97*L114</f>
        <v>103545</v>
      </c>
      <c r="M118" s="86"/>
      <c r="N118" s="287"/>
    </row>
    <row r="119" spans="1:14">
      <c r="A119" s="290">
        <f>ROW()</f>
        <v>119</v>
      </c>
      <c r="B119" s="104" t="s">
        <v>312</v>
      </c>
      <c r="C119" s="104"/>
      <c r="D119" s="104"/>
      <c r="E119" s="104"/>
      <c r="F119" s="953"/>
      <c r="G119" s="954">
        <f t="shared" ref="G119:L119" si="36">SUM(G114:G118)</f>
        <v>3163875</v>
      </c>
      <c r="H119" s="954">
        <f t="shared" si="36"/>
        <v>4278315.2345433002</v>
      </c>
      <c r="I119" s="954">
        <f>SUM(I114:I118)</f>
        <v>4911714.8439642005</v>
      </c>
      <c r="J119" s="954">
        <f t="shared" si="36"/>
        <v>5529566.2502448</v>
      </c>
      <c r="K119" s="954">
        <f t="shared" si="36"/>
        <v>5560662.6565254005</v>
      </c>
      <c r="L119" s="954">
        <f t="shared" si="36"/>
        <v>5560662.6565254005</v>
      </c>
      <c r="M119" s="86"/>
      <c r="N119" s="287"/>
    </row>
    <row r="120" spans="1:14">
      <c r="A120" s="290">
        <f>ROW()</f>
        <v>120</v>
      </c>
      <c r="B120" s="32" t="s">
        <v>313</v>
      </c>
      <c r="C120" s="30"/>
      <c r="F120" s="949"/>
      <c r="G120" s="950">
        <f>-G114*$C$98</f>
        <v>-39548.4375</v>
      </c>
      <c r="H120" s="950">
        <f t="shared" ref="H120:L120" si="37">-H114*$C$98</f>
        <v>-50334.375</v>
      </c>
      <c r="I120" s="950">
        <f t="shared" si="37"/>
        <v>-57525</v>
      </c>
      <c r="J120" s="950">
        <f t="shared" si="37"/>
        <v>-64715.625</v>
      </c>
      <c r="K120" s="950">
        <f t="shared" si="37"/>
        <v>-64715.625</v>
      </c>
      <c r="L120" s="950">
        <f t="shared" si="37"/>
        <v>-64715.625</v>
      </c>
      <c r="M120" s="86"/>
      <c r="N120" s="287"/>
    </row>
    <row r="121" spans="1:14">
      <c r="A121" s="290">
        <f>ROW()</f>
        <v>121</v>
      </c>
      <c r="B121" s="106" t="s">
        <v>314</v>
      </c>
      <c r="C121" s="106"/>
      <c r="D121" s="106"/>
      <c r="E121" s="106"/>
      <c r="F121" s="104"/>
      <c r="G121" s="956">
        <f>SUM(G119:G120)</f>
        <v>3124326.5625</v>
      </c>
      <c r="H121" s="956">
        <f t="shared" ref="H121:L121" si="38">SUM(H119:H120)</f>
        <v>4227980.8595433002</v>
      </c>
      <c r="I121" s="956">
        <f t="shared" si="38"/>
        <v>4854189.8439642005</v>
      </c>
      <c r="J121" s="956">
        <f t="shared" si="38"/>
        <v>5464850.6252448</v>
      </c>
      <c r="K121" s="956">
        <f t="shared" si="38"/>
        <v>5495947.0315254005</v>
      </c>
      <c r="L121" s="956">
        <f t="shared" si="38"/>
        <v>5495947.0315254005</v>
      </c>
      <c r="M121" s="86"/>
      <c r="N121" s="287"/>
    </row>
    <row r="122" spans="1:14">
      <c r="A122" s="290">
        <f>ROW()</f>
        <v>122</v>
      </c>
      <c r="B122" s="30" t="s">
        <v>315</v>
      </c>
      <c r="C122" s="30"/>
      <c r="D122" s="30"/>
      <c r="E122" s="30"/>
      <c r="G122" s="52">
        <f>+G121/G111</f>
        <v>11361.1875</v>
      </c>
      <c r="H122" s="52">
        <f t="shared" ref="H122:L122" si="39">+H121/H111</f>
        <v>12079.945312980857</v>
      </c>
      <c r="I122" s="52">
        <f t="shared" si="39"/>
        <v>12135.474609910501</v>
      </c>
      <c r="J122" s="52">
        <f t="shared" si="39"/>
        <v>12144.112500544001</v>
      </c>
      <c r="K122" s="52">
        <f t="shared" si="39"/>
        <v>12213.215625612002</v>
      </c>
      <c r="L122" s="52">
        <f t="shared" si="39"/>
        <v>12213.215625612002</v>
      </c>
      <c r="M122" s="86"/>
      <c r="N122" s="287"/>
    </row>
    <row r="123" spans="1:14">
      <c r="A123" s="290">
        <f>ROW()</f>
        <v>123</v>
      </c>
      <c r="B123" s="30"/>
      <c r="C123" s="30"/>
      <c r="D123" s="30"/>
      <c r="E123" s="30"/>
      <c r="G123" s="52"/>
      <c r="H123" s="52"/>
      <c r="I123" s="52"/>
      <c r="J123" s="52"/>
      <c r="K123" s="52"/>
      <c r="L123" s="52"/>
      <c r="M123" s="86"/>
      <c r="N123" s="287"/>
    </row>
    <row r="124" spans="1:14">
      <c r="A124" s="290">
        <f>ROW()</f>
        <v>124</v>
      </c>
      <c r="B124" s="1510" t="s">
        <v>316</v>
      </c>
      <c r="C124" s="1524"/>
      <c r="D124" s="1524"/>
      <c r="E124" s="1524"/>
      <c r="F124" s="1519"/>
      <c r="G124" s="1492"/>
      <c r="H124" s="1492"/>
      <c r="I124" s="1492"/>
      <c r="J124" s="1492"/>
      <c r="K124" s="1492"/>
      <c r="L124" s="1492"/>
      <c r="N124" s="287"/>
    </row>
    <row r="125" spans="1:14">
      <c r="A125" s="290">
        <f>ROW()</f>
        <v>125</v>
      </c>
      <c r="B125" s="32" t="s">
        <v>83</v>
      </c>
      <c r="C125" s="48">
        <f t="shared" ref="C125:C132" si="40">SUM(F125:L125)</f>
        <v>228000</v>
      </c>
      <c r="D125" s="48"/>
      <c r="E125" s="48"/>
      <c r="F125" s="513"/>
      <c r="G125" s="657">
        <f t="shared" ref="G125:L125" si="41">(G36*G92)*($C$99)</f>
        <v>26400</v>
      </c>
      <c r="H125" s="657">
        <f t="shared" si="41"/>
        <v>33600</v>
      </c>
      <c r="I125" s="657">
        <f t="shared" si="41"/>
        <v>38400</v>
      </c>
      <c r="J125" s="657">
        <f t="shared" si="41"/>
        <v>43200</v>
      </c>
      <c r="K125" s="657">
        <f t="shared" si="41"/>
        <v>43200</v>
      </c>
      <c r="L125" s="657">
        <f t="shared" si="41"/>
        <v>43200</v>
      </c>
      <c r="N125" s="287"/>
    </row>
    <row r="126" spans="1:14">
      <c r="A126" s="290">
        <f>ROW()</f>
        <v>126</v>
      </c>
      <c r="B126" s="32" t="s">
        <v>1221</v>
      </c>
      <c r="C126" s="48">
        <f t="shared" si="40"/>
        <v>45932.5</v>
      </c>
      <c r="D126" s="48"/>
      <c r="E126" s="48"/>
      <c r="F126" s="513"/>
      <c r="G126" s="657">
        <f t="shared" ref="G126:L126" si="42">($C$100*G36*G92)+(G36*3.5)</f>
        <v>5318.5</v>
      </c>
      <c r="H126" s="657">
        <f t="shared" si="42"/>
        <v>6769</v>
      </c>
      <c r="I126" s="657">
        <f t="shared" si="42"/>
        <v>7736</v>
      </c>
      <c r="J126" s="657">
        <f t="shared" si="42"/>
        <v>8703</v>
      </c>
      <c r="K126" s="657">
        <f t="shared" si="42"/>
        <v>8703</v>
      </c>
      <c r="L126" s="657">
        <f t="shared" si="42"/>
        <v>8703</v>
      </c>
      <c r="N126" s="287"/>
    </row>
    <row r="127" spans="1:14">
      <c r="A127" s="290">
        <f>ROW()</f>
        <v>127</v>
      </c>
      <c r="B127" s="32" t="s">
        <v>1222</v>
      </c>
      <c r="C127" s="48">
        <f t="shared" ref="C127" si="43">SUM(F127:L127)</f>
        <v>9500</v>
      </c>
      <c r="D127" s="48"/>
      <c r="E127" s="48"/>
      <c r="F127" s="513"/>
      <c r="G127" s="1113">
        <f t="shared" ref="G127:L127" si="44">+$C$101*G36</f>
        <v>1100</v>
      </c>
      <c r="H127" s="1113">
        <f t="shared" si="44"/>
        <v>1400</v>
      </c>
      <c r="I127" s="1113">
        <f t="shared" si="44"/>
        <v>1600</v>
      </c>
      <c r="J127" s="1113">
        <f t="shared" si="44"/>
        <v>1800</v>
      </c>
      <c r="K127" s="1113">
        <f t="shared" si="44"/>
        <v>1800</v>
      </c>
      <c r="L127" s="1113">
        <f t="shared" si="44"/>
        <v>1800</v>
      </c>
      <c r="N127" s="287"/>
    </row>
    <row r="128" spans="1:14">
      <c r="A128" s="290">
        <f>ROW()</f>
        <v>128</v>
      </c>
      <c r="B128" s="32" t="s">
        <v>85</v>
      </c>
      <c r="C128" s="48">
        <f t="shared" si="40"/>
        <v>17047.75</v>
      </c>
      <c r="D128" s="48"/>
      <c r="E128" s="48"/>
      <c r="F128" s="513"/>
      <c r="G128" s="657">
        <f t="shared" ref="G128:L128" si="45">$C$102*G36*G93</f>
        <v>1973.9499999999998</v>
      </c>
      <c r="H128" s="657">
        <f t="shared" si="45"/>
        <v>2512.2999999999997</v>
      </c>
      <c r="I128" s="657">
        <f t="shared" si="45"/>
        <v>2871.2</v>
      </c>
      <c r="J128" s="657">
        <f t="shared" si="45"/>
        <v>3230.1</v>
      </c>
      <c r="K128" s="657">
        <f t="shared" si="45"/>
        <v>3230.1</v>
      </c>
      <c r="L128" s="657">
        <f t="shared" si="45"/>
        <v>3230.1</v>
      </c>
      <c r="N128" s="287"/>
    </row>
    <row r="129" spans="1:14" hidden="1">
      <c r="A129" s="290">
        <f>ROW()</f>
        <v>129</v>
      </c>
      <c r="B129" s="32" t="s">
        <v>86</v>
      </c>
      <c r="C129" s="48"/>
      <c r="D129" s="48"/>
      <c r="E129" s="48"/>
      <c r="F129" s="513"/>
      <c r="G129" s="657"/>
      <c r="H129" s="657"/>
      <c r="I129" s="657"/>
      <c r="J129" s="657"/>
      <c r="K129" s="657"/>
      <c r="L129" s="657"/>
      <c r="N129" s="287"/>
    </row>
    <row r="130" spans="1:14">
      <c r="A130" s="290">
        <f>ROW()</f>
        <v>130</v>
      </c>
      <c r="B130" s="32" t="s">
        <v>87</v>
      </c>
      <c r="C130" s="48">
        <f t="shared" si="40"/>
        <v>0</v>
      </c>
      <c r="D130" s="48"/>
      <c r="E130" s="48"/>
      <c r="F130" s="513"/>
      <c r="G130" s="657">
        <f>IF($C$105="yes",$C$106*Staff!$C$71*(G36*G92),0)</f>
        <v>0</v>
      </c>
      <c r="H130" s="657">
        <f>IF($C$105="yes",$C$106*Staff!$C$71*(H36*H92),0)</f>
        <v>0</v>
      </c>
      <c r="I130" s="657">
        <f>IF($C$105="yes",$C$106*Staff!$C$71*(I36*I92),0)</f>
        <v>0</v>
      </c>
      <c r="J130" s="657">
        <f>IF($C$105="yes",$C$106*Staff!$C$71*(J36*J92),0)</f>
        <v>0</v>
      </c>
      <c r="K130" s="657">
        <f>IF($C$105="yes",$C$106*Staff!$C$71*(K36*K92),0)</f>
        <v>0</v>
      </c>
      <c r="L130" s="657">
        <f>IF($C$105="yes",$C$106*Staff!$C$71*(L36*L92),0)</f>
        <v>0</v>
      </c>
      <c r="N130" s="287"/>
    </row>
    <row r="131" spans="1:14">
      <c r="A131" s="290">
        <f>ROW()</f>
        <v>131</v>
      </c>
      <c r="B131" s="32" t="s">
        <v>317</v>
      </c>
      <c r="C131" s="48">
        <f t="shared" si="40"/>
        <v>436050</v>
      </c>
      <c r="D131" s="48"/>
      <c r="E131" s="48"/>
      <c r="F131" s="513"/>
      <c r="G131" s="657">
        <f>(G36*G92)*Staff!$C$71*$C$107</f>
        <v>50490</v>
      </c>
      <c r="H131" s="657">
        <f>(H36*H92)*Staff!$C$71*$C$107</f>
        <v>64260</v>
      </c>
      <c r="I131" s="657">
        <f>(I36*I92)*Staff!$C$71*$C$107</f>
        <v>73440</v>
      </c>
      <c r="J131" s="657">
        <f>(J36*J92)*Staff!$C$71*$C$107</f>
        <v>82620</v>
      </c>
      <c r="K131" s="657">
        <f>(K36*K92)*Staff!$C$71*$C$107</f>
        <v>82620</v>
      </c>
      <c r="L131" s="657">
        <f>(L36*L92)*Staff!$C$71*$C$107</f>
        <v>82620</v>
      </c>
      <c r="N131" s="287"/>
    </row>
    <row r="132" spans="1:14">
      <c r="A132" s="290">
        <f>ROW()</f>
        <v>132</v>
      </c>
      <c r="B132" s="32" t="s">
        <v>89</v>
      </c>
      <c r="C132" s="48">
        <f t="shared" si="40"/>
        <v>300746.25</v>
      </c>
      <c r="D132" s="48"/>
      <c r="E132" s="48"/>
      <c r="F132" s="513"/>
      <c r="G132" s="657">
        <f t="shared" ref="G132:L132" si="46">(G36*G94)*$C$104</f>
        <v>34823.25</v>
      </c>
      <c r="H132" s="657">
        <f t="shared" si="46"/>
        <v>44320.5</v>
      </c>
      <c r="I132" s="657">
        <f t="shared" si="46"/>
        <v>50652</v>
      </c>
      <c r="J132" s="657">
        <f t="shared" si="46"/>
        <v>56983.5</v>
      </c>
      <c r="K132" s="657">
        <f t="shared" si="46"/>
        <v>56983.5</v>
      </c>
      <c r="L132" s="657">
        <f t="shared" si="46"/>
        <v>56983.5</v>
      </c>
      <c r="N132" s="287"/>
    </row>
    <row r="133" spans="1:14" ht="27.6">
      <c r="A133" s="726">
        <f>ROW()</f>
        <v>133</v>
      </c>
      <c r="B133" s="41" t="s">
        <v>1312</v>
      </c>
      <c r="C133" s="48">
        <f>SUM(F133:L133)</f>
        <v>0</v>
      </c>
      <c r="D133" s="48"/>
      <c r="E133" s="48"/>
      <c r="F133" s="1072">
        <v>0</v>
      </c>
      <c r="G133" s="760">
        <v>0</v>
      </c>
      <c r="H133" s="760">
        <v>0</v>
      </c>
      <c r="I133" s="760">
        <v>0</v>
      </c>
      <c r="J133" s="760">
        <v>0</v>
      </c>
      <c r="K133" s="760">
        <v>0</v>
      </c>
      <c r="L133" s="760">
        <v>0</v>
      </c>
      <c r="N133" s="287"/>
    </row>
    <row r="134" spans="1:14">
      <c r="A134" s="726">
        <f>ROW()</f>
        <v>134</v>
      </c>
      <c r="B134" s="41" t="s">
        <v>1307</v>
      </c>
      <c r="C134" s="48">
        <f t="shared" ref="C134:C142" si="47">SUM(F134:L134)</f>
        <v>0</v>
      </c>
      <c r="D134" s="48"/>
      <c r="E134" s="48"/>
      <c r="F134" s="1074"/>
      <c r="G134" s="266">
        <v>0</v>
      </c>
      <c r="H134" s="266">
        <v>0</v>
      </c>
      <c r="I134" s="266">
        <v>0</v>
      </c>
      <c r="J134" s="266">
        <v>0</v>
      </c>
      <c r="K134" s="266">
        <v>0</v>
      </c>
      <c r="L134" s="266">
        <v>0</v>
      </c>
      <c r="N134" s="287"/>
    </row>
    <row r="135" spans="1:14">
      <c r="A135" s="726">
        <f>ROW()</f>
        <v>135</v>
      </c>
      <c r="B135" s="32" t="s">
        <v>1308</v>
      </c>
      <c r="C135" s="48">
        <f t="shared" si="47"/>
        <v>0</v>
      </c>
      <c r="D135" s="48"/>
      <c r="E135" s="48"/>
      <c r="F135" s="1073">
        <v>0</v>
      </c>
      <c r="G135" s="266">
        <v>0</v>
      </c>
      <c r="H135" s="266">
        <v>0</v>
      </c>
      <c r="I135" s="266">
        <v>0</v>
      </c>
      <c r="J135" s="266">
        <v>0</v>
      </c>
      <c r="K135" s="266">
        <v>0</v>
      </c>
      <c r="L135" s="266">
        <v>0</v>
      </c>
      <c r="N135" s="287"/>
    </row>
    <row r="136" spans="1:14">
      <c r="A136" s="726">
        <f>ROW()</f>
        <v>136</v>
      </c>
      <c r="B136" s="32" t="s">
        <v>1309</v>
      </c>
      <c r="C136" s="48">
        <f t="shared" si="47"/>
        <v>0</v>
      </c>
      <c r="D136" s="48"/>
      <c r="E136" s="48"/>
      <c r="F136" s="1073">
        <v>0</v>
      </c>
      <c r="G136" s="1112">
        <f t="shared" ref="G136:L136" si="48">$C$108*G36</f>
        <v>0</v>
      </c>
      <c r="H136" s="1112">
        <f t="shared" si="48"/>
        <v>0</v>
      </c>
      <c r="I136" s="1112">
        <f t="shared" si="48"/>
        <v>0</v>
      </c>
      <c r="J136" s="1112">
        <f t="shared" si="48"/>
        <v>0</v>
      </c>
      <c r="K136" s="1112">
        <f t="shared" si="48"/>
        <v>0</v>
      </c>
      <c r="L136" s="1112">
        <f t="shared" si="48"/>
        <v>0</v>
      </c>
      <c r="N136" s="287"/>
    </row>
    <row r="137" spans="1:14">
      <c r="A137" s="726">
        <f>ROW()</f>
        <v>137</v>
      </c>
      <c r="B137" s="32" t="s">
        <v>94</v>
      </c>
      <c r="C137" s="48">
        <f t="shared" si="47"/>
        <v>0</v>
      </c>
      <c r="D137" s="48"/>
      <c r="E137" s="48"/>
      <c r="F137" s="1073">
        <v>0</v>
      </c>
      <c r="G137" s="266">
        <v>0</v>
      </c>
      <c r="H137" s="266">
        <v>0</v>
      </c>
      <c r="I137" s="266">
        <v>0</v>
      </c>
      <c r="J137" s="266">
        <v>0</v>
      </c>
      <c r="K137" s="266">
        <v>0</v>
      </c>
      <c r="L137" s="266">
        <v>0</v>
      </c>
      <c r="N137" s="287"/>
    </row>
    <row r="138" spans="1:14">
      <c r="A138" s="726">
        <f>ROW()</f>
        <v>138</v>
      </c>
      <c r="B138" s="32" t="s">
        <v>318</v>
      </c>
      <c r="C138" s="48">
        <f t="shared" si="47"/>
        <v>1150081.875</v>
      </c>
      <c r="D138" s="48"/>
      <c r="E138" s="48"/>
      <c r="F138" s="1073">
        <v>0</v>
      </c>
      <c r="G138" s="266">
        <f>'Gen Optg'!G73-G131</f>
        <v>133167.375</v>
      </c>
      <c r="H138" s="266">
        <f>'Gen Optg'!H73-H131</f>
        <v>169485.74999999997</v>
      </c>
      <c r="I138" s="266">
        <f>'Gen Optg'!I73-I131</f>
        <v>193698</v>
      </c>
      <c r="J138" s="266">
        <f>'Gen Optg'!J73-J131</f>
        <v>217910.25</v>
      </c>
      <c r="K138" s="266">
        <f>'Gen Optg'!K73-K131</f>
        <v>217910.25</v>
      </c>
      <c r="L138" s="266">
        <f>'Gen Optg'!L73-L131</f>
        <v>217910.25</v>
      </c>
      <c r="N138" s="287" t="s">
        <v>1446</v>
      </c>
    </row>
    <row r="139" spans="1:14">
      <c r="A139" s="726">
        <f>ROW()</f>
        <v>139</v>
      </c>
      <c r="B139" s="32" t="s">
        <v>319</v>
      </c>
      <c r="C139" s="48">
        <f t="shared" si="47"/>
        <v>0</v>
      </c>
      <c r="D139" s="48"/>
      <c r="E139" s="48"/>
      <c r="F139" s="1073">
        <v>0</v>
      </c>
      <c r="G139" s="266">
        <v>0</v>
      </c>
      <c r="H139" s="266">
        <v>0</v>
      </c>
      <c r="I139" s="266">
        <v>0</v>
      </c>
      <c r="J139" s="266">
        <v>0</v>
      </c>
      <c r="K139" s="266">
        <v>0</v>
      </c>
      <c r="L139" s="266">
        <v>0</v>
      </c>
      <c r="N139" s="287"/>
    </row>
    <row r="140" spans="1:14">
      <c r="A140" s="726">
        <f>ROW()</f>
        <v>140</v>
      </c>
      <c r="B140" s="32" t="s">
        <v>1310</v>
      </c>
      <c r="C140" s="48">
        <f t="shared" si="47"/>
        <v>0</v>
      </c>
      <c r="D140" s="48"/>
      <c r="E140" s="48"/>
      <c r="F140" s="1073">
        <v>0</v>
      </c>
      <c r="G140" s="266">
        <v>0</v>
      </c>
      <c r="H140" s="266">
        <v>0</v>
      </c>
      <c r="I140" s="266">
        <v>0</v>
      </c>
      <c r="J140" s="266">
        <v>0</v>
      </c>
      <c r="K140" s="266">
        <v>0</v>
      </c>
      <c r="L140" s="266">
        <v>0</v>
      </c>
      <c r="N140" s="287"/>
    </row>
    <row r="141" spans="1:14">
      <c r="A141" s="726">
        <f>ROW()</f>
        <v>141</v>
      </c>
      <c r="B141" s="32" t="s">
        <v>1311</v>
      </c>
      <c r="C141" s="48">
        <f t="shared" si="47"/>
        <v>0</v>
      </c>
      <c r="D141" s="48"/>
      <c r="E141" s="48"/>
      <c r="F141" s="1073">
        <v>0</v>
      </c>
      <c r="G141" s="266">
        <v>0</v>
      </c>
      <c r="H141" s="266">
        <v>0</v>
      </c>
      <c r="I141" s="266">
        <v>0</v>
      </c>
      <c r="J141" s="266">
        <v>0</v>
      </c>
      <c r="K141" s="266">
        <v>0</v>
      </c>
      <c r="L141" s="266">
        <v>0</v>
      </c>
      <c r="N141" s="287"/>
    </row>
    <row r="142" spans="1:14">
      <c r="A142" s="726">
        <f>ROW()</f>
        <v>142</v>
      </c>
      <c r="B142" s="32" t="s">
        <v>1313</v>
      </c>
      <c r="C142" s="48">
        <f t="shared" si="47"/>
        <v>0</v>
      </c>
      <c r="D142" s="48"/>
      <c r="E142" s="48"/>
      <c r="F142" s="1073">
        <v>0</v>
      </c>
      <c r="G142" s="267">
        <v>0</v>
      </c>
      <c r="H142" s="266">
        <v>0</v>
      </c>
      <c r="I142" s="266">
        <v>0</v>
      </c>
      <c r="J142" s="266">
        <v>0</v>
      </c>
      <c r="K142" s="266">
        <v>0</v>
      </c>
      <c r="L142" s="266">
        <v>0</v>
      </c>
      <c r="N142" s="287"/>
    </row>
    <row r="143" spans="1:14" ht="15.6">
      <c r="A143" s="726">
        <f>ROW()</f>
        <v>143</v>
      </c>
      <c r="B143" s="106"/>
      <c r="C143" s="1069"/>
      <c r="D143" s="1070"/>
      <c r="E143" s="1070"/>
      <c r="F143" s="1071">
        <f t="shared" ref="F143:L143" si="49">SUM(F125:F142)</f>
        <v>0</v>
      </c>
      <c r="G143" s="1071">
        <f>SUM(G125:G142)</f>
        <v>253273.07500000001</v>
      </c>
      <c r="H143" s="1071">
        <f t="shared" si="49"/>
        <v>322347.54999999993</v>
      </c>
      <c r="I143" s="1071">
        <f t="shared" si="49"/>
        <v>368397.2</v>
      </c>
      <c r="J143" s="1071">
        <f t="shared" si="49"/>
        <v>414446.85</v>
      </c>
      <c r="K143" s="1071">
        <f t="shared" si="49"/>
        <v>414446.85</v>
      </c>
      <c r="L143" s="1071">
        <f t="shared" si="49"/>
        <v>414446.85</v>
      </c>
      <c r="N143" s="287"/>
    </row>
    <row r="144" spans="1:14" ht="15.6">
      <c r="A144" s="726">
        <f>ROW()</f>
        <v>144</v>
      </c>
      <c r="B144" s="106" t="s">
        <v>320</v>
      </c>
      <c r="C144" s="1069"/>
      <c r="D144" s="1070"/>
      <c r="E144" s="1070"/>
      <c r="F144" s="1071"/>
      <c r="G144" s="1114">
        <f t="shared" ref="G144:L144" si="50">+G143/G36</f>
        <v>920.99300000000005</v>
      </c>
      <c r="H144" s="1114">
        <f t="shared" si="50"/>
        <v>920.99299999999982</v>
      </c>
      <c r="I144" s="1114">
        <f t="shared" si="50"/>
        <v>920.99300000000005</v>
      </c>
      <c r="J144" s="1114">
        <f t="shared" si="50"/>
        <v>920.99299999999994</v>
      </c>
      <c r="K144" s="1114">
        <f t="shared" si="50"/>
        <v>920.99299999999994</v>
      </c>
      <c r="L144" s="1114">
        <f t="shared" si="50"/>
        <v>920.99299999999994</v>
      </c>
      <c r="N144" s="287"/>
    </row>
    <row r="145" spans="1:14" ht="15.6">
      <c r="A145" s="726">
        <f>ROW()</f>
        <v>145</v>
      </c>
      <c r="B145" s="106" t="s">
        <v>102</v>
      </c>
      <c r="C145" s="1069">
        <f t="shared" ref="C145" si="51">SUM(G145:L145)</f>
        <v>30850600.329303101</v>
      </c>
      <c r="D145" s="1070"/>
      <c r="E145" s="1070"/>
      <c r="F145" s="1071">
        <f t="shared" ref="F145:L145" si="52">+F143+F121</f>
        <v>0</v>
      </c>
      <c r="G145" s="1071">
        <f>+G143+G121</f>
        <v>3377599.6375000002</v>
      </c>
      <c r="H145" s="1071">
        <f t="shared" si="52"/>
        <v>4550328.4095433</v>
      </c>
      <c r="I145" s="1071">
        <f>+I143+I121</f>
        <v>5222587.0439642007</v>
      </c>
      <c r="J145" s="1071">
        <f t="shared" si="52"/>
        <v>5879297.4752447996</v>
      </c>
      <c r="K145" s="1071">
        <f t="shared" si="52"/>
        <v>5910393.8815254001</v>
      </c>
      <c r="L145" s="1071">
        <f t="shared" si="52"/>
        <v>5910393.8815254001</v>
      </c>
      <c r="N145" s="287"/>
    </row>
    <row r="146" spans="1:14" ht="14.4">
      <c r="A146" s="726">
        <f>ROW()</f>
        <v>146</v>
      </c>
      <c r="B146" s="154" t="s">
        <v>321</v>
      </c>
      <c r="C146" s="74"/>
      <c r="D146" s="74"/>
      <c r="E146" s="74"/>
      <c r="F146" s="957"/>
      <c r="G146" s="1115">
        <f t="shared" ref="G146:L146" si="53">IFERROR(G145/G36,0)</f>
        <v>12282.1805</v>
      </c>
      <c r="H146" s="1115">
        <f t="shared" si="53"/>
        <v>13000.938312980858</v>
      </c>
      <c r="I146" s="1115">
        <f t="shared" si="53"/>
        <v>13056.467609910502</v>
      </c>
      <c r="J146" s="1115">
        <f t="shared" si="53"/>
        <v>13065.105500543999</v>
      </c>
      <c r="K146" s="1115">
        <f t="shared" si="53"/>
        <v>13134.208625612</v>
      </c>
      <c r="L146" s="1115">
        <f t="shared" si="53"/>
        <v>13134.208625612</v>
      </c>
      <c r="N146" s="287"/>
    </row>
    <row r="147" spans="1:14">
      <c r="A147" s="290"/>
      <c r="B147" s="30" t="s">
        <v>322</v>
      </c>
      <c r="C147" s="30"/>
      <c r="D147" s="30"/>
      <c r="E147" s="30"/>
      <c r="G147" s="52">
        <f>+Summary!G35</f>
        <v>3377599.6375000002</v>
      </c>
      <c r="H147" s="52">
        <f>+Summary!H35</f>
        <v>4550328.4095433</v>
      </c>
      <c r="I147" s="52">
        <f>+Summary!I35</f>
        <v>5222587.0439642007</v>
      </c>
      <c r="J147" s="52">
        <f>+Summary!J35</f>
        <v>5879297.4752447996</v>
      </c>
      <c r="K147" s="52">
        <f>+Summary!K35</f>
        <v>5910393.8815254001</v>
      </c>
      <c r="L147" s="52">
        <f>+Summary!L35</f>
        <v>5910393.8815254001</v>
      </c>
      <c r="N147" s="1422"/>
    </row>
    <row r="148" spans="1:14">
      <c r="A148" s="290"/>
      <c r="B148" s="106" t="s">
        <v>323</v>
      </c>
      <c r="C148" s="106"/>
      <c r="D148" s="106"/>
      <c r="E148" s="106"/>
      <c r="F148" s="104"/>
      <c r="G148" s="956">
        <f>+G145-G147</f>
        <v>0</v>
      </c>
      <c r="H148" s="956">
        <f t="shared" ref="H148:L148" si="54">+H145-H147</f>
        <v>0</v>
      </c>
      <c r="I148" s="956">
        <f t="shared" si="54"/>
        <v>0</v>
      </c>
      <c r="J148" s="956">
        <f t="shared" si="54"/>
        <v>0</v>
      </c>
      <c r="K148" s="956">
        <f t="shared" si="54"/>
        <v>0</v>
      </c>
      <c r="L148" s="956">
        <f t="shared" si="54"/>
        <v>0</v>
      </c>
    </row>
    <row r="149" spans="1:14">
      <c r="A149" s="59"/>
      <c r="B149" s="74"/>
      <c r="C149" s="30"/>
      <c r="D149" s="30"/>
      <c r="E149" s="30"/>
    </row>
  </sheetData>
  <phoneticPr fontId="7" type="noConversion"/>
  <conditionalFormatting sqref="C73">
    <cfRule type="top10" dxfId="73" priority="6" rank="10"/>
  </conditionalFormatting>
  <conditionalFormatting sqref="D1:E1 C14:E14 B23:E35">
    <cfRule type="expression" dxfId="72" priority="171" stopIfTrue="1">
      <formula>MOD(ROW(),2)=0</formula>
    </cfRule>
  </conditionalFormatting>
  <conditionalFormatting sqref="D73:E73">
    <cfRule type="cellIs" dxfId="71" priority="4" operator="greaterThan">
      <formula>1</formula>
    </cfRule>
  </conditionalFormatting>
  <conditionalFormatting sqref="G94:H94">
    <cfRule type="cellIs" dxfId="70" priority="21" operator="greaterThan">
      <formula>0.25</formula>
    </cfRule>
  </conditionalFormatting>
  <conditionalFormatting sqref="G17:L17">
    <cfRule type="cellIs" dxfId="69" priority="215" stopIfTrue="1" operator="equal">
      <formula>0</formula>
    </cfRule>
  </conditionalFormatting>
  <conditionalFormatting sqref="G19:L19">
    <cfRule type="cellIs" dxfId="68" priority="14" stopIfTrue="1" operator="equal">
      <formula>0</formula>
    </cfRule>
  </conditionalFormatting>
  <conditionalFormatting sqref="G95:L95">
    <cfRule type="cellIs" dxfId="67" priority="146" stopIfTrue="1" operator="equal">
      <formula>0</formula>
    </cfRule>
  </conditionalFormatting>
  <pageMargins left="0.25" right="0.25" top="0.5" bottom="0.45" header="0.25" footer="0.25"/>
  <pageSetup scale="60" fitToHeight="4" orientation="landscape" r:id="rId1"/>
  <headerFooter>
    <oddHeader xml:space="preserve">&amp;L &amp;C &amp;R </oddHeader>
    <oddFooter>&amp;L&amp;7&amp;D  at &amp;T Mike 702.854.0691&amp;C&amp;7&amp;F  &amp;A&amp;R&amp;7Page &amp;P of &amp;N</oddFooter>
  </headerFooter>
  <rowBreaks count="1" manualBreakCount="1">
    <brk id="109" max="12" man="1"/>
  </rowBreaks>
  <legacyDrawing r:id="rId2"/>
  <extLst>
    <ext xmlns:x14="http://schemas.microsoft.com/office/spreadsheetml/2009/9/main" uri="{CCE6A557-97BC-4b89-ADB6-D9C93CAAB3DF}">
      <x14:dataValidations xmlns:xm="http://schemas.microsoft.com/office/excel/2006/main" xWindow="527" yWindow="807" count="2">
        <x14:dataValidation type="list" allowBlank="1" showInputMessage="1" showErrorMessage="1" xr:uid="{072BB3B4-7B2D-4CBC-801C-1A2DCA639C70}">
          <x14:formula1>
            <xm:f>'PCFP Rates'!$B$12:$B$20</xm:f>
          </x14:formula1>
          <xm:sqref>C78</xm:sqref>
        </x14:dataValidation>
        <x14:dataValidation type="list" allowBlank="1" showInputMessage="1" showErrorMessage="1" promptTitle="County" prompt="In the Dropdown Box select the county where your school will be located." xr:uid="{00000000-0002-0000-0100-000000000000}">
          <x14:formula1>
            <xm:f>'PCFP Rates'!$O$49:$O$80</xm:f>
          </x14:formula1>
          <xm:sqref>D109:E109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4F97-2CD8-473E-BEFB-7F0BC3F9228C}">
  <sheetPr codeName="Sheet5">
    <tabColor rgb="FFFFFF00"/>
    <pageSetUpPr fitToPage="1"/>
  </sheetPr>
  <dimension ref="A1:M56"/>
  <sheetViews>
    <sheetView workbookViewId="0"/>
  </sheetViews>
  <sheetFormatPr defaultColWidth="8.6640625" defaultRowHeight="13.2"/>
  <cols>
    <col min="1" max="1" width="4.6640625" style="5" customWidth="1"/>
    <col min="2" max="2" width="30.33203125" style="5" customWidth="1"/>
    <col min="3" max="3" width="16.6640625" style="5" customWidth="1"/>
    <col min="4" max="4" width="15.33203125" style="5" bestFit="1" customWidth="1"/>
    <col min="5" max="5" width="13.6640625" style="5" customWidth="1"/>
    <col min="6" max="6" width="3.6640625" style="5" customWidth="1"/>
    <col min="7" max="7" width="35.6640625" style="5" customWidth="1"/>
    <col min="8" max="8" width="3.5546875" style="5" customWidth="1"/>
    <col min="9" max="16384" width="8.6640625" style="5"/>
  </cols>
  <sheetData>
    <row r="1" spans="1:13" ht="17.399999999999999">
      <c r="A1" s="21" t="s">
        <v>324</v>
      </c>
      <c r="B1" s="20"/>
      <c r="C1" s="20"/>
      <c r="D1" s="20"/>
      <c r="E1" s="347" t="s">
        <v>1</v>
      </c>
    </row>
    <row r="2" spans="1:13" ht="15.6">
      <c r="A2" s="24" t="str">
        <f>SchoolName</f>
        <v>Pahrump Valley Academy</v>
      </c>
      <c r="B2" s="23"/>
      <c r="C2" s="23"/>
      <c r="D2" s="23"/>
    </row>
    <row r="3" spans="1:13">
      <c r="A3" s="9" t="s">
        <v>325</v>
      </c>
    </row>
    <row r="4" spans="1:13">
      <c r="A4" s="8" t="s">
        <v>5</v>
      </c>
      <c r="H4" s="6"/>
      <c r="I4" s="6"/>
      <c r="J4" s="6"/>
      <c r="K4" s="6"/>
      <c r="L4" s="6"/>
      <c r="M4" s="6"/>
    </row>
    <row r="5" spans="1:13">
      <c r="A5" s="7" t="str">
        <f ca="1">CELL("filename")</f>
        <v>https://csmci.sharepoint.com/sites/csmc-nevada/Shared Documents/General/CSMC/Potential Clients/Pahrump Valley Academy/Revision/[Attachment 24_Financial-Plan-Workbook Pahrump Valley Academy -Draft (3).xlsx]CF Y1 Mo</v>
      </c>
      <c r="H5" s="6"/>
      <c r="I5" s="6"/>
      <c r="J5" s="6"/>
      <c r="K5" s="6"/>
      <c r="L5" s="6"/>
      <c r="M5" s="6"/>
    </row>
    <row r="6" spans="1:13">
      <c r="A6" s="6"/>
      <c r="B6" s="6"/>
      <c r="C6" s="6"/>
      <c r="D6" s="6"/>
      <c r="E6" s="1087" t="s">
        <v>326</v>
      </c>
      <c r="F6" s="6"/>
      <c r="G6" s="6"/>
      <c r="H6" s="6"/>
      <c r="I6" s="6"/>
      <c r="J6" s="6"/>
      <c r="K6" s="6"/>
      <c r="L6" s="6"/>
      <c r="M6" s="6"/>
    </row>
    <row r="7" spans="1:13">
      <c r="A7" s="6"/>
      <c r="B7" s="6"/>
      <c r="C7" s="6"/>
      <c r="D7" s="6"/>
      <c r="E7" s="1085">
        <f>+'Cover &amp; Loc'!C11-1</f>
        <v>2025</v>
      </c>
      <c r="F7" s="6"/>
      <c r="G7" s="1019" t="s">
        <v>327</v>
      </c>
      <c r="H7" s="1019"/>
      <c r="I7" s="1019"/>
      <c r="J7" s="1019"/>
      <c r="K7" s="6"/>
      <c r="L7" s="6"/>
      <c r="M7" s="6"/>
    </row>
    <row r="8" spans="1:13">
      <c r="A8" s="6"/>
      <c r="B8" s="6"/>
      <c r="C8" s="6"/>
      <c r="D8" s="6"/>
      <c r="E8" s="1086">
        <f>+E7+1</f>
        <v>2026</v>
      </c>
      <c r="F8" s="6"/>
      <c r="G8" s="1019"/>
      <c r="H8" s="1019"/>
      <c r="I8" s="1019"/>
      <c r="J8" s="1019"/>
      <c r="K8" s="6"/>
      <c r="L8" s="6"/>
      <c r="M8" s="6"/>
    </row>
    <row r="9" spans="1:13" ht="13.8">
      <c r="A9" s="6"/>
      <c r="B9" s="10"/>
      <c r="C9" s="6"/>
      <c r="D9" s="6"/>
      <c r="E9" s="6"/>
      <c r="F9" s="6"/>
      <c r="G9" s="6"/>
      <c r="H9" s="6"/>
      <c r="I9" s="6"/>
      <c r="J9" s="6"/>
      <c r="K9" s="6"/>
      <c r="L9" s="6"/>
      <c r="M9" s="6"/>
    </row>
    <row r="10" spans="1:13" ht="13.8">
      <c r="A10" s="6"/>
      <c r="B10" s="1849" t="s">
        <v>328</v>
      </c>
      <c r="C10" s="1850"/>
      <c r="D10" s="1850"/>
      <c r="E10" s="1851"/>
      <c r="F10" s="6"/>
      <c r="G10" s="1308" t="s">
        <v>26</v>
      </c>
      <c r="H10" s="6"/>
      <c r="I10" s="6"/>
      <c r="J10" s="6"/>
      <c r="K10" s="6"/>
      <c r="L10" s="6"/>
      <c r="M10" s="6"/>
    </row>
    <row r="11" spans="1:13" ht="13.8">
      <c r="A11" s="419">
        <f>ROW()</f>
        <v>11</v>
      </c>
      <c r="B11" s="1014"/>
      <c r="C11" s="1014"/>
      <c r="D11" s="1014"/>
      <c r="E11" s="1023"/>
      <c r="F11" s="14"/>
      <c r="G11" s="394"/>
      <c r="H11" s="6"/>
      <c r="I11" s="6"/>
      <c r="J11" s="6"/>
      <c r="K11" s="6"/>
      <c r="L11" s="6"/>
      <c r="M11" s="6"/>
    </row>
    <row r="12" spans="1:13" ht="13.8">
      <c r="A12" s="419">
        <f>ROW()</f>
        <v>12</v>
      </c>
      <c r="B12" s="1015"/>
      <c r="C12" s="1015"/>
      <c r="D12" s="1015"/>
      <c r="E12" s="1024">
        <v>0</v>
      </c>
      <c r="F12" s="14"/>
      <c r="G12" s="287"/>
      <c r="H12" s="6"/>
      <c r="I12" s="6"/>
      <c r="J12" s="6"/>
      <c r="K12" s="6"/>
      <c r="L12" s="6"/>
      <c r="M12" s="6"/>
    </row>
    <row r="13" spans="1:13" ht="13.8">
      <c r="A13" s="419">
        <f>ROW()</f>
        <v>13</v>
      </c>
      <c r="B13" s="1015"/>
      <c r="C13" s="1015"/>
      <c r="D13" s="1015"/>
      <c r="E13" s="384">
        <v>0</v>
      </c>
      <c r="F13" s="14"/>
      <c r="G13" s="287"/>
      <c r="H13" s="6"/>
      <c r="I13" s="6"/>
      <c r="J13" s="6"/>
      <c r="K13" s="6"/>
      <c r="L13" s="6"/>
      <c r="M13" s="6"/>
    </row>
    <row r="14" spans="1:13" ht="13.8">
      <c r="A14" s="419">
        <f>ROW()</f>
        <v>14</v>
      </c>
      <c r="B14" s="1015"/>
      <c r="C14" s="1015"/>
      <c r="D14" s="1015"/>
      <c r="E14" s="384"/>
      <c r="F14" s="14"/>
      <c r="G14" s="287"/>
      <c r="H14" s="6"/>
      <c r="I14" s="6"/>
      <c r="J14" s="6"/>
      <c r="K14" s="6"/>
      <c r="L14" s="6"/>
      <c r="M14" s="6"/>
    </row>
    <row r="15" spans="1:13" ht="13.8">
      <c r="A15" s="419">
        <f>ROW()</f>
        <v>15</v>
      </c>
      <c r="B15" s="1015" t="s">
        <v>329</v>
      </c>
      <c r="C15" s="1015"/>
      <c r="D15" s="1015"/>
      <c r="E15" s="384">
        <v>0</v>
      </c>
      <c r="F15" s="14"/>
      <c r="G15" s="287"/>
      <c r="H15" s="6"/>
      <c r="I15" s="6"/>
      <c r="J15" s="6"/>
      <c r="K15" s="6"/>
      <c r="L15" s="6"/>
      <c r="M15" s="6"/>
    </row>
    <row r="16" spans="1:13" ht="13.8">
      <c r="A16" s="419">
        <f>ROW()</f>
        <v>16</v>
      </c>
      <c r="B16" s="1015" t="s">
        <v>330</v>
      </c>
      <c r="C16" s="1015"/>
      <c r="D16" s="1015"/>
      <c r="E16" s="384">
        <v>0</v>
      </c>
      <c r="F16" s="14"/>
      <c r="G16" s="287"/>
      <c r="H16" s="6"/>
      <c r="I16" s="6"/>
      <c r="J16" s="6"/>
      <c r="K16" s="6"/>
      <c r="L16" s="6"/>
      <c r="M16" s="6"/>
    </row>
    <row r="17" spans="1:13" ht="13.8">
      <c r="A17" s="419">
        <f>ROW()</f>
        <v>17</v>
      </c>
      <c r="B17" s="1015" t="s">
        <v>331</v>
      </c>
      <c r="C17" s="1015"/>
      <c r="D17" s="1015"/>
      <c r="E17" s="384">
        <v>0</v>
      </c>
      <c r="F17" s="14"/>
      <c r="G17" s="287"/>
      <c r="H17" s="6"/>
      <c r="I17" s="6"/>
      <c r="J17" s="6"/>
      <c r="K17" s="6"/>
      <c r="L17" s="6"/>
      <c r="M17" s="6"/>
    </row>
    <row r="18" spans="1:13" ht="13.8">
      <c r="A18" s="419">
        <f>ROW()</f>
        <v>18</v>
      </c>
      <c r="B18" s="1015" t="s">
        <v>332</v>
      </c>
      <c r="C18" s="1015"/>
      <c r="D18" s="1015"/>
      <c r="E18" s="384">
        <v>0</v>
      </c>
      <c r="F18" s="14"/>
      <c r="G18" s="287"/>
      <c r="H18" s="6"/>
      <c r="I18" s="6"/>
      <c r="J18" s="6"/>
      <c r="K18" s="6"/>
      <c r="L18" s="6"/>
      <c r="M18" s="6"/>
    </row>
    <row r="19" spans="1:13" ht="13.8">
      <c r="A19" s="419">
        <f>ROW()</f>
        <v>19</v>
      </c>
      <c r="B19" s="1013" t="s">
        <v>333</v>
      </c>
      <c r="C19" s="1015"/>
      <c r="D19" s="1015"/>
      <c r="E19" s="384">
        <v>0</v>
      </c>
      <c r="F19" s="14"/>
      <c r="G19" s="287"/>
      <c r="H19" s="6"/>
      <c r="I19" s="6"/>
      <c r="J19" s="6"/>
      <c r="K19" s="6"/>
      <c r="L19" s="6"/>
      <c r="M19" s="6"/>
    </row>
    <row r="20" spans="1:13" ht="13.8">
      <c r="A20" s="419">
        <f>ROW()</f>
        <v>20</v>
      </c>
      <c r="B20" s="1015" t="s">
        <v>334</v>
      </c>
      <c r="C20" s="1015"/>
      <c r="D20" s="1015"/>
      <c r="E20" s="384">
        <v>0</v>
      </c>
      <c r="F20" s="14"/>
      <c r="G20" s="287"/>
      <c r="H20" s="6"/>
      <c r="I20" s="1019"/>
      <c r="J20" s="6"/>
      <c r="K20" s="6"/>
      <c r="L20" s="6"/>
      <c r="M20" s="6"/>
    </row>
    <row r="21" spans="1:13" ht="13.8">
      <c r="A21" s="419">
        <f>ROW()</f>
        <v>21</v>
      </c>
      <c r="B21" s="1015" t="s">
        <v>335</v>
      </c>
      <c r="C21" s="1015"/>
      <c r="D21" s="1015"/>
      <c r="E21" s="384">
        <v>0</v>
      </c>
      <c r="F21" s="14"/>
      <c r="G21" s="287"/>
      <c r="H21" s="6"/>
      <c r="I21" s="1019"/>
      <c r="J21" s="6"/>
      <c r="K21" s="6"/>
      <c r="L21" s="6"/>
      <c r="M21" s="6"/>
    </row>
    <row r="22" spans="1:13" ht="13.8">
      <c r="A22" s="419">
        <f>ROW()</f>
        <v>22</v>
      </c>
      <c r="B22" s="1015" t="s">
        <v>336</v>
      </c>
      <c r="C22" s="1015"/>
      <c r="D22" s="1015"/>
      <c r="E22" s="384"/>
      <c r="F22" s="14"/>
      <c r="G22" s="287"/>
      <c r="H22" s="6"/>
      <c r="I22" s="1019"/>
      <c r="J22" s="6"/>
      <c r="K22" s="6"/>
      <c r="L22" s="6"/>
      <c r="M22" s="6"/>
    </row>
    <row r="23" spans="1:13" ht="13.8">
      <c r="A23" s="419">
        <f>ROW()</f>
        <v>23</v>
      </c>
      <c r="B23" s="1015" t="s">
        <v>337</v>
      </c>
      <c r="C23" s="1015"/>
      <c r="D23" s="1015"/>
      <c r="E23" s="384"/>
      <c r="F23" s="14"/>
      <c r="G23" s="287"/>
      <c r="H23" s="6"/>
      <c r="I23" s="1019"/>
      <c r="J23" s="6"/>
      <c r="K23" s="6"/>
      <c r="L23" s="6"/>
      <c r="M23" s="6"/>
    </row>
    <row r="24" spans="1:13" ht="13.8">
      <c r="A24" s="419">
        <f>ROW()</f>
        <v>24</v>
      </c>
      <c r="B24" s="1015" t="s">
        <v>338</v>
      </c>
      <c r="C24" s="1015"/>
      <c r="D24" s="1015"/>
      <c r="E24" s="384"/>
      <c r="F24" s="14"/>
      <c r="G24" s="287"/>
      <c r="H24" s="6"/>
      <c r="I24" s="1019"/>
      <c r="J24" s="6"/>
      <c r="K24" s="6"/>
      <c r="L24" s="6"/>
      <c r="M24" s="6"/>
    </row>
    <row r="25" spans="1:13" ht="13.8">
      <c r="A25" s="419">
        <f>ROW()</f>
        <v>25</v>
      </c>
      <c r="B25" s="1015" t="s">
        <v>339</v>
      </c>
      <c r="C25" s="1015"/>
      <c r="D25" s="1015"/>
      <c r="E25" s="384">
        <v>5000</v>
      </c>
      <c r="F25" s="14"/>
      <c r="G25" s="287"/>
      <c r="H25" s="6"/>
      <c r="I25" s="1019"/>
      <c r="J25" s="6"/>
      <c r="K25" s="6"/>
      <c r="L25" s="6"/>
      <c r="M25" s="6"/>
    </row>
    <row r="26" spans="1:13" ht="13.8">
      <c r="A26" s="419">
        <f>ROW()</f>
        <v>26</v>
      </c>
      <c r="B26" s="1015" t="s">
        <v>37</v>
      </c>
      <c r="C26" s="1015"/>
      <c r="D26" s="1015"/>
      <c r="E26" s="384"/>
      <c r="F26" s="14"/>
      <c r="G26" s="287"/>
      <c r="H26" s="6"/>
      <c r="I26" s="6"/>
      <c r="J26" s="6"/>
      <c r="K26" s="6"/>
      <c r="L26" s="6"/>
      <c r="M26" s="6"/>
    </row>
    <row r="27" spans="1:13" ht="13.8">
      <c r="A27" s="419">
        <f>ROW()</f>
        <v>27</v>
      </c>
      <c r="B27" s="1015" t="s">
        <v>340</v>
      </c>
      <c r="C27" s="1015"/>
      <c r="D27" s="1015"/>
      <c r="E27" s="384">
        <v>0</v>
      </c>
      <c r="F27" s="14"/>
      <c r="G27" s="287"/>
      <c r="H27" s="6"/>
      <c r="I27" s="6"/>
      <c r="J27" s="6"/>
      <c r="K27" s="6"/>
      <c r="L27" s="6"/>
      <c r="M27" s="6"/>
    </row>
    <row r="28" spans="1:13" ht="13.8">
      <c r="A28" s="419">
        <f>ROW()</f>
        <v>28</v>
      </c>
      <c r="B28" s="1015" t="s">
        <v>341</v>
      </c>
      <c r="C28" s="1015"/>
      <c r="D28" s="1015"/>
      <c r="E28" s="384">
        <v>0</v>
      </c>
      <c r="F28" s="14"/>
      <c r="G28" s="287"/>
      <c r="H28" s="6"/>
      <c r="I28" s="6"/>
      <c r="J28" s="6"/>
      <c r="K28" s="6"/>
      <c r="L28" s="6"/>
      <c r="M28" s="6"/>
    </row>
    <row r="29" spans="1:13" ht="13.8">
      <c r="A29" s="419">
        <f>ROW()</f>
        <v>29</v>
      </c>
      <c r="B29" s="1015" t="s">
        <v>342</v>
      </c>
      <c r="C29" s="1015"/>
      <c r="D29" s="1015"/>
      <c r="E29" s="384">
        <v>0</v>
      </c>
      <c r="F29" s="14"/>
      <c r="G29" s="287"/>
      <c r="H29" s="6"/>
      <c r="I29" s="6"/>
      <c r="J29" s="6"/>
      <c r="K29" s="6"/>
      <c r="L29" s="6"/>
      <c r="M29" s="6"/>
    </row>
    <row r="30" spans="1:13" ht="13.8">
      <c r="A30" s="419">
        <f>ROW()</f>
        <v>30</v>
      </c>
      <c r="B30" s="1015" t="s">
        <v>343</v>
      </c>
      <c r="C30" s="1015"/>
      <c r="D30" s="1015"/>
      <c r="E30" s="384">
        <v>0</v>
      </c>
      <c r="F30" s="14"/>
      <c r="G30" s="287"/>
      <c r="H30" s="6"/>
      <c r="I30" s="6"/>
      <c r="J30" s="6"/>
      <c r="K30" s="6"/>
      <c r="L30" s="6"/>
      <c r="M30" s="6"/>
    </row>
    <row r="31" spans="1:13" ht="13.8">
      <c r="A31" s="419">
        <f>ROW()</f>
        <v>31</v>
      </c>
      <c r="B31" s="1015" t="s">
        <v>344</v>
      </c>
      <c r="C31" s="1015"/>
      <c r="D31" s="1015"/>
      <c r="E31" s="384">
        <v>0</v>
      </c>
      <c r="F31" s="14"/>
      <c r="G31" s="287"/>
      <c r="H31" s="6"/>
      <c r="I31" s="6"/>
      <c r="J31" s="6"/>
      <c r="K31" s="6"/>
      <c r="L31" s="6"/>
      <c r="M31" s="6"/>
    </row>
    <row r="32" spans="1:13" ht="13.8">
      <c r="A32" s="419">
        <f>ROW()</f>
        <v>32</v>
      </c>
      <c r="B32" s="1015" t="s">
        <v>345</v>
      </c>
      <c r="C32" s="1015"/>
      <c r="D32" s="1015"/>
      <c r="E32" s="384"/>
      <c r="F32" s="14"/>
      <c r="G32" s="287"/>
      <c r="H32" s="6"/>
      <c r="I32" s="6"/>
      <c r="J32" s="6"/>
      <c r="K32" s="6"/>
      <c r="L32" s="6"/>
      <c r="M32" s="6"/>
    </row>
    <row r="33" spans="1:13" ht="13.8">
      <c r="A33" s="419">
        <f>ROW()</f>
        <v>33</v>
      </c>
      <c r="B33" s="1022" t="s">
        <v>346</v>
      </c>
      <c r="C33" s="1022"/>
      <c r="D33" s="1022"/>
      <c r="E33" s="384">
        <v>98000</v>
      </c>
      <c r="F33" s="14"/>
      <c r="G33" s="287"/>
      <c r="H33" s="6"/>
      <c r="I33" s="6"/>
      <c r="J33" s="6"/>
      <c r="K33" s="6"/>
      <c r="L33" s="6"/>
      <c r="M33" s="6"/>
    </row>
    <row r="34" spans="1:13" ht="13.8">
      <c r="A34" s="419">
        <f>ROW()</f>
        <v>34</v>
      </c>
      <c r="B34" s="1022"/>
      <c r="C34" s="1022"/>
      <c r="D34" s="1022"/>
      <c r="E34" s="384"/>
      <c r="F34" s="14"/>
      <c r="G34" s="287"/>
      <c r="H34" s="6"/>
      <c r="I34" s="6"/>
      <c r="J34" s="6"/>
      <c r="K34" s="6"/>
      <c r="L34" s="6"/>
      <c r="M34" s="6"/>
    </row>
    <row r="35" spans="1:13" ht="13.8">
      <c r="A35" s="419">
        <f>ROW()</f>
        <v>35</v>
      </c>
      <c r="B35" s="1022"/>
      <c r="C35" s="1022"/>
      <c r="D35" s="1022"/>
      <c r="E35" s="384"/>
      <c r="F35" s="14"/>
      <c r="G35" s="287"/>
      <c r="H35" s="6"/>
      <c r="I35" s="6"/>
      <c r="J35" s="6"/>
      <c r="K35" s="6"/>
      <c r="L35" s="6"/>
      <c r="M35" s="6"/>
    </row>
    <row r="36" spans="1:13" ht="13.8">
      <c r="A36" s="419">
        <f>ROW()</f>
        <v>36</v>
      </c>
      <c r="B36" s="1022"/>
      <c r="C36" s="1022"/>
      <c r="D36" s="1022"/>
      <c r="E36" s="384"/>
      <c r="F36" s="14"/>
      <c r="G36" s="287"/>
      <c r="H36" s="6"/>
      <c r="I36" s="6"/>
      <c r="J36" s="6"/>
      <c r="K36" s="6"/>
      <c r="L36" s="6"/>
      <c r="M36" s="6"/>
    </row>
    <row r="37" spans="1:13" ht="13.8">
      <c r="A37" s="419">
        <f>ROW()</f>
        <v>37</v>
      </c>
      <c r="B37" s="1852"/>
      <c r="C37" s="1852"/>
      <c r="D37" s="1852"/>
      <c r="E37" s="384">
        <v>0</v>
      </c>
      <c r="F37" s="14"/>
      <c r="G37" s="287"/>
      <c r="H37" s="6"/>
      <c r="I37" s="6"/>
      <c r="J37" s="6"/>
      <c r="K37" s="6"/>
      <c r="L37" s="6"/>
      <c r="M37" s="6"/>
    </row>
    <row r="38" spans="1:13" ht="13.8">
      <c r="A38" s="419">
        <f>ROW()</f>
        <v>38</v>
      </c>
      <c r="B38" s="976" t="s">
        <v>347</v>
      </c>
      <c r="C38" s="976"/>
      <c r="D38" s="977"/>
      <c r="E38" s="978" t="s">
        <v>348</v>
      </c>
      <c r="F38" s="15"/>
      <c r="G38" s="6"/>
      <c r="H38" s="6"/>
      <c r="I38" s="6"/>
      <c r="J38" s="6"/>
      <c r="K38" s="6"/>
      <c r="L38" s="6"/>
      <c r="M38" s="6"/>
    </row>
    <row r="39" spans="1:13" ht="13.8">
      <c r="A39" s="419">
        <f>ROW()</f>
        <v>39</v>
      </c>
      <c r="B39" s="1075" t="s">
        <v>104</v>
      </c>
      <c r="C39" s="1075"/>
      <c r="D39" s="1076"/>
      <c r="E39" s="1077" t="e">
        <f>+#REF!-E38</f>
        <v>#REF!</v>
      </c>
      <c r="F39" s="15"/>
      <c r="G39" s="6"/>
      <c r="H39" s="6"/>
      <c r="I39" s="6"/>
      <c r="J39" s="6"/>
      <c r="K39" s="6"/>
      <c r="L39" s="6"/>
      <c r="M39" s="6"/>
    </row>
    <row r="40" spans="1:13" ht="13.8">
      <c r="A40" s="419">
        <f>ROW()</f>
        <v>40</v>
      </c>
      <c r="B40" s="10" t="s">
        <v>349</v>
      </c>
      <c r="C40" s="17"/>
      <c r="D40" s="17"/>
      <c r="E40" s="17"/>
      <c r="F40" s="17"/>
      <c r="G40" s="6"/>
      <c r="H40" s="6"/>
      <c r="I40" s="6"/>
      <c r="J40" s="6"/>
      <c r="K40" s="6"/>
      <c r="L40" s="6"/>
      <c r="M40" s="6"/>
    </row>
    <row r="41" spans="1:13">
      <c r="A41" s="6"/>
      <c r="C41" s="6"/>
      <c r="D41" s="6"/>
      <c r="E41" s="6"/>
      <c r="F41" s="6"/>
      <c r="G41" s="6"/>
      <c r="H41" s="6"/>
      <c r="I41" s="6"/>
      <c r="J41" s="6"/>
      <c r="K41" s="6"/>
      <c r="L41" s="6"/>
      <c r="M41" s="6"/>
    </row>
    <row r="42" spans="1:13">
      <c r="A42" s="6"/>
      <c r="B42" s="6"/>
      <c r="C42" s="6"/>
      <c r="D42" s="6"/>
      <c r="E42" s="6"/>
      <c r="F42" s="6"/>
      <c r="G42" s="6"/>
      <c r="H42" s="6"/>
      <c r="I42" s="6"/>
      <c r="J42" s="6"/>
      <c r="K42" s="6"/>
      <c r="L42" s="6"/>
      <c r="M42" s="6"/>
    </row>
    <row r="43" spans="1:13">
      <c r="A43" s="6"/>
      <c r="B43" s="6"/>
      <c r="C43" s="6"/>
      <c r="D43" s="6"/>
      <c r="E43" s="6"/>
      <c r="F43" s="6"/>
      <c r="G43" s="6"/>
      <c r="H43" s="6"/>
      <c r="I43" s="6"/>
      <c r="J43" s="6"/>
      <c r="K43" s="6"/>
      <c r="L43" s="6"/>
      <c r="M43" s="6"/>
    </row>
    <row r="44" spans="1:13">
      <c r="A44" s="6"/>
      <c r="B44" s="6"/>
      <c r="C44" s="6"/>
      <c r="D44" s="6"/>
      <c r="E44" s="6"/>
      <c r="F44" s="6"/>
      <c r="G44" s="6"/>
      <c r="H44" s="6"/>
      <c r="I44" s="6"/>
      <c r="J44" s="6"/>
      <c r="K44" s="6"/>
      <c r="L44" s="6"/>
      <c r="M44" s="6"/>
    </row>
    <row r="45" spans="1:13">
      <c r="A45" s="6"/>
      <c r="B45" s="6"/>
      <c r="C45" s="6"/>
      <c r="D45" s="6"/>
      <c r="E45" s="6"/>
      <c r="F45" s="6"/>
      <c r="G45" s="6"/>
      <c r="H45" s="6"/>
      <c r="I45" s="6"/>
      <c r="J45" s="6"/>
      <c r="K45" s="6"/>
      <c r="L45" s="6"/>
      <c r="M45" s="6"/>
    </row>
    <row r="46" spans="1:13">
      <c r="A46" s="6"/>
      <c r="B46" s="6"/>
      <c r="C46" s="6"/>
      <c r="D46" s="6"/>
      <c r="E46" s="6"/>
      <c r="F46" s="6"/>
      <c r="G46" s="6"/>
      <c r="H46" s="6"/>
      <c r="I46" s="6"/>
      <c r="J46" s="6"/>
      <c r="K46" s="6"/>
      <c r="L46" s="6"/>
      <c r="M46" s="6"/>
    </row>
    <row r="47" spans="1:13">
      <c r="A47" s="6"/>
      <c r="B47" s="6"/>
      <c r="C47" s="6"/>
      <c r="D47" s="6"/>
      <c r="E47" s="6"/>
      <c r="F47" s="6"/>
      <c r="G47" s="6"/>
      <c r="H47" s="6"/>
      <c r="I47" s="6"/>
      <c r="J47" s="6"/>
      <c r="K47" s="6"/>
      <c r="L47" s="6"/>
      <c r="M47" s="6"/>
    </row>
    <row r="48" spans="1:13">
      <c r="A48" s="6"/>
      <c r="B48" s="6"/>
      <c r="C48" s="6"/>
      <c r="D48" s="6"/>
      <c r="E48" s="6"/>
      <c r="F48" s="6"/>
      <c r="G48" s="6"/>
      <c r="H48" s="6"/>
      <c r="I48" s="6"/>
      <c r="J48" s="6"/>
      <c r="K48" s="6"/>
      <c r="L48" s="6"/>
      <c r="M48" s="6"/>
    </row>
    <row r="49" spans="1:13">
      <c r="A49" s="6"/>
      <c r="B49" s="6"/>
      <c r="C49" s="6"/>
      <c r="D49" s="6"/>
      <c r="E49" s="6"/>
      <c r="F49" s="6"/>
      <c r="G49" s="6"/>
      <c r="H49" s="6"/>
      <c r="I49" s="6"/>
      <c r="J49" s="6"/>
      <c r="K49" s="6"/>
      <c r="L49" s="6"/>
      <c r="M49" s="6"/>
    </row>
    <row r="50" spans="1:13">
      <c r="A50" s="6"/>
      <c r="B50" s="6"/>
      <c r="C50" s="6"/>
      <c r="D50" s="6"/>
      <c r="E50" s="6"/>
      <c r="F50" s="6"/>
      <c r="G50" s="6"/>
      <c r="H50" s="6"/>
      <c r="I50" s="6"/>
      <c r="J50" s="6"/>
      <c r="K50" s="6"/>
      <c r="L50" s="6"/>
      <c r="M50" s="6"/>
    </row>
    <row r="51" spans="1:13">
      <c r="A51" s="6"/>
      <c r="B51" s="6"/>
      <c r="C51" s="6"/>
      <c r="D51" s="6"/>
      <c r="E51" s="6"/>
      <c r="F51" s="6"/>
      <c r="G51" s="6"/>
      <c r="H51" s="6"/>
      <c r="I51" s="6"/>
      <c r="J51" s="6"/>
      <c r="K51" s="6"/>
      <c r="L51" s="6"/>
      <c r="M51" s="6"/>
    </row>
    <row r="52" spans="1:13">
      <c r="A52" s="6"/>
      <c r="B52" s="6"/>
      <c r="C52" s="6"/>
      <c r="D52" s="6"/>
      <c r="E52" s="6"/>
      <c r="F52" s="6"/>
      <c r="G52" s="6"/>
      <c r="H52" s="6"/>
      <c r="I52" s="6"/>
      <c r="J52" s="6"/>
      <c r="K52" s="6"/>
      <c r="L52" s="6"/>
      <c r="M52" s="6"/>
    </row>
    <row r="53" spans="1:13">
      <c r="A53" s="6"/>
      <c r="B53" s="6"/>
      <c r="C53" s="6"/>
      <c r="D53" s="6"/>
      <c r="E53" s="6"/>
      <c r="F53" s="6"/>
      <c r="G53" s="6"/>
      <c r="H53" s="6"/>
      <c r="I53" s="6"/>
      <c r="J53" s="6"/>
      <c r="K53" s="6"/>
      <c r="L53" s="6"/>
      <c r="M53" s="6"/>
    </row>
    <row r="54" spans="1:13">
      <c r="A54" s="6"/>
      <c r="B54" s="6"/>
      <c r="C54" s="6"/>
      <c r="D54" s="6"/>
      <c r="E54" s="6"/>
      <c r="F54" s="6"/>
      <c r="G54" s="6"/>
      <c r="H54" s="6"/>
      <c r="I54" s="6"/>
      <c r="J54" s="6"/>
      <c r="K54" s="6"/>
      <c r="L54" s="6"/>
      <c r="M54" s="6"/>
    </row>
    <row r="55" spans="1:13">
      <c r="A55" s="6"/>
      <c r="B55" s="6"/>
      <c r="C55" s="6"/>
      <c r="D55" s="6"/>
      <c r="E55" s="6"/>
      <c r="F55" s="6"/>
      <c r="G55" s="6"/>
      <c r="H55" s="6"/>
      <c r="I55" s="6"/>
      <c r="J55" s="6"/>
      <c r="K55" s="6"/>
      <c r="L55" s="6"/>
      <c r="M55" s="6"/>
    </row>
    <row r="56" spans="1:13">
      <c r="A56" s="6"/>
      <c r="B56" s="6"/>
      <c r="C56" s="6"/>
      <c r="D56" s="6"/>
      <c r="E56" s="6"/>
      <c r="F56" s="6"/>
      <c r="G56" s="6"/>
      <c r="H56" s="6"/>
      <c r="I56" s="6"/>
      <c r="J56" s="6"/>
      <c r="K56" s="6"/>
      <c r="L56" s="6"/>
      <c r="M56" s="6"/>
    </row>
  </sheetData>
  <sheetProtection algorithmName="SHA-512" hashValue="pliDGErqz/3TB0wyJ2NwwkgjpbLzqBo1FclrTokcD5ipjYfWSp0TsXz6KLM82HqsY5UuGGMiEjhuynY+Aa5C+Q==" saltValue="HqLFRwRnLXqAgWbIrGGSrg==" spinCount="100000" sheet="1" objects="1" scenarios="1"/>
  <sortState xmlns:xlrd2="http://schemas.microsoft.com/office/spreadsheetml/2017/richdata2" ref="B11:E33">
    <sortCondition ref="B11:B33"/>
  </sortState>
  <mergeCells count="2">
    <mergeCell ref="B10:E10"/>
    <mergeCell ref="B37:D37"/>
  </mergeCells>
  <conditionalFormatting sqref="E1">
    <cfRule type="expression" dxfId="66" priority="1" stopIfTrue="1">
      <formula>MOD(ROW(),2)=0</formula>
    </cfRule>
  </conditionalFormatting>
  <dataValidations count="1">
    <dataValidation allowBlank="1" showInputMessage="1" showErrorMessage="1" prompt="You may change any of the job titles." sqref="B11:B37" xr:uid="{CA297FA6-D014-4B8C-86C0-9D870A4C04CF}"/>
  </dataValidations>
  <hyperlinks>
    <hyperlink ref="E1" location="HypLink1" display="HypLink1" xr:uid="{3B9F8843-EC44-42CC-8E63-A7EE7555C4BF}"/>
  </hyperlinks>
  <pageMargins left="0.25" right="0.25" top="0.5" bottom="0.45" header="0.25" footer="0.25"/>
  <pageSetup orientation="landscape" r:id="rId1"/>
  <headerFooter alignWithMargins="0">
    <oddHeader xml:space="preserve">&amp;L &amp;C &amp;R </oddHeader>
    <oddFooter>&amp;L&amp;7&amp;D  at &amp;T Mike 702.486.8879&amp;C&amp;7&amp;F  &amp;A&amp;R&amp;7Page &amp;P of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FF99"/>
    <pageSetUpPr fitToPage="1"/>
  </sheetPr>
  <dimension ref="A1:AO136"/>
  <sheetViews>
    <sheetView tabSelected="1" topLeftCell="A32" zoomScale="80" zoomScaleNormal="80" workbookViewId="0">
      <selection activeCell="U68" sqref="U68"/>
    </sheetView>
  </sheetViews>
  <sheetFormatPr defaultColWidth="9.33203125" defaultRowHeight="13.8"/>
  <cols>
    <col min="1" max="1" width="4.6640625" style="32" customWidth="1"/>
    <col min="2" max="2" width="28.6640625" style="32" customWidth="1"/>
    <col min="3" max="3" width="12.33203125" style="32" customWidth="1"/>
    <col min="4" max="4" width="11.5546875" style="32" customWidth="1"/>
    <col min="5" max="6" width="13.6640625" style="32" customWidth="1"/>
    <col min="7" max="7" width="14.33203125" style="32" customWidth="1"/>
    <col min="8" max="8" width="14" style="32" customWidth="1"/>
    <col min="9" max="15" width="12.6640625" style="32" customWidth="1"/>
    <col min="16" max="17" width="13.33203125" style="32" customWidth="1"/>
    <col min="18" max="18" width="14.44140625" style="32" customWidth="1"/>
    <col min="19" max="19" width="2.44140625" style="32" customWidth="1"/>
    <col min="20" max="20" width="3.6640625" style="32" customWidth="1"/>
    <col min="21" max="21" width="58.6640625" style="257" customWidth="1"/>
    <col min="22" max="22" width="9.33203125" style="32"/>
    <col min="23" max="41" width="4" style="32" customWidth="1"/>
    <col min="42" max="16384" width="9.33203125" style="32"/>
  </cols>
  <sheetData>
    <row r="1" spans="1:41" ht="15.6">
      <c r="A1" s="1634" t="s">
        <v>350</v>
      </c>
      <c r="B1" s="1634"/>
      <c r="C1" s="1635"/>
      <c r="D1" s="347"/>
      <c r="F1" s="74"/>
      <c r="G1" s="74"/>
      <c r="H1" s="74"/>
      <c r="I1" s="74"/>
      <c r="J1" s="74"/>
      <c r="K1" s="74"/>
      <c r="L1" s="74"/>
      <c r="P1" s="34"/>
      <c r="Q1" s="34"/>
      <c r="W1" s="48"/>
      <c r="X1" s="48"/>
      <c r="Y1" s="48"/>
      <c r="Z1" s="48"/>
      <c r="AA1" s="48"/>
      <c r="AB1" s="48"/>
      <c r="AC1" s="48"/>
      <c r="AD1" s="48"/>
      <c r="AE1" s="48"/>
      <c r="AF1" s="48"/>
      <c r="AG1" s="48"/>
      <c r="AH1" s="48"/>
      <c r="AI1" s="48"/>
      <c r="AJ1" s="48"/>
      <c r="AK1" s="48"/>
      <c r="AL1" s="48"/>
      <c r="AM1" s="48"/>
      <c r="AN1" s="48"/>
      <c r="AO1" s="48"/>
    </row>
    <row r="2" spans="1:41" ht="15.6">
      <c r="A2" s="35" t="str">
        <f>SchoolName</f>
        <v>Pahrump Valley Academy</v>
      </c>
      <c r="B2" s="35"/>
      <c r="C2" s="35"/>
      <c r="F2" s="74"/>
      <c r="G2" s="74"/>
      <c r="H2" s="74"/>
      <c r="I2" s="74"/>
      <c r="J2" s="74"/>
      <c r="K2" s="74"/>
      <c r="L2" s="74"/>
      <c r="W2" s="48"/>
      <c r="X2" s="48"/>
      <c r="Y2" s="48"/>
      <c r="Z2" s="48"/>
      <c r="AA2" s="48"/>
      <c r="AB2" s="48"/>
      <c r="AC2" s="48"/>
      <c r="AD2" s="48"/>
      <c r="AE2" s="48"/>
      <c r="AF2" s="48"/>
      <c r="AG2" s="48"/>
      <c r="AH2" s="48"/>
      <c r="AI2" s="48"/>
      <c r="AJ2" s="48"/>
      <c r="AK2" s="48"/>
      <c r="AL2" s="48"/>
      <c r="AM2" s="48"/>
      <c r="AN2" s="48"/>
      <c r="AO2" s="48"/>
    </row>
    <row r="3" spans="1:41">
      <c r="A3" s="37"/>
      <c r="B3" s="37"/>
      <c r="C3" s="37"/>
      <c r="D3" s="37"/>
      <c r="L3" s="74"/>
      <c r="W3" s="48"/>
      <c r="X3" s="48"/>
      <c r="Y3" s="48"/>
      <c r="Z3" s="48"/>
      <c r="AA3" s="48"/>
      <c r="AB3" s="48"/>
      <c r="AC3" s="48"/>
      <c r="AD3" s="48"/>
      <c r="AE3" s="48"/>
      <c r="AF3" s="48"/>
      <c r="AG3" s="48"/>
      <c r="AH3" s="48"/>
      <c r="AI3" s="48"/>
      <c r="AJ3" s="48"/>
      <c r="AK3" s="48"/>
      <c r="AL3" s="48"/>
      <c r="AM3" s="48"/>
      <c r="AN3" s="48"/>
      <c r="AO3" s="48"/>
    </row>
    <row r="4" spans="1:41">
      <c r="A4" s="38"/>
      <c r="B4" s="38"/>
      <c r="C4" s="38"/>
      <c r="D4" s="38"/>
      <c r="L4" s="74"/>
      <c r="W4" s="48"/>
      <c r="X4" s="48"/>
      <c r="Y4" s="48"/>
      <c r="Z4" s="48"/>
      <c r="AA4" s="48"/>
      <c r="AB4" s="48"/>
      <c r="AC4" s="48"/>
      <c r="AD4" s="48"/>
      <c r="AE4" s="48"/>
      <c r="AF4" s="48"/>
      <c r="AG4" s="48"/>
      <c r="AH4" s="48"/>
      <c r="AI4" s="48"/>
      <c r="AJ4" s="48"/>
      <c r="AK4" s="48"/>
      <c r="AL4" s="48"/>
      <c r="AM4" s="48"/>
      <c r="AN4" s="48"/>
      <c r="AO4" s="48"/>
    </row>
    <row r="5" spans="1:41">
      <c r="A5" s="29"/>
      <c r="B5" s="29"/>
      <c r="C5" s="29"/>
      <c r="D5" s="29"/>
      <c r="L5" s="74"/>
      <c r="W5" s="48"/>
      <c r="X5" s="48"/>
      <c r="Y5" s="48"/>
      <c r="Z5" s="48"/>
      <c r="AA5" s="48"/>
      <c r="AB5" s="48"/>
      <c r="AC5" s="48"/>
      <c r="AD5" s="48"/>
      <c r="AE5" s="48"/>
      <c r="AF5" s="48"/>
      <c r="AG5" s="48"/>
      <c r="AH5" s="48"/>
      <c r="AI5" s="48"/>
      <c r="AJ5" s="48"/>
      <c r="AK5" s="48"/>
      <c r="AL5" s="48"/>
      <c r="AM5" s="48"/>
      <c r="AN5" s="48"/>
      <c r="AO5" s="48"/>
    </row>
    <row r="6" spans="1:41">
      <c r="W6" s="48"/>
      <c r="X6" s="48"/>
      <c r="Y6" s="48"/>
      <c r="Z6" s="48"/>
      <c r="AA6" s="48"/>
      <c r="AB6" s="48"/>
      <c r="AC6" s="48"/>
      <c r="AD6" s="48"/>
      <c r="AE6" s="48"/>
      <c r="AF6" s="48"/>
      <c r="AG6" s="48"/>
      <c r="AH6" s="48"/>
      <c r="AI6" s="48"/>
      <c r="AJ6" s="48"/>
      <c r="AK6" s="48"/>
      <c r="AL6" s="48"/>
      <c r="AM6" s="48"/>
      <c r="AN6" s="48"/>
      <c r="AO6" s="48"/>
    </row>
    <row r="7" spans="1:41" ht="17.399999999999999">
      <c r="B7" s="71" t="s">
        <v>351</v>
      </c>
      <c r="C7" s="189">
        <f>' Enrol &amp; Rev'!G10</f>
        <v>2026</v>
      </c>
      <c r="D7" s="71"/>
      <c r="F7" s="72" t="s">
        <v>352</v>
      </c>
      <c r="M7" s="11"/>
      <c r="N7" s="11"/>
      <c r="O7" s="11"/>
      <c r="P7" s="11"/>
      <c r="Q7" s="11"/>
      <c r="R7" s="11"/>
      <c r="W7" s="48"/>
      <c r="X7" s="48"/>
      <c r="Y7" s="48"/>
      <c r="Z7" s="48"/>
      <c r="AA7" s="48"/>
      <c r="AB7" s="48"/>
      <c r="AC7" s="48"/>
      <c r="AD7" s="48"/>
      <c r="AE7" s="48"/>
      <c r="AF7" s="48"/>
      <c r="AG7" s="48"/>
      <c r="AH7" s="48"/>
      <c r="AI7" s="48"/>
      <c r="AJ7" s="48"/>
      <c r="AK7" s="48"/>
      <c r="AL7" s="48"/>
      <c r="AM7" s="48"/>
      <c r="AN7" s="48"/>
      <c r="AO7" s="48"/>
    </row>
    <row r="8" spans="1:41" ht="14.4">
      <c r="B8" s="73" t="s">
        <v>353</v>
      </c>
      <c r="C8" s="189">
        <f>' Enrol &amp; Rev'!G11</f>
        <v>2027</v>
      </c>
      <c r="D8" s="73"/>
      <c r="F8" s="154"/>
      <c r="G8" s="75"/>
      <c r="L8" s="75"/>
      <c r="M8" s="75"/>
      <c r="N8" s="75"/>
      <c r="O8" s="75"/>
      <c r="P8" s="75"/>
      <c r="Q8" s="75"/>
      <c r="R8" s="75"/>
      <c r="W8" s="48"/>
      <c r="X8" s="48"/>
      <c r="Y8" s="48"/>
      <c r="Z8" s="48"/>
      <c r="AA8" s="48"/>
      <c r="AB8" s="48"/>
      <c r="AC8" s="48"/>
      <c r="AD8" s="48"/>
      <c r="AE8" s="48"/>
      <c r="AF8" s="48"/>
      <c r="AG8" s="48"/>
      <c r="AH8" s="48"/>
      <c r="AI8" s="48"/>
      <c r="AJ8" s="48"/>
      <c r="AK8" s="48"/>
      <c r="AL8" s="48"/>
      <c r="AM8" s="48"/>
      <c r="AN8" s="48"/>
      <c r="AO8" s="48"/>
    </row>
    <row r="9" spans="1:41">
      <c r="B9" s="73" t="s">
        <v>354</v>
      </c>
      <c r="C9" s="204">
        <v>1.2500000000000001E-2</v>
      </c>
      <c r="D9" s="73"/>
      <c r="E9" s="1553"/>
      <c r="F9" s="1376">
        <v>1</v>
      </c>
      <c r="G9" s="1377">
        <f>1+F9</f>
        <v>2</v>
      </c>
      <c r="H9" s="1377">
        <f t="shared" ref="H9:Q9" si="0">1+G9</f>
        <v>3</v>
      </c>
      <c r="I9" s="1377">
        <f t="shared" si="0"/>
        <v>4</v>
      </c>
      <c r="J9" s="1377">
        <f t="shared" si="0"/>
        <v>5</v>
      </c>
      <c r="K9" s="1377">
        <f t="shared" si="0"/>
        <v>6</v>
      </c>
      <c r="L9" s="1377">
        <f t="shared" si="0"/>
        <v>7</v>
      </c>
      <c r="M9" s="1377">
        <f t="shared" si="0"/>
        <v>8</v>
      </c>
      <c r="N9" s="1377">
        <f t="shared" si="0"/>
        <v>9</v>
      </c>
      <c r="O9" s="1377">
        <f t="shared" si="0"/>
        <v>10</v>
      </c>
      <c r="P9" s="1377">
        <f t="shared" si="0"/>
        <v>11</v>
      </c>
      <c r="Q9" s="1377">
        <f t="shared" si="0"/>
        <v>12</v>
      </c>
      <c r="R9" s="1378" t="s">
        <v>1169</v>
      </c>
      <c r="W9" s="48"/>
      <c r="X9" s="48"/>
      <c r="Y9" s="48"/>
      <c r="Z9" s="48"/>
      <c r="AA9" s="48"/>
      <c r="AB9" s="48"/>
      <c r="AC9" s="48"/>
      <c r="AD9" s="48"/>
      <c r="AE9" s="48"/>
      <c r="AF9" s="48"/>
      <c r="AG9" s="48"/>
      <c r="AH9" s="48"/>
      <c r="AI9" s="48"/>
      <c r="AJ9" s="48"/>
      <c r="AK9" s="48"/>
      <c r="AL9" s="48"/>
      <c r="AM9" s="48"/>
      <c r="AN9" s="48"/>
      <c r="AO9" s="48"/>
    </row>
    <row r="10" spans="1:41">
      <c r="B10" s="74"/>
      <c r="C10" s="74"/>
      <c r="D10" s="74"/>
      <c r="E10" s="1554"/>
      <c r="F10" s="1379"/>
      <c r="G10" s="1380"/>
      <c r="H10" s="1536" t="s">
        <v>355</v>
      </c>
      <c r="I10" s="1380"/>
      <c r="J10" s="1381"/>
      <c r="K10" s="1536" t="s">
        <v>355</v>
      </c>
      <c r="L10" s="1381"/>
      <c r="M10" s="1381"/>
      <c r="N10" s="1536" t="s">
        <v>355</v>
      </c>
      <c r="O10" s="1381"/>
      <c r="P10" s="1381"/>
      <c r="Q10" s="1536" t="s">
        <v>355</v>
      </c>
      <c r="R10" s="1382"/>
      <c r="W10" s="48"/>
      <c r="X10" s="48"/>
      <c r="Y10" s="48"/>
      <c r="Z10" s="48"/>
      <c r="AA10" s="48"/>
      <c r="AB10" s="48"/>
      <c r="AC10" s="48"/>
      <c r="AD10" s="48"/>
      <c r="AE10" s="48"/>
      <c r="AF10" s="48"/>
      <c r="AG10" s="48"/>
      <c r="AH10" s="48"/>
      <c r="AI10" s="48"/>
      <c r="AJ10" s="48"/>
      <c r="AK10" s="48"/>
      <c r="AL10" s="48"/>
      <c r="AM10" s="48"/>
      <c r="AN10" s="48"/>
      <c r="AO10" s="48"/>
    </row>
    <row r="11" spans="1:41" ht="15" customHeight="1">
      <c r="C11" s="1003"/>
      <c r="D11" s="1003"/>
      <c r="E11" s="1555" t="s">
        <v>356</v>
      </c>
      <c r="F11" s="1532" t="s">
        <v>357</v>
      </c>
      <c r="G11" s="1532" t="s">
        <v>357</v>
      </c>
      <c r="H11" s="1532" t="s">
        <v>357</v>
      </c>
      <c r="I11" s="1532" t="s">
        <v>357</v>
      </c>
      <c r="J11" s="1532" t="s">
        <v>357</v>
      </c>
      <c r="K11" s="1532" t="s">
        <v>357</v>
      </c>
      <c r="L11" s="1532" t="s">
        <v>357</v>
      </c>
      <c r="M11" s="1532" t="s">
        <v>357</v>
      </c>
      <c r="N11" s="1532" t="s">
        <v>357</v>
      </c>
      <c r="O11" s="1532" t="s">
        <v>357</v>
      </c>
      <c r="P11" s="1532" t="s">
        <v>357</v>
      </c>
      <c r="Q11" s="1532" t="s">
        <v>357</v>
      </c>
      <c r="R11" s="1533" t="s">
        <v>357</v>
      </c>
      <c r="W11" s="48"/>
      <c r="X11" s="48"/>
      <c r="Y11" s="48"/>
      <c r="Z11" s="48"/>
      <c r="AA11" s="48"/>
      <c r="AB11" s="48"/>
      <c r="AC11" s="48"/>
      <c r="AD11" s="48"/>
      <c r="AE11" s="48"/>
      <c r="AF11" s="48"/>
      <c r="AG11" s="48"/>
      <c r="AH11" s="48"/>
      <c r="AI11" s="48"/>
      <c r="AJ11" s="48"/>
      <c r="AK11" s="48"/>
      <c r="AL11" s="48"/>
      <c r="AM11" s="48"/>
      <c r="AN11" s="48"/>
      <c r="AO11" s="48"/>
    </row>
    <row r="12" spans="1:41">
      <c r="B12" s="12"/>
      <c r="C12" s="1003"/>
      <c r="D12" s="1004"/>
      <c r="E12" s="1556">
        <f>+C8</f>
        <v>2027</v>
      </c>
      <c r="F12" s="1534">
        <v>44378</v>
      </c>
      <c r="G12" s="1534">
        <v>44409</v>
      </c>
      <c r="H12" s="1534">
        <v>44440</v>
      </c>
      <c r="I12" s="1534">
        <v>44470</v>
      </c>
      <c r="J12" s="1534">
        <v>44501</v>
      </c>
      <c r="K12" s="1534">
        <v>44531</v>
      </c>
      <c r="L12" s="1534">
        <v>44197</v>
      </c>
      <c r="M12" s="1534">
        <v>44228</v>
      </c>
      <c r="N12" s="1534">
        <v>44256</v>
      </c>
      <c r="O12" s="1534">
        <v>44287</v>
      </c>
      <c r="P12" s="1534">
        <v>44317</v>
      </c>
      <c r="Q12" s="1534">
        <v>44348</v>
      </c>
      <c r="R12" s="1535">
        <v>44378</v>
      </c>
      <c r="U12" s="1033"/>
      <c r="W12" s="48"/>
      <c r="X12" s="48"/>
      <c r="Y12" s="48"/>
      <c r="Z12" s="48"/>
      <c r="AA12" s="48"/>
      <c r="AB12" s="48"/>
      <c r="AC12" s="48"/>
      <c r="AD12" s="48"/>
      <c r="AE12" s="48"/>
      <c r="AF12" s="48"/>
      <c r="AG12" s="48"/>
      <c r="AH12" s="48"/>
      <c r="AI12" s="48"/>
      <c r="AJ12" s="48"/>
      <c r="AK12" s="48"/>
      <c r="AL12" s="48"/>
      <c r="AM12" s="48"/>
      <c r="AN12" s="48"/>
      <c r="AO12" s="48"/>
    </row>
    <row r="13" spans="1:41">
      <c r="B13" s="12"/>
      <c r="C13" s="1003"/>
      <c r="D13" s="1004"/>
      <c r="E13" s="1557" t="s">
        <v>359</v>
      </c>
      <c r="F13" s="1005">
        <v>7</v>
      </c>
      <c r="G13" s="1005">
        <f>+F13+1</f>
        <v>8</v>
      </c>
      <c r="H13" s="1005">
        <f>+G13+1</f>
        <v>9</v>
      </c>
      <c r="I13" s="1005">
        <f>+H13+1</f>
        <v>10</v>
      </c>
      <c r="J13" s="1005">
        <f>+I13+1</f>
        <v>11</v>
      </c>
      <c r="K13" s="1005">
        <f>+J13+1</f>
        <v>12</v>
      </c>
      <c r="L13" s="1005">
        <v>1</v>
      </c>
      <c r="M13" s="1005">
        <f t="shared" ref="M13:R13" si="1">+L13+1</f>
        <v>2</v>
      </c>
      <c r="N13" s="1005">
        <f t="shared" si="1"/>
        <v>3</v>
      </c>
      <c r="O13" s="1005">
        <f t="shared" si="1"/>
        <v>4</v>
      </c>
      <c r="P13" s="1005">
        <f t="shared" si="1"/>
        <v>5</v>
      </c>
      <c r="Q13" s="1005">
        <f t="shared" si="1"/>
        <v>6</v>
      </c>
      <c r="R13" s="1558">
        <f t="shared" si="1"/>
        <v>7</v>
      </c>
      <c r="U13" s="1033"/>
      <c r="W13" s="48"/>
      <c r="X13" s="48"/>
      <c r="Y13" s="48"/>
      <c r="Z13" s="48"/>
      <c r="AA13" s="48"/>
      <c r="AB13" s="48"/>
      <c r="AC13" s="48"/>
      <c r="AD13" s="48"/>
      <c r="AE13" s="48"/>
      <c r="AF13" s="48"/>
      <c r="AG13" s="48"/>
      <c r="AH13" s="48"/>
      <c r="AI13" s="48"/>
      <c r="AJ13" s="48"/>
      <c r="AK13" s="48"/>
      <c r="AL13" s="48"/>
      <c r="AM13" s="48"/>
      <c r="AN13" s="48"/>
      <c r="AO13" s="48"/>
    </row>
    <row r="14" spans="1:41">
      <c r="B14" s="12"/>
      <c r="C14" s="1003"/>
      <c r="D14" s="1004"/>
      <c r="E14" s="1557" t="s">
        <v>360</v>
      </c>
      <c r="F14" s="1006">
        <f t="shared" ref="F14:K14" si="2">DATE($E$12-1,F13,1)</f>
        <v>46204</v>
      </c>
      <c r="G14" s="1006">
        <f t="shared" si="2"/>
        <v>46235</v>
      </c>
      <c r="H14" s="1006">
        <f t="shared" si="2"/>
        <v>46266</v>
      </c>
      <c r="I14" s="1006">
        <f t="shared" si="2"/>
        <v>46296</v>
      </c>
      <c r="J14" s="1006">
        <f t="shared" si="2"/>
        <v>46327</v>
      </c>
      <c r="K14" s="1006">
        <f t="shared" si="2"/>
        <v>46357</v>
      </c>
      <c r="L14" s="1006">
        <f t="shared" ref="L14:R14" si="3">DATE($E$12,L13,1)</f>
        <v>46388</v>
      </c>
      <c r="M14" s="1006">
        <f t="shared" si="3"/>
        <v>46419</v>
      </c>
      <c r="N14" s="1006">
        <f t="shared" si="3"/>
        <v>46447</v>
      </c>
      <c r="O14" s="1006">
        <f t="shared" si="3"/>
        <v>46478</v>
      </c>
      <c r="P14" s="1006">
        <f t="shared" si="3"/>
        <v>46508</v>
      </c>
      <c r="Q14" s="1006">
        <f t="shared" ref="Q14" si="4">DATE($E$12,Q13,1)</f>
        <v>46539</v>
      </c>
      <c r="R14" s="1559">
        <f t="shared" si="3"/>
        <v>46569</v>
      </c>
      <c r="U14" s="1033"/>
      <c r="W14" s="48"/>
      <c r="X14" s="48"/>
      <c r="Y14" s="48"/>
      <c r="Z14" s="48"/>
      <c r="AA14" s="48"/>
      <c r="AB14" s="48"/>
      <c r="AC14" s="48"/>
      <c r="AD14" s="48"/>
      <c r="AE14" s="48"/>
      <c r="AF14" s="48"/>
      <c r="AG14" s="48"/>
      <c r="AH14" s="48"/>
      <c r="AI14" s="48"/>
      <c r="AJ14" s="48"/>
      <c r="AK14" s="48"/>
      <c r="AL14" s="48"/>
      <c r="AM14" s="48"/>
      <c r="AN14" s="48"/>
      <c r="AO14" s="48"/>
    </row>
    <row r="15" spans="1:41">
      <c r="B15" s="12"/>
      <c r="C15" s="1003"/>
      <c r="D15" s="1004"/>
      <c r="E15" s="1560" t="s">
        <v>361</v>
      </c>
      <c r="F15" s="1561">
        <f t="shared" ref="F15:Q15" si="5">+G14-F14</f>
        <v>31</v>
      </c>
      <c r="G15" s="1561">
        <f t="shared" si="5"/>
        <v>31</v>
      </c>
      <c r="H15" s="1561">
        <f t="shared" si="5"/>
        <v>30</v>
      </c>
      <c r="I15" s="1561">
        <f t="shared" si="5"/>
        <v>31</v>
      </c>
      <c r="J15" s="1561">
        <f t="shared" si="5"/>
        <v>30</v>
      </c>
      <c r="K15" s="1561">
        <f t="shared" si="5"/>
        <v>31</v>
      </c>
      <c r="L15" s="1561">
        <f t="shared" si="5"/>
        <v>31</v>
      </c>
      <c r="M15" s="1561">
        <f t="shared" si="5"/>
        <v>28</v>
      </c>
      <c r="N15" s="1561">
        <f t="shared" si="5"/>
        <v>31</v>
      </c>
      <c r="O15" s="1561">
        <f t="shared" si="5"/>
        <v>30</v>
      </c>
      <c r="P15" s="1561">
        <f t="shared" si="5"/>
        <v>31</v>
      </c>
      <c r="Q15" s="1561">
        <f t="shared" si="5"/>
        <v>30</v>
      </c>
      <c r="R15" s="1562">
        <f>DATE($E$12,7,1)-R14</f>
        <v>0</v>
      </c>
      <c r="U15" s="1033"/>
      <c r="W15" s="48"/>
      <c r="X15" s="48"/>
      <c r="Y15" s="48"/>
      <c r="Z15" s="48"/>
      <c r="AA15" s="48"/>
      <c r="AB15" s="48"/>
      <c r="AC15" s="48"/>
      <c r="AD15" s="48"/>
      <c r="AE15" s="48"/>
      <c r="AF15" s="48"/>
      <c r="AG15" s="48"/>
      <c r="AH15" s="48"/>
      <c r="AI15" s="48"/>
      <c r="AJ15" s="48"/>
      <c r="AK15" s="48"/>
      <c r="AL15" s="48"/>
      <c r="AM15" s="48"/>
      <c r="AN15" s="48"/>
      <c r="AO15" s="48"/>
    </row>
    <row r="16" spans="1:41" ht="15.6">
      <c r="B16" s="1542" t="s">
        <v>1240</v>
      </c>
      <c r="C16" s="1003"/>
      <c r="D16" s="1004"/>
      <c r="U16" s="1033"/>
      <c r="W16" s="48"/>
      <c r="X16" s="48"/>
      <c r="Y16" s="48"/>
      <c r="Z16" s="48"/>
      <c r="AA16" s="48"/>
      <c r="AB16" s="48"/>
      <c r="AC16" s="48"/>
      <c r="AD16" s="48"/>
      <c r="AE16" s="48"/>
      <c r="AF16" s="48"/>
      <c r="AG16" s="48"/>
      <c r="AH16" s="48"/>
      <c r="AI16" s="48"/>
      <c r="AJ16" s="48"/>
      <c r="AK16" s="48"/>
      <c r="AL16" s="48"/>
      <c r="AM16" s="48"/>
      <c r="AN16" s="48"/>
      <c r="AO16" s="48"/>
    </row>
    <row r="17" spans="1:41" ht="15.6">
      <c r="B17" s="1542"/>
      <c r="C17" s="1595" t="s">
        <v>1264</v>
      </c>
      <c r="D17" s="1597" t="s">
        <v>358</v>
      </c>
      <c r="E17" s="1595" t="s">
        <v>1263</v>
      </c>
      <c r="U17" s="1033"/>
      <c r="W17" s="48"/>
      <c r="X17" s="48"/>
      <c r="Y17" s="48"/>
      <c r="Z17" s="48"/>
      <c r="AA17" s="48"/>
      <c r="AB17" s="48"/>
      <c r="AC17" s="48"/>
      <c r="AD17" s="48"/>
      <c r="AE17" s="48"/>
      <c r="AF17" s="48"/>
      <c r="AG17" s="48"/>
      <c r="AH17" s="48"/>
      <c r="AI17" s="48"/>
      <c r="AJ17" s="48"/>
      <c r="AK17" s="48"/>
      <c r="AL17" s="48"/>
      <c r="AM17" s="48"/>
      <c r="AN17" s="48"/>
      <c r="AO17" s="48"/>
    </row>
    <row r="18" spans="1:41">
      <c r="A18" s="290">
        <f>ROW()</f>
        <v>18</v>
      </c>
      <c r="B18" s="1530" t="s">
        <v>362</v>
      </c>
      <c r="C18" s="1596"/>
      <c r="D18" s="1596"/>
      <c r="E18" s="1596"/>
      <c r="F18" s="1583"/>
      <c r="G18" s="1531"/>
      <c r="H18" s="1531"/>
      <c r="I18" s="1531"/>
      <c r="J18" s="1531"/>
      <c r="K18" s="1531"/>
      <c r="L18" s="1531"/>
      <c r="M18" s="1531"/>
      <c r="N18" s="1531"/>
      <c r="O18" s="1531"/>
      <c r="P18" s="1531"/>
      <c r="Q18" s="1531"/>
      <c r="R18" s="1531"/>
      <c r="U18" s="1426" t="s">
        <v>1253</v>
      </c>
      <c r="W18" s="48"/>
      <c r="X18" s="48"/>
      <c r="Y18" s="48"/>
      <c r="Z18" s="48"/>
      <c r="AA18" s="48"/>
      <c r="AB18" s="48"/>
      <c r="AC18" s="48"/>
      <c r="AD18" s="48"/>
      <c r="AE18" s="48"/>
      <c r="AF18" s="48"/>
      <c r="AG18" s="48"/>
      <c r="AH18" s="48"/>
      <c r="AI18" s="48"/>
      <c r="AJ18" s="48"/>
      <c r="AK18" s="48"/>
      <c r="AL18" s="48"/>
      <c r="AM18" s="48"/>
      <c r="AN18" s="48"/>
      <c r="AO18" s="48"/>
    </row>
    <row r="19" spans="1:41">
      <c r="A19" s="290">
        <f>ROW()</f>
        <v>19</v>
      </c>
      <c r="B19" s="1580" t="s">
        <v>363</v>
      </c>
      <c r="C19" s="1591">
        <f>' Enrol &amp; Rev'!G119</f>
        <v>3163875</v>
      </c>
      <c r="D19" s="1591">
        <f>+C19-E19</f>
        <v>0</v>
      </c>
      <c r="E19" s="1591">
        <f>SUM(F19:R19)</f>
        <v>3163875</v>
      </c>
      <c r="F19" s="1584">
        <v>158193.75</v>
      </c>
      <c r="G19" s="687">
        <v>158193.75</v>
      </c>
      <c r="H19" s="687">
        <v>158193.75</v>
      </c>
      <c r="I19" s="686">
        <v>158193.75</v>
      </c>
      <c r="J19" s="687">
        <v>421850</v>
      </c>
      <c r="K19" s="687">
        <f t="shared" ref="K19:R19" si="6">$C$19/12</f>
        <v>263656.25</v>
      </c>
      <c r="L19" s="687">
        <f t="shared" si="6"/>
        <v>263656.25</v>
      </c>
      <c r="M19" s="687">
        <f t="shared" si="6"/>
        <v>263656.25</v>
      </c>
      <c r="N19" s="687">
        <f t="shared" si="6"/>
        <v>263656.25</v>
      </c>
      <c r="O19" s="687">
        <f t="shared" si="6"/>
        <v>263656.25</v>
      </c>
      <c r="P19" s="687">
        <f t="shared" si="6"/>
        <v>263656.25</v>
      </c>
      <c r="Q19" s="687">
        <f t="shared" si="6"/>
        <v>263656.25</v>
      </c>
      <c r="R19" s="687">
        <f t="shared" si="6"/>
        <v>263656.25</v>
      </c>
      <c r="S19" s="257"/>
      <c r="T19" s="257"/>
      <c r="U19" s="287"/>
      <c r="W19" s="48"/>
      <c r="X19" s="48"/>
      <c r="Y19" s="48"/>
      <c r="Z19" s="48"/>
      <c r="AA19" s="48"/>
      <c r="AB19" s="48"/>
      <c r="AC19" s="48"/>
      <c r="AD19" s="48"/>
      <c r="AE19" s="48"/>
      <c r="AF19" s="48"/>
      <c r="AG19" s="48"/>
      <c r="AH19" s="48"/>
      <c r="AI19" s="48"/>
      <c r="AJ19" s="48"/>
      <c r="AK19" s="48"/>
      <c r="AL19" s="48"/>
      <c r="AM19" s="48"/>
      <c r="AN19" s="48"/>
      <c r="AO19" s="48"/>
    </row>
    <row r="20" spans="1:41">
      <c r="A20" s="290">
        <f>ROW()</f>
        <v>20</v>
      </c>
      <c r="B20" s="1581" t="s">
        <v>364</v>
      </c>
      <c r="C20" s="1592">
        <f>' Enrol &amp; Rev'!G120</f>
        <v>-39548.4375</v>
      </c>
      <c r="D20" s="1592">
        <f t="shared" ref="D20:D36" si="7">+C20-E20</f>
        <v>0</v>
      </c>
      <c r="E20" s="1592">
        <f>SUM(F20:R20)</f>
        <v>-39548.4375</v>
      </c>
      <c r="F20" s="1585">
        <f t="shared" ref="F20:R20" si="8">-0.0125*F19</f>
        <v>-1977.421875</v>
      </c>
      <c r="G20" s="457">
        <f t="shared" si="8"/>
        <v>-1977.421875</v>
      </c>
      <c r="H20" s="457">
        <f t="shared" si="8"/>
        <v>-1977.421875</v>
      </c>
      <c r="I20" s="457">
        <f t="shared" si="8"/>
        <v>-1977.421875</v>
      </c>
      <c r="J20" s="457">
        <f t="shared" si="8"/>
        <v>-5273.125</v>
      </c>
      <c r="K20" s="457">
        <f t="shared" si="8"/>
        <v>-3295.703125</v>
      </c>
      <c r="L20" s="457">
        <f t="shared" si="8"/>
        <v>-3295.703125</v>
      </c>
      <c r="M20" s="457">
        <f t="shared" si="8"/>
        <v>-3295.703125</v>
      </c>
      <c r="N20" s="457">
        <f t="shared" si="8"/>
        <v>-3295.703125</v>
      </c>
      <c r="O20" s="457">
        <f t="shared" si="8"/>
        <v>-3295.703125</v>
      </c>
      <c r="P20" s="457">
        <f t="shared" si="8"/>
        <v>-3295.703125</v>
      </c>
      <c r="Q20" s="457">
        <f t="shared" si="8"/>
        <v>-3295.703125</v>
      </c>
      <c r="R20" s="457">
        <f t="shared" si="8"/>
        <v>-3295.703125</v>
      </c>
      <c r="S20" s="257"/>
      <c r="T20" s="257"/>
      <c r="U20" s="287"/>
      <c r="W20" s="48"/>
      <c r="X20" s="48"/>
      <c r="Y20" s="48"/>
      <c r="Z20" s="48"/>
      <c r="AA20" s="48"/>
      <c r="AB20" s="48"/>
      <c r="AC20" s="48"/>
      <c r="AD20" s="48"/>
      <c r="AE20" s="48"/>
      <c r="AF20" s="48"/>
      <c r="AG20" s="48"/>
      <c r="AH20" s="48"/>
      <c r="AI20" s="48"/>
      <c r="AJ20" s="48"/>
      <c r="AK20" s="48"/>
      <c r="AL20" s="48"/>
      <c r="AM20" s="48"/>
      <c r="AN20" s="48"/>
      <c r="AO20" s="48"/>
    </row>
    <row r="21" spans="1:41">
      <c r="A21" s="290">
        <f>ROW()</f>
        <v>21</v>
      </c>
      <c r="B21" s="1581" t="s">
        <v>83</v>
      </c>
      <c r="C21" s="1592">
        <f>' Enrol &amp; Rev'!G125</f>
        <v>26400</v>
      </c>
      <c r="D21" s="1592">
        <f t="shared" si="7"/>
        <v>0</v>
      </c>
      <c r="E21" s="1592">
        <f>SUM(F21:R21)</f>
        <v>26400</v>
      </c>
      <c r="F21" s="1586">
        <v>0</v>
      </c>
      <c r="G21" s="457">
        <f>$C$21/11</f>
        <v>2400</v>
      </c>
      <c r="H21" s="457">
        <f t="shared" ref="H21:Q21" si="9">$C$21/11</f>
        <v>2400</v>
      </c>
      <c r="I21" s="457">
        <f t="shared" si="9"/>
        <v>2400</v>
      </c>
      <c r="J21" s="457">
        <f t="shared" si="9"/>
        <v>2400</v>
      </c>
      <c r="K21" s="457">
        <f t="shared" si="9"/>
        <v>2400</v>
      </c>
      <c r="L21" s="457">
        <f t="shared" si="9"/>
        <v>2400</v>
      </c>
      <c r="M21" s="457">
        <f t="shared" si="9"/>
        <v>2400</v>
      </c>
      <c r="N21" s="457">
        <f t="shared" si="9"/>
        <v>2400</v>
      </c>
      <c r="O21" s="457">
        <f t="shared" si="9"/>
        <v>2400</v>
      </c>
      <c r="P21" s="457">
        <f t="shared" si="9"/>
        <v>2400</v>
      </c>
      <c r="Q21" s="457">
        <f t="shared" si="9"/>
        <v>2400</v>
      </c>
      <c r="R21" s="1253"/>
      <c r="S21" s="257"/>
      <c r="T21" s="257"/>
      <c r="U21" s="287"/>
      <c r="W21" s="48"/>
      <c r="X21" s="48"/>
      <c r="Y21" s="48"/>
      <c r="Z21" s="48"/>
      <c r="AA21" s="48"/>
      <c r="AB21" s="48"/>
      <c r="AC21" s="48"/>
      <c r="AD21" s="48"/>
      <c r="AE21" s="48"/>
      <c r="AF21" s="48"/>
      <c r="AG21" s="48"/>
      <c r="AH21" s="48"/>
      <c r="AI21" s="48"/>
      <c r="AJ21" s="48"/>
      <c r="AK21" s="48"/>
      <c r="AL21" s="48"/>
      <c r="AM21" s="48"/>
      <c r="AN21" s="48"/>
      <c r="AO21" s="48"/>
    </row>
    <row r="22" spans="1:41">
      <c r="A22" s="290">
        <f>ROW()</f>
        <v>22</v>
      </c>
      <c r="B22" s="1581" t="s">
        <v>84</v>
      </c>
      <c r="C22" s="1592">
        <f>' Enrol &amp; Rev'!G126</f>
        <v>5318.5</v>
      </c>
      <c r="D22" s="1592">
        <f t="shared" si="7"/>
        <v>0</v>
      </c>
      <c r="E22" s="1592">
        <f>SUM(F22:R22)</f>
        <v>5318.5</v>
      </c>
      <c r="F22" s="1586">
        <v>0</v>
      </c>
      <c r="G22" s="457">
        <f>$C$22/11</f>
        <v>483.5</v>
      </c>
      <c r="H22" s="457">
        <f t="shared" ref="H22:Q22" si="10">$C$22/11</f>
        <v>483.5</v>
      </c>
      <c r="I22" s="457">
        <f t="shared" si="10"/>
        <v>483.5</v>
      </c>
      <c r="J22" s="457">
        <f t="shared" si="10"/>
        <v>483.5</v>
      </c>
      <c r="K22" s="457">
        <f t="shared" si="10"/>
        <v>483.5</v>
      </c>
      <c r="L22" s="457">
        <f t="shared" si="10"/>
        <v>483.5</v>
      </c>
      <c r="M22" s="457">
        <f t="shared" si="10"/>
        <v>483.5</v>
      </c>
      <c r="N22" s="457">
        <f t="shared" si="10"/>
        <v>483.5</v>
      </c>
      <c r="O22" s="457">
        <f t="shared" si="10"/>
        <v>483.5</v>
      </c>
      <c r="P22" s="457">
        <f t="shared" si="10"/>
        <v>483.5</v>
      </c>
      <c r="Q22" s="457">
        <f t="shared" si="10"/>
        <v>483.5</v>
      </c>
      <c r="R22" s="1253"/>
      <c r="S22" s="257"/>
      <c r="T22" s="257"/>
      <c r="U22" s="287"/>
      <c r="W22" s="48"/>
      <c r="X22" s="48"/>
      <c r="Y22" s="48"/>
      <c r="Z22" s="48"/>
      <c r="AA22" s="48"/>
      <c r="AB22" s="48"/>
      <c r="AC22" s="48"/>
      <c r="AD22" s="48"/>
      <c r="AE22" s="48"/>
      <c r="AF22" s="48"/>
      <c r="AG22" s="48"/>
      <c r="AH22" s="48"/>
      <c r="AI22" s="48"/>
      <c r="AJ22" s="48"/>
      <c r="AK22" s="48"/>
      <c r="AL22" s="48"/>
      <c r="AM22" s="48"/>
      <c r="AN22" s="48"/>
      <c r="AO22" s="48"/>
    </row>
    <row r="23" spans="1:41">
      <c r="A23" s="290">
        <f>ROW()</f>
        <v>23</v>
      </c>
      <c r="B23" s="1581" t="s">
        <v>84</v>
      </c>
      <c r="C23" s="1592">
        <f>' Enrol &amp; Rev'!G127</f>
        <v>1100</v>
      </c>
      <c r="D23" s="1592">
        <f t="shared" ref="D23" si="11">+C23-E23</f>
        <v>0</v>
      </c>
      <c r="E23" s="1592">
        <f>SUM(F23:R23)</f>
        <v>1100</v>
      </c>
      <c r="F23" s="1586">
        <v>0</v>
      </c>
      <c r="G23" s="457">
        <f>$C$23/11</f>
        <v>100</v>
      </c>
      <c r="H23" s="457">
        <f t="shared" ref="H23:Q23" si="12">$C$23/11</f>
        <v>100</v>
      </c>
      <c r="I23" s="457">
        <f t="shared" si="12"/>
        <v>100</v>
      </c>
      <c r="J23" s="457">
        <f t="shared" si="12"/>
        <v>100</v>
      </c>
      <c r="K23" s="457">
        <f t="shared" si="12"/>
        <v>100</v>
      </c>
      <c r="L23" s="457">
        <f t="shared" si="12"/>
        <v>100</v>
      </c>
      <c r="M23" s="457">
        <f t="shared" si="12"/>
        <v>100</v>
      </c>
      <c r="N23" s="457">
        <f t="shared" si="12"/>
        <v>100</v>
      </c>
      <c r="O23" s="457">
        <f t="shared" si="12"/>
        <v>100</v>
      </c>
      <c r="P23" s="457">
        <f t="shared" si="12"/>
        <v>100</v>
      </c>
      <c r="Q23" s="457">
        <f t="shared" si="12"/>
        <v>100</v>
      </c>
      <c r="R23" s="1253"/>
      <c r="S23" s="257"/>
      <c r="T23" s="257"/>
      <c r="U23" s="287"/>
      <c r="W23" s="48"/>
      <c r="X23" s="48"/>
      <c r="Y23" s="48"/>
      <c r="Z23" s="48"/>
      <c r="AA23" s="48"/>
      <c r="AB23" s="48"/>
      <c r="AC23" s="48"/>
      <c r="AD23" s="48"/>
      <c r="AE23" s="48"/>
      <c r="AF23" s="48"/>
      <c r="AG23" s="48"/>
      <c r="AH23" s="48"/>
      <c r="AI23" s="48"/>
      <c r="AJ23" s="48"/>
      <c r="AK23" s="48"/>
      <c r="AL23" s="48"/>
      <c r="AM23" s="48"/>
      <c r="AN23" s="48"/>
      <c r="AO23" s="48"/>
    </row>
    <row r="24" spans="1:41">
      <c r="A24" s="290">
        <f>ROW()</f>
        <v>24</v>
      </c>
      <c r="B24" s="1581" t="s">
        <v>85</v>
      </c>
      <c r="C24" s="1592">
        <f>' Enrol &amp; Rev'!G128</f>
        <v>1973.9499999999998</v>
      </c>
      <c r="D24" s="1592">
        <f t="shared" si="7"/>
        <v>0</v>
      </c>
      <c r="E24" s="1592">
        <f t="shared" ref="E24:E35" si="13">SUM(F24:R24)</f>
        <v>1973.9500000000003</v>
      </c>
      <c r="F24" s="1586">
        <v>0</v>
      </c>
      <c r="G24" s="457">
        <f>$C$24/11</f>
        <v>179.45</v>
      </c>
      <c r="H24" s="457">
        <f t="shared" ref="H24:Q24" si="14">$C$24/11</f>
        <v>179.45</v>
      </c>
      <c r="I24" s="457">
        <f t="shared" si="14"/>
        <v>179.45</v>
      </c>
      <c r="J24" s="457">
        <f t="shared" si="14"/>
        <v>179.45</v>
      </c>
      <c r="K24" s="457">
        <f t="shared" si="14"/>
        <v>179.45</v>
      </c>
      <c r="L24" s="457">
        <f t="shared" si="14"/>
        <v>179.45</v>
      </c>
      <c r="M24" s="457">
        <f t="shared" si="14"/>
        <v>179.45</v>
      </c>
      <c r="N24" s="457">
        <f t="shared" si="14"/>
        <v>179.45</v>
      </c>
      <c r="O24" s="457">
        <f t="shared" si="14"/>
        <v>179.45</v>
      </c>
      <c r="P24" s="457">
        <f t="shared" si="14"/>
        <v>179.45</v>
      </c>
      <c r="Q24" s="457">
        <f t="shared" si="14"/>
        <v>179.45</v>
      </c>
      <c r="R24" s="1253"/>
      <c r="S24" s="257"/>
      <c r="T24" s="257"/>
      <c r="U24" s="287"/>
      <c r="W24" s="48"/>
      <c r="X24" s="48"/>
      <c r="Y24" s="48"/>
      <c r="Z24" s="48"/>
      <c r="AA24" s="48"/>
      <c r="AB24" s="48"/>
      <c r="AC24" s="48"/>
      <c r="AD24" s="48"/>
      <c r="AE24" s="48"/>
      <c r="AF24" s="48"/>
      <c r="AG24" s="48"/>
      <c r="AH24" s="48"/>
      <c r="AI24" s="48"/>
      <c r="AJ24" s="48"/>
      <c r="AK24" s="48"/>
      <c r="AL24" s="48"/>
      <c r="AM24" s="48"/>
      <c r="AN24" s="48"/>
      <c r="AO24" s="48"/>
    </row>
    <row r="25" spans="1:41">
      <c r="A25" s="290">
        <f>ROW()</f>
        <v>25</v>
      </c>
      <c r="B25" s="1581" t="s">
        <v>87</v>
      </c>
      <c r="C25" s="1592">
        <f>' Enrol &amp; Rev'!G130</f>
        <v>0</v>
      </c>
      <c r="D25" s="1592">
        <f t="shared" si="7"/>
        <v>0</v>
      </c>
      <c r="E25" s="1592">
        <f t="shared" si="13"/>
        <v>0</v>
      </c>
      <c r="F25" s="1587">
        <v>0</v>
      </c>
      <c r="G25" s="457">
        <v>0</v>
      </c>
      <c r="H25" s="457">
        <v>0</v>
      </c>
      <c r="I25" s="457">
        <v>0</v>
      </c>
      <c r="J25" s="457">
        <v>0</v>
      </c>
      <c r="K25" s="457">
        <v>0</v>
      </c>
      <c r="L25" s="457">
        <v>0</v>
      </c>
      <c r="M25" s="457">
        <v>0</v>
      </c>
      <c r="N25" s="457">
        <v>0</v>
      </c>
      <c r="O25" s="457">
        <v>0</v>
      </c>
      <c r="P25" s="457">
        <v>0</v>
      </c>
      <c r="Q25" s="457">
        <v>0</v>
      </c>
      <c r="R25" s="1253"/>
      <c r="S25" s="257"/>
      <c r="T25" s="257"/>
      <c r="U25" s="287"/>
      <c r="W25" s="48"/>
      <c r="X25" s="48"/>
      <c r="Y25" s="48"/>
      <c r="Z25" s="48"/>
      <c r="AA25" s="48"/>
      <c r="AB25" s="48"/>
      <c r="AC25" s="48"/>
      <c r="AD25" s="48"/>
      <c r="AE25" s="48"/>
      <c r="AF25" s="48"/>
      <c r="AG25" s="48"/>
      <c r="AH25" s="48"/>
      <c r="AI25" s="48"/>
      <c r="AJ25" s="48"/>
      <c r="AK25" s="48"/>
      <c r="AL25" s="48"/>
      <c r="AM25" s="48"/>
      <c r="AN25" s="48"/>
      <c r="AO25" s="48"/>
    </row>
    <row r="26" spans="1:41">
      <c r="A26" s="290">
        <f>ROW()</f>
        <v>26</v>
      </c>
      <c r="B26" s="1581" t="s">
        <v>88</v>
      </c>
      <c r="C26" s="1592">
        <f>' Enrol &amp; Rev'!G131</f>
        <v>50490</v>
      </c>
      <c r="D26" s="1592">
        <f t="shared" si="7"/>
        <v>0</v>
      </c>
      <c r="E26" s="1592">
        <f t="shared" si="13"/>
        <v>50490</v>
      </c>
      <c r="F26" s="1587">
        <v>0</v>
      </c>
      <c r="G26" s="457">
        <f>$C$26/11</f>
        <v>4590</v>
      </c>
      <c r="H26" s="457">
        <f t="shared" ref="H26:Q26" si="15">$C$26/11</f>
        <v>4590</v>
      </c>
      <c r="I26" s="457">
        <f t="shared" si="15"/>
        <v>4590</v>
      </c>
      <c r="J26" s="457">
        <f t="shared" si="15"/>
        <v>4590</v>
      </c>
      <c r="K26" s="457">
        <f t="shared" si="15"/>
        <v>4590</v>
      </c>
      <c r="L26" s="457">
        <f t="shared" si="15"/>
        <v>4590</v>
      </c>
      <c r="M26" s="457">
        <f t="shared" si="15"/>
        <v>4590</v>
      </c>
      <c r="N26" s="457">
        <f t="shared" si="15"/>
        <v>4590</v>
      </c>
      <c r="O26" s="457">
        <f t="shared" si="15"/>
        <v>4590</v>
      </c>
      <c r="P26" s="457">
        <f t="shared" si="15"/>
        <v>4590</v>
      </c>
      <c r="Q26" s="457">
        <f t="shared" si="15"/>
        <v>4590</v>
      </c>
      <c r="R26" s="1253"/>
      <c r="S26" s="257"/>
      <c r="T26" s="257"/>
      <c r="U26" s="1528"/>
      <c r="W26" s="48"/>
      <c r="X26" s="48"/>
      <c r="Y26" s="48"/>
      <c r="Z26" s="48"/>
      <c r="AA26" s="48"/>
      <c r="AB26" s="48"/>
      <c r="AC26" s="48"/>
      <c r="AD26" s="48"/>
      <c r="AE26" s="48"/>
      <c r="AF26" s="48"/>
      <c r="AG26" s="48"/>
      <c r="AH26" s="48"/>
      <c r="AI26" s="48"/>
      <c r="AJ26" s="48"/>
      <c r="AK26" s="48"/>
      <c r="AL26" s="48"/>
      <c r="AM26" s="48"/>
      <c r="AN26" s="48"/>
      <c r="AO26" s="48"/>
    </row>
    <row r="27" spans="1:41">
      <c r="A27" s="290">
        <f>ROW()</f>
        <v>27</v>
      </c>
      <c r="B27" s="1581" t="s">
        <v>89</v>
      </c>
      <c r="C27" s="1592">
        <f>' Enrol &amp; Rev'!G132</f>
        <v>34823.25</v>
      </c>
      <c r="D27" s="1592">
        <f t="shared" si="7"/>
        <v>0</v>
      </c>
      <c r="E27" s="1592">
        <f t="shared" si="13"/>
        <v>34823.25</v>
      </c>
      <c r="F27" s="1587">
        <v>0</v>
      </c>
      <c r="G27" s="457">
        <v>0</v>
      </c>
      <c r="H27" s="457">
        <v>0</v>
      </c>
      <c r="I27" s="457">
        <v>0</v>
      </c>
      <c r="J27" s="458">
        <v>0</v>
      </c>
      <c r="K27" s="457">
        <v>0</v>
      </c>
      <c r="L27" s="457">
        <f>$C$27/6</f>
        <v>5803.875</v>
      </c>
      <c r="M27" s="457">
        <f t="shared" ref="M27:Q27" si="16">$C$27/6</f>
        <v>5803.875</v>
      </c>
      <c r="N27" s="458">
        <f t="shared" si="16"/>
        <v>5803.875</v>
      </c>
      <c r="O27" s="457">
        <f t="shared" si="16"/>
        <v>5803.875</v>
      </c>
      <c r="P27" s="457">
        <f t="shared" si="16"/>
        <v>5803.875</v>
      </c>
      <c r="Q27" s="457">
        <f t="shared" si="16"/>
        <v>5803.875</v>
      </c>
      <c r="R27" s="1253"/>
      <c r="S27" s="257"/>
      <c r="T27" s="257"/>
      <c r="U27" s="1528"/>
      <c r="W27" s="48"/>
      <c r="X27" s="48"/>
      <c r="Y27" s="48"/>
      <c r="Z27" s="48"/>
      <c r="AA27" s="48"/>
      <c r="AB27" s="48"/>
      <c r="AC27" s="48"/>
      <c r="AD27" s="48"/>
      <c r="AE27" s="48"/>
      <c r="AF27" s="48"/>
      <c r="AG27" s="48"/>
      <c r="AH27" s="48"/>
      <c r="AI27" s="48"/>
      <c r="AJ27" s="48"/>
      <c r="AK27" s="48"/>
      <c r="AL27" s="48"/>
      <c r="AM27" s="48"/>
      <c r="AN27" s="48"/>
      <c r="AO27" s="48"/>
    </row>
    <row r="28" spans="1:41">
      <c r="A28" s="290">
        <f>ROW()</f>
        <v>28</v>
      </c>
      <c r="B28" s="1581" t="s">
        <v>365</v>
      </c>
      <c r="C28" s="1592">
        <f>+' Enrol &amp; Rev'!G115</f>
        <v>0</v>
      </c>
      <c r="D28" s="1592">
        <f t="shared" si="7"/>
        <v>0</v>
      </c>
      <c r="E28" s="1592">
        <f t="shared" si="13"/>
        <v>0</v>
      </c>
      <c r="F28" s="1587">
        <v>0</v>
      </c>
      <c r="G28" s="457">
        <v>0</v>
      </c>
      <c r="H28" s="457">
        <v>0</v>
      </c>
      <c r="I28" s="457">
        <v>0</v>
      </c>
      <c r="J28" s="458">
        <v>0</v>
      </c>
      <c r="K28" s="457">
        <v>0</v>
      </c>
      <c r="L28" s="457">
        <v>0</v>
      </c>
      <c r="M28" s="457">
        <v>0</v>
      </c>
      <c r="N28" s="458">
        <v>0</v>
      </c>
      <c r="O28" s="457">
        <v>0</v>
      </c>
      <c r="P28" s="457">
        <v>0</v>
      </c>
      <c r="Q28" s="457">
        <v>0</v>
      </c>
      <c r="R28" s="1253"/>
      <c r="S28" s="257"/>
      <c r="T28" s="257"/>
      <c r="U28" s="1528"/>
      <c r="W28" s="48"/>
      <c r="X28" s="48"/>
      <c r="Y28" s="48"/>
      <c r="Z28" s="48"/>
      <c r="AA28" s="48"/>
      <c r="AB28" s="48"/>
      <c r="AC28" s="48"/>
      <c r="AD28" s="48"/>
      <c r="AE28" s="48"/>
      <c r="AF28" s="48"/>
      <c r="AG28" s="48"/>
      <c r="AH28" s="48"/>
      <c r="AI28" s="48"/>
      <c r="AJ28" s="48"/>
      <c r="AK28" s="48"/>
      <c r="AL28" s="48"/>
      <c r="AM28" s="48"/>
      <c r="AN28" s="48"/>
      <c r="AO28" s="48"/>
    </row>
    <row r="29" spans="1:41">
      <c r="A29" s="290">
        <f>ROW()</f>
        <v>29</v>
      </c>
      <c r="B29" s="1581" t="s">
        <v>366</v>
      </c>
      <c r="C29" s="1592">
        <f>' Enrol &amp; Rev'!G134</f>
        <v>0</v>
      </c>
      <c r="D29" s="1592">
        <f t="shared" si="7"/>
        <v>0</v>
      </c>
      <c r="E29" s="1592">
        <f t="shared" si="13"/>
        <v>0</v>
      </c>
      <c r="F29" s="1587">
        <v>0</v>
      </c>
      <c r="G29" s="457">
        <v>0</v>
      </c>
      <c r="H29" s="457">
        <v>0</v>
      </c>
      <c r="I29" s="457">
        <v>0</v>
      </c>
      <c r="J29" s="458">
        <v>0</v>
      </c>
      <c r="K29" s="457">
        <v>0</v>
      </c>
      <c r="L29" s="457">
        <v>0</v>
      </c>
      <c r="M29" s="457">
        <v>0</v>
      </c>
      <c r="N29" s="458">
        <v>0</v>
      </c>
      <c r="O29" s="457">
        <v>0</v>
      </c>
      <c r="P29" s="457">
        <v>0</v>
      </c>
      <c r="Q29" s="457">
        <v>0</v>
      </c>
      <c r="R29" s="1253"/>
      <c r="S29" s="257"/>
      <c r="T29" s="257"/>
      <c r="U29" s="287"/>
      <c r="W29" s="48"/>
      <c r="X29" s="48"/>
      <c r="Y29" s="48"/>
      <c r="Z29" s="48"/>
      <c r="AA29" s="48"/>
      <c r="AB29" s="48"/>
      <c r="AC29" s="48"/>
      <c r="AD29" s="48"/>
      <c r="AE29" s="48"/>
      <c r="AF29" s="48"/>
      <c r="AG29" s="48"/>
      <c r="AH29" s="48"/>
      <c r="AI29" s="48"/>
      <c r="AJ29" s="48"/>
      <c r="AK29" s="48"/>
      <c r="AL29" s="48"/>
      <c r="AM29" s="48"/>
      <c r="AN29" s="48"/>
      <c r="AO29" s="48"/>
    </row>
    <row r="30" spans="1:41">
      <c r="A30" s="290">
        <f>ROW()</f>
        <v>30</v>
      </c>
      <c r="B30" s="1581" t="s">
        <v>367</v>
      </c>
      <c r="C30" s="1592">
        <f>' Enrol &amp; Rev'!G135</f>
        <v>0</v>
      </c>
      <c r="D30" s="1592">
        <f t="shared" si="7"/>
        <v>0</v>
      </c>
      <c r="E30" s="1592">
        <f t="shared" si="13"/>
        <v>0</v>
      </c>
      <c r="F30" s="1587">
        <v>0</v>
      </c>
      <c r="G30" s="457">
        <v>0</v>
      </c>
      <c r="H30" s="457">
        <v>0</v>
      </c>
      <c r="I30" s="457">
        <v>0</v>
      </c>
      <c r="J30" s="458">
        <v>0</v>
      </c>
      <c r="K30" s="457">
        <v>0</v>
      </c>
      <c r="L30" s="457">
        <v>0</v>
      </c>
      <c r="M30" s="457">
        <v>0</v>
      </c>
      <c r="N30" s="458">
        <v>0</v>
      </c>
      <c r="O30" s="457">
        <v>0</v>
      </c>
      <c r="P30" s="457">
        <v>0</v>
      </c>
      <c r="Q30" s="457">
        <v>0</v>
      </c>
      <c r="R30" s="1253"/>
      <c r="S30" s="257"/>
      <c r="T30" s="257"/>
      <c r="U30" s="287"/>
      <c r="W30" s="48"/>
      <c r="X30" s="48"/>
      <c r="Y30" s="48"/>
      <c r="Z30" s="48"/>
      <c r="AA30" s="48"/>
      <c r="AB30" s="48"/>
      <c r="AC30" s="48"/>
      <c r="AD30" s="48"/>
      <c r="AE30" s="48"/>
      <c r="AF30" s="48"/>
      <c r="AG30" s="48"/>
      <c r="AH30" s="48"/>
      <c r="AI30" s="48"/>
      <c r="AJ30" s="48"/>
      <c r="AK30" s="48"/>
      <c r="AL30" s="48"/>
      <c r="AM30" s="48"/>
      <c r="AN30" s="48"/>
      <c r="AO30" s="48"/>
    </row>
    <row r="31" spans="1:41">
      <c r="A31" s="290">
        <f>ROW()</f>
        <v>31</v>
      </c>
      <c r="B31" s="1581" t="s">
        <v>98</v>
      </c>
      <c r="C31" s="1592">
        <f>' Enrol &amp; Rev'!G136</f>
        <v>0</v>
      </c>
      <c r="D31" s="1592">
        <f t="shared" si="7"/>
        <v>-133167.375</v>
      </c>
      <c r="E31" s="1592">
        <f t="shared" si="13"/>
        <v>133167.375</v>
      </c>
      <c r="F31" s="1587">
        <v>0</v>
      </c>
      <c r="G31" s="457">
        <f>' Enrol &amp; Rev'!$G$138/10</f>
        <v>13316.737499999999</v>
      </c>
      <c r="H31" s="457">
        <f>' Enrol &amp; Rev'!$G$138/10</f>
        <v>13316.737499999999</v>
      </c>
      <c r="I31" s="457">
        <f>' Enrol &amp; Rev'!$G$138/10</f>
        <v>13316.737499999999</v>
      </c>
      <c r="J31" s="458">
        <f>' Enrol &amp; Rev'!$G$138/10</f>
        <v>13316.737499999999</v>
      </c>
      <c r="K31" s="457">
        <f>' Enrol &amp; Rev'!$G$138/10</f>
        <v>13316.737499999999</v>
      </c>
      <c r="L31" s="457">
        <f>' Enrol &amp; Rev'!$G$138/10</f>
        <v>13316.737499999999</v>
      </c>
      <c r="M31" s="457">
        <f>' Enrol &amp; Rev'!$G$138/10</f>
        <v>13316.737499999999</v>
      </c>
      <c r="N31" s="458">
        <f>' Enrol &amp; Rev'!$G$138/10</f>
        <v>13316.737499999999</v>
      </c>
      <c r="O31" s="457">
        <f>' Enrol &amp; Rev'!$G$138/10</f>
        <v>13316.737499999999</v>
      </c>
      <c r="P31" s="457">
        <f>' Enrol &amp; Rev'!$G$138/10</f>
        <v>13316.737499999999</v>
      </c>
      <c r="Q31" s="457">
        <v>0</v>
      </c>
      <c r="R31" s="1253"/>
      <c r="S31" s="257"/>
      <c r="T31" s="257"/>
      <c r="U31" s="287" t="s">
        <v>1449</v>
      </c>
      <c r="W31" s="48"/>
      <c r="X31" s="48"/>
      <c r="Y31" s="48"/>
      <c r="Z31" s="48"/>
      <c r="AA31" s="48"/>
      <c r="AB31" s="48"/>
      <c r="AC31" s="48"/>
      <c r="AD31" s="48"/>
      <c r="AE31" s="48"/>
      <c r="AF31" s="48"/>
      <c r="AG31" s="48"/>
      <c r="AH31" s="48"/>
      <c r="AI31" s="48"/>
      <c r="AJ31" s="48"/>
      <c r="AK31" s="48"/>
      <c r="AL31" s="48"/>
      <c r="AM31" s="48"/>
      <c r="AN31" s="48"/>
      <c r="AO31" s="48"/>
    </row>
    <row r="32" spans="1:41">
      <c r="A32" s="290">
        <f>ROW()</f>
        <v>32</v>
      </c>
      <c r="B32" s="1581" t="s">
        <v>368</v>
      </c>
      <c r="C32" s="1592">
        <f>' Enrol &amp; Rev'!G137</f>
        <v>0</v>
      </c>
      <c r="D32" s="1592">
        <f t="shared" si="7"/>
        <v>0</v>
      </c>
      <c r="E32" s="1592">
        <f t="shared" si="13"/>
        <v>0</v>
      </c>
      <c r="F32" s="1587">
        <v>0</v>
      </c>
      <c r="G32" s="457">
        <v>0</v>
      </c>
      <c r="H32" s="457">
        <v>0</v>
      </c>
      <c r="I32" s="457">
        <v>0</v>
      </c>
      <c r="J32" s="457">
        <v>0</v>
      </c>
      <c r="K32" s="457">
        <v>0</v>
      </c>
      <c r="L32" s="457">
        <v>0</v>
      </c>
      <c r="M32" s="457">
        <v>0</v>
      </c>
      <c r="N32" s="457">
        <v>0</v>
      </c>
      <c r="O32" s="457">
        <v>0</v>
      </c>
      <c r="P32" s="457">
        <v>0</v>
      </c>
      <c r="Q32" s="457">
        <v>0</v>
      </c>
      <c r="R32" s="1253"/>
      <c r="S32" s="257"/>
      <c r="T32" s="257"/>
      <c r="U32" s="287"/>
      <c r="W32" s="48"/>
      <c r="X32" s="48"/>
      <c r="Y32" s="48"/>
      <c r="Z32" s="48"/>
      <c r="AA32" s="48"/>
      <c r="AB32" s="48"/>
      <c r="AC32" s="48"/>
      <c r="AD32" s="48"/>
      <c r="AE32" s="48"/>
      <c r="AF32" s="48"/>
      <c r="AG32" s="48"/>
      <c r="AH32" s="48"/>
      <c r="AI32" s="48"/>
      <c r="AJ32" s="48"/>
      <c r="AK32" s="48"/>
      <c r="AL32" s="48"/>
      <c r="AM32" s="48"/>
      <c r="AN32" s="48"/>
      <c r="AO32" s="48"/>
    </row>
    <row r="33" spans="1:41">
      <c r="A33" s="290">
        <f>ROW()</f>
        <v>33</v>
      </c>
      <c r="B33" s="1581" t="s">
        <v>97</v>
      </c>
      <c r="C33" s="1592">
        <f>' Enrol &amp; Rev'!G140</f>
        <v>0</v>
      </c>
      <c r="D33" s="1592">
        <f t="shared" si="7"/>
        <v>0</v>
      </c>
      <c r="E33" s="1592">
        <f t="shared" si="13"/>
        <v>0</v>
      </c>
      <c r="F33" s="1587">
        <v>0</v>
      </c>
      <c r="G33" s="457">
        <v>0</v>
      </c>
      <c r="H33" s="457">
        <v>0</v>
      </c>
      <c r="I33" s="457">
        <v>0</v>
      </c>
      <c r="J33" s="458">
        <v>0</v>
      </c>
      <c r="K33" s="457">
        <v>0</v>
      </c>
      <c r="L33" s="457">
        <v>0</v>
      </c>
      <c r="M33" s="457">
        <v>0</v>
      </c>
      <c r="N33" s="458">
        <v>0</v>
      </c>
      <c r="O33" s="457">
        <v>0</v>
      </c>
      <c r="P33" s="457">
        <v>0</v>
      </c>
      <c r="Q33" s="457">
        <v>0</v>
      </c>
      <c r="R33" s="1253"/>
      <c r="S33" s="257"/>
      <c r="T33" s="257"/>
      <c r="U33" s="287"/>
      <c r="W33" s="48"/>
      <c r="X33" s="48"/>
      <c r="Y33" s="48"/>
      <c r="Z33" s="48"/>
      <c r="AA33" s="48"/>
      <c r="AB33" s="48"/>
      <c r="AC33" s="48"/>
      <c r="AD33" s="48"/>
      <c r="AE33" s="48"/>
      <c r="AF33" s="48"/>
      <c r="AG33" s="48"/>
      <c r="AH33" s="48"/>
      <c r="AI33" s="48"/>
      <c r="AJ33" s="48"/>
      <c r="AK33" s="48"/>
      <c r="AL33" s="48"/>
      <c r="AM33" s="48"/>
      <c r="AN33" s="48"/>
      <c r="AO33" s="48"/>
    </row>
    <row r="34" spans="1:41">
      <c r="A34" s="290">
        <f>ROW()</f>
        <v>34</v>
      </c>
      <c r="B34" s="1581" t="s">
        <v>399</v>
      </c>
      <c r="C34" s="1592">
        <f>' Enrol &amp; Rev'!G141</f>
        <v>0</v>
      </c>
      <c r="D34" s="1592">
        <f t="shared" si="7"/>
        <v>0</v>
      </c>
      <c r="E34" s="1592">
        <f t="shared" si="13"/>
        <v>0</v>
      </c>
      <c r="F34" s="1587">
        <v>0</v>
      </c>
      <c r="G34" s="457">
        <v>0</v>
      </c>
      <c r="H34" s="457">
        <v>0</v>
      </c>
      <c r="I34" s="457">
        <v>0</v>
      </c>
      <c r="J34" s="458">
        <v>0</v>
      </c>
      <c r="K34" s="457">
        <v>0</v>
      </c>
      <c r="L34" s="457">
        <v>0</v>
      </c>
      <c r="M34" s="457">
        <v>0</v>
      </c>
      <c r="N34" s="458">
        <v>0</v>
      </c>
      <c r="O34" s="457">
        <v>0</v>
      </c>
      <c r="P34" s="457">
        <v>0</v>
      </c>
      <c r="Q34" s="457">
        <v>0</v>
      </c>
      <c r="R34" s="1253"/>
      <c r="S34" s="257"/>
      <c r="T34" s="257"/>
      <c r="U34" s="287"/>
      <c r="W34" s="48"/>
      <c r="X34" s="48"/>
      <c r="Y34" s="48"/>
      <c r="Z34" s="48"/>
      <c r="AA34" s="48"/>
      <c r="AB34" s="48"/>
      <c r="AC34" s="48"/>
      <c r="AD34" s="48"/>
      <c r="AE34" s="48"/>
      <c r="AF34" s="48"/>
      <c r="AG34" s="48"/>
      <c r="AH34" s="48"/>
      <c r="AI34" s="48"/>
      <c r="AJ34" s="48"/>
      <c r="AK34" s="48"/>
      <c r="AL34" s="48"/>
      <c r="AM34" s="48"/>
      <c r="AN34" s="48"/>
      <c r="AO34" s="48"/>
    </row>
    <row r="35" spans="1:41">
      <c r="A35" s="290">
        <f>ROW()</f>
        <v>35</v>
      </c>
      <c r="B35" s="1582" t="s">
        <v>400</v>
      </c>
      <c r="C35" s="1593">
        <f>+' Enrol &amp; Rev'!G142</f>
        <v>0</v>
      </c>
      <c r="D35" s="1594">
        <f t="shared" si="7"/>
        <v>0</v>
      </c>
      <c r="E35" s="1594">
        <f t="shared" si="13"/>
        <v>0</v>
      </c>
      <c r="F35" s="1588">
        <v>0</v>
      </c>
      <c r="G35" s="470">
        <v>0</v>
      </c>
      <c r="H35" s="470">
        <v>0</v>
      </c>
      <c r="I35" s="470">
        <v>0</v>
      </c>
      <c r="J35" s="470">
        <v>0</v>
      </c>
      <c r="K35" s="470">
        <v>0</v>
      </c>
      <c r="L35" s="470">
        <v>0</v>
      </c>
      <c r="M35" s="470">
        <v>0</v>
      </c>
      <c r="N35" s="470">
        <v>0</v>
      </c>
      <c r="O35" s="470">
        <v>0</v>
      </c>
      <c r="P35" s="470">
        <v>0</v>
      </c>
      <c r="Q35" s="470">
        <v>0</v>
      </c>
      <c r="R35" s="1279"/>
      <c r="S35" s="257"/>
      <c r="T35" s="257"/>
      <c r="U35" s="287"/>
      <c r="W35" s="48"/>
      <c r="X35" s="48"/>
      <c r="Y35" s="48"/>
      <c r="Z35" s="48"/>
      <c r="AA35" s="48"/>
      <c r="AB35" s="48"/>
      <c r="AC35" s="48"/>
      <c r="AD35" s="48"/>
      <c r="AE35" s="48"/>
      <c r="AF35" s="48"/>
      <c r="AG35" s="48"/>
      <c r="AH35" s="48"/>
      <c r="AI35" s="48"/>
      <c r="AJ35" s="48"/>
      <c r="AK35" s="48"/>
      <c r="AL35" s="48"/>
      <c r="AM35" s="48"/>
      <c r="AN35" s="48"/>
      <c r="AO35" s="48"/>
    </row>
    <row r="36" spans="1:41">
      <c r="A36" s="290">
        <f>ROW()</f>
        <v>36</v>
      </c>
      <c r="B36" s="706" t="s">
        <v>369</v>
      </c>
      <c r="C36" s="1589">
        <f>+' Enrol &amp; Rev'!G145</f>
        <v>3377599.6375000002</v>
      </c>
      <c r="D36" s="1589">
        <f t="shared" si="7"/>
        <v>0</v>
      </c>
      <c r="E36" s="1590">
        <f t="shared" ref="E36:R36" si="17">SUM(E19:E35)</f>
        <v>3377599.6375000002</v>
      </c>
      <c r="F36" s="468">
        <f t="shared" si="17"/>
        <v>156216.328125</v>
      </c>
      <c r="G36" s="468">
        <f t="shared" si="17"/>
        <v>177286.015625</v>
      </c>
      <c r="H36" s="468">
        <f t="shared" si="17"/>
        <v>177286.015625</v>
      </c>
      <c r="I36" s="468">
        <f t="shared" si="17"/>
        <v>177286.015625</v>
      </c>
      <c r="J36" s="468">
        <f t="shared" si="17"/>
        <v>437646.5625</v>
      </c>
      <c r="K36" s="468">
        <f t="shared" si="17"/>
        <v>281430.234375</v>
      </c>
      <c r="L36" s="468">
        <f t="shared" si="17"/>
        <v>287234.109375</v>
      </c>
      <c r="M36" s="468">
        <f t="shared" si="17"/>
        <v>287234.109375</v>
      </c>
      <c r="N36" s="468">
        <f t="shared" si="17"/>
        <v>287234.109375</v>
      </c>
      <c r="O36" s="468">
        <f t="shared" si="17"/>
        <v>287234.109375</v>
      </c>
      <c r="P36" s="468">
        <f t="shared" si="17"/>
        <v>287234.109375</v>
      </c>
      <c r="Q36" s="469">
        <f t="shared" ref="Q36" si="18">SUM(Q19:Q35)</f>
        <v>273917.37187500001</v>
      </c>
      <c r="R36" s="469">
        <f t="shared" si="17"/>
        <v>260360.546875</v>
      </c>
      <c r="U36" s="287"/>
      <c r="W36" s="48"/>
      <c r="X36" s="48"/>
      <c r="Y36" s="48"/>
      <c r="Z36" s="48"/>
      <c r="AA36" s="48"/>
      <c r="AB36" s="48"/>
      <c r="AC36" s="48"/>
      <c r="AD36" s="48"/>
      <c r="AE36" s="48"/>
      <c r="AF36" s="48"/>
      <c r="AG36" s="48"/>
      <c r="AH36" s="48"/>
      <c r="AI36" s="48"/>
      <c r="AJ36" s="48"/>
      <c r="AK36" s="48"/>
      <c r="AL36" s="48"/>
      <c r="AM36" s="48"/>
      <c r="AN36" s="48"/>
      <c r="AO36" s="48"/>
    </row>
    <row r="37" spans="1:41" ht="14.4">
      <c r="A37" s="290">
        <f>ROW()</f>
        <v>37</v>
      </c>
      <c r="B37" s="12" t="s">
        <v>370</v>
      </c>
      <c r="C37" s="1067"/>
      <c r="D37" s="461">
        <f>IF(ABS(D36)&gt;(0.0025*E36),"*** Out of Balance *** sb 0",0)</f>
        <v>0</v>
      </c>
      <c r="E37" s="462"/>
      <c r="F37" s="462">
        <f>F36</f>
        <v>156216.328125</v>
      </c>
      <c r="G37" s="463">
        <f t="shared" ref="G37:P37" si="19">F37+G36</f>
        <v>333502.34375</v>
      </c>
      <c r="H37" s="463">
        <f t="shared" si="19"/>
        <v>510788.359375</v>
      </c>
      <c r="I37" s="463">
        <f t="shared" si="19"/>
        <v>688074.375</v>
      </c>
      <c r="J37" s="463">
        <f t="shared" si="19"/>
        <v>1125720.9375</v>
      </c>
      <c r="K37" s="463">
        <f t="shared" si="19"/>
        <v>1407151.171875</v>
      </c>
      <c r="L37" s="463">
        <f t="shared" si="19"/>
        <v>1694385.28125</v>
      </c>
      <c r="M37" s="463">
        <f t="shared" si="19"/>
        <v>1981619.390625</v>
      </c>
      <c r="N37" s="463">
        <f t="shared" si="19"/>
        <v>2268853.5</v>
      </c>
      <c r="O37" s="463">
        <f t="shared" si="19"/>
        <v>2556087.609375</v>
      </c>
      <c r="P37" s="463">
        <f t="shared" si="19"/>
        <v>2843321.71875</v>
      </c>
      <c r="Q37" s="463">
        <f>O37+Q36</f>
        <v>2830004.9812500002</v>
      </c>
      <c r="R37" s="463">
        <f>P37+R36</f>
        <v>3103682.265625</v>
      </c>
      <c r="U37" s="287"/>
      <c r="W37" s="48"/>
      <c r="X37" s="48"/>
      <c r="Y37" s="48"/>
      <c r="Z37" s="48"/>
      <c r="AA37" s="48"/>
      <c r="AB37" s="48"/>
      <c r="AC37" s="48"/>
      <c r="AD37" s="48"/>
      <c r="AE37" s="48"/>
      <c r="AF37" s="48"/>
      <c r="AG37" s="48"/>
      <c r="AH37" s="48"/>
      <c r="AI37" s="48"/>
      <c r="AJ37" s="48"/>
      <c r="AK37" s="48"/>
      <c r="AL37" s="48"/>
      <c r="AM37" s="48"/>
      <c r="AN37" s="48"/>
      <c r="AO37" s="48"/>
    </row>
    <row r="38" spans="1:41">
      <c r="A38" s="290">
        <f>ROW()</f>
        <v>38</v>
      </c>
      <c r="B38" s="13" t="s">
        <v>371</v>
      </c>
      <c r="C38" s="1068"/>
      <c r="D38" s="464"/>
      <c r="E38" s="11"/>
      <c r="F38" s="465">
        <f>IFERROR(F37/$E36,0)</f>
        <v>4.6250694247654149E-2</v>
      </c>
      <c r="G38" s="465">
        <f t="shared" ref="G38:R38" si="20">IFERROR(G37/$E36,0)</f>
        <v>9.8739453914925404E-2</v>
      </c>
      <c r="H38" s="465">
        <f t="shared" si="20"/>
        <v>0.15122821358219665</v>
      </c>
      <c r="I38" s="465">
        <f t="shared" si="20"/>
        <v>0.20371697324946789</v>
      </c>
      <c r="J38" s="465">
        <f t="shared" si="20"/>
        <v>0.33329022332949604</v>
      </c>
      <c r="K38" s="465">
        <f t="shared" si="20"/>
        <v>0.41661277916187006</v>
      </c>
      <c r="L38" s="465">
        <f t="shared" si="20"/>
        <v>0.50165367808487038</v>
      </c>
      <c r="M38" s="465">
        <f t="shared" si="20"/>
        <v>0.58669457700787064</v>
      </c>
      <c r="N38" s="465">
        <f t="shared" si="20"/>
        <v>0.67173547593087102</v>
      </c>
      <c r="O38" s="465">
        <f t="shared" si="20"/>
        <v>0.75677637485387128</v>
      </c>
      <c r="P38" s="465">
        <f t="shared" si="20"/>
        <v>0.84181727377687166</v>
      </c>
      <c r="Q38" s="465">
        <f t="shared" ref="Q38" si="21">IFERROR(Q37/$E36,0)</f>
        <v>0.83787461066424274</v>
      </c>
      <c r="R38" s="465">
        <f t="shared" si="20"/>
        <v>0.91890176418962854</v>
      </c>
      <c r="U38" s="287"/>
      <c r="W38" s="48"/>
      <c r="X38" s="48"/>
      <c r="Y38" s="48"/>
      <c r="Z38" s="48"/>
      <c r="AA38" s="48"/>
      <c r="AB38" s="48"/>
      <c r="AC38" s="48"/>
      <c r="AD38" s="48"/>
      <c r="AE38" s="48"/>
      <c r="AF38" s="48"/>
      <c r="AG38" s="48"/>
      <c r="AH38" s="48"/>
      <c r="AI38" s="48"/>
      <c r="AJ38" s="48"/>
      <c r="AK38" s="48"/>
      <c r="AL38" s="48"/>
      <c r="AM38" s="48"/>
      <c r="AN38" s="48"/>
      <c r="AO38" s="48"/>
    </row>
    <row r="39" spans="1:41">
      <c r="A39" s="290">
        <f>ROW()</f>
        <v>39</v>
      </c>
      <c r="B39" s="11"/>
      <c r="C39" s="1595" t="s">
        <v>1266</v>
      </c>
      <c r="D39" s="1597" t="s">
        <v>358</v>
      </c>
      <c r="E39" s="1595" t="s">
        <v>1263</v>
      </c>
      <c r="F39" s="466"/>
      <c r="G39" s="467"/>
      <c r="H39" s="467"/>
      <c r="I39" s="467"/>
      <c r="J39" s="466"/>
      <c r="K39" s="467"/>
      <c r="L39" s="467"/>
      <c r="M39" s="467"/>
      <c r="N39" s="466"/>
      <c r="O39" s="467"/>
      <c r="P39" s="467"/>
      <c r="Q39" s="467"/>
      <c r="R39" s="467"/>
      <c r="U39" s="287"/>
      <c r="W39" s="48"/>
      <c r="X39" s="48"/>
      <c r="Y39" s="48"/>
      <c r="Z39" s="48"/>
      <c r="AA39" s="48"/>
      <c r="AB39" s="48"/>
      <c r="AC39" s="48"/>
      <c r="AD39" s="48"/>
      <c r="AE39" s="48"/>
      <c r="AF39" s="48"/>
      <c r="AG39" s="48"/>
      <c r="AH39" s="48"/>
      <c r="AI39" s="48"/>
      <c r="AJ39" s="48"/>
      <c r="AK39" s="48"/>
      <c r="AL39" s="48"/>
      <c r="AM39" s="48"/>
      <c r="AN39" s="48"/>
      <c r="AO39" s="48"/>
    </row>
    <row r="40" spans="1:41" ht="14.25" customHeight="1">
      <c r="A40" s="290">
        <f>ROW()</f>
        <v>40</v>
      </c>
      <c r="B40" s="1530" t="s">
        <v>372</v>
      </c>
      <c r="C40" s="1530"/>
      <c r="D40" s="1530"/>
      <c r="E40" s="1537"/>
      <c r="F40" s="1538"/>
      <c r="G40" s="1538"/>
      <c r="H40" s="1538"/>
      <c r="I40" s="1538"/>
      <c r="J40" s="1538"/>
      <c r="K40" s="1538"/>
      <c r="L40" s="1538"/>
      <c r="M40" s="1538"/>
      <c r="N40" s="1538"/>
      <c r="O40" s="1538"/>
      <c r="P40" s="1538"/>
      <c r="Q40" s="1538"/>
      <c r="R40" s="1538"/>
      <c r="U40" s="287"/>
      <c r="W40" s="48"/>
      <c r="X40" s="48"/>
      <c r="Y40" s="48"/>
      <c r="Z40" s="48"/>
      <c r="AA40" s="48"/>
      <c r="AB40" s="48"/>
      <c r="AC40" s="48"/>
      <c r="AD40" s="48"/>
      <c r="AE40" s="48"/>
      <c r="AF40" s="48"/>
      <c r="AG40" s="48"/>
      <c r="AH40" s="48"/>
      <c r="AI40" s="48"/>
      <c r="AJ40" s="48"/>
      <c r="AK40" s="48"/>
      <c r="AL40" s="48"/>
      <c r="AM40" s="48"/>
      <c r="AN40" s="48"/>
      <c r="AO40" s="48"/>
    </row>
    <row r="41" spans="1:41">
      <c r="A41" s="290">
        <f>ROW()</f>
        <v>41</v>
      </c>
      <c r="B41" s="1598" t="s">
        <v>373</v>
      </c>
      <c r="C41" s="1604">
        <f>+Staff!H474</f>
        <v>2149372.4977356</v>
      </c>
      <c r="D41" s="1610">
        <f t="shared" ref="D41:D52" si="22">+C41-E41</f>
        <v>0</v>
      </c>
      <c r="E41" s="1604">
        <f t="shared" ref="E41:E51" si="23">SUM(F41:R41)</f>
        <v>2149372.4977356005</v>
      </c>
      <c r="F41" s="1613">
        <f>$C$41/12</f>
        <v>179114.37481129999</v>
      </c>
      <c r="G41" s="685">
        <f>$C$41/12</f>
        <v>179114.37481129999</v>
      </c>
      <c r="H41" s="685">
        <f t="shared" ref="H41:Q41" si="24">$C$41/12</f>
        <v>179114.37481129999</v>
      </c>
      <c r="I41" s="685">
        <f t="shared" si="24"/>
        <v>179114.37481129999</v>
      </c>
      <c r="J41" s="685">
        <f t="shared" si="24"/>
        <v>179114.37481129999</v>
      </c>
      <c r="K41" s="685">
        <f t="shared" si="24"/>
        <v>179114.37481129999</v>
      </c>
      <c r="L41" s="685">
        <f t="shared" si="24"/>
        <v>179114.37481129999</v>
      </c>
      <c r="M41" s="685">
        <f t="shared" si="24"/>
        <v>179114.37481129999</v>
      </c>
      <c r="N41" s="685">
        <f t="shared" si="24"/>
        <v>179114.37481129999</v>
      </c>
      <c r="O41" s="685">
        <f t="shared" si="24"/>
        <v>179114.37481129999</v>
      </c>
      <c r="P41" s="685">
        <f t="shared" si="24"/>
        <v>179114.37481129999</v>
      </c>
      <c r="Q41" s="685">
        <f t="shared" si="24"/>
        <v>179114.37481129999</v>
      </c>
      <c r="R41" s="1677">
        <f>C41-SUM(F41:Q41)</f>
        <v>0</v>
      </c>
      <c r="S41" s="257"/>
      <c r="T41" s="257"/>
      <c r="U41" s="1528"/>
      <c r="W41" s="48"/>
      <c r="X41" s="48"/>
      <c r="Y41" s="48"/>
      <c r="Z41" s="48"/>
      <c r="AA41" s="48"/>
      <c r="AB41" s="48"/>
      <c r="AC41" s="48"/>
      <c r="AD41" s="48"/>
      <c r="AE41" s="48"/>
      <c r="AF41" s="48"/>
      <c r="AG41" s="48"/>
      <c r="AH41" s="48"/>
      <c r="AI41" s="48"/>
      <c r="AJ41" s="48"/>
      <c r="AK41" s="48"/>
      <c r="AL41" s="48"/>
      <c r="AM41" s="48"/>
      <c r="AN41" s="48"/>
      <c r="AO41" s="48"/>
    </row>
    <row r="42" spans="1:41">
      <c r="A42" s="290">
        <f>ROW()</f>
        <v>42</v>
      </c>
      <c r="B42" s="1599" t="s">
        <v>374</v>
      </c>
      <c r="C42" s="1592">
        <f>'Gen Optg'!G106</f>
        <v>310793.375</v>
      </c>
      <c r="D42" s="1611">
        <f t="shared" si="22"/>
        <v>0</v>
      </c>
      <c r="E42" s="1592">
        <f>SUM(F42:R42)</f>
        <v>310793.375</v>
      </c>
      <c r="F42" s="1586">
        <f>($C$42/16)*5</f>
        <v>97122.9296875</v>
      </c>
      <c r="G42" s="457">
        <f>$C$42/16</f>
        <v>19424.5859375</v>
      </c>
      <c r="H42" s="457">
        <f t="shared" ref="H42:P42" si="25">$C$42/16</f>
        <v>19424.5859375</v>
      </c>
      <c r="I42" s="457">
        <f t="shared" si="25"/>
        <v>19424.5859375</v>
      </c>
      <c r="J42" s="457">
        <f t="shared" si="25"/>
        <v>19424.5859375</v>
      </c>
      <c r="K42" s="457">
        <f t="shared" si="25"/>
        <v>19424.5859375</v>
      </c>
      <c r="L42" s="457">
        <f t="shared" si="25"/>
        <v>19424.5859375</v>
      </c>
      <c r="M42" s="457">
        <f t="shared" si="25"/>
        <v>19424.5859375</v>
      </c>
      <c r="N42" s="457">
        <f t="shared" si="25"/>
        <v>19424.5859375</v>
      </c>
      <c r="O42" s="457">
        <f t="shared" si="25"/>
        <v>19424.5859375</v>
      </c>
      <c r="P42" s="457">
        <f t="shared" si="25"/>
        <v>19424.5859375</v>
      </c>
      <c r="Q42" s="457">
        <f>$C$42/16</f>
        <v>19424.5859375</v>
      </c>
      <c r="R42" s="1678">
        <v>0</v>
      </c>
      <c r="S42" s="257"/>
      <c r="T42" s="257"/>
      <c r="U42" s="1528"/>
      <c r="W42" s="48"/>
      <c r="X42" s="48"/>
      <c r="Y42" s="48"/>
      <c r="Z42" s="48"/>
      <c r="AA42" s="48"/>
      <c r="AB42" s="48"/>
      <c r="AC42" s="48"/>
      <c r="AD42" s="48"/>
      <c r="AE42" s="48"/>
      <c r="AF42" s="48"/>
      <c r="AG42" s="48"/>
      <c r="AH42" s="48"/>
      <c r="AI42" s="48"/>
      <c r="AJ42" s="48"/>
      <c r="AK42" s="48"/>
      <c r="AL42" s="48"/>
      <c r="AM42" s="48"/>
      <c r="AN42" s="48"/>
      <c r="AO42" s="48"/>
    </row>
    <row r="43" spans="1:41">
      <c r="A43" s="290">
        <f>ROW()</f>
        <v>43</v>
      </c>
      <c r="B43" s="1599" t="s">
        <v>375</v>
      </c>
      <c r="C43" s="1592">
        <f>+'Gen Optg'!G145</f>
        <v>74164</v>
      </c>
      <c r="D43" s="1611">
        <f t="shared" si="22"/>
        <v>0</v>
      </c>
      <c r="E43" s="1592">
        <f t="shared" si="23"/>
        <v>74164</v>
      </c>
      <c r="F43" s="1586">
        <v>0</v>
      </c>
      <c r="G43" s="457">
        <f>$C$43/11</f>
        <v>6742.181818181818</v>
      </c>
      <c r="H43" s="457">
        <f t="shared" ref="H43:Q43" si="26">$C$43/11</f>
        <v>6742.181818181818</v>
      </c>
      <c r="I43" s="457">
        <f t="shared" si="26"/>
        <v>6742.181818181818</v>
      </c>
      <c r="J43" s="457">
        <f t="shared" si="26"/>
        <v>6742.181818181818</v>
      </c>
      <c r="K43" s="457">
        <f t="shared" si="26"/>
        <v>6742.181818181818</v>
      </c>
      <c r="L43" s="457">
        <f t="shared" si="26"/>
        <v>6742.181818181818</v>
      </c>
      <c r="M43" s="457">
        <f t="shared" si="26"/>
        <v>6742.181818181818</v>
      </c>
      <c r="N43" s="457">
        <f t="shared" si="26"/>
        <v>6742.181818181818</v>
      </c>
      <c r="O43" s="457">
        <f t="shared" si="26"/>
        <v>6742.181818181818</v>
      </c>
      <c r="P43" s="457">
        <f t="shared" si="26"/>
        <v>6742.181818181818</v>
      </c>
      <c r="Q43" s="457">
        <f t="shared" si="26"/>
        <v>6742.181818181818</v>
      </c>
      <c r="R43" s="1678">
        <v>0</v>
      </c>
      <c r="S43" s="257"/>
      <c r="T43" s="257"/>
      <c r="U43" s="1528"/>
      <c r="W43" s="48"/>
      <c r="X43" s="48"/>
      <c r="Y43" s="48"/>
      <c r="Z43" s="48"/>
      <c r="AA43" s="48"/>
      <c r="AB43" s="48"/>
      <c r="AC43" s="48"/>
      <c r="AD43" s="48"/>
      <c r="AE43" s="48"/>
      <c r="AF43" s="48"/>
      <c r="AG43" s="48"/>
      <c r="AH43" s="48"/>
      <c r="AI43" s="48"/>
      <c r="AJ43" s="48"/>
      <c r="AK43" s="48"/>
      <c r="AL43" s="48"/>
      <c r="AM43" s="48"/>
      <c r="AN43" s="48"/>
      <c r="AO43" s="48"/>
    </row>
    <row r="44" spans="1:41">
      <c r="A44" s="290">
        <f>ROW()</f>
        <v>44</v>
      </c>
      <c r="B44" s="1599" t="s">
        <v>376</v>
      </c>
      <c r="C44" s="1592">
        <f>'Gen Optg'!G184+'Gen Optg'!G153</f>
        <v>0</v>
      </c>
      <c r="D44" s="1611">
        <f t="shared" si="22"/>
        <v>0</v>
      </c>
      <c r="E44" s="1592">
        <f t="shared" si="23"/>
        <v>0</v>
      </c>
      <c r="F44" s="1586">
        <v>0</v>
      </c>
      <c r="G44" s="457">
        <v>0</v>
      </c>
      <c r="H44" s="457">
        <v>0</v>
      </c>
      <c r="I44" s="457">
        <v>0</v>
      </c>
      <c r="J44" s="457">
        <v>0</v>
      </c>
      <c r="K44" s="457">
        <v>0</v>
      </c>
      <c r="L44" s="457">
        <v>0</v>
      </c>
      <c r="M44" s="457">
        <v>0</v>
      </c>
      <c r="N44" s="457">
        <v>0</v>
      </c>
      <c r="O44" s="457">
        <v>0</v>
      </c>
      <c r="P44" s="457">
        <v>0</v>
      </c>
      <c r="Q44" s="457">
        <v>0</v>
      </c>
      <c r="R44" s="1678">
        <v>0</v>
      </c>
      <c r="S44" s="257"/>
      <c r="T44" s="257"/>
      <c r="U44" s="1529"/>
      <c r="W44" s="48"/>
      <c r="X44" s="48"/>
      <c r="Y44" s="48"/>
      <c r="Z44" s="48"/>
      <c r="AA44" s="48"/>
      <c r="AB44" s="48"/>
      <c r="AC44" s="48"/>
      <c r="AD44" s="48"/>
      <c r="AE44" s="48"/>
      <c r="AF44" s="48"/>
      <c r="AG44" s="48"/>
      <c r="AH44" s="48"/>
      <c r="AI44" s="48"/>
      <c r="AJ44" s="48"/>
      <c r="AK44" s="48"/>
      <c r="AL44" s="48"/>
      <c r="AM44" s="48"/>
      <c r="AN44" s="48"/>
      <c r="AO44" s="48"/>
    </row>
    <row r="45" spans="1:41">
      <c r="A45" s="290">
        <f>ROW()</f>
        <v>45</v>
      </c>
      <c r="B45" s="1600" t="s">
        <v>377</v>
      </c>
      <c r="C45" s="1592">
        <f>'Gen Optg'!G197</f>
        <v>0</v>
      </c>
      <c r="D45" s="1611">
        <f t="shared" si="22"/>
        <v>0</v>
      </c>
      <c r="E45" s="1592">
        <f t="shared" si="23"/>
        <v>0</v>
      </c>
      <c r="F45" s="1586">
        <v>0</v>
      </c>
      <c r="G45" s="457">
        <v>0</v>
      </c>
      <c r="H45" s="457">
        <v>0</v>
      </c>
      <c r="I45" s="457">
        <v>0</v>
      </c>
      <c r="J45" s="457">
        <v>0</v>
      </c>
      <c r="K45" s="457">
        <v>0</v>
      </c>
      <c r="L45" s="457">
        <v>0</v>
      </c>
      <c r="M45" s="457">
        <v>0</v>
      </c>
      <c r="N45" s="457">
        <v>0</v>
      </c>
      <c r="O45" s="457">
        <v>0</v>
      </c>
      <c r="P45" s="457">
        <v>0</v>
      </c>
      <c r="Q45" s="457">
        <v>0</v>
      </c>
      <c r="R45" s="1678">
        <v>0</v>
      </c>
      <c r="S45" s="257"/>
      <c r="T45" s="257"/>
      <c r="U45" s="1529"/>
      <c r="W45" s="48"/>
      <c r="X45" s="48"/>
      <c r="Y45" s="48"/>
      <c r="Z45" s="48"/>
      <c r="AA45" s="48"/>
      <c r="AB45" s="48"/>
      <c r="AC45" s="48"/>
      <c r="AD45" s="48"/>
      <c r="AE45" s="48"/>
      <c r="AF45" s="48"/>
      <c r="AG45" s="48"/>
      <c r="AH45" s="48"/>
      <c r="AI45" s="48"/>
      <c r="AJ45" s="48"/>
      <c r="AK45" s="48"/>
      <c r="AL45" s="48"/>
      <c r="AM45" s="48"/>
      <c r="AN45" s="48"/>
      <c r="AO45" s="48"/>
    </row>
    <row r="46" spans="1:41">
      <c r="A46" s="290">
        <f>ROW()</f>
        <v>46</v>
      </c>
      <c r="B46" s="1600" t="s">
        <v>378</v>
      </c>
      <c r="C46" s="1592">
        <f>+'Gen Optg'!G199</f>
        <v>7699.1475000000064</v>
      </c>
      <c r="D46" s="1611">
        <f t="shared" si="22"/>
        <v>7699.1475000000064</v>
      </c>
      <c r="E46" s="1592">
        <f t="shared" si="23"/>
        <v>0</v>
      </c>
      <c r="F46" s="1586">
        <v>0</v>
      </c>
      <c r="G46" s="457">
        <v>0</v>
      </c>
      <c r="H46" s="457">
        <v>0</v>
      </c>
      <c r="I46" s="457">
        <v>0</v>
      </c>
      <c r="J46" s="457">
        <v>0</v>
      </c>
      <c r="K46" s="457">
        <v>0</v>
      </c>
      <c r="L46" s="457">
        <v>0</v>
      </c>
      <c r="M46" s="457">
        <v>0</v>
      </c>
      <c r="N46" s="457">
        <v>0</v>
      </c>
      <c r="O46" s="457">
        <v>0</v>
      </c>
      <c r="P46" s="457">
        <v>0</v>
      </c>
      <c r="Q46" s="457">
        <v>0</v>
      </c>
      <c r="R46" s="1678">
        <v>0</v>
      </c>
      <c r="S46" s="257"/>
      <c r="T46" s="257"/>
      <c r="U46" s="287"/>
      <c r="W46" s="48"/>
      <c r="X46" s="48"/>
      <c r="Y46" s="48"/>
      <c r="Z46" s="48"/>
      <c r="AA46" s="48"/>
      <c r="AB46" s="48"/>
      <c r="AC46" s="48"/>
      <c r="AD46" s="48"/>
      <c r="AE46" s="48"/>
      <c r="AF46" s="48"/>
      <c r="AG46" s="48"/>
      <c r="AH46" s="48"/>
      <c r="AI46" s="48"/>
      <c r="AJ46" s="48"/>
      <c r="AK46" s="48"/>
      <c r="AL46" s="48"/>
      <c r="AM46" s="48"/>
      <c r="AN46" s="48"/>
      <c r="AO46" s="48"/>
    </row>
    <row r="47" spans="1:41">
      <c r="A47" s="290">
        <f>ROW()</f>
        <v>47</v>
      </c>
      <c r="B47" s="1601" t="s">
        <v>53</v>
      </c>
      <c r="C47" s="1592">
        <f>Marketing!I44</f>
        <v>5000</v>
      </c>
      <c r="D47" s="1611">
        <f t="shared" si="22"/>
        <v>0</v>
      </c>
      <c r="E47" s="1592">
        <f t="shared" si="23"/>
        <v>5000</v>
      </c>
      <c r="F47" s="1586">
        <v>5000</v>
      </c>
      <c r="G47" s="457">
        <v>0</v>
      </c>
      <c r="H47" s="457">
        <v>0</v>
      </c>
      <c r="I47" s="457">
        <v>0</v>
      </c>
      <c r="J47" s="457">
        <v>0</v>
      </c>
      <c r="K47" s="457">
        <v>0</v>
      </c>
      <c r="L47" s="457">
        <v>0</v>
      </c>
      <c r="M47" s="457">
        <v>0</v>
      </c>
      <c r="N47" s="457">
        <v>0</v>
      </c>
      <c r="O47" s="457">
        <v>0</v>
      </c>
      <c r="P47" s="457">
        <v>0</v>
      </c>
      <c r="Q47" s="457">
        <v>0</v>
      </c>
      <c r="R47" s="1678">
        <v>0</v>
      </c>
      <c r="S47" s="257"/>
      <c r="T47" s="257"/>
      <c r="U47" s="287"/>
      <c r="W47" s="48"/>
      <c r="X47" s="48"/>
      <c r="Y47" s="48"/>
      <c r="Z47" s="48"/>
      <c r="AA47" s="48"/>
      <c r="AB47" s="48"/>
      <c r="AC47" s="48"/>
      <c r="AD47" s="48"/>
      <c r="AE47" s="48"/>
      <c r="AF47" s="48"/>
      <c r="AG47" s="48"/>
      <c r="AH47" s="48"/>
      <c r="AI47" s="48"/>
      <c r="AJ47" s="48"/>
      <c r="AK47" s="48"/>
      <c r="AL47" s="48"/>
      <c r="AM47" s="48"/>
      <c r="AN47" s="48"/>
      <c r="AO47" s="48"/>
    </row>
    <row r="48" spans="1:41">
      <c r="A48" s="290">
        <f>ROW()</f>
        <v>48</v>
      </c>
      <c r="B48" s="1599" t="s">
        <v>379</v>
      </c>
      <c r="C48" s="1592">
        <f>Facilities!G74</f>
        <v>310612.5</v>
      </c>
      <c r="D48" s="1611">
        <f t="shared" si="22"/>
        <v>0</v>
      </c>
      <c r="E48" s="1592">
        <f t="shared" si="23"/>
        <v>310612.5</v>
      </c>
      <c r="F48" s="1586">
        <f>$C$48/12</f>
        <v>25884.375</v>
      </c>
      <c r="G48" s="457">
        <f t="shared" ref="G48:Q48" si="27">$C$48/12</f>
        <v>25884.375</v>
      </c>
      <c r="H48" s="457">
        <f t="shared" si="27"/>
        <v>25884.375</v>
      </c>
      <c r="I48" s="457">
        <f t="shared" si="27"/>
        <v>25884.375</v>
      </c>
      <c r="J48" s="457">
        <f t="shared" si="27"/>
        <v>25884.375</v>
      </c>
      <c r="K48" s="457">
        <f t="shared" si="27"/>
        <v>25884.375</v>
      </c>
      <c r="L48" s="457">
        <f t="shared" si="27"/>
        <v>25884.375</v>
      </c>
      <c r="M48" s="457">
        <f t="shared" si="27"/>
        <v>25884.375</v>
      </c>
      <c r="N48" s="457">
        <f t="shared" si="27"/>
        <v>25884.375</v>
      </c>
      <c r="O48" s="457">
        <f t="shared" si="27"/>
        <v>25884.375</v>
      </c>
      <c r="P48" s="457">
        <f t="shared" si="27"/>
        <v>25884.375</v>
      </c>
      <c r="Q48" s="457">
        <f t="shared" si="27"/>
        <v>25884.375</v>
      </c>
      <c r="R48" s="1678">
        <v>0</v>
      </c>
      <c r="S48" s="257"/>
      <c r="T48" s="257"/>
      <c r="U48" s="287"/>
      <c r="W48" s="48"/>
      <c r="X48" s="48"/>
      <c r="Y48" s="48"/>
      <c r="Z48" s="48"/>
      <c r="AA48" s="48"/>
      <c r="AB48" s="48"/>
      <c r="AC48" s="48"/>
      <c r="AD48" s="48"/>
      <c r="AE48" s="48"/>
      <c r="AF48" s="48"/>
      <c r="AG48" s="48"/>
      <c r="AH48" s="48"/>
      <c r="AI48" s="48"/>
      <c r="AJ48" s="48"/>
      <c r="AK48" s="48"/>
      <c r="AL48" s="48"/>
      <c r="AM48" s="48"/>
      <c r="AN48" s="48"/>
      <c r="AO48" s="48"/>
    </row>
    <row r="49" spans="1:41">
      <c r="A49" s="290">
        <f>ROW()</f>
        <v>49</v>
      </c>
      <c r="B49" s="1600" t="s">
        <v>380</v>
      </c>
      <c r="C49" s="1592">
        <f>Facilities!G100</f>
        <v>0</v>
      </c>
      <c r="D49" s="1611"/>
      <c r="E49" s="1592">
        <f>SUM(F49:R49)</f>
        <v>0</v>
      </c>
      <c r="F49" s="1586">
        <f>C49</f>
        <v>0</v>
      </c>
      <c r="G49" s="457">
        <v>0</v>
      </c>
      <c r="H49" s="457">
        <v>0</v>
      </c>
      <c r="I49" s="457">
        <v>0</v>
      </c>
      <c r="J49" s="457">
        <v>0</v>
      </c>
      <c r="K49" s="457">
        <v>0</v>
      </c>
      <c r="L49" s="457">
        <v>0</v>
      </c>
      <c r="M49" s="457">
        <v>0</v>
      </c>
      <c r="N49" s="457">
        <v>0</v>
      </c>
      <c r="O49" s="457">
        <v>0</v>
      </c>
      <c r="P49" s="457">
        <v>0</v>
      </c>
      <c r="Q49" s="457">
        <v>0</v>
      </c>
      <c r="R49" s="1678">
        <v>0</v>
      </c>
      <c r="S49" s="257"/>
      <c r="T49" s="257"/>
      <c r="U49" s="287"/>
      <c r="W49" s="48"/>
      <c r="X49" s="48"/>
      <c r="Y49" s="48"/>
      <c r="Z49" s="48"/>
      <c r="AA49" s="48"/>
      <c r="AB49" s="48"/>
      <c r="AC49" s="48"/>
      <c r="AD49" s="48"/>
      <c r="AE49" s="48"/>
      <c r="AF49" s="48"/>
      <c r="AG49" s="48"/>
      <c r="AH49" s="48"/>
      <c r="AI49" s="48"/>
      <c r="AJ49" s="48"/>
      <c r="AK49" s="48"/>
      <c r="AL49" s="48"/>
      <c r="AM49" s="48"/>
      <c r="AN49" s="48"/>
      <c r="AO49" s="48"/>
    </row>
    <row r="50" spans="1:41">
      <c r="A50" s="290">
        <f>ROW()</f>
        <v>50</v>
      </c>
      <c r="B50" s="1600" t="s">
        <v>113</v>
      </c>
      <c r="C50" s="1592">
        <f>+'FFE&amp;T'!G43</f>
        <v>202562.91666666669</v>
      </c>
      <c r="D50" s="1611">
        <f t="shared" si="22"/>
        <v>0</v>
      </c>
      <c r="E50" s="1592">
        <f t="shared" si="23"/>
        <v>202562.91666666672</v>
      </c>
      <c r="F50" s="1586">
        <f>$C$50/12</f>
        <v>16880.243055555558</v>
      </c>
      <c r="G50" s="457">
        <f t="shared" ref="G50:Q50" si="28">$C$50/12</f>
        <v>16880.243055555558</v>
      </c>
      <c r="H50" s="457">
        <f t="shared" si="28"/>
        <v>16880.243055555558</v>
      </c>
      <c r="I50" s="457">
        <f t="shared" si="28"/>
        <v>16880.243055555558</v>
      </c>
      <c r="J50" s="457">
        <f t="shared" si="28"/>
        <v>16880.243055555558</v>
      </c>
      <c r="K50" s="457">
        <f t="shared" si="28"/>
        <v>16880.243055555558</v>
      </c>
      <c r="L50" s="457">
        <f t="shared" si="28"/>
        <v>16880.243055555558</v>
      </c>
      <c r="M50" s="457">
        <f t="shared" si="28"/>
        <v>16880.243055555558</v>
      </c>
      <c r="N50" s="457">
        <f t="shared" si="28"/>
        <v>16880.243055555558</v>
      </c>
      <c r="O50" s="457">
        <f t="shared" si="28"/>
        <v>16880.243055555558</v>
      </c>
      <c r="P50" s="457">
        <f t="shared" si="28"/>
        <v>16880.243055555558</v>
      </c>
      <c r="Q50" s="457">
        <f t="shared" si="28"/>
        <v>16880.243055555558</v>
      </c>
      <c r="R50" s="1678">
        <v>0</v>
      </c>
      <c r="S50" s="257"/>
      <c r="T50" s="257"/>
      <c r="U50" s="287"/>
      <c r="W50" s="48"/>
      <c r="X50" s="48"/>
      <c r="Y50" s="48"/>
      <c r="Z50" s="48"/>
      <c r="AA50" s="48"/>
      <c r="AB50" s="48"/>
      <c r="AC50" s="48"/>
      <c r="AD50" s="48"/>
      <c r="AE50" s="48"/>
      <c r="AF50" s="48"/>
      <c r="AG50" s="48"/>
      <c r="AH50" s="48"/>
      <c r="AI50" s="48"/>
      <c r="AJ50" s="48"/>
      <c r="AK50" s="48"/>
      <c r="AL50" s="48"/>
      <c r="AM50" s="48"/>
      <c r="AN50" s="48"/>
      <c r="AO50" s="48"/>
    </row>
    <row r="51" spans="1:41">
      <c r="A51" s="290">
        <f>ROW()</f>
        <v>51</v>
      </c>
      <c r="B51" s="1600" t="s">
        <v>55</v>
      </c>
      <c r="C51" s="1592">
        <f>'EMO-CMO-BOSP'!F39</f>
        <v>0</v>
      </c>
      <c r="D51" s="1611">
        <f t="shared" si="22"/>
        <v>0</v>
      </c>
      <c r="E51" s="1592">
        <f t="shared" si="23"/>
        <v>0</v>
      </c>
      <c r="F51" s="1586">
        <v>0</v>
      </c>
      <c r="G51" s="457">
        <v>0</v>
      </c>
      <c r="H51" s="457">
        <v>0</v>
      </c>
      <c r="I51" s="457">
        <v>0</v>
      </c>
      <c r="J51" s="457">
        <v>0</v>
      </c>
      <c r="K51" s="457">
        <v>0</v>
      </c>
      <c r="L51" s="457">
        <v>0</v>
      </c>
      <c r="M51" s="457">
        <v>0</v>
      </c>
      <c r="N51" s="457">
        <v>0</v>
      </c>
      <c r="O51" s="457">
        <v>0</v>
      </c>
      <c r="P51" s="457">
        <v>0</v>
      </c>
      <c r="Q51" s="457">
        <v>0</v>
      </c>
      <c r="R51" s="1678">
        <v>0</v>
      </c>
      <c r="S51" s="257"/>
      <c r="T51" s="257"/>
      <c r="U51" s="287"/>
      <c r="W51" s="48"/>
      <c r="X51" s="48"/>
      <c r="Y51" s="48"/>
      <c r="Z51" s="48"/>
      <c r="AA51" s="48"/>
      <c r="AB51" s="48"/>
      <c r="AC51" s="48"/>
      <c r="AD51" s="48"/>
      <c r="AE51" s="48"/>
      <c r="AF51" s="48"/>
      <c r="AG51" s="48"/>
      <c r="AH51" s="48"/>
      <c r="AI51" s="48"/>
      <c r="AJ51" s="48"/>
      <c r="AK51" s="48"/>
      <c r="AL51" s="48"/>
      <c r="AM51" s="48"/>
      <c r="AN51" s="48"/>
      <c r="AO51" s="48"/>
    </row>
    <row r="52" spans="1:41">
      <c r="A52" s="290">
        <f>ROW()</f>
        <v>52</v>
      </c>
      <c r="B52" s="1602" t="s">
        <v>51</v>
      </c>
      <c r="C52" s="1593">
        <f>+Ins!G51</f>
        <v>20600</v>
      </c>
      <c r="D52" s="1612">
        <f t="shared" si="22"/>
        <v>0</v>
      </c>
      <c r="E52" s="1593">
        <f>SUM(F52:R52)</f>
        <v>20600</v>
      </c>
      <c r="F52" s="1614">
        <f>$C$52/10</f>
        <v>2060</v>
      </c>
      <c r="G52" s="460">
        <f t="shared" ref="G52:O52" si="29">$C$52/10</f>
        <v>2060</v>
      </c>
      <c r="H52" s="460">
        <f t="shared" si="29"/>
        <v>2060</v>
      </c>
      <c r="I52" s="460">
        <f t="shared" si="29"/>
        <v>2060</v>
      </c>
      <c r="J52" s="460">
        <f t="shared" si="29"/>
        <v>2060</v>
      </c>
      <c r="K52" s="460">
        <f t="shared" si="29"/>
        <v>2060</v>
      </c>
      <c r="L52" s="460">
        <f t="shared" si="29"/>
        <v>2060</v>
      </c>
      <c r="M52" s="460">
        <f t="shared" si="29"/>
        <v>2060</v>
      </c>
      <c r="N52" s="460">
        <f t="shared" si="29"/>
        <v>2060</v>
      </c>
      <c r="O52" s="460">
        <f t="shared" si="29"/>
        <v>2060</v>
      </c>
      <c r="P52" s="460">
        <v>0</v>
      </c>
      <c r="Q52" s="460">
        <v>0</v>
      </c>
      <c r="R52" s="1679">
        <v>0</v>
      </c>
      <c r="S52" s="257"/>
      <c r="T52" s="257"/>
      <c r="U52" s="287"/>
      <c r="W52" s="48"/>
      <c r="X52" s="48"/>
      <c r="Y52" s="48"/>
      <c r="Z52" s="48"/>
      <c r="AA52" s="48"/>
      <c r="AB52" s="48"/>
      <c r="AC52" s="48"/>
      <c r="AD52" s="48"/>
      <c r="AE52" s="48"/>
      <c r="AF52" s="48"/>
      <c r="AG52" s="48"/>
      <c r="AH52" s="48"/>
      <c r="AI52" s="48"/>
      <c r="AJ52" s="48"/>
      <c r="AK52" s="48"/>
      <c r="AL52" s="48"/>
      <c r="AM52" s="48"/>
      <c r="AN52" s="48"/>
      <c r="AO52" s="48"/>
    </row>
    <row r="53" spans="1:41">
      <c r="A53" s="290">
        <f>ROW()</f>
        <v>53</v>
      </c>
      <c r="B53" s="706" t="s">
        <v>381</v>
      </c>
      <c r="C53" s="1605">
        <f t="shared" ref="C53:R53" si="30">SUM(C41:C52)</f>
        <v>3080804.4369022665</v>
      </c>
      <c r="D53" s="1608">
        <f t="shared" si="30"/>
        <v>7699.1475000000064</v>
      </c>
      <c r="E53" s="1615">
        <f t="shared" si="30"/>
        <v>3073105.289402267</v>
      </c>
      <c r="F53" s="707">
        <f t="shared" si="30"/>
        <v>326061.92255435552</v>
      </c>
      <c r="G53" s="707">
        <f t="shared" si="30"/>
        <v>250105.76062253737</v>
      </c>
      <c r="H53" s="707">
        <f t="shared" si="30"/>
        <v>250105.76062253737</v>
      </c>
      <c r="I53" s="707">
        <f t="shared" si="30"/>
        <v>250105.76062253737</v>
      </c>
      <c r="J53" s="707">
        <f t="shared" si="30"/>
        <v>250105.76062253737</v>
      </c>
      <c r="K53" s="707">
        <f t="shared" si="30"/>
        <v>250105.76062253737</v>
      </c>
      <c r="L53" s="707">
        <f t="shared" si="30"/>
        <v>250105.76062253737</v>
      </c>
      <c r="M53" s="707">
        <f t="shared" si="30"/>
        <v>250105.76062253737</v>
      </c>
      <c r="N53" s="707">
        <f>SUM(N41:N52)</f>
        <v>250105.76062253737</v>
      </c>
      <c r="O53" s="707">
        <f t="shared" si="30"/>
        <v>250105.76062253737</v>
      </c>
      <c r="P53" s="707">
        <f t="shared" si="30"/>
        <v>248045.76062253737</v>
      </c>
      <c r="Q53" s="707">
        <f t="shared" ref="Q53" si="31">SUM(Q41:Q52)</f>
        <v>248045.76062253737</v>
      </c>
      <c r="R53" s="707">
        <f t="shared" si="30"/>
        <v>0</v>
      </c>
      <c r="U53" s="287"/>
      <c r="W53" s="48"/>
      <c r="X53" s="48"/>
      <c r="Y53" s="48"/>
      <c r="Z53" s="48"/>
      <c r="AA53" s="48"/>
      <c r="AB53" s="48"/>
      <c r="AC53" s="48"/>
      <c r="AD53" s="48"/>
      <c r="AE53" s="48"/>
      <c r="AF53" s="48"/>
      <c r="AG53" s="48"/>
      <c r="AH53" s="48"/>
      <c r="AI53" s="48"/>
      <c r="AJ53" s="48"/>
      <c r="AK53" s="48"/>
      <c r="AL53" s="48"/>
      <c r="AM53" s="48"/>
      <c r="AN53" s="48"/>
      <c r="AO53" s="48"/>
    </row>
    <row r="54" spans="1:41">
      <c r="A54" s="290">
        <f>ROW()</f>
        <v>54</v>
      </c>
      <c r="B54" s="1603" t="s">
        <v>382</v>
      </c>
      <c r="C54" s="1606">
        <f>+Summary!G54-C53</f>
        <v>0</v>
      </c>
      <c r="D54" s="1609"/>
      <c r="E54" s="1616">
        <f>SUM(F54:R54)</f>
        <v>304494.3480977334</v>
      </c>
      <c r="F54" s="1000">
        <f t="shared" ref="F54:R54" si="32">F36-F53</f>
        <v>-169845.59442935552</v>
      </c>
      <c r="G54" s="1000">
        <f t="shared" si="32"/>
        <v>-72819.744997537375</v>
      </c>
      <c r="H54" s="1000">
        <f t="shared" si="32"/>
        <v>-72819.744997537375</v>
      </c>
      <c r="I54" s="1000">
        <f t="shared" si="32"/>
        <v>-72819.744997537375</v>
      </c>
      <c r="J54" s="1000">
        <f t="shared" si="32"/>
        <v>187540.80187746263</v>
      </c>
      <c r="K54" s="1000">
        <f t="shared" si="32"/>
        <v>31324.473752462625</v>
      </c>
      <c r="L54" s="1000">
        <f t="shared" si="32"/>
        <v>37128.348752462625</v>
      </c>
      <c r="M54" s="1000">
        <f t="shared" si="32"/>
        <v>37128.348752462625</v>
      </c>
      <c r="N54" s="1000">
        <f t="shared" si="32"/>
        <v>37128.348752462625</v>
      </c>
      <c r="O54" s="1000">
        <f t="shared" si="32"/>
        <v>37128.348752462625</v>
      </c>
      <c r="P54" s="1000">
        <f t="shared" si="32"/>
        <v>39188.348752462625</v>
      </c>
      <c r="Q54" s="1000">
        <f t="shared" ref="Q54" si="33">Q36-Q53</f>
        <v>25871.611252462637</v>
      </c>
      <c r="R54" s="1000">
        <f t="shared" si="32"/>
        <v>260360.546875</v>
      </c>
      <c r="U54" s="287"/>
      <c r="W54" s="48"/>
      <c r="X54" s="48"/>
      <c r="Y54" s="48"/>
      <c r="Z54" s="48"/>
      <c r="AA54" s="48"/>
      <c r="AB54" s="48"/>
      <c r="AC54" s="48"/>
      <c r="AD54" s="48"/>
      <c r="AE54" s="48"/>
      <c r="AF54" s="48"/>
      <c r="AG54" s="48"/>
      <c r="AH54" s="48"/>
      <c r="AI54" s="48"/>
      <c r="AJ54" s="48"/>
      <c r="AK54" s="48"/>
      <c r="AL54" s="48"/>
      <c r="AM54" s="48"/>
      <c r="AN54" s="48"/>
      <c r="AO54" s="48"/>
    </row>
    <row r="55" spans="1:41">
      <c r="A55" s="290">
        <f>ROW()</f>
        <v>55</v>
      </c>
      <c r="B55" s="994" t="s">
        <v>383</v>
      </c>
      <c r="C55" s="1607">
        <f>+C36-C53</f>
        <v>296795.20059773372</v>
      </c>
      <c r="D55" s="117">
        <f>+D36-D53</f>
        <v>-7699.1475000000064</v>
      </c>
      <c r="E55" s="1617">
        <f>+E36-(E53+D53)</f>
        <v>296795.20059773326</v>
      </c>
      <c r="F55" s="995">
        <f t="shared" ref="F55:R55" si="34">+F36-F53</f>
        <v>-169845.59442935552</v>
      </c>
      <c r="G55" s="995">
        <f t="shared" si="34"/>
        <v>-72819.744997537375</v>
      </c>
      <c r="H55" s="995">
        <f t="shared" si="34"/>
        <v>-72819.744997537375</v>
      </c>
      <c r="I55" s="995">
        <f t="shared" si="34"/>
        <v>-72819.744997537375</v>
      </c>
      <c r="J55" s="995">
        <f t="shared" si="34"/>
        <v>187540.80187746263</v>
      </c>
      <c r="K55" s="995">
        <f t="shared" si="34"/>
        <v>31324.473752462625</v>
      </c>
      <c r="L55" s="995">
        <f t="shared" si="34"/>
        <v>37128.348752462625</v>
      </c>
      <c r="M55" s="995">
        <f t="shared" si="34"/>
        <v>37128.348752462625</v>
      </c>
      <c r="N55" s="995">
        <f t="shared" si="34"/>
        <v>37128.348752462625</v>
      </c>
      <c r="O55" s="995">
        <f t="shared" si="34"/>
        <v>37128.348752462625</v>
      </c>
      <c r="P55" s="995">
        <f t="shared" si="34"/>
        <v>39188.348752462625</v>
      </c>
      <c r="Q55" s="995">
        <f t="shared" ref="Q55" si="35">+Q36-Q53</f>
        <v>25871.611252462637</v>
      </c>
      <c r="R55" s="995">
        <f t="shared" si="34"/>
        <v>260360.546875</v>
      </c>
      <c r="U55" s="287"/>
      <c r="W55" s="48"/>
      <c r="X55" s="48"/>
      <c r="Y55" s="48"/>
      <c r="Z55" s="48"/>
      <c r="AA55" s="48"/>
      <c r="AB55" s="48"/>
      <c r="AC55" s="48"/>
      <c r="AD55" s="48"/>
      <c r="AE55" s="48"/>
      <c r="AF55" s="48"/>
      <c r="AG55" s="48"/>
      <c r="AH55" s="48"/>
      <c r="AI55" s="48"/>
      <c r="AJ55" s="48"/>
      <c r="AK55" s="48"/>
      <c r="AL55" s="48"/>
      <c r="AM55" s="48"/>
      <c r="AN55" s="48"/>
      <c r="AO55" s="48"/>
    </row>
    <row r="56" spans="1:41" ht="16.2">
      <c r="A56" s="290">
        <f>ROW()</f>
        <v>56</v>
      </c>
      <c r="B56" s="1252" t="s">
        <v>384</v>
      </c>
      <c r="C56" s="997"/>
      <c r="D56" s="998"/>
      <c r="E56" s="999"/>
      <c r="F56" s="999">
        <f>+F55</f>
        <v>-169845.59442935552</v>
      </c>
      <c r="G56" s="999">
        <f>+F56+G55</f>
        <v>-242665.3394268929</v>
      </c>
      <c r="H56" s="999">
        <f t="shared" ref="H56:R56" si="36">+G56+H55</f>
        <v>-315485.08442443027</v>
      </c>
      <c r="I56" s="999">
        <f t="shared" si="36"/>
        <v>-388304.82942196762</v>
      </c>
      <c r="J56" s="999">
        <f t="shared" si="36"/>
        <v>-200764.02754450499</v>
      </c>
      <c r="K56" s="999">
        <f t="shared" si="36"/>
        <v>-169439.55379204237</v>
      </c>
      <c r="L56" s="999">
        <f t="shared" si="36"/>
        <v>-132311.20503957974</v>
      </c>
      <c r="M56" s="999">
        <f t="shared" si="36"/>
        <v>-95182.856287117116</v>
      </c>
      <c r="N56" s="999">
        <f t="shared" si="36"/>
        <v>-58054.507534654491</v>
      </c>
      <c r="O56" s="999">
        <f t="shared" si="36"/>
        <v>-20926.158782191866</v>
      </c>
      <c r="P56" s="999">
        <f t="shared" si="36"/>
        <v>18262.18997027076</v>
      </c>
      <c r="Q56" s="999">
        <f t="shared" si="36"/>
        <v>44133.801222733397</v>
      </c>
      <c r="R56" s="999">
        <f t="shared" si="36"/>
        <v>304494.3480977334</v>
      </c>
      <c r="U56" s="287"/>
      <c r="W56" s="48"/>
      <c r="X56" s="48"/>
      <c r="Y56" s="48"/>
      <c r="Z56" s="48"/>
      <c r="AA56" s="48"/>
      <c r="AB56" s="48"/>
      <c r="AC56" s="48"/>
      <c r="AD56" s="48"/>
      <c r="AE56" s="48"/>
      <c r="AF56" s="48"/>
      <c r="AG56" s="48"/>
      <c r="AH56" s="48"/>
      <c r="AI56" s="48"/>
      <c r="AJ56" s="48"/>
      <c r="AK56" s="48"/>
      <c r="AL56" s="48"/>
      <c r="AM56" s="48"/>
      <c r="AN56" s="48"/>
      <c r="AO56" s="48"/>
    </row>
    <row r="57" spans="1:41" ht="16.2">
      <c r="A57" s="290">
        <f>ROW()</f>
        <v>57</v>
      </c>
      <c r="B57" s="1025"/>
      <c r="C57" s="1026"/>
      <c r="D57" s="1027"/>
      <c r="E57" s="1028"/>
      <c r="F57" s="1028"/>
      <c r="G57" s="1028"/>
      <c r="H57" s="1028"/>
      <c r="I57" s="1028"/>
      <c r="J57" s="1028"/>
      <c r="K57" s="1028"/>
      <c r="L57" s="1028"/>
      <c r="M57" s="1028"/>
      <c r="N57" s="1028"/>
      <c r="O57" s="1028"/>
      <c r="P57" s="1028"/>
      <c r="Q57" s="1028"/>
      <c r="R57" s="1028"/>
      <c r="U57" s="287"/>
      <c r="W57" s="48"/>
      <c r="X57" s="48"/>
      <c r="Y57" s="48"/>
      <c r="Z57" s="48"/>
      <c r="AA57" s="48"/>
      <c r="AB57" s="48"/>
      <c r="AC57" s="48"/>
      <c r="AD57" s="48"/>
      <c r="AE57" s="48"/>
      <c r="AF57" s="48"/>
      <c r="AG57" s="48"/>
      <c r="AH57" s="48"/>
      <c r="AI57" s="48"/>
      <c r="AJ57" s="48"/>
      <c r="AK57" s="48"/>
      <c r="AL57" s="48"/>
      <c r="AM57" s="48"/>
      <c r="AN57" s="48"/>
      <c r="AO57" s="48"/>
    </row>
    <row r="58" spans="1:41">
      <c r="A58" s="290">
        <f>ROW()</f>
        <v>58</v>
      </c>
      <c r="B58" s="12" t="s">
        <v>385</v>
      </c>
      <c r="C58" s="12"/>
      <c r="D58" s="993"/>
      <c r="E58" s="993"/>
      <c r="F58" s="463">
        <f>F53</f>
        <v>326061.92255435552</v>
      </c>
      <c r="G58" s="463">
        <f t="shared" ref="G58:R58" si="37">F58+G53</f>
        <v>576167.68317689293</v>
      </c>
      <c r="H58" s="463">
        <f t="shared" si="37"/>
        <v>826273.44379943027</v>
      </c>
      <c r="I58" s="463">
        <f t="shared" si="37"/>
        <v>1076379.2044219677</v>
      </c>
      <c r="J58" s="463">
        <f t="shared" si="37"/>
        <v>1326484.9650445052</v>
      </c>
      <c r="K58" s="463">
        <f t="shared" si="37"/>
        <v>1576590.7256670427</v>
      </c>
      <c r="L58" s="463">
        <f t="shared" si="37"/>
        <v>1826696.4862895801</v>
      </c>
      <c r="M58" s="463">
        <f t="shared" si="37"/>
        <v>2076802.2469121176</v>
      </c>
      <c r="N58" s="463">
        <f t="shared" si="37"/>
        <v>2326908.0075346548</v>
      </c>
      <c r="O58" s="463">
        <f t="shared" si="37"/>
        <v>2577013.768157192</v>
      </c>
      <c r="P58" s="463">
        <f t="shared" si="37"/>
        <v>2825059.5287797293</v>
      </c>
      <c r="Q58" s="463">
        <f t="shared" si="37"/>
        <v>3073105.2894022665</v>
      </c>
      <c r="R58" s="463">
        <f t="shared" si="37"/>
        <v>3073105.2894022665</v>
      </c>
      <c r="U58" s="287"/>
      <c r="W58" s="48"/>
      <c r="X58" s="48"/>
      <c r="Y58" s="48"/>
      <c r="Z58" s="48"/>
      <c r="AA58" s="48"/>
      <c r="AB58" s="48"/>
      <c r="AC58" s="48"/>
      <c r="AD58" s="48"/>
      <c r="AE58" s="48"/>
      <c r="AF58" s="48"/>
      <c r="AG58" s="48"/>
      <c r="AH58" s="48"/>
      <c r="AI58" s="48"/>
      <c r="AJ58" s="48"/>
      <c r="AK58" s="48"/>
      <c r="AL58" s="48"/>
      <c r="AM58" s="48"/>
      <c r="AN58" s="48"/>
      <c r="AO58" s="48"/>
    </row>
    <row r="59" spans="1:41">
      <c r="A59" s="290">
        <f>ROW()</f>
        <v>59</v>
      </c>
      <c r="B59" s="13" t="s">
        <v>386</v>
      </c>
      <c r="C59" s="13"/>
      <c r="D59" s="13"/>
      <c r="E59" s="472"/>
      <c r="F59" s="465">
        <f t="shared" ref="F59:R59" si="38">IFERROR(F58/$E53,0)</f>
        <v>0.10610177388935998</v>
      </c>
      <c r="G59" s="465">
        <f t="shared" si="38"/>
        <v>0.18748712748757143</v>
      </c>
      <c r="H59" s="465">
        <f t="shared" si="38"/>
        <v>0.26887248108578288</v>
      </c>
      <c r="I59" s="465">
        <f t="shared" si="38"/>
        <v>0.3502578346839943</v>
      </c>
      <c r="J59" s="465">
        <f t="shared" si="38"/>
        <v>0.43164318828220577</v>
      </c>
      <c r="K59" s="465">
        <f t="shared" si="38"/>
        <v>0.51302854188041724</v>
      </c>
      <c r="L59" s="465">
        <f t="shared" si="38"/>
        <v>0.59441389547862866</v>
      </c>
      <c r="M59" s="465">
        <f t="shared" si="38"/>
        <v>0.67579924907684019</v>
      </c>
      <c r="N59" s="465">
        <f t="shared" si="38"/>
        <v>0.7571846026750515</v>
      </c>
      <c r="O59" s="465">
        <f t="shared" si="38"/>
        <v>0.83856995627326292</v>
      </c>
      <c r="P59" s="465">
        <f t="shared" si="38"/>
        <v>0.91928497813663135</v>
      </c>
      <c r="Q59" s="465">
        <f t="shared" si="38"/>
        <v>0.99999999999999989</v>
      </c>
      <c r="R59" s="465">
        <f t="shared" si="38"/>
        <v>0.99999999999999989</v>
      </c>
      <c r="U59" s="287"/>
      <c r="W59" s="48"/>
      <c r="X59" s="48"/>
      <c r="Y59" s="48"/>
      <c r="Z59" s="48"/>
      <c r="AA59" s="48"/>
      <c r="AB59" s="48"/>
      <c r="AC59" s="48"/>
      <c r="AD59" s="48"/>
      <c r="AE59" s="48"/>
      <c r="AF59" s="48"/>
      <c r="AG59" s="48"/>
      <c r="AH59" s="48"/>
      <c r="AI59" s="48"/>
      <c r="AJ59" s="48"/>
      <c r="AK59" s="48"/>
      <c r="AL59" s="48"/>
      <c r="AM59" s="48"/>
      <c r="AN59" s="48"/>
      <c r="AO59" s="48"/>
    </row>
    <row r="60" spans="1:41">
      <c r="A60" s="290">
        <f>ROW()</f>
        <v>60</v>
      </c>
      <c r="B60" s="12" t="s">
        <v>387</v>
      </c>
      <c r="C60" s="12"/>
      <c r="D60" s="12"/>
      <c r="E60" s="27"/>
      <c r="F60" s="996">
        <f t="shared" ref="F60:R60" si="39">IFERROR((F38-F59)/F38,0)</f>
        <v>-1.2940579728647317</v>
      </c>
      <c r="G60" s="996">
        <f t="shared" si="39"/>
        <v>-0.8988066072262425</v>
      </c>
      <c r="H60" s="996">
        <f t="shared" si="39"/>
        <v>-0.77792539313203857</v>
      </c>
      <c r="I60" s="996">
        <f t="shared" si="39"/>
        <v>-0.71933555214898703</v>
      </c>
      <c r="J60" s="996">
        <f t="shared" si="39"/>
        <v>-0.29509705976426565</v>
      </c>
      <c r="K60" s="996">
        <f t="shared" si="39"/>
        <v>-0.23142776107951782</v>
      </c>
      <c r="L60" s="996">
        <f t="shared" si="39"/>
        <v>-0.18490887527802596</v>
      </c>
      <c r="M60" s="996">
        <f t="shared" si="39"/>
        <v>-0.15187573834992885</v>
      </c>
      <c r="N60" s="996">
        <f t="shared" si="39"/>
        <v>-0.12720651179806697</v>
      </c>
      <c r="O60" s="996">
        <f t="shared" si="39"/>
        <v>-0.10808157354963077</v>
      </c>
      <c r="P60" s="996">
        <f t="shared" si="39"/>
        <v>-9.2024370101358763E-2</v>
      </c>
      <c r="Q60" s="996">
        <f t="shared" si="39"/>
        <v>-0.19349600438092859</v>
      </c>
      <c r="R60" s="996">
        <f t="shared" si="39"/>
        <v>-8.8255610088953496E-2</v>
      </c>
      <c r="U60" s="287"/>
      <c r="W60" s="48"/>
      <c r="X60" s="48"/>
      <c r="Y60" s="48"/>
      <c r="Z60" s="48"/>
      <c r="AA60" s="48"/>
      <c r="AB60" s="48"/>
      <c r="AC60" s="48"/>
      <c r="AD60" s="48"/>
      <c r="AE60" s="48"/>
      <c r="AF60" s="48"/>
      <c r="AG60" s="48"/>
      <c r="AH60" s="48"/>
      <c r="AI60" s="48"/>
      <c r="AJ60" s="48"/>
      <c r="AK60" s="48"/>
      <c r="AL60" s="48"/>
      <c r="AM60" s="48"/>
      <c r="AN60" s="48"/>
      <c r="AO60" s="48"/>
    </row>
    <row r="61" spans="1:41">
      <c r="A61" s="290">
        <f>ROW()</f>
        <v>61</v>
      </c>
      <c r="B61" s="12" t="s">
        <v>388</v>
      </c>
      <c r="C61" s="12"/>
      <c r="D61" s="12"/>
      <c r="E61" s="27"/>
      <c r="F61" s="1002">
        <f>+F15</f>
        <v>31</v>
      </c>
      <c r="G61" s="1002">
        <f t="shared" ref="G61:R61" si="40">+F61+G15</f>
        <v>62</v>
      </c>
      <c r="H61" s="1002">
        <f t="shared" si="40"/>
        <v>92</v>
      </c>
      <c r="I61" s="1002">
        <f t="shared" si="40"/>
        <v>123</v>
      </c>
      <c r="J61" s="1002">
        <f t="shared" si="40"/>
        <v>153</v>
      </c>
      <c r="K61" s="1002">
        <f t="shared" si="40"/>
        <v>184</v>
      </c>
      <c r="L61" s="1002">
        <f t="shared" si="40"/>
        <v>215</v>
      </c>
      <c r="M61" s="1002">
        <f t="shared" si="40"/>
        <v>243</v>
      </c>
      <c r="N61" s="1002">
        <f t="shared" si="40"/>
        <v>274</v>
      </c>
      <c r="O61" s="1002">
        <f t="shared" si="40"/>
        <v>304</v>
      </c>
      <c r="P61" s="1002">
        <f t="shared" si="40"/>
        <v>335</v>
      </c>
      <c r="Q61" s="1002">
        <f t="shared" si="40"/>
        <v>365</v>
      </c>
      <c r="R61" s="1002">
        <f t="shared" si="40"/>
        <v>365</v>
      </c>
      <c r="U61" s="287"/>
      <c r="W61" s="48"/>
      <c r="X61" s="48"/>
      <c r="Y61" s="48"/>
      <c r="Z61" s="48"/>
      <c r="AA61" s="48"/>
      <c r="AB61" s="48"/>
      <c r="AC61" s="48"/>
      <c r="AD61" s="48"/>
      <c r="AE61" s="48"/>
      <c r="AF61" s="48"/>
      <c r="AG61" s="48"/>
      <c r="AH61" s="48"/>
      <c r="AI61" s="48"/>
      <c r="AJ61" s="48"/>
      <c r="AK61" s="48"/>
      <c r="AL61" s="48"/>
      <c r="AM61" s="48"/>
      <c r="AN61" s="48"/>
      <c r="AO61" s="48"/>
    </row>
    <row r="62" spans="1:41">
      <c r="A62" s="290">
        <f>ROW()</f>
        <v>62</v>
      </c>
      <c r="B62" s="12"/>
      <c r="C62" s="12"/>
      <c r="D62" s="12"/>
      <c r="E62" s="27"/>
      <c r="F62" s="28"/>
      <c r="G62" s="28"/>
      <c r="H62" s="28"/>
      <c r="I62" s="28"/>
      <c r="J62" s="28"/>
      <c r="K62" s="28"/>
      <c r="L62" s="28"/>
      <c r="M62" s="28"/>
      <c r="N62" s="28"/>
      <c r="O62" s="28"/>
      <c r="P62" s="28"/>
      <c r="Q62" s="28"/>
      <c r="R62" s="28"/>
      <c r="U62" s="287"/>
      <c r="W62" s="48"/>
      <c r="X62" s="48"/>
      <c r="Y62" s="48"/>
      <c r="Z62" s="48"/>
      <c r="AA62" s="48"/>
      <c r="AB62" s="48"/>
      <c r="AC62" s="48"/>
      <c r="AD62" s="48"/>
      <c r="AE62" s="48"/>
      <c r="AF62" s="48"/>
      <c r="AG62" s="48"/>
      <c r="AH62" s="48"/>
      <c r="AI62" s="48"/>
      <c r="AJ62" s="48"/>
      <c r="AK62" s="48"/>
      <c r="AL62" s="48"/>
      <c r="AM62" s="48"/>
      <c r="AN62" s="48"/>
      <c r="AO62" s="48"/>
    </row>
    <row r="63" spans="1:41">
      <c r="A63" s="290">
        <f>ROW()</f>
        <v>63</v>
      </c>
      <c r="B63" s="12"/>
      <c r="C63" s="12"/>
      <c r="D63" s="12"/>
      <c r="E63" s="27"/>
      <c r="F63" s="28"/>
      <c r="G63" s="28"/>
      <c r="H63" s="28"/>
      <c r="I63" s="28"/>
      <c r="J63" s="28"/>
      <c r="K63" s="28"/>
      <c r="L63" s="28"/>
      <c r="M63" s="28"/>
      <c r="N63" s="28"/>
      <c r="O63" s="28"/>
      <c r="P63" s="28"/>
      <c r="Q63" s="28"/>
      <c r="R63" s="28"/>
      <c r="U63" s="287"/>
      <c r="W63" s="48"/>
      <c r="X63" s="48"/>
      <c r="Y63" s="48"/>
      <c r="Z63" s="48"/>
      <c r="AA63" s="48"/>
      <c r="AB63" s="48"/>
      <c r="AC63" s="48"/>
      <c r="AD63" s="48"/>
      <c r="AE63" s="48"/>
      <c r="AF63" s="48"/>
      <c r="AG63" s="48"/>
      <c r="AH63" s="48"/>
      <c r="AI63" s="48"/>
      <c r="AJ63" s="48"/>
      <c r="AK63" s="48"/>
      <c r="AL63" s="48"/>
      <c r="AM63" s="48"/>
      <c r="AN63" s="48"/>
      <c r="AO63" s="48"/>
    </row>
    <row r="64" spans="1:41" ht="15.6">
      <c r="A64" s="290">
        <f>ROW()</f>
        <v>64</v>
      </c>
      <c r="B64" s="1542" t="s">
        <v>1241</v>
      </c>
      <c r="C64" s="12"/>
      <c r="D64" s="12"/>
      <c r="E64" s="27"/>
      <c r="F64" s="28"/>
      <c r="G64" s="28"/>
      <c r="H64" s="28"/>
      <c r="I64" s="28"/>
      <c r="J64" s="28"/>
      <c r="K64" s="28"/>
      <c r="L64" s="28"/>
      <c r="M64" s="28"/>
      <c r="N64" s="28"/>
      <c r="O64" s="28"/>
      <c r="P64" s="28"/>
      <c r="Q64" s="28"/>
      <c r="R64" s="28"/>
      <c r="U64" s="287"/>
      <c r="W64" s="48"/>
      <c r="X64" s="48"/>
      <c r="Y64" s="48"/>
      <c r="Z64" s="48"/>
      <c r="AA64" s="48"/>
      <c r="AB64" s="48"/>
      <c r="AC64" s="48"/>
      <c r="AD64" s="48"/>
      <c r="AE64" s="48"/>
      <c r="AF64" s="48"/>
      <c r="AG64" s="48"/>
      <c r="AH64" s="48"/>
      <c r="AI64" s="48"/>
      <c r="AJ64" s="48"/>
      <c r="AK64" s="48"/>
      <c r="AL64" s="48"/>
      <c r="AM64" s="48"/>
      <c r="AN64" s="48"/>
      <c r="AO64" s="48"/>
    </row>
    <row r="65" spans="1:41">
      <c r="A65" s="290">
        <f>ROW()</f>
        <v>65</v>
      </c>
      <c r="B65" s="1539" t="s">
        <v>389</v>
      </c>
      <c r="C65" s="1539"/>
      <c r="D65" s="1539"/>
      <c r="E65" s="1540"/>
      <c r="F65" s="1541"/>
      <c r="G65" s="1541"/>
      <c r="H65" s="1541"/>
      <c r="I65" s="1541"/>
      <c r="J65" s="1541"/>
      <c r="K65" s="1541"/>
      <c r="L65" s="1541"/>
      <c r="M65" s="1541"/>
      <c r="N65" s="1541"/>
      <c r="O65" s="1541"/>
      <c r="P65" s="1541"/>
      <c r="Q65" s="1541"/>
      <c r="R65" s="1541"/>
      <c r="U65" s="287"/>
      <c r="W65" s="48"/>
      <c r="X65" s="48"/>
      <c r="Y65" s="48"/>
      <c r="Z65" s="48"/>
      <c r="AA65" s="48"/>
      <c r="AB65" s="48"/>
      <c r="AC65" s="48"/>
      <c r="AD65" s="48"/>
      <c r="AE65" s="48"/>
      <c r="AF65" s="48"/>
      <c r="AG65" s="48"/>
      <c r="AH65" s="48"/>
      <c r="AI65" s="48"/>
      <c r="AJ65" s="48"/>
      <c r="AK65" s="48"/>
      <c r="AL65" s="48"/>
      <c r="AM65" s="48"/>
      <c r="AN65" s="48"/>
      <c r="AO65" s="48"/>
    </row>
    <row r="66" spans="1:41">
      <c r="A66" s="290">
        <f>ROW()</f>
        <v>66</v>
      </c>
      <c r="B66" s="30" t="s">
        <v>390</v>
      </c>
      <c r="F66" s="483">
        <f>500*' Enrol &amp; Rev'!G36</f>
        <v>137500</v>
      </c>
      <c r="G66" s="1383">
        <f>+F71</f>
        <v>170418.51109602218</v>
      </c>
      <c r="H66" s="1383">
        <f t="shared" ref="H66:R66" si="41">+G71</f>
        <v>243948.3332231263</v>
      </c>
      <c r="I66" s="1383">
        <f t="shared" si="41"/>
        <v>317784.52960909338</v>
      </c>
      <c r="J66" s="1383">
        <f t="shared" si="41"/>
        <v>391928.37681333534</v>
      </c>
      <c r="K66" s="1383">
        <f t="shared" si="41"/>
        <v>206020.6098392616</v>
      </c>
      <c r="L66" s="1383">
        <f t="shared" si="41"/>
        <v>175554.55529446257</v>
      </c>
      <c r="M66" s="1383">
        <f t="shared" si="41"/>
        <v>139157.68385572688</v>
      </c>
      <c r="N66" s="1383">
        <f t="shared" si="41"/>
        <v>102609.15878599643</v>
      </c>
      <c r="O66" s="1383">
        <f t="shared" si="41"/>
        <v>65908.348195142127</v>
      </c>
      <c r="P66" s="1383">
        <f t="shared" si="41"/>
        <v>29054.617560159255</v>
      </c>
      <c r="Q66" s="1383">
        <f t="shared" si="41"/>
        <v>0</v>
      </c>
      <c r="R66" s="1383">
        <f t="shared" si="41"/>
        <v>0</v>
      </c>
      <c r="U66" s="287" t="s">
        <v>1412</v>
      </c>
      <c r="W66" s="48"/>
      <c r="X66" s="48"/>
      <c r="Y66" s="48"/>
      <c r="Z66" s="48"/>
      <c r="AA66" s="48"/>
      <c r="AB66" s="48"/>
      <c r="AC66" s="48"/>
      <c r="AD66" s="48"/>
      <c r="AE66" s="48"/>
      <c r="AF66" s="48"/>
      <c r="AG66" s="48"/>
      <c r="AH66" s="48"/>
      <c r="AI66" s="48"/>
      <c r="AJ66" s="48"/>
      <c r="AK66" s="48"/>
      <c r="AL66" s="48"/>
      <c r="AM66" s="48"/>
      <c r="AN66" s="48"/>
      <c r="AO66" s="48"/>
    </row>
    <row r="67" spans="1:41">
      <c r="A67" s="290">
        <f>ROW()</f>
        <v>67</v>
      </c>
      <c r="B67" s="11" t="s">
        <v>391</v>
      </c>
      <c r="C67" s="12"/>
      <c r="D67" s="12"/>
      <c r="E67" s="471">
        <f>SUM(F67:R67)</f>
        <v>250804.82942196765</v>
      </c>
      <c r="F67" s="1001">
        <f>IF(F55&lt;0,-F55,0)-F66</f>
        <v>32345.594429355522</v>
      </c>
      <c r="G67" s="1001">
        <f t="shared" ref="G67:R67" si="42">IF(G55&lt;0,-G55,0)</f>
        <v>72819.744997537375</v>
      </c>
      <c r="H67" s="1001">
        <f t="shared" si="42"/>
        <v>72819.744997537375</v>
      </c>
      <c r="I67" s="1001">
        <f t="shared" si="42"/>
        <v>72819.744997537375</v>
      </c>
      <c r="J67" s="1001">
        <f t="shared" si="42"/>
        <v>0</v>
      </c>
      <c r="K67" s="1001">
        <f t="shared" si="42"/>
        <v>0</v>
      </c>
      <c r="L67" s="1001">
        <f t="shared" si="42"/>
        <v>0</v>
      </c>
      <c r="M67" s="1001">
        <f t="shared" si="42"/>
        <v>0</v>
      </c>
      <c r="N67" s="1001">
        <f t="shared" si="42"/>
        <v>0</v>
      </c>
      <c r="O67" s="1001">
        <f t="shared" si="42"/>
        <v>0</v>
      </c>
      <c r="P67" s="1001">
        <f t="shared" si="42"/>
        <v>0</v>
      </c>
      <c r="Q67" s="1001">
        <f t="shared" si="42"/>
        <v>0</v>
      </c>
      <c r="R67" s="1001">
        <f t="shared" si="42"/>
        <v>0</v>
      </c>
      <c r="U67" s="287" t="s">
        <v>1450</v>
      </c>
      <c r="W67" s="48"/>
      <c r="X67" s="48"/>
      <c r="Y67" s="48"/>
      <c r="Z67" s="48"/>
      <c r="AA67" s="48"/>
      <c r="AB67" s="48"/>
      <c r="AC67" s="48"/>
      <c r="AD67" s="48"/>
      <c r="AE67" s="48"/>
      <c r="AF67" s="48"/>
      <c r="AG67" s="48"/>
      <c r="AH67" s="48"/>
      <c r="AI67" s="48"/>
      <c r="AJ67" s="48"/>
      <c r="AK67" s="48"/>
      <c r="AL67" s="48"/>
      <c r="AM67" s="48"/>
      <c r="AN67" s="48"/>
      <c r="AO67" s="48"/>
    </row>
    <row r="68" spans="1:41">
      <c r="A68" s="290">
        <f>ROW()</f>
        <v>68</v>
      </c>
      <c r="B68" s="11" t="s">
        <v>392</v>
      </c>
      <c r="C68" s="12"/>
      <c r="D68" s="12"/>
      <c r="E68" s="471"/>
      <c r="F68" s="1618">
        <f>SUM(F66:F67)</f>
        <v>169845.59442935552</v>
      </c>
      <c r="G68" s="1618">
        <f>SUM(G66:G67)</f>
        <v>243238.25609355955</v>
      </c>
      <c r="H68" s="1618">
        <f t="shared" ref="H68:R68" si="43">SUM(H66:H67)</f>
        <v>316768.07822066371</v>
      </c>
      <c r="I68" s="1618">
        <f t="shared" si="43"/>
        <v>390604.27460663079</v>
      </c>
      <c r="J68" s="1618">
        <f t="shared" si="43"/>
        <v>391928.37681333534</v>
      </c>
      <c r="K68" s="1618">
        <f t="shared" si="43"/>
        <v>206020.6098392616</v>
      </c>
      <c r="L68" s="1618">
        <f t="shared" si="43"/>
        <v>175554.55529446257</v>
      </c>
      <c r="M68" s="1618">
        <f t="shared" si="43"/>
        <v>139157.68385572688</v>
      </c>
      <c r="N68" s="1618">
        <f t="shared" si="43"/>
        <v>102609.15878599643</v>
      </c>
      <c r="O68" s="1618">
        <f t="shared" si="43"/>
        <v>65908.348195142127</v>
      </c>
      <c r="P68" s="1618">
        <f t="shared" si="43"/>
        <v>29054.617560159255</v>
      </c>
      <c r="Q68" s="1618">
        <f t="shared" ref="Q68" si="44">SUM(Q66:Q67)</f>
        <v>0</v>
      </c>
      <c r="R68" s="1618">
        <f t="shared" si="43"/>
        <v>0</v>
      </c>
      <c r="U68" s="287"/>
      <c r="W68" s="48"/>
      <c r="X68" s="48"/>
      <c r="Y68" s="48"/>
      <c r="Z68" s="48"/>
      <c r="AA68" s="48"/>
      <c r="AB68" s="48"/>
      <c r="AC68" s="48"/>
      <c r="AD68" s="48"/>
      <c r="AE68" s="48"/>
      <c r="AF68" s="48"/>
      <c r="AG68" s="48"/>
      <c r="AH68" s="48"/>
      <c r="AI68" s="48"/>
      <c r="AJ68" s="48"/>
      <c r="AK68" s="48"/>
      <c r="AL68" s="48"/>
      <c r="AM68" s="48"/>
      <c r="AN68" s="48"/>
      <c r="AO68" s="48"/>
    </row>
    <row r="69" spans="1:41">
      <c r="A69" s="290">
        <f>ROW()</f>
        <v>69</v>
      </c>
      <c r="B69" s="11" t="s">
        <v>393</v>
      </c>
      <c r="C69" s="1116">
        <v>0.05</v>
      </c>
      <c r="D69" s="12"/>
      <c r="E69" s="1384">
        <f>SUM(F69:R69)</f>
        <v>8249.5196844680249</v>
      </c>
      <c r="F69" s="459">
        <f>F66*($C$69/12)</f>
        <v>572.91666666666663</v>
      </c>
      <c r="G69" s="459">
        <f>G66*($C$69/12)</f>
        <v>710.07712956675903</v>
      </c>
      <c r="H69" s="459">
        <f t="shared" ref="H69:R69" si="45">H66*($C$69/12)</f>
        <v>1016.4513884296929</v>
      </c>
      <c r="I69" s="459">
        <f t="shared" si="45"/>
        <v>1324.1022067045558</v>
      </c>
      <c r="J69" s="459">
        <f t="shared" si="45"/>
        <v>1633.0349033888972</v>
      </c>
      <c r="K69" s="459">
        <f t="shared" si="45"/>
        <v>858.41920766358999</v>
      </c>
      <c r="L69" s="459">
        <f t="shared" si="45"/>
        <v>731.47731372692738</v>
      </c>
      <c r="M69" s="459">
        <f t="shared" si="45"/>
        <v>579.82368273219527</v>
      </c>
      <c r="N69" s="459">
        <f t="shared" si="45"/>
        <v>427.53816160831849</v>
      </c>
      <c r="O69" s="459">
        <f t="shared" si="45"/>
        <v>274.61811747975884</v>
      </c>
      <c r="P69" s="459">
        <f t="shared" si="45"/>
        <v>121.06090650066356</v>
      </c>
      <c r="Q69" s="459">
        <f t="shared" si="45"/>
        <v>0</v>
      </c>
      <c r="R69" s="459">
        <f t="shared" si="45"/>
        <v>0</v>
      </c>
      <c r="U69" s="287"/>
      <c r="W69" s="48"/>
      <c r="X69" s="48"/>
      <c r="Y69" s="48"/>
      <c r="Z69" s="48"/>
      <c r="AA69" s="48"/>
      <c r="AB69" s="48"/>
      <c r="AC69" s="48"/>
      <c r="AD69" s="48"/>
      <c r="AE69" s="48"/>
      <c r="AF69" s="48"/>
      <c r="AG69" s="48"/>
      <c r="AH69" s="48"/>
      <c r="AI69" s="48"/>
      <c r="AJ69" s="48"/>
      <c r="AK69" s="48"/>
      <c r="AL69" s="48"/>
      <c r="AM69" s="48"/>
      <c r="AN69" s="48"/>
      <c r="AO69" s="48"/>
    </row>
    <row r="70" spans="1:41">
      <c r="A70" s="290">
        <f>ROW()</f>
        <v>70</v>
      </c>
      <c r="B70" s="11" t="s">
        <v>394</v>
      </c>
      <c r="C70" s="12"/>
      <c r="D70" s="12"/>
      <c r="E70" s="471">
        <f>SUM(F70:R70)</f>
        <v>396554.34910643572</v>
      </c>
      <c r="F70" s="1001">
        <f>IF(F54&gt;0,MIN(F54,(F68+F69)),0)</f>
        <v>0</v>
      </c>
      <c r="G70" s="1001">
        <f>IF(G54&gt;0,MIN(G54,(G68+G69)),0)</f>
        <v>0</v>
      </c>
      <c r="H70" s="1001">
        <f t="shared" ref="H70:R70" si="46">IF(H54&gt;0,MIN(H54,(H68+H69)),0)</f>
        <v>0</v>
      </c>
      <c r="I70" s="1001">
        <f t="shared" si="46"/>
        <v>0</v>
      </c>
      <c r="J70" s="1001">
        <f t="shared" si="46"/>
        <v>187540.80187746263</v>
      </c>
      <c r="K70" s="1001">
        <f t="shared" si="46"/>
        <v>31324.473752462625</v>
      </c>
      <c r="L70" s="1001">
        <f t="shared" si="46"/>
        <v>37128.348752462625</v>
      </c>
      <c r="M70" s="1001">
        <f t="shared" si="46"/>
        <v>37128.348752462625</v>
      </c>
      <c r="N70" s="1001">
        <f t="shared" si="46"/>
        <v>37128.348752462625</v>
      </c>
      <c r="O70" s="1001">
        <f>IF(O54&gt;0,MIN(O54,(O68+O69)),0)</f>
        <v>37128.348752462625</v>
      </c>
      <c r="P70" s="1001">
        <f t="shared" si="46"/>
        <v>29175.67846665992</v>
      </c>
      <c r="Q70" s="1001">
        <f t="shared" si="46"/>
        <v>0</v>
      </c>
      <c r="R70" s="1001">
        <f t="shared" si="46"/>
        <v>0</v>
      </c>
      <c r="U70" s="287"/>
      <c r="W70" s="48"/>
      <c r="X70" s="48"/>
      <c r="Y70" s="48"/>
      <c r="Z70" s="48"/>
      <c r="AA70" s="48"/>
      <c r="AB70" s="48"/>
      <c r="AC70" s="48"/>
      <c r="AD70" s="48"/>
      <c r="AE70" s="48"/>
      <c r="AF70" s="48"/>
      <c r="AG70" s="48"/>
      <c r="AH70" s="48"/>
      <c r="AI70" s="48"/>
      <c r="AJ70" s="48"/>
      <c r="AK70" s="48"/>
      <c r="AL70" s="48"/>
      <c r="AM70" s="48"/>
      <c r="AN70" s="48"/>
      <c r="AO70" s="48"/>
    </row>
    <row r="71" spans="1:41">
      <c r="A71" s="290">
        <f>ROW()</f>
        <v>71</v>
      </c>
      <c r="B71" s="12" t="s">
        <v>395</v>
      </c>
      <c r="C71" s="12"/>
      <c r="D71" s="12"/>
      <c r="E71" s="471"/>
      <c r="F71" s="1385">
        <f t="shared" ref="F71:R71" si="47">F68+F69-F70</f>
        <v>170418.51109602218</v>
      </c>
      <c r="G71" s="1385">
        <f t="shared" si="47"/>
        <v>243948.3332231263</v>
      </c>
      <c r="H71" s="1385">
        <f t="shared" si="47"/>
        <v>317784.52960909338</v>
      </c>
      <c r="I71" s="1385">
        <f t="shared" si="47"/>
        <v>391928.37681333534</v>
      </c>
      <c r="J71" s="1385">
        <f t="shared" si="47"/>
        <v>206020.6098392616</v>
      </c>
      <c r="K71" s="1385">
        <f t="shared" si="47"/>
        <v>175554.55529446257</v>
      </c>
      <c r="L71" s="1385">
        <f t="shared" si="47"/>
        <v>139157.68385572688</v>
      </c>
      <c r="M71" s="1385">
        <f>M68+M69-M70</f>
        <v>102609.15878599643</v>
      </c>
      <c r="N71" s="1385">
        <f t="shared" si="47"/>
        <v>65908.348195142127</v>
      </c>
      <c r="O71" s="1385">
        <f t="shared" si="47"/>
        <v>29054.617560159255</v>
      </c>
      <c r="P71" s="1385">
        <f t="shared" si="47"/>
        <v>0</v>
      </c>
      <c r="Q71" s="1385">
        <f t="shared" ref="Q71" si="48">Q68+Q69-Q70</f>
        <v>0</v>
      </c>
      <c r="R71" s="1385">
        <f t="shared" si="47"/>
        <v>0</v>
      </c>
      <c r="U71" s="287" t="s">
        <v>1413</v>
      </c>
      <c r="W71" s="48"/>
      <c r="X71" s="48"/>
      <c r="Y71" s="48"/>
      <c r="Z71" s="48"/>
      <c r="AA71" s="48"/>
      <c r="AB71" s="48"/>
      <c r="AC71" s="48"/>
      <c r="AD71" s="48"/>
      <c r="AE71" s="48"/>
      <c r="AF71" s="48"/>
      <c r="AG71" s="48"/>
      <c r="AH71" s="48"/>
      <c r="AI71" s="48"/>
      <c r="AJ71" s="48"/>
      <c r="AK71" s="48"/>
      <c r="AL71" s="48"/>
      <c r="AM71" s="48"/>
      <c r="AN71" s="48"/>
      <c r="AO71" s="48"/>
    </row>
    <row r="72" spans="1:41">
      <c r="A72" s="290">
        <f>ROW()</f>
        <v>72</v>
      </c>
      <c r="B72" s="12" t="s">
        <v>396</v>
      </c>
      <c r="C72" s="12"/>
      <c r="D72" s="12"/>
      <c r="E72" s="1386"/>
      <c r="F72" s="1387">
        <f t="shared" ref="F72:N72" si="49">IF(F67=-F54,MAX(0,E72),F54-F70+E72)</f>
        <v>-169845.59442935552</v>
      </c>
      <c r="G72" s="1633">
        <f t="shared" si="49"/>
        <v>0</v>
      </c>
      <c r="H72" s="1633">
        <f t="shared" si="49"/>
        <v>0</v>
      </c>
      <c r="I72" s="1633">
        <f t="shared" si="49"/>
        <v>0</v>
      </c>
      <c r="J72" s="1633">
        <f t="shared" si="49"/>
        <v>0</v>
      </c>
      <c r="K72" s="1633">
        <f t="shared" si="49"/>
        <v>0</v>
      </c>
      <c r="L72" s="1633">
        <f t="shared" si="49"/>
        <v>0</v>
      </c>
      <c r="M72" s="1633">
        <f t="shared" si="49"/>
        <v>0</v>
      </c>
      <c r="N72" s="1633">
        <f t="shared" si="49"/>
        <v>0</v>
      </c>
      <c r="O72" s="1633">
        <f>IF(O67=-O54,MAX(0,N72),O54-O70+N72)</f>
        <v>0</v>
      </c>
      <c r="P72" s="1633">
        <f t="shared" ref="P72:R72" si="50">IF(P67=-P54,MAX(0,O72),P54-P70+O72)</f>
        <v>10012.670285802706</v>
      </c>
      <c r="Q72" s="1633">
        <f t="shared" si="50"/>
        <v>35884.281538265343</v>
      </c>
      <c r="R72" s="1633">
        <f t="shared" si="50"/>
        <v>296244.82841326535</v>
      </c>
      <c r="U72" s="1111"/>
      <c r="W72" s="48"/>
      <c r="X72" s="48"/>
      <c r="Y72" s="48"/>
      <c r="Z72" s="48"/>
      <c r="AA72" s="48"/>
      <c r="AB72" s="48"/>
      <c r="AC72" s="48"/>
      <c r="AD72" s="48"/>
      <c r="AE72" s="48"/>
      <c r="AF72" s="48"/>
      <c r="AG72" s="48"/>
      <c r="AH72" s="48"/>
      <c r="AI72" s="48"/>
      <c r="AJ72" s="48"/>
      <c r="AK72" s="48"/>
      <c r="AL72" s="48"/>
      <c r="AM72" s="48"/>
      <c r="AN72" s="48"/>
      <c r="AO72" s="48"/>
    </row>
    <row r="73" spans="1:41">
      <c r="A73" s="290">
        <f>ROW()</f>
        <v>73</v>
      </c>
      <c r="B73" s="11"/>
      <c r="C73" s="11"/>
      <c r="D73" s="11"/>
      <c r="E73" s="1388"/>
      <c r="F73" s="1296"/>
      <c r="G73" s="1296"/>
      <c r="H73" s="1296"/>
      <c r="I73" s="1296"/>
      <c r="J73" s="1296"/>
      <c r="K73" s="1296"/>
      <c r="L73" s="1296"/>
      <c r="M73" s="1296"/>
      <c r="N73" s="1296"/>
      <c r="O73" s="1296"/>
      <c r="P73" s="1296"/>
      <c r="Q73" s="1296"/>
      <c r="R73" s="1296"/>
      <c r="U73" s="287"/>
      <c r="W73" s="48"/>
      <c r="X73" s="48"/>
      <c r="Y73" s="48"/>
      <c r="Z73" s="48"/>
      <c r="AA73" s="48"/>
      <c r="AB73" s="48"/>
      <c r="AC73" s="48"/>
      <c r="AD73" s="48"/>
      <c r="AE73" s="48"/>
      <c r="AF73" s="48"/>
      <c r="AG73" s="48"/>
      <c r="AH73" s="48"/>
      <c r="AI73" s="48"/>
      <c r="AJ73" s="48"/>
      <c r="AK73" s="48"/>
      <c r="AL73" s="48"/>
      <c r="AM73" s="48"/>
      <c r="AN73" s="48"/>
      <c r="AO73" s="48"/>
    </row>
    <row r="74" spans="1:41">
      <c r="A74" s="290">
        <f>ROW()</f>
        <v>74</v>
      </c>
      <c r="B74" s="12" t="s">
        <v>397</v>
      </c>
      <c r="C74" s="12"/>
      <c r="D74" s="12"/>
      <c r="E74" s="12"/>
      <c r="F74" s="1543"/>
      <c r="G74" s="1544">
        <f t="shared" ref="G74:R74" si="51">IFERROR(MAX(G66,G72)/G53,0)</f>
        <v>0.68138578924305482</v>
      </c>
      <c r="H74" s="1544">
        <f t="shared" si="51"/>
        <v>0.97538070541004473</v>
      </c>
      <c r="I74" s="1544">
        <f t="shared" si="51"/>
        <v>1.2706006003943973</v>
      </c>
      <c r="J74" s="1544">
        <f t="shared" si="51"/>
        <v>1.5670505782745179</v>
      </c>
      <c r="K74" s="1544">
        <f t="shared" si="51"/>
        <v>0.82373396488931894</v>
      </c>
      <c r="L74" s="1544">
        <f t="shared" si="51"/>
        <v>0.7019212786522403</v>
      </c>
      <c r="M74" s="1544">
        <f t="shared" si="51"/>
        <v>0.55639535654576677</v>
      </c>
      <c r="N74" s="1544">
        <f t="shared" si="51"/>
        <v>0.41026307643051618</v>
      </c>
      <c r="O74" s="1544">
        <f t="shared" si="51"/>
        <v>0.2635219118147854</v>
      </c>
      <c r="P74" s="1544">
        <f t="shared" si="51"/>
        <v>0.11713410254317146</v>
      </c>
      <c r="Q74" s="1544">
        <f t="shared" si="51"/>
        <v>0.14466798968143665</v>
      </c>
      <c r="R74" s="1303">
        <f t="shared" si="51"/>
        <v>0</v>
      </c>
      <c r="U74" s="287"/>
      <c r="W74" s="48"/>
      <c r="X74" s="48"/>
      <c r="Y74" s="48"/>
      <c r="Z74" s="48"/>
      <c r="AA74" s="48"/>
      <c r="AB74" s="48"/>
      <c r="AC74" s="48"/>
      <c r="AD74" s="48"/>
      <c r="AE74" s="48"/>
      <c r="AF74" s="48"/>
      <c r="AG74" s="48"/>
      <c r="AH74" s="48"/>
      <c r="AI74" s="48"/>
      <c r="AJ74" s="48"/>
      <c r="AK74" s="48"/>
      <c r="AL74" s="48"/>
      <c r="AM74" s="48"/>
      <c r="AN74" s="48"/>
      <c r="AO74" s="48"/>
    </row>
    <row r="75" spans="1:41">
      <c r="A75" s="290">
        <f>ROW()</f>
        <v>75</v>
      </c>
      <c r="B75" s="12"/>
      <c r="C75" s="12"/>
      <c r="D75" s="12"/>
      <c r="E75" s="77"/>
      <c r="F75" s="77"/>
      <c r="G75" s="77"/>
      <c r="H75" s="77"/>
      <c r="I75" s="77"/>
      <c r="J75" s="77"/>
      <c r="K75" s="77"/>
      <c r="L75" s="77"/>
      <c r="M75" s="77"/>
      <c r="N75" s="77"/>
      <c r="O75" s="77"/>
      <c r="P75" s="77"/>
      <c r="Q75" s="77"/>
      <c r="R75" s="77"/>
      <c r="U75" s="287"/>
      <c r="W75" s="48"/>
      <c r="X75" s="48"/>
      <c r="Y75" s="48"/>
      <c r="Z75" s="48"/>
      <c r="AA75" s="48"/>
      <c r="AB75" s="48"/>
      <c r="AC75" s="48"/>
      <c r="AD75" s="48"/>
      <c r="AE75" s="48"/>
      <c r="AF75" s="48"/>
      <c r="AG75" s="48"/>
      <c r="AH75" s="48"/>
      <c r="AI75" s="48"/>
      <c r="AJ75" s="48"/>
      <c r="AK75" s="48"/>
      <c r="AL75" s="48"/>
      <c r="AM75" s="48"/>
      <c r="AN75" s="48"/>
      <c r="AO75" s="48"/>
    </row>
    <row r="76" spans="1:41" ht="17.399999999999999">
      <c r="A76" s="290">
        <f>ROW()</f>
        <v>76</v>
      </c>
      <c r="B76" s="1545" t="s">
        <v>398</v>
      </c>
      <c r="C76" s="1545"/>
      <c r="D76" s="1545"/>
      <c r="E76" s="1546"/>
      <c r="F76" s="1546"/>
      <c r="G76" s="1546"/>
      <c r="H76" s="1546"/>
      <c r="I76" s="1546"/>
      <c r="J76" s="1546"/>
      <c r="K76" s="1546"/>
      <c r="L76" s="1546"/>
      <c r="M76" s="1546"/>
      <c r="N76" s="1546"/>
      <c r="O76" s="1546"/>
      <c r="P76" s="1546"/>
      <c r="Q76" s="1546"/>
      <c r="R76" s="1546"/>
      <c r="U76" s="287"/>
      <c r="W76" s="48"/>
      <c r="X76" s="48"/>
      <c r="Y76" s="48"/>
      <c r="Z76" s="48"/>
      <c r="AA76" s="48"/>
      <c r="AB76" s="48"/>
      <c r="AC76" s="48"/>
      <c r="AD76" s="48"/>
      <c r="AE76" s="48"/>
      <c r="AF76" s="48"/>
      <c r="AG76" s="48"/>
      <c r="AH76" s="48"/>
      <c r="AI76" s="48"/>
      <c r="AJ76" s="48"/>
      <c r="AK76" s="48"/>
      <c r="AL76" s="48"/>
      <c r="AM76" s="48"/>
      <c r="AN76" s="48"/>
      <c r="AO76" s="48"/>
    </row>
    <row r="77" spans="1:41">
      <c r="A77" s="290">
        <f>ROW()</f>
        <v>77</v>
      </c>
      <c r="U77" s="287"/>
      <c r="W77" s="48"/>
      <c r="X77" s="48"/>
      <c r="Y77" s="48"/>
      <c r="Z77" s="48"/>
      <c r="AA77" s="48"/>
      <c r="AB77" s="48"/>
      <c r="AC77" s="48"/>
      <c r="AD77" s="48"/>
      <c r="AE77" s="48"/>
      <c r="AF77" s="48"/>
      <c r="AG77" s="48"/>
      <c r="AH77" s="48"/>
      <c r="AI77" s="48"/>
      <c r="AJ77" s="48"/>
      <c r="AK77" s="48"/>
      <c r="AL77" s="48"/>
      <c r="AM77" s="48"/>
      <c r="AN77" s="48"/>
      <c r="AO77" s="48"/>
    </row>
    <row r="78" spans="1:41">
      <c r="A78" s="290">
        <f>ROW()</f>
        <v>78</v>
      </c>
      <c r="B78" s="1539" t="s">
        <v>362</v>
      </c>
      <c r="C78" s="1539"/>
      <c r="D78" s="1539"/>
      <c r="E78" s="1547"/>
      <c r="F78" s="1548"/>
      <c r="G78" s="1548"/>
      <c r="H78" s="1548"/>
      <c r="I78" s="1548"/>
      <c r="J78" s="1548"/>
      <c r="K78" s="1548"/>
      <c r="L78" s="1548"/>
      <c r="M78" s="1548"/>
      <c r="N78" s="1548"/>
      <c r="O78" s="1548"/>
      <c r="P78" s="1548"/>
      <c r="Q78" s="1548"/>
      <c r="R78" s="1548"/>
      <c r="U78" s="287"/>
      <c r="W78" s="48"/>
      <c r="X78" s="48"/>
      <c r="Y78" s="48"/>
      <c r="Z78" s="48"/>
      <c r="AA78" s="48"/>
      <c r="AB78" s="48"/>
      <c r="AC78" s="48"/>
      <c r="AD78" s="48"/>
      <c r="AE78" s="48"/>
      <c r="AF78" s="48"/>
      <c r="AG78" s="48"/>
      <c r="AH78" s="48"/>
      <c r="AI78" s="48"/>
      <c r="AJ78" s="48"/>
      <c r="AK78" s="48"/>
      <c r="AL78" s="48"/>
      <c r="AM78" s="48"/>
      <c r="AN78" s="48"/>
      <c r="AO78" s="48"/>
    </row>
    <row r="79" spans="1:41">
      <c r="A79" s="290">
        <f>ROW()</f>
        <v>79</v>
      </c>
      <c r="B79" s="11" t="s">
        <v>363</v>
      </c>
      <c r="C79" s="11"/>
      <c r="D79" s="11"/>
      <c r="E79" s="1619">
        <f t="shared" ref="E79:R79" si="52">IF(OR(E19=0,E$36=0),0,E19/E$36)</f>
        <v>0.9367229214714764</v>
      </c>
      <c r="F79" s="1619">
        <f t="shared" si="52"/>
        <v>1.0126582278481013</v>
      </c>
      <c r="G79" s="1619">
        <f t="shared" si="52"/>
        <v>0.89230811264107568</v>
      </c>
      <c r="H79" s="1619">
        <f t="shared" si="52"/>
        <v>0.89230811264107568</v>
      </c>
      <c r="I79" s="1619">
        <f t="shared" si="52"/>
        <v>0.89230811264107568</v>
      </c>
      <c r="J79" s="1619">
        <f t="shared" si="52"/>
        <v>0.96390566303145586</v>
      </c>
      <c r="K79" s="1619">
        <f t="shared" si="52"/>
        <v>0.93684408352758386</v>
      </c>
      <c r="L79" s="1619">
        <f t="shared" si="52"/>
        <v>0.91791413830932667</v>
      </c>
      <c r="M79" s="1619">
        <f t="shared" si="52"/>
        <v>0.91791413830932667</v>
      </c>
      <c r="N79" s="1619">
        <f t="shared" si="52"/>
        <v>0.91791413830932667</v>
      </c>
      <c r="O79" s="1619">
        <f t="shared" si="52"/>
        <v>0.91791413830932667</v>
      </c>
      <c r="P79" s="1619">
        <f t="shared" si="52"/>
        <v>0.91791413830932667</v>
      </c>
      <c r="Q79" s="1619">
        <f t="shared" si="52"/>
        <v>0.96253935336498997</v>
      </c>
      <c r="R79" s="1619">
        <f t="shared" si="52"/>
        <v>1.0126582278481013</v>
      </c>
      <c r="U79" s="287"/>
      <c r="W79" s="48"/>
      <c r="X79" s="48"/>
      <c r="Y79" s="48"/>
      <c r="Z79" s="48"/>
      <c r="AA79" s="48"/>
      <c r="AB79" s="48"/>
      <c r="AC79" s="48"/>
      <c r="AD79" s="48"/>
      <c r="AE79" s="48"/>
      <c r="AF79" s="48"/>
      <c r="AG79" s="48"/>
      <c r="AH79" s="48"/>
      <c r="AI79" s="48"/>
      <c r="AJ79" s="48"/>
      <c r="AK79" s="48"/>
      <c r="AL79" s="48"/>
      <c r="AM79" s="48"/>
      <c r="AN79" s="48"/>
      <c r="AO79" s="48"/>
    </row>
    <row r="80" spans="1:41">
      <c r="A80" s="290">
        <f>ROW()</f>
        <v>80</v>
      </c>
      <c r="B80" s="11" t="str">
        <f>+B20</f>
        <v>CS Sponsorship Fee @ 0.0125</v>
      </c>
      <c r="C80" s="11"/>
      <c r="D80" s="11"/>
      <c r="E80" s="1619">
        <f t="shared" ref="E80:R80" si="53">IF(OR(E20=0,E$36=0),0,E20/E$36)</f>
        <v>-1.1709036518393456E-2</v>
      </c>
      <c r="F80" s="1619">
        <f t="shared" si="53"/>
        <v>-1.2658227848101266E-2</v>
      </c>
      <c r="G80" s="1619">
        <f t="shared" si="53"/>
        <v>-1.1153851408013445E-2</v>
      </c>
      <c r="H80" s="1619">
        <f t="shared" si="53"/>
        <v>-1.1153851408013445E-2</v>
      </c>
      <c r="I80" s="1619">
        <f t="shared" si="53"/>
        <v>-1.1153851408013445E-2</v>
      </c>
      <c r="J80" s="1619">
        <f t="shared" si="53"/>
        <v>-1.2048820787893199E-2</v>
      </c>
      <c r="K80" s="1619">
        <f t="shared" si="53"/>
        <v>-1.1710551044094799E-2</v>
      </c>
      <c r="L80" s="1619">
        <f t="shared" si="53"/>
        <v>-1.1473926728866582E-2</v>
      </c>
      <c r="M80" s="1619">
        <f t="shared" si="53"/>
        <v>-1.1473926728866582E-2</v>
      </c>
      <c r="N80" s="1619">
        <f t="shared" si="53"/>
        <v>-1.1473926728866582E-2</v>
      </c>
      <c r="O80" s="1619">
        <f t="shared" si="53"/>
        <v>-1.1473926728866582E-2</v>
      </c>
      <c r="P80" s="1619">
        <f t="shared" si="53"/>
        <v>-1.1473926728866582E-2</v>
      </c>
      <c r="Q80" s="1619">
        <f t="shared" si="53"/>
        <v>-1.2031741917062374E-2</v>
      </c>
      <c r="R80" s="1619">
        <f t="shared" si="53"/>
        <v>-1.2658227848101266E-2</v>
      </c>
      <c r="U80" s="287"/>
      <c r="W80" s="48"/>
      <c r="X80" s="48"/>
      <c r="Y80" s="48"/>
      <c r="Z80" s="48"/>
      <c r="AA80" s="48"/>
      <c r="AB80" s="48"/>
      <c r="AC80" s="48"/>
      <c r="AD80" s="48"/>
      <c r="AE80" s="48"/>
      <c r="AF80" s="48"/>
      <c r="AG80" s="48"/>
      <c r="AH80" s="48"/>
      <c r="AI80" s="48"/>
      <c r="AJ80" s="48"/>
      <c r="AK80" s="48"/>
      <c r="AL80" s="48"/>
      <c r="AM80" s="48"/>
      <c r="AN80" s="48"/>
      <c r="AO80" s="48"/>
    </row>
    <row r="81" spans="1:41">
      <c r="A81" s="290">
        <f>ROW()</f>
        <v>81</v>
      </c>
      <c r="B81" s="11" t="s">
        <v>83</v>
      </c>
      <c r="C81" s="11"/>
      <c r="D81" s="11"/>
      <c r="E81" s="1619">
        <f t="shared" ref="E81:R81" si="54">IF(OR(E21=0,E$36=0),0,E21/E$36)</f>
        <v>7.8162016915481729E-3</v>
      </c>
      <c r="F81" s="1619">
        <f t="shared" si="54"/>
        <v>0</v>
      </c>
      <c r="G81" s="1619">
        <f t="shared" si="54"/>
        <v>1.3537446772319271E-2</v>
      </c>
      <c r="H81" s="1619">
        <f t="shared" si="54"/>
        <v>1.3537446772319271E-2</v>
      </c>
      <c r="I81" s="1619">
        <f t="shared" si="54"/>
        <v>1.3537446772319271E-2</v>
      </c>
      <c r="J81" s="1619">
        <f t="shared" si="54"/>
        <v>5.4838771868566888E-3</v>
      </c>
      <c r="K81" s="1619">
        <f t="shared" si="54"/>
        <v>8.5278683910060965E-3</v>
      </c>
      <c r="L81" s="1619">
        <f t="shared" si="54"/>
        <v>8.3555536117288481E-3</v>
      </c>
      <c r="M81" s="1619">
        <f t="shared" si="54"/>
        <v>8.3555536117288481E-3</v>
      </c>
      <c r="N81" s="1619">
        <f t="shared" si="54"/>
        <v>8.3555536117288481E-3</v>
      </c>
      <c r="O81" s="1619">
        <f t="shared" si="54"/>
        <v>8.3555536117288481E-3</v>
      </c>
      <c r="P81" s="1619">
        <f t="shared" si="54"/>
        <v>8.3555536117288481E-3</v>
      </c>
      <c r="Q81" s="1619">
        <f t="shared" si="54"/>
        <v>8.76176630774342E-3</v>
      </c>
      <c r="R81" s="1619">
        <f t="shared" si="54"/>
        <v>0</v>
      </c>
      <c r="U81" s="287"/>
      <c r="W81" s="48"/>
      <c r="X81" s="48"/>
      <c r="Y81" s="48"/>
      <c r="Z81" s="48"/>
      <c r="AA81" s="48"/>
      <c r="AB81" s="48"/>
      <c r="AC81" s="48"/>
      <c r="AD81" s="48"/>
      <c r="AE81" s="48"/>
      <c r="AF81" s="48"/>
      <c r="AG81" s="48"/>
      <c r="AH81" s="48"/>
      <c r="AI81" s="48"/>
      <c r="AJ81" s="48"/>
      <c r="AK81" s="48"/>
      <c r="AL81" s="48"/>
      <c r="AM81" s="48"/>
      <c r="AN81" s="48"/>
      <c r="AO81" s="48"/>
    </row>
    <row r="82" spans="1:41">
      <c r="A82" s="290">
        <f>ROW()</f>
        <v>82</v>
      </c>
      <c r="B82" s="11" t="s">
        <v>84</v>
      </c>
      <c r="C82" s="11"/>
      <c r="D82" s="11"/>
      <c r="E82" s="1619">
        <f t="shared" ref="E82:R82" si="55">IF(OR(E22=0,E$36=0),0,E22/E$36)</f>
        <v>1.5746389657764759E-3</v>
      </c>
      <c r="F82" s="1619">
        <f t="shared" si="55"/>
        <v>0</v>
      </c>
      <c r="G82" s="1619">
        <f t="shared" si="55"/>
        <v>2.7272314643401532E-3</v>
      </c>
      <c r="H82" s="1619">
        <f t="shared" si="55"/>
        <v>2.7272314643401532E-3</v>
      </c>
      <c r="I82" s="1619">
        <f t="shared" si="55"/>
        <v>2.7272314643401532E-3</v>
      </c>
      <c r="J82" s="1619">
        <f t="shared" si="55"/>
        <v>1.104772758268837E-3</v>
      </c>
      <c r="K82" s="1619">
        <f t="shared" si="55"/>
        <v>1.7180101529381032E-3</v>
      </c>
      <c r="L82" s="1619">
        <f t="shared" si="55"/>
        <v>1.6832959046962073E-3</v>
      </c>
      <c r="M82" s="1619">
        <f t="shared" si="55"/>
        <v>1.6832959046962073E-3</v>
      </c>
      <c r="N82" s="1619">
        <f t="shared" si="55"/>
        <v>1.6832959046962073E-3</v>
      </c>
      <c r="O82" s="1619">
        <f t="shared" si="55"/>
        <v>1.6832959046962073E-3</v>
      </c>
      <c r="P82" s="1619">
        <f t="shared" si="55"/>
        <v>1.6832959046962073E-3</v>
      </c>
      <c r="Q82" s="1619">
        <f t="shared" si="55"/>
        <v>1.765130837414143E-3</v>
      </c>
      <c r="R82" s="1619">
        <f t="shared" si="55"/>
        <v>0</v>
      </c>
      <c r="U82" s="287"/>
      <c r="W82" s="48"/>
      <c r="X82" s="48"/>
      <c r="Y82" s="48"/>
      <c r="Z82" s="48"/>
      <c r="AA82" s="48"/>
      <c r="AB82" s="48"/>
      <c r="AC82" s="48"/>
      <c r="AD82" s="48"/>
      <c r="AE82" s="48"/>
      <c r="AF82" s="48"/>
      <c r="AG82" s="48"/>
      <c r="AH82" s="48"/>
      <c r="AI82" s="48"/>
      <c r="AJ82" s="48"/>
      <c r="AK82" s="48"/>
      <c r="AL82" s="48"/>
      <c r="AM82" s="48"/>
      <c r="AN82" s="48"/>
      <c r="AO82" s="48"/>
    </row>
    <row r="83" spans="1:41">
      <c r="A83" s="290">
        <f>ROW()</f>
        <v>83</v>
      </c>
      <c r="B83" s="11" t="s">
        <v>85</v>
      </c>
      <c r="C83" s="11"/>
      <c r="D83" s="11"/>
      <c r="E83" s="1619">
        <f t="shared" ref="E83:R83" si="56">IF(OR(E24=0,E$36=0),0,E24/E$36)</f>
        <v>5.8442391397846663E-4</v>
      </c>
      <c r="F83" s="1619">
        <f t="shared" si="56"/>
        <v>0</v>
      </c>
      <c r="G83" s="1619">
        <f t="shared" si="56"/>
        <v>1.0122061763719553E-3</v>
      </c>
      <c r="H83" s="1619">
        <f t="shared" si="56"/>
        <v>1.0122061763719553E-3</v>
      </c>
      <c r="I83" s="1619">
        <f t="shared" si="56"/>
        <v>1.0122061763719553E-3</v>
      </c>
      <c r="J83" s="1619">
        <f t="shared" si="56"/>
        <v>4.1003406715893031E-4</v>
      </c>
      <c r="K83" s="1619">
        <f t="shared" si="56"/>
        <v>6.3763582615251836E-4</v>
      </c>
      <c r="L83" s="1619">
        <f t="shared" si="56"/>
        <v>6.2475170651030902E-4</v>
      </c>
      <c r="M83" s="1619">
        <f t="shared" si="56"/>
        <v>6.2475170651030902E-4</v>
      </c>
      <c r="N83" s="1619">
        <f t="shared" si="56"/>
        <v>6.2475170651030902E-4</v>
      </c>
      <c r="O83" s="1619">
        <f t="shared" si="56"/>
        <v>6.2475170651030902E-4</v>
      </c>
      <c r="P83" s="1619">
        <f t="shared" si="56"/>
        <v>6.2475170651030902E-4</v>
      </c>
      <c r="Q83" s="1619">
        <f t="shared" si="56"/>
        <v>6.5512456830189858E-4</v>
      </c>
      <c r="R83" s="1619">
        <f t="shared" si="56"/>
        <v>0</v>
      </c>
      <c r="U83" s="287"/>
      <c r="W83" s="48"/>
      <c r="X83" s="48"/>
      <c r="Y83" s="48"/>
      <c r="Z83" s="48"/>
      <c r="AA83" s="48"/>
      <c r="AB83" s="48"/>
      <c r="AC83" s="48"/>
      <c r="AD83" s="48"/>
      <c r="AE83" s="48"/>
      <c r="AF83" s="48"/>
      <c r="AG83" s="48"/>
      <c r="AH83" s="48"/>
      <c r="AI83" s="48"/>
      <c r="AJ83" s="48"/>
      <c r="AK83" s="48"/>
      <c r="AL83" s="48"/>
      <c r="AM83" s="48"/>
      <c r="AN83" s="48"/>
      <c r="AO83" s="48"/>
    </row>
    <row r="84" spans="1:41">
      <c r="A84" s="290">
        <f>ROW()</f>
        <v>84</v>
      </c>
      <c r="B84" s="11" t="s">
        <v>87</v>
      </c>
      <c r="C84" s="11"/>
      <c r="D84" s="11"/>
      <c r="E84" s="1619">
        <f t="shared" ref="E84:R84" si="57">IF(OR(E25=0,E$36=0),0,E25/E$36)</f>
        <v>0</v>
      </c>
      <c r="F84" s="1620">
        <f t="shared" si="57"/>
        <v>0</v>
      </c>
      <c r="G84" s="1619">
        <f t="shared" si="57"/>
        <v>0</v>
      </c>
      <c r="H84" s="1619">
        <f t="shared" si="57"/>
        <v>0</v>
      </c>
      <c r="I84" s="1619">
        <f t="shared" si="57"/>
        <v>0</v>
      </c>
      <c r="J84" s="1620">
        <f t="shared" si="57"/>
        <v>0</v>
      </c>
      <c r="K84" s="1619">
        <f t="shared" si="57"/>
        <v>0</v>
      </c>
      <c r="L84" s="1619">
        <f t="shared" si="57"/>
        <v>0</v>
      </c>
      <c r="M84" s="1619">
        <f t="shared" si="57"/>
        <v>0</v>
      </c>
      <c r="N84" s="1620">
        <f t="shared" si="57"/>
        <v>0</v>
      </c>
      <c r="O84" s="1619">
        <f t="shared" si="57"/>
        <v>0</v>
      </c>
      <c r="P84" s="1619">
        <f t="shared" si="57"/>
        <v>0</v>
      </c>
      <c r="Q84" s="1619">
        <f t="shared" si="57"/>
        <v>0</v>
      </c>
      <c r="R84" s="1619">
        <f t="shared" si="57"/>
        <v>0</v>
      </c>
      <c r="U84" s="287"/>
      <c r="W84" s="48"/>
      <c r="X84" s="48"/>
      <c r="Y84" s="48"/>
      <c r="Z84" s="48"/>
      <c r="AA84" s="48"/>
      <c r="AB84" s="48"/>
      <c r="AC84" s="48"/>
      <c r="AD84" s="48"/>
      <c r="AE84" s="48"/>
      <c r="AF84" s="48"/>
      <c r="AG84" s="48"/>
      <c r="AH84" s="48"/>
      <c r="AI84" s="48"/>
      <c r="AJ84" s="48"/>
      <c r="AK84" s="48"/>
      <c r="AL84" s="48"/>
      <c r="AM84" s="48"/>
      <c r="AN84" s="48"/>
      <c r="AO84" s="48"/>
    </row>
    <row r="85" spans="1:41">
      <c r="A85" s="290">
        <f>ROW()</f>
        <v>85</v>
      </c>
      <c r="B85" s="11" t="s">
        <v>88</v>
      </c>
      <c r="C85" s="11"/>
      <c r="D85" s="11"/>
      <c r="E85" s="1619">
        <f t="shared" ref="E85:R85" si="58">IF(OR(E26=0,E$36=0),0,E26/E$36)</f>
        <v>1.4948485735085882E-2</v>
      </c>
      <c r="F85" s="1620">
        <f t="shared" si="58"/>
        <v>0</v>
      </c>
      <c r="G85" s="1619">
        <f t="shared" si="58"/>
        <v>2.5890366952060605E-2</v>
      </c>
      <c r="H85" s="1619">
        <f t="shared" si="58"/>
        <v>2.5890366952060605E-2</v>
      </c>
      <c r="I85" s="1619">
        <f t="shared" si="58"/>
        <v>2.5890366952060605E-2</v>
      </c>
      <c r="J85" s="1620">
        <f t="shared" si="58"/>
        <v>1.0487915119863416E-2</v>
      </c>
      <c r="K85" s="1619">
        <f t="shared" si="58"/>
        <v>1.630954829779916E-2</v>
      </c>
      <c r="L85" s="1619">
        <f t="shared" si="58"/>
        <v>1.5979996282431422E-2</v>
      </c>
      <c r="M85" s="1619">
        <f t="shared" si="58"/>
        <v>1.5979996282431422E-2</v>
      </c>
      <c r="N85" s="1619">
        <f t="shared" si="58"/>
        <v>1.5979996282431422E-2</v>
      </c>
      <c r="O85" s="1619">
        <f t="shared" si="58"/>
        <v>1.5979996282431422E-2</v>
      </c>
      <c r="P85" s="1619">
        <f t="shared" si="58"/>
        <v>1.5979996282431422E-2</v>
      </c>
      <c r="Q85" s="1619">
        <f t="shared" si="58"/>
        <v>1.6756878063559289E-2</v>
      </c>
      <c r="R85" s="1619">
        <f t="shared" si="58"/>
        <v>0</v>
      </c>
      <c r="U85" s="287"/>
      <c r="W85" s="48"/>
      <c r="X85" s="48"/>
      <c r="Y85" s="48"/>
      <c r="Z85" s="48"/>
      <c r="AA85" s="48"/>
      <c r="AB85" s="48"/>
      <c r="AC85" s="48"/>
      <c r="AD85" s="48"/>
      <c r="AE85" s="48"/>
      <c r="AF85" s="48"/>
      <c r="AG85" s="48"/>
      <c r="AH85" s="48"/>
      <c r="AI85" s="48"/>
      <c r="AJ85" s="48"/>
      <c r="AK85" s="48"/>
      <c r="AL85" s="48"/>
      <c r="AM85" s="48"/>
      <c r="AN85" s="48"/>
      <c r="AO85" s="48"/>
    </row>
    <row r="86" spans="1:41">
      <c r="A86" s="290">
        <f>ROW()</f>
        <v>86</v>
      </c>
      <c r="B86" s="11" t="s">
        <v>89</v>
      </c>
      <c r="C86" s="11"/>
      <c r="D86" s="11"/>
      <c r="E86" s="1619">
        <f t="shared" ref="E86:R86" si="59">IF(OR(E27=0,E$36=0),0,E27/E$36)</f>
        <v>1.0310058543757763E-2</v>
      </c>
      <c r="F86" s="1620">
        <f t="shared" si="59"/>
        <v>0</v>
      </c>
      <c r="G86" s="1619">
        <f t="shared" si="59"/>
        <v>0</v>
      </c>
      <c r="H86" s="1619">
        <f t="shared" si="59"/>
        <v>0</v>
      </c>
      <c r="I86" s="1619">
        <f t="shared" si="59"/>
        <v>0</v>
      </c>
      <c r="J86" s="1620">
        <f t="shared" si="59"/>
        <v>0</v>
      </c>
      <c r="K86" s="1619">
        <f t="shared" si="59"/>
        <v>0</v>
      </c>
      <c r="L86" s="1619">
        <f t="shared" si="59"/>
        <v>2.0206078632613651E-2</v>
      </c>
      <c r="M86" s="1619">
        <f t="shared" si="59"/>
        <v>2.0206078632613651E-2</v>
      </c>
      <c r="N86" s="1620">
        <f t="shared" si="59"/>
        <v>2.0206078632613651E-2</v>
      </c>
      <c r="O86" s="1619">
        <f t="shared" si="59"/>
        <v>2.0206078632613651E-2</v>
      </c>
      <c r="P86" s="1619">
        <f t="shared" si="59"/>
        <v>2.0206078632613651E-2</v>
      </c>
      <c r="Q86" s="1619">
        <f t="shared" si="59"/>
        <v>2.1188415178897642E-2</v>
      </c>
      <c r="R86" s="1619">
        <f t="shared" si="59"/>
        <v>0</v>
      </c>
      <c r="U86" s="287"/>
      <c r="W86" s="48"/>
      <c r="X86" s="48"/>
      <c r="Y86" s="48"/>
      <c r="Z86" s="48"/>
      <c r="AA86" s="48"/>
      <c r="AB86" s="48"/>
      <c r="AC86" s="48"/>
      <c r="AD86" s="48"/>
      <c r="AE86" s="48"/>
      <c r="AF86" s="48"/>
      <c r="AG86" s="48"/>
      <c r="AH86" s="48"/>
      <c r="AI86" s="48"/>
      <c r="AJ86" s="48"/>
      <c r="AK86" s="48"/>
      <c r="AL86" s="48"/>
      <c r="AM86" s="48"/>
      <c r="AN86" s="48"/>
      <c r="AO86" s="48"/>
    </row>
    <row r="87" spans="1:41">
      <c r="A87" s="290">
        <f>ROW()</f>
        <v>87</v>
      </c>
      <c r="B87" s="11" t="s">
        <v>310</v>
      </c>
      <c r="C87" s="11"/>
      <c r="D87" s="11"/>
      <c r="E87" s="1619">
        <f t="shared" ref="E87:R87" si="60">IF(OR(E28=0,E$36=0),0,E28/E$36)</f>
        <v>0</v>
      </c>
      <c r="F87" s="1620">
        <f t="shared" si="60"/>
        <v>0</v>
      </c>
      <c r="G87" s="1619">
        <f t="shared" si="60"/>
        <v>0</v>
      </c>
      <c r="H87" s="1619">
        <f t="shared" si="60"/>
        <v>0</v>
      </c>
      <c r="I87" s="1619">
        <f t="shared" si="60"/>
        <v>0</v>
      </c>
      <c r="J87" s="1620">
        <f t="shared" si="60"/>
        <v>0</v>
      </c>
      <c r="K87" s="1619">
        <f t="shared" si="60"/>
        <v>0</v>
      </c>
      <c r="L87" s="1619">
        <f t="shared" si="60"/>
        <v>0</v>
      </c>
      <c r="M87" s="1619">
        <f t="shared" si="60"/>
        <v>0</v>
      </c>
      <c r="N87" s="1620">
        <f t="shared" si="60"/>
        <v>0</v>
      </c>
      <c r="O87" s="1619">
        <f t="shared" si="60"/>
        <v>0</v>
      </c>
      <c r="P87" s="1619">
        <f t="shared" si="60"/>
        <v>0</v>
      </c>
      <c r="Q87" s="1619">
        <f t="shared" si="60"/>
        <v>0</v>
      </c>
      <c r="R87" s="1619">
        <f t="shared" si="60"/>
        <v>0</v>
      </c>
      <c r="U87" s="287"/>
      <c r="W87" s="48"/>
      <c r="X87" s="48"/>
      <c r="Y87" s="48"/>
      <c r="Z87" s="48"/>
      <c r="AA87" s="48"/>
      <c r="AB87" s="48"/>
      <c r="AC87" s="48"/>
      <c r="AD87" s="48"/>
      <c r="AE87" s="48"/>
      <c r="AF87" s="48"/>
      <c r="AG87" s="48"/>
      <c r="AH87" s="48"/>
      <c r="AI87" s="48"/>
      <c r="AJ87" s="48"/>
      <c r="AK87" s="48"/>
      <c r="AL87" s="48"/>
      <c r="AM87" s="48"/>
      <c r="AN87" s="48"/>
      <c r="AO87" s="48"/>
    </row>
    <row r="88" spans="1:41">
      <c r="A88" s="290">
        <f>ROW()</f>
        <v>88</v>
      </c>
      <c r="B88" s="11" t="s">
        <v>366</v>
      </c>
      <c r="C88" s="11"/>
      <c r="D88" s="11"/>
      <c r="E88" s="1619">
        <f t="shared" ref="E88:R88" si="61">IF(OR(E29=0,E$36=0),0,E29/E$36)</f>
        <v>0</v>
      </c>
      <c r="F88" s="1620">
        <f t="shared" si="61"/>
        <v>0</v>
      </c>
      <c r="G88" s="1619">
        <f t="shared" si="61"/>
        <v>0</v>
      </c>
      <c r="H88" s="1619">
        <f t="shared" si="61"/>
        <v>0</v>
      </c>
      <c r="I88" s="1619">
        <f t="shared" si="61"/>
        <v>0</v>
      </c>
      <c r="J88" s="1620">
        <f t="shared" si="61"/>
        <v>0</v>
      </c>
      <c r="K88" s="1619">
        <f t="shared" si="61"/>
        <v>0</v>
      </c>
      <c r="L88" s="1619">
        <f t="shared" si="61"/>
        <v>0</v>
      </c>
      <c r="M88" s="1619">
        <f t="shared" si="61"/>
        <v>0</v>
      </c>
      <c r="N88" s="1620">
        <f t="shared" si="61"/>
        <v>0</v>
      </c>
      <c r="O88" s="1619">
        <f t="shared" si="61"/>
        <v>0</v>
      </c>
      <c r="P88" s="1619">
        <f t="shared" si="61"/>
        <v>0</v>
      </c>
      <c r="Q88" s="1619">
        <f t="shared" si="61"/>
        <v>0</v>
      </c>
      <c r="R88" s="1619">
        <f t="shared" si="61"/>
        <v>0</v>
      </c>
      <c r="U88" s="287"/>
      <c r="W88" s="48"/>
      <c r="X88" s="48"/>
      <c r="Y88" s="48"/>
      <c r="Z88" s="48"/>
      <c r="AA88" s="48"/>
      <c r="AB88" s="48"/>
      <c r="AC88" s="48"/>
      <c r="AD88" s="48"/>
      <c r="AE88" s="48"/>
      <c r="AF88" s="48"/>
      <c r="AG88" s="48"/>
      <c r="AH88" s="48"/>
      <c r="AI88" s="48"/>
      <c r="AJ88" s="48"/>
      <c r="AK88" s="48"/>
      <c r="AL88" s="48"/>
      <c r="AM88" s="48"/>
      <c r="AN88" s="48"/>
      <c r="AO88" s="48"/>
    </row>
    <row r="89" spans="1:41">
      <c r="A89" s="290">
        <f>ROW()</f>
        <v>89</v>
      </c>
      <c r="B89" s="11" t="s">
        <v>367</v>
      </c>
      <c r="C89" s="11"/>
      <c r="D89" s="11"/>
      <c r="E89" s="1619">
        <f t="shared" ref="E89:R89" si="62">IF(OR(E30=0,E$36=0),0,E30/E$36)</f>
        <v>0</v>
      </c>
      <c r="F89" s="1620">
        <f t="shared" si="62"/>
        <v>0</v>
      </c>
      <c r="G89" s="1619">
        <f t="shared" si="62"/>
        <v>0</v>
      </c>
      <c r="H89" s="1619">
        <f t="shared" si="62"/>
        <v>0</v>
      </c>
      <c r="I89" s="1619">
        <f t="shared" si="62"/>
        <v>0</v>
      </c>
      <c r="J89" s="1620">
        <f t="shared" si="62"/>
        <v>0</v>
      </c>
      <c r="K89" s="1619">
        <f t="shared" si="62"/>
        <v>0</v>
      </c>
      <c r="L89" s="1619">
        <f t="shared" si="62"/>
        <v>0</v>
      </c>
      <c r="M89" s="1619">
        <f t="shared" si="62"/>
        <v>0</v>
      </c>
      <c r="N89" s="1620">
        <f t="shared" si="62"/>
        <v>0</v>
      </c>
      <c r="O89" s="1619">
        <f t="shared" si="62"/>
        <v>0</v>
      </c>
      <c r="P89" s="1619">
        <f t="shared" si="62"/>
        <v>0</v>
      </c>
      <c r="Q89" s="1619">
        <f t="shared" si="62"/>
        <v>0</v>
      </c>
      <c r="R89" s="1619">
        <f t="shared" si="62"/>
        <v>0</v>
      </c>
      <c r="U89" s="287"/>
      <c r="W89" s="48"/>
      <c r="X89" s="48"/>
      <c r="Y89" s="48"/>
      <c r="Z89" s="48"/>
      <c r="AA89" s="48"/>
      <c r="AB89" s="48"/>
      <c r="AC89" s="48"/>
      <c r="AD89" s="48"/>
      <c r="AE89" s="48"/>
      <c r="AF89" s="48"/>
      <c r="AG89" s="48"/>
      <c r="AH89" s="48"/>
      <c r="AI89" s="48"/>
      <c r="AJ89" s="48"/>
      <c r="AK89" s="48"/>
      <c r="AL89" s="48"/>
      <c r="AM89" s="48"/>
      <c r="AN89" s="48"/>
      <c r="AO89" s="48"/>
    </row>
    <row r="90" spans="1:41">
      <c r="A90" s="290">
        <f>ROW()</f>
        <v>90</v>
      </c>
      <c r="B90" s="11" t="s">
        <v>98</v>
      </c>
      <c r="C90" s="11"/>
      <c r="D90" s="11"/>
      <c r="E90" s="1619">
        <f t="shared" ref="E90:R90" si="63">IF(OR(E31=0,E$36=0),0,E31/E$36)</f>
        <v>3.9426631126289018E-2</v>
      </c>
      <c r="F90" s="1620">
        <f t="shared" si="63"/>
        <v>0</v>
      </c>
      <c r="G90" s="1619">
        <f t="shared" si="63"/>
        <v>7.511442711966583E-2</v>
      </c>
      <c r="H90" s="1619">
        <f t="shared" si="63"/>
        <v>7.511442711966583E-2</v>
      </c>
      <c r="I90" s="1619">
        <f t="shared" si="63"/>
        <v>7.511442711966583E-2</v>
      </c>
      <c r="J90" s="1620">
        <f t="shared" si="63"/>
        <v>3.0428063741503739E-2</v>
      </c>
      <c r="K90" s="1619">
        <f t="shared" si="63"/>
        <v>4.7318076998989808E-2</v>
      </c>
      <c r="L90" s="1619">
        <f t="shared" si="63"/>
        <v>4.6361964214404153E-2</v>
      </c>
      <c r="M90" s="1619">
        <f t="shared" si="63"/>
        <v>4.6361964214404153E-2</v>
      </c>
      <c r="N90" s="1620">
        <f t="shared" si="63"/>
        <v>4.6361964214404153E-2</v>
      </c>
      <c r="O90" s="1619">
        <f t="shared" si="63"/>
        <v>4.6361964214404153E-2</v>
      </c>
      <c r="P90" s="1619">
        <f t="shared" si="63"/>
        <v>4.6361964214404153E-2</v>
      </c>
      <c r="Q90" s="1619">
        <f t="shared" si="63"/>
        <v>0</v>
      </c>
      <c r="R90" s="1619">
        <f t="shared" si="63"/>
        <v>0</v>
      </c>
      <c r="U90" s="287"/>
      <c r="W90" s="48"/>
      <c r="X90" s="48"/>
      <c r="Y90" s="48"/>
      <c r="Z90" s="48"/>
      <c r="AA90" s="48"/>
      <c r="AB90" s="48"/>
      <c r="AC90" s="48"/>
      <c r="AD90" s="48"/>
      <c r="AE90" s="48"/>
      <c r="AF90" s="48"/>
      <c r="AG90" s="48"/>
      <c r="AH90" s="48"/>
      <c r="AI90" s="48"/>
      <c r="AJ90" s="48"/>
      <c r="AK90" s="48"/>
      <c r="AL90" s="48"/>
      <c r="AM90" s="48"/>
      <c r="AN90" s="48"/>
      <c r="AO90" s="48"/>
    </row>
    <row r="91" spans="1:41">
      <c r="A91" s="290">
        <f>ROW()</f>
        <v>91</v>
      </c>
      <c r="B91" s="11" t="s">
        <v>368</v>
      </c>
      <c r="C91" s="11"/>
      <c r="D91" s="11"/>
      <c r="E91" s="1619">
        <f t="shared" ref="E91:R91" si="64">IF(OR(E32=0,E$36=0),0,E32/E$36)</f>
        <v>0</v>
      </c>
      <c r="F91" s="1620">
        <f t="shared" si="64"/>
        <v>0</v>
      </c>
      <c r="G91" s="1619">
        <f t="shared" si="64"/>
        <v>0</v>
      </c>
      <c r="H91" s="1619">
        <f t="shared" si="64"/>
        <v>0</v>
      </c>
      <c r="I91" s="1619">
        <f t="shared" si="64"/>
        <v>0</v>
      </c>
      <c r="J91" s="1620">
        <f t="shared" si="64"/>
        <v>0</v>
      </c>
      <c r="K91" s="1619">
        <f t="shared" si="64"/>
        <v>0</v>
      </c>
      <c r="L91" s="1619">
        <f t="shared" si="64"/>
        <v>0</v>
      </c>
      <c r="M91" s="1619">
        <f t="shared" si="64"/>
        <v>0</v>
      </c>
      <c r="N91" s="1620">
        <f t="shared" si="64"/>
        <v>0</v>
      </c>
      <c r="O91" s="1619">
        <f t="shared" si="64"/>
        <v>0</v>
      </c>
      <c r="P91" s="1619">
        <f t="shared" si="64"/>
        <v>0</v>
      </c>
      <c r="Q91" s="1619">
        <f t="shared" si="64"/>
        <v>0</v>
      </c>
      <c r="R91" s="1619">
        <f t="shared" si="64"/>
        <v>0</v>
      </c>
      <c r="U91" s="287"/>
      <c r="W91" s="48"/>
      <c r="X91" s="48"/>
      <c r="Y91" s="48"/>
      <c r="Z91" s="48"/>
      <c r="AA91" s="48"/>
      <c r="AB91" s="48"/>
      <c r="AC91" s="48"/>
      <c r="AD91" s="48"/>
      <c r="AE91" s="48"/>
      <c r="AF91" s="48"/>
      <c r="AG91" s="48"/>
      <c r="AH91" s="48"/>
      <c r="AI91" s="48"/>
      <c r="AJ91" s="48"/>
      <c r="AK91" s="48"/>
      <c r="AL91" s="48"/>
      <c r="AM91" s="48"/>
      <c r="AN91" s="48"/>
      <c r="AO91" s="48"/>
    </row>
    <row r="92" spans="1:41">
      <c r="A92" s="290">
        <f>ROW()</f>
        <v>92</v>
      </c>
      <c r="B92" s="11" t="s">
        <v>97</v>
      </c>
      <c r="C92" s="11"/>
      <c r="D92" s="11"/>
      <c r="E92" s="1619">
        <f t="shared" ref="E92:R92" si="65">IF(OR(E33=0,E$36=0),0,E33/E$36)</f>
        <v>0</v>
      </c>
      <c r="F92" s="1620">
        <f t="shared" si="65"/>
        <v>0</v>
      </c>
      <c r="G92" s="1619">
        <f t="shared" si="65"/>
        <v>0</v>
      </c>
      <c r="H92" s="1619">
        <f t="shared" si="65"/>
        <v>0</v>
      </c>
      <c r="I92" s="1619">
        <f t="shared" si="65"/>
        <v>0</v>
      </c>
      <c r="J92" s="1620">
        <f t="shared" si="65"/>
        <v>0</v>
      </c>
      <c r="K92" s="1619">
        <f t="shared" si="65"/>
        <v>0</v>
      </c>
      <c r="L92" s="1619">
        <f t="shared" si="65"/>
        <v>0</v>
      </c>
      <c r="M92" s="1619">
        <f t="shared" si="65"/>
        <v>0</v>
      </c>
      <c r="N92" s="1620">
        <f t="shared" si="65"/>
        <v>0</v>
      </c>
      <c r="O92" s="1619">
        <f t="shared" si="65"/>
        <v>0</v>
      </c>
      <c r="P92" s="1619">
        <f t="shared" si="65"/>
        <v>0</v>
      </c>
      <c r="Q92" s="1619">
        <f t="shared" si="65"/>
        <v>0</v>
      </c>
      <c r="R92" s="1619">
        <f t="shared" si="65"/>
        <v>0</v>
      </c>
      <c r="U92" s="287"/>
      <c r="W92" s="48"/>
      <c r="X92" s="48"/>
      <c r="Y92" s="48"/>
      <c r="Z92" s="48"/>
      <c r="AA92" s="48"/>
      <c r="AB92" s="48"/>
      <c r="AC92" s="48"/>
      <c r="AD92" s="48"/>
      <c r="AE92" s="48"/>
      <c r="AF92" s="48"/>
      <c r="AG92" s="48"/>
      <c r="AH92" s="48"/>
      <c r="AI92" s="48"/>
      <c r="AJ92" s="48"/>
      <c r="AK92" s="48"/>
      <c r="AL92" s="48"/>
      <c r="AM92" s="48"/>
      <c r="AN92" s="48"/>
      <c r="AO92" s="48"/>
    </row>
    <row r="93" spans="1:41">
      <c r="A93" s="290">
        <f>ROW()</f>
        <v>93</v>
      </c>
      <c r="B93" s="11" t="s">
        <v>399</v>
      </c>
      <c r="C93" s="11"/>
      <c r="D93" s="11"/>
      <c r="E93" s="1619">
        <f t="shared" ref="E93:R93" si="66">IF(OR(E34=0,E$36=0),0,E34/E$36)</f>
        <v>0</v>
      </c>
      <c r="F93" s="1620">
        <f t="shared" si="66"/>
        <v>0</v>
      </c>
      <c r="G93" s="1619">
        <f t="shared" si="66"/>
        <v>0</v>
      </c>
      <c r="H93" s="1619">
        <f t="shared" si="66"/>
        <v>0</v>
      </c>
      <c r="I93" s="1619">
        <f t="shared" si="66"/>
        <v>0</v>
      </c>
      <c r="J93" s="1620">
        <f t="shared" si="66"/>
        <v>0</v>
      </c>
      <c r="K93" s="1619">
        <f t="shared" si="66"/>
        <v>0</v>
      </c>
      <c r="L93" s="1619">
        <f t="shared" si="66"/>
        <v>0</v>
      </c>
      <c r="M93" s="1619">
        <f t="shared" si="66"/>
        <v>0</v>
      </c>
      <c r="N93" s="1620">
        <f t="shared" si="66"/>
        <v>0</v>
      </c>
      <c r="O93" s="1619">
        <f t="shared" si="66"/>
        <v>0</v>
      </c>
      <c r="P93" s="1619">
        <f t="shared" si="66"/>
        <v>0</v>
      </c>
      <c r="Q93" s="1619">
        <f t="shared" si="66"/>
        <v>0</v>
      </c>
      <c r="R93" s="1619">
        <f t="shared" si="66"/>
        <v>0</v>
      </c>
      <c r="U93" s="287"/>
      <c r="W93" s="48"/>
      <c r="X93" s="48"/>
      <c r="Y93" s="48"/>
      <c r="Z93" s="48"/>
      <c r="AA93" s="48"/>
      <c r="AB93" s="48"/>
      <c r="AC93" s="48"/>
      <c r="AD93" s="48"/>
      <c r="AE93" s="48"/>
      <c r="AF93" s="48"/>
      <c r="AG93" s="48"/>
      <c r="AH93" s="48"/>
      <c r="AI93" s="48"/>
      <c r="AJ93" s="48"/>
      <c r="AK93" s="48"/>
      <c r="AL93" s="48"/>
      <c r="AM93" s="48"/>
      <c r="AN93" s="48"/>
      <c r="AO93" s="48"/>
    </row>
    <row r="94" spans="1:41">
      <c r="A94" s="290">
        <f>ROW()</f>
        <v>94</v>
      </c>
      <c r="B94" s="11" t="s">
        <v>400</v>
      </c>
      <c r="C94" s="12"/>
      <c r="D94" s="12"/>
      <c r="E94" s="1621">
        <f t="shared" ref="E94:R94" si="67">IF(OR(E35=0,E$36=0),0,E35/E$36)</f>
        <v>0</v>
      </c>
      <c r="F94" s="1622">
        <f t="shared" si="67"/>
        <v>0</v>
      </c>
      <c r="G94" s="1621">
        <f t="shared" si="67"/>
        <v>0</v>
      </c>
      <c r="H94" s="1621">
        <f t="shared" si="67"/>
        <v>0</v>
      </c>
      <c r="I94" s="1621">
        <f t="shared" si="67"/>
        <v>0</v>
      </c>
      <c r="J94" s="1622">
        <f t="shared" si="67"/>
        <v>0</v>
      </c>
      <c r="K94" s="1621">
        <f t="shared" si="67"/>
        <v>0</v>
      </c>
      <c r="L94" s="1621">
        <f t="shared" si="67"/>
        <v>0</v>
      </c>
      <c r="M94" s="1621">
        <f t="shared" si="67"/>
        <v>0</v>
      </c>
      <c r="N94" s="1622">
        <f t="shared" si="67"/>
        <v>0</v>
      </c>
      <c r="O94" s="1621">
        <f t="shared" si="67"/>
        <v>0</v>
      </c>
      <c r="P94" s="1621">
        <f t="shared" si="67"/>
        <v>0</v>
      </c>
      <c r="Q94" s="1621">
        <f t="shared" si="67"/>
        <v>0</v>
      </c>
      <c r="R94" s="1621">
        <f t="shared" si="67"/>
        <v>0</v>
      </c>
      <c r="U94" s="287"/>
      <c r="W94" s="48"/>
      <c r="X94" s="48"/>
      <c r="Y94" s="48"/>
      <c r="Z94" s="48"/>
      <c r="AA94" s="48"/>
      <c r="AB94" s="48"/>
      <c r="AC94" s="48"/>
      <c r="AD94" s="48"/>
      <c r="AE94" s="48"/>
      <c r="AF94" s="48"/>
      <c r="AG94" s="48"/>
      <c r="AH94" s="48"/>
      <c r="AI94" s="48"/>
      <c r="AJ94" s="48"/>
      <c r="AK94" s="48"/>
      <c r="AL94" s="48"/>
      <c r="AM94" s="48"/>
      <c r="AN94" s="48"/>
      <c r="AO94" s="48"/>
    </row>
    <row r="95" spans="1:41">
      <c r="A95" s="290">
        <f>ROW()</f>
        <v>95</v>
      </c>
      <c r="B95" s="11" t="s">
        <v>401</v>
      </c>
      <c r="C95" s="12"/>
      <c r="D95" s="12"/>
      <c r="E95" s="1623">
        <f>SUM(E79:E94)</f>
        <v>0.99967432492951869</v>
      </c>
      <c r="F95" s="1623">
        <f t="shared" ref="F95:R95" si="68">SUM(F79:F94)</f>
        <v>1</v>
      </c>
      <c r="G95" s="1623">
        <f t="shared" si="68"/>
        <v>0.99943593971782019</v>
      </c>
      <c r="H95" s="1623">
        <f t="shared" si="68"/>
        <v>0.99943593971782019</v>
      </c>
      <c r="I95" s="1623">
        <f t="shared" si="68"/>
        <v>0.99943593971782019</v>
      </c>
      <c r="J95" s="1623">
        <f t="shared" si="68"/>
        <v>0.99977150511721435</v>
      </c>
      <c r="K95" s="1623">
        <f t="shared" si="68"/>
        <v>0.99964467215037478</v>
      </c>
      <c r="L95" s="1623">
        <f t="shared" si="68"/>
        <v>0.99965185193284467</v>
      </c>
      <c r="M95" s="1623">
        <f t="shared" si="68"/>
        <v>0.99965185193284467</v>
      </c>
      <c r="N95" s="1623">
        <f t="shared" si="68"/>
        <v>0.99965185193284467</v>
      </c>
      <c r="O95" s="1623">
        <f t="shared" si="68"/>
        <v>0.99965185193284467</v>
      </c>
      <c r="P95" s="1623">
        <f t="shared" si="68"/>
        <v>0.99965185193284467</v>
      </c>
      <c r="Q95" s="1623">
        <f t="shared" ref="Q95" si="69">SUM(Q79:Q94)</f>
        <v>0.99963492640384399</v>
      </c>
      <c r="R95" s="1623">
        <f t="shared" si="68"/>
        <v>1</v>
      </c>
      <c r="U95" s="287"/>
      <c r="W95" s="48"/>
      <c r="X95" s="48"/>
      <c r="Y95" s="48"/>
      <c r="Z95" s="48"/>
      <c r="AA95" s="48"/>
      <c r="AB95" s="48"/>
      <c r="AC95" s="48"/>
      <c r="AD95" s="48"/>
      <c r="AE95" s="48"/>
      <c r="AF95" s="48"/>
      <c r="AG95" s="48"/>
      <c r="AH95" s="48"/>
      <c r="AI95" s="48"/>
      <c r="AJ95" s="48"/>
      <c r="AK95" s="48"/>
      <c r="AL95" s="48"/>
      <c r="AM95" s="48"/>
      <c r="AN95" s="48"/>
      <c r="AO95" s="48"/>
    </row>
    <row r="96" spans="1:41">
      <c r="A96" s="290">
        <f>ROW()</f>
        <v>96</v>
      </c>
      <c r="B96" s="12" t="s">
        <v>370</v>
      </c>
      <c r="C96" s="12"/>
      <c r="D96" s="12"/>
      <c r="E96" s="1624"/>
      <c r="F96" s="1625">
        <f t="shared" ref="F96:R96" si="70">IFERROR(F37/$E$36,0)</f>
        <v>4.6250694247654149E-2</v>
      </c>
      <c r="G96" s="1625">
        <f t="shared" si="70"/>
        <v>9.8739453914925404E-2</v>
      </c>
      <c r="H96" s="1625">
        <f t="shared" si="70"/>
        <v>0.15122821358219665</v>
      </c>
      <c r="I96" s="1625">
        <f t="shared" si="70"/>
        <v>0.20371697324946789</v>
      </c>
      <c r="J96" s="1625">
        <f t="shared" si="70"/>
        <v>0.33329022332949604</v>
      </c>
      <c r="K96" s="1625">
        <f t="shared" si="70"/>
        <v>0.41661277916187006</v>
      </c>
      <c r="L96" s="1625">
        <f t="shared" si="70"/>
        <v>0.50165367808487038</v>
      </c>
      <c r="M96" s="1625">
        <f t="shared" si="70"/>
        <v>0.58669457700787064</v>
      </c>
      <c r="N96" s="1625">
        <f t="shared" si="70"/>
        <v>0.67173547593087102</v>
      </c>
      <c r="O96" s="1625">
        <f t="shared" si="70"/>
        <v>0.75677637485387128</v>
      </c>
      <c r="P96" s="1625">
        <f t="shared" si="70"/>
        <v>0.84181727377687166</v>
      </c>
      <c r="Q96" s="1625">
        <f t="shared" si="70"/>
        <v>0.83787461066424274</v>
      </c>
      <c r="R96" s="1625">
        <f t="shared" si="70"/>
        <v>0.91890176418962854</v>
      </c>
      <c r="U96" s="287"/>
      <c r="W96" s="48"/>
      <c r="X96" s="48"/>
      <c r="Y96" s="48"/>
      <c r="Z96" s="48"/>
      <c r="AA96" s="48"/>
      <c r="AB96" s="48"/>
      <c r="AC96" s="48"/>
      <c r="AD96" s="48"/>
      <c r="AE96" s="48"/>
      <c r="AF96" s="48"/>
      <c r="AG96" s="48"/>
      <c r="AH96" s="48"/>
      <c r="AI96" s="48"/>
      <c r="AJ96" s="48"/>
      <c r="AK96" s="48"/>
      <c r="AL96" s="48"/>
      <c r="AM96" s="48"/>
      <c r="AN96" s="48"/>
      <c r="AO96" s="48"/>
    </row>
    <row r="97" spans="1:41">
      <c r="A97" s="290">
        <f>ROW()</f>
        <v>97</v>
      </c>
      <c r="B97" s="12"/>
      <c r="C97" s="12"/>
      <c r="D97" s="12"/>
      <c r="E97" s="476"/>
      <c r="F97" s="477"/>
      <c r="G97" s="477"/>
      <c r="H97" s="477"/>
      <c r="I97" s="477"/>
      <c r="J97" s="477"/>
      <c r="K97" s="477"/>
      <c r="L97" s="477"/>
      <c r="M97" s="477"/>
      <c r="N97" s="477"/>
      <c r="O97" s="477"/>
      <c r="P97" s="477"/>
      <c r="Q97" s="477"/>
      <c r="R97" s="477"/>
      <c r="U97" s="287"/>
      <c r="W97" s="48"/>
      <c r="X97" s="48"/>
      <c r="Y97" s="48"/>
      <c r="Z97" s="48"/>
      <c r="AA97" s="48"/>
      <c r="AB97" s="48"/>
      <c r="AC97" s="48"/>
      <c r="AD97" s="48"/>
      <c r="AE97" s="48"/>
      <c r="AF97" s="48"/>
      <c r="AG97" s="48"/>
      <c r="AH97" s="48"/>
      <c r="AI97" s="48"/>
      <c r="AJ97" s="48"/>
      <c r="AK97" s="48"/>
      <c r="AL97" s="48"/>
      <c r="AM97" s="48"/>
      <c r="AN97" s="48"/>
      <c r="AO97" s="48"/>
    </row>
    <row r="98" spans="1:41" ht="17.399999999999999">
      <c r="A98" s="290">
        <f>ROW()</f>
        <v>98</v>
      </c>
      <c r="B98" s="1545" t="s">
        <v>402</v>
      </c>
      <c r="C98" s="1549"/>
      <c r="D98" s="1549"/>
      <c r="E98" s="1550"/>
      <c r="F98" s="1551"/>
      <c r="G98" s="1551"/>
      <c r="H98" s="1551"/>
      <c r="I98" s="1551"/>
      <c r="J98" s="1551"/>
      <c r="K98" s="1551"/>
      <c r="L98" s="1551"/>
      <c r="M98" s="1551"/>
      <c r="N98" s="1551"/>
      <c r="O98" s="1551"/>
      <c r="P98" s="1551"/>
      <c r="Q98" s="1551"/>
      <c r="R98" s="1551"/>
      <c r="U98" s="287"/>
      <c r="W98" s="48"/>
      <c r="X98" s="48"/>
      <c r="Y98" s="48"/>
      <c r="Z98" s="48"/>
      <c r="AA98" s="48"/>
      <c r="AB98" s="48"/>
      <c r="AC98" s="48"/>
      <c r="AD98" s="48"/>
      <c r="AE98" s="48"/>
      <c r="AF98" s="48"/>
      <c r="AG98" s="48"/>
      <c r="AH98" s="48"/>
      <c r="AI98" s="48"/>
      <c r="AJ98" s="48"/>
      <c r="AK98" s="48"/>
      <c r="AL98" s="48"/>
      <c r="AM98" s="48"/>
      <c r="AN98" s="48"/>
      <c r="AO98" s="48"/>
    </row>
    <row r="99" spans="1:41">
      <c r="A99" s="290">
        <f>ROW()</f>
        <v>99</v>
      </c>
      <c r="B99" s="11"/>
      <c r="C99" s="11"/>
      <c r="D99" s="11"/>
      <c r="E99" s="478"/>
      <c r="F99" s="479"/>
      <c r="G99" s="478"/>
      <c r="H99" s="478"/>
      <c r="I99" s="478"/>
      <c r="J99" s="479"/>
      <c r="K99" s="478"/>
      <c r="L99" s="478"/>
      <c r="M99" s="478"/>
      <c r="N99" s="479"/>
      <c r="O99" s="478"/>
      <c r="P99" s="478"/>
      <c r="Q99" s="478"/>
      <c r="R99" s="478"/>
      <c r="U99" s="287"/>
      <c r="W99" s="48"/>
      <c r="X99" s="48"/>
      <c r="Y99" s="48"/>
      <c r="Z99" s="48"/>
      <c r="AA99" s="48"/>
      <c r="AB99" s="48"/>
      <c r="AC99" s="48"/>
      <c r="AD99" s="48"/>
      <c r="AE99" s="48"/>
      <c r="AF99" s="48"/>
      <c r="AG99" s="48"/>
      <c r="AH99" s="48"/>
      <c r="AI99" s="48"/>
      <c r="AJ99" s="48"/>
      <c r="AK99" s="48"/>
      <c r="AL99" s="48"/>
      <c r="AM99" s="48"/>
      <c r="AN99" s="48"/>
      <c r="AO99" s="48"/>
    </row>
    <row r="100" spans="1:41">
      <c r="A100" s="290">
        <f>ROW()</f>
        <v>100</v>
      </c>
      <c r="B100" s="1539" t="s">
        <v>109</v>
      </c>
      <c r="C100" s="1539"/>
      <c r="D100" s="1539"/>
      <c r="E100" s="1552"/>
      <c r="F100" s="1552"/>
      <c r="G100" s="1552"/>
      <c r="H100" s="1552"/>
      <c r="I100" s="1552"/>
      <c r="J100" s="1552"/>
      <c r="K100" s="1552"/>
      <c r="L100" s="1552"/>
      <c r="M100" s="1552"/>
      <c r="N100" s="1552"/>
      <c r="O100" s="1552"/>
      <c r="P100" s="1552"/>
      <c r="Q100" s="1552"/>
      <c r="R100" s="1552"/>
      <c r="U100" s="287"/>
      <c r="W100" s="48"/>
      <c r="X100" s="48"/>
      <c r="Y100" s="48"/>
      <c r="Z100" s="48"/>
      <c r="AA100" s="48"/>
      <c r="AB100" s="48"/>
      <c r="AC100" s="48"/>
      <c r="AD100" s="48"/>
      <c r="AE100" s="48"/>
      <c r="AF100" s="48"/>
      <c r="AG100" s="48"/>
      <c r="AH100" s="48"/>
      <c r="AI100" s="48"/>
      <c r="AJ100" s="48"/>
      <c r="AK100" s="48"/>
      <c r="AL100" s="48"/>
      <c r="AM100" s="48"/>
      <c r="AN100" s="48"/>
      <c r="AO100" s="48"/>
    </row>
    <row r="101" spans="1:41">
      <c r="A101" s="290">
        <f>ROW()</f>
        <v>101</v>
      </c>
      <c r="B101" s="11" t="s">
        <v>403</v>
      </c>
      <c r="C101" s="11"/>
      <c r="D101" s="11"/>
      <c r="E101" s="708">
        <f t="shared" ref="E101:R101" si="71">IFERROR(E41/E$36,0)</f>
        <v>0.63636094517303499</v>
      </c>
      <c r="F101" s="708">
        <f t="shared" si="71"/>
        <v>1.146579086585479</v>
      </c>
      <c r="G101" s="708">
        <f t="shared" si="71"/>
        <v>1.0103130479855071</v>
      </c>
      <c r="H101" s="708">
        <f t="shared" si="71"/>
        <v>1.0103130479855071</v>
      </c>
      <c r="I101" s="708">
        <f t="shared" si="71"/>
        <v>1.0103130479855071</v>
      </c>
      <c r="J101" s="708">
        <f t="shared" si="71"/>
        <v>0.40926718077741098</v>
      </c>
      <c r="K101" s="708">
        <f t="shared" si="71"/>
        <v>0.63644325638670995</v>
      </c>
      <c r="L101" s="708">
        <f t="shared" si="71"/>
        <v>0.62358323390296333</v>
      </c>
      <c r="M101" s="708">
        <f t="shared" si="71"/>
        <v>0.62358323390296333</v>
      </c>
      <c r="N101" s="708">
        <f>IFERROR(N41/N$36,0)</f>
        <v>0.62358323390296333</v>
      </c>
      <c r="O101" s="708">
        <f t="shared" si="71"/>
        <v>0.62358323390296333</v>
      </c>
      <c r="P101" s="708">
        <f t="shared" si="71"/>
        <v>0.62358323390296333</v>
      </c>
      <c r="Q101" s="708">
        <f t="shared" si="71"/>
        <v>0.65389928935590613</v>
      </c>
      <c r="R101" s="708">
        <f t="shared" si="71"/>
        <v>0</v>
      </c>
      <c r="U101" s="287"/>
      <c r="W101" s="48"/>
      <c r="X101" s="48"/>
      <c r="Y101" s="48"/>
      <c r="Z101" s="48"/>
      <c r="AA101" s="48"/>
      <c r="AB101" s="48"/>
      <c r="AC101" s="48"/>
      <c r="AD101" s="48"/>
      <c r="AE101" s="48"/>
      <c r="AF101" s="48"/>
      <c r="AG101" s="48"/>
      <c r="AH101" s="48"/>
      <c r="AI101" s="48"/>
      <c r="AJ101" s="48"/>
      <c r="AK101" s="48"/>
      <c r="AL101" s="48"/>
      <c r="AM101" s="48"/>
      <c r="AN101" s="48"/>
      <c r="AO101" s="48"/>
    </row>
    <row r="102" spans="1:41">
      <c r="A102" s="290">
        <f>ROW()</f>
        <v>102</v>
      </c>
      <c r="B102" s="11" t="s">
        <v>404</v>
      </c>
      <c r="C102" s="11"/>
      <c r="D102" s="11"/>
      <c r="E102" s="474">
        <f>IFERROR(#REF!/E$36,0)</f>
        <v>0</v>
      </c>
      <c r="F102" s="474">
        <f>IFERROR(#REF!/F$36,0)</f>
        <v>0</v>
      </c>
      <c r="G102" s="474">
        <f>IFERROR(#REF!/G$36,0)</f>
        <v>0</v>
      </c>
      <c r="H102" s="474">
        <f>IFERROR(#REF!/H$36,0)</f>
        <v>0</v>
      </c>
      <c r="I102" s="474">
        <f>IFERROR(#REF!/I$36,0)</f>
        <v>0</v>
      </c>
      <c r="J102" s="474">
        <f>IFERROR(#REF!/J$36,0)</f>
        <v>0</v>
      </c>
      <c r="K102" s="474">
        <f>IFERROR(#REF!/K$36,0)</f>
        <v>0</v>
      </c>
      <c r="L102" s="474">
        <f>IFERROR(#REF!/L$36,0)</f>
        <v>0</v>
      </c>
      <c r="M102" s="474">
        <f>IFERROR(#REF!/M$36,0)</f>
        <v>0</v>
      </c>
      <c r="N102" s="474">
        <f>IFERROR(#REF!/N$36,0)</f>
        <v>0</v>
      </c>
      <c r="O102" s="474">
        <f>IFERROR(#REF!/O$36,0)</f>
        <v>0</v>
      </c>
      <c r="P102" s="474">
        <f>IFERROR(#REF!/P$36,0)</f>
        <v>0</v>
      </c>
      <c r="Q102" s="474">
        <f>IFERROR(#REF!/Q$36,0)</f>
        <v>0</v>
      </c>
      <c r="R102" s="474">
        <f>IFERROR(#REF!/R$36,0)</f>
        <v>0</v>
      </c>
      <c r="U102" s="287"/>
      <c r="W102" s="48"/>
      <c r="X102" s="48"/>
      <c r="Y102" s="48"/>
      <c r="Z102" s="48"/>
      <c r="AA102" s="48"/>
      <c r="AB102" s="48"/>
      <c r="AC102" s="48"/>
      <c r="AD102" s="48"/>
      <c r="AE102" s="48"/>
      <c r="AF102" s="48"/>
      <c r="AG102" s="48"/>
      <c r="AH102" s="48"/>
      <c r="AI102" s="48"/>
      <c r="AJ102" s="48"/>
      <c r="AK102" s="48"/>
      <c r="AL102" s="48"/>
      <c r="AM102" s="48"/>
      <c r="AN102" s="48"/>
      <c r="AO102" s="48"/>
    </row>
    <row r="103" spans="1:41">
      <c r="A103" s="290">
        <f>ROW()</f>
        <v>103</v>
      </c>
      <c r="B103" s="11" t="s">
        <v>405</v>
      </c>
      <c r="C103" s="11"/>
      <c r="D103" s="11"/>
      <c r="E103" s="474">
        <f>IFERROR(#REF!/E$36,0)</f>
        <v>0</v>
      </c>
      <c r="F103" s="474">
        <f>IFERROR(#REF!/F$36,0)</f>
        <v>0</v>
      </c>
      <c r="G103" s="474">
        <f>IFERROR(#REF!/G$36,0)</f>
        <v>0</v>
      </c>
      <c r="H103" s="474">
        <f>IFERROR(#REF!/H$36,0)</f>
        <v>0</v>
      </c>
      <c r="I103" s="474">
        <f>IFERROR(#REF!/I$36,0)</f>
        <v>0</v>
      </c>
      <c r="J103" s="474">
        <f>IFERROR(#REF!/J$36,0)</f>
        <v>0</v>
      </c>
      <c r="K103" s="474">
        <f>IFERROR(#REF!/K$36,0)</f>
        <v>0</v>
      </c>
      <c r="L103" s="474">
        <f>IFERROR(#REF!/L$36,0)</f>
        <v>0</v>
      </c>
      <c r="M103" s="474">
        <f>IFERROR(#REF!/M$36,0)</f>
        <v>0</v>
      </c>
      <c r="N103" s="474">
        <f>IFERROR(#REF!/N$36,0)</f>
        <v>0</v>
      </c>
      <c r="O103" s="474">
        <f>IFERROR(#REF!/O$36,0)</f>
        <v>0</v>
      </c>
      <c r="P103" s="474">
        <f>IFERROR(#REF!/P$36,0)</f>
        <v>0</v>
      </c>
      <c r="Q103" s="474">
        <f>IFERROR(#REF!/Q$36,0)</f>
        <v>0</v>
      </c>
      <c r="R103" s="474">
        <f>IFERROR(#REF!/R$36,0)</f>
        <v>0</v>
      </c>
      <c r="U103" s="287"/>
      <c r="W103" s="48"/>
      <c r="X103" s="48"/>
      <c r="Y103" s="48"/>
      <c r="Z103" s="48"/>
      <c r="AA103" s="48"/>
      <c r="AB103" s="48"/>
      <c r="AC103" s="48"/>
      <c r="AD103" s="48"/>
      <c r="AE103" s="48"/>
      <c r="AF103" s="48"/>
      <c r="AG103" s="48"/>
      <c r="AH103" s="48"/>
      <c r="AI103" s="48"/>
      <c r="AJ103" s="48"/>
      <c r="AK103" s="48"/>
      <c r="AL103" s="48"/>
      <c r="AM103" s="48"/>
      <c r="AN103" s="48"/>
      <c r="AO103" s="48"/>
    </row>
    <row r="104" spans="1:41">
      <c r="A104" s="290">
        <f>ROW()</f>
        <v>104</v>
      </c>
      <c r="B104" s="11" t="s">
        <v>406</v>
      </c>
      <c r="C104" s="11"/>
      <c r="D104" s="11"/>
      <c r="E104" s="474">
        <f>IFERROR(#REF!/E$36,0)</f>
        <v>0</v>
      </c>
      <c r="F104" s="474">
        <f>IFERROR(#REF!/F$36,0)</f>
        <v>0</v>
      </c>
      <c r="G104" s="474">
        <f>IFERROR(#REF!/G$36,0)</f>
        <v>0</v>
      </c>
      <c r="H104" s="474">
        <f>IFERROR(#REF!/H$36,0)</f>
        <v>0</v>
      </c>
      <c r="I104" s="474">
        <f>IFERROR(#REF!/I$36,0)</f>
        <v>0</v>
      </c>
      <c r="J104" s="474">
        <f>IFERROR(#REF!/J$36,0)</f>
        <v>0</v>
      </c>
      <c r="K104" s="474">
        <f>IFERROR(#REF!/K$36,0)</f>
        <v>0</v>
      </c>
      <c r="L104" s="474">
        <f>IFERROR(#REF!/L$36,0)</f>
        <v>0</v>
      </c>
      <c r="M104" s="474">
        <f>IFERROR(#REF!/M$36,0)</f>
        <v>0</v>
      </c>
      <c r="N104" s="474">
        <f>IFERROR(#REF!/N$36,0)</f>
        <v>0</v>
      </c>
      <c r="O104" s="474">
        <f>IFERROR(#REF!/O$36,0)</f>
        <v>0</v>
      </c>
      <c r="P104" s="474">
        <f>IFERROR(#REF!/P$36,0)</f>
        <v>0</v>
      </c>
      <c r="Q104" s="474">
        <f>IFERROR(#REF!/Q$36,0)</f>
        <v>0</v>
      </c>
      <c r="R104" s="474">
        <f>IFERROR(#REF!/R$36,0)</f>
        <v>0</v>
      </c>
      <c r="U104" s="287"/>
      <c r="W104" s="48"/>
      <c r="X104" s="48"/>
      <c r="Y104" s="48"/>
      <c r="Z104" s="48"/>
      <c r="AA104" s="48"/>
      <c r="AB104" s="48"/>
      <c r="AC104" s="48"/>
      <c r="AD104" s="48"/>
      <c r="AE104" s="48"/>
      <c r="AF104" s="48"/>
      <c r="AG104" s="48"/>
      <c r="AH104" s="48"/>
      <c r="AI104" s="48"/>
      <c r="AJ104" s="48"/>
      <c r="AK104" s="48"/>
      <c r="AL104" s="48"/>
      <c r="AM104" s="48"/>
      <c r="AN104" s="48"/>
      <c r="AO104" s="48"/>
    </row>
    <row r="105" spans="1:41">
      <c r="A105" s="290">
        <f>ROW()</f>
        <v>105</v>
      </c>
      <c r="B105" s="11" t="s">
        <v>407</v>
      </c>
      <c r="C105" s="11"/>
      <c r="D105" s="11"/>
      <c r="E105" s="474">
        <f>IFERROR(#REF!/E$36,0)</f>
        <v>0</v>
      </c>
      <c r="F105" s="474">
        <f>IFERROR(#REF!/F$36,0)</f>
        <v>0</v>
      </c>
      <c r="G105" s="474">
        <f>IFERROR(#REF!/G$36,0)</f>
        <v>0</v>
      </c>
      <c r="H105" s="474">
        <f>IFERROR(#REF!/H$36,0)</f>
        <v>0</v>
      </c>
      <c r="I105" s="474">
        <f>IFERROR(#REF!/I$36,0)</f>
        <v>0</v>
      </c>
      <c r="J105" s="474">
        <f>IFERROR(#REF!/J$36,0)</f>
        <v>0</v>
      </c>
      <c r="K105" s="474">
        <f>IFERROR(#REF!/K$36,0)</f>
        <v>0</v>
      </c>
      <c r="L105" s="474">
        <f>IFERROR(#REF!/L$36,0)</f>
        <v>0</v>
      </c>
      <c r="M105" s="474">
        <f>IFERROR(#REF!/M$36,0)</f>
        <v>0</v>
      </c>
      <c r="N105" s="474">
        <f>IFERROR(#REF!/N$36,0)</f>
        <v>0</v>
      </c>
      <c r="O105" s="474">
        <f>IFERROR(#REF!/O$36,0)</f>
        <v>0</v>
      </c>
      <c r="P105" s="474">
        <f>IFERROR(#REF!/P$36,0)</f>
        <v>0</v>
      </c>
      <c r="Q105" s="474">
        <f>IFERROR(#REF!/Q$36,0)</f>
        <v>0</v>
      </c>
      <c r="R105" s="474">
        <f>IFERROR(#REF!/R$36,0)</f>
        <v>0</v>
      </c>
      <c r="U105" s="287"/>
      <c r="W105" s="48"/>
      <c r="X105" s="48"/>
      <c r="Y105" s="48"/>
      <c r="Z105" s="48"/>
      <c r="AA105" s="48"/>
      <c r="AB105" s="48"/>
      <c r="AC105" s="48"/>
      <c r="AD105" s="48"/>
      <c r="AE105" s="48"/>
      <c r="AF105" s="48"/>
      <c r="AG105" s="48"/>
      <c r="AH105" s="48"/>
      <c r="AI105" s="48"/>
      <c r="AJ105" s="48"/>
      <c r="AK105" s="48"/>
      <c r="AL105" s="48"/>
      <c r="AM105" s="48"/>
      <c r="AN105" s="48"/>
      <c r="AO105" s="48"/>
    </row>
    <row r="106" spans="1:41">
      <c r="A106" s="290">
        <f>ROW()</f>
        <v>106</v>
      </c>
      <c r="B106" s="11" t="s">
        <v>374</v>
      </c>
      <c r="C106" s="11"/>
      <c r="D106" s="11"/>
      <c r="E106" s="474">
        <f t="shared" ref="E106:R106" si="72">IFERROR(E42/E$36,0)</f>
        <v>9.2016049371097197E-2</v>
      </c>
      <c r="F106" s="474">
        <f t="shared" si="72"/>
        <v>0.62172073081749113</v>
      </c>
      <c r="G106" s="474">
        <f t="shared" si="72"/>
        <v>0.1095663742513532</v>
      </c>
      <c r="H106" s="474">
        <f t="shared" si="72"/>
        <v>0.1095663742513532</v>
      </c>
      <c r="I106" s="474">
        <f t="shared" si="72"/>
        <v>0.1095663742513532</v>
      </c>
      <c r="J106" s="474">
        <f t="shared" si="72"/>
        <v>4.4384184869497287E-2</v>
      </c>
      <c r="K106" s="474">
        <f t="shared" si="72"/>
        <v>6.9020963510328243E-2</v>
      </c>
      <c r="L106" s="474">
        <f t="shared" si="72"/>
        <v>6.7626320494339795E-2</v>
      </c>
      <c r="M106" s="474">
        <f t="shared" si="72"/>
        <v>6.7626320494339795E-2</v>
      </c>
      <c r="N106" s="474">
        <f>IFERROR(N42/N$36,0)</f>
        <v>6.7626320494339795E-2</v>
      </c>
      <c r="O106" s="474">
        <f t="shared" si="72"/>
        <v>6.7626320494339795E-2</v>
      </c>
      <c r="P106" s="474">
        <f t="shared" si="72"/>
        <v>6.7626320494339795E-2</v>
      </c>
      <c r="Q106" s="474">
        <f t="shared" si="72"/>
        <v>7.0914034420439212E-2</v>
      </c>
      <c r="R106" s="474">
        <f t="shared" si="72"/>
        <v>0</v>
      </c>
      <c r="U106" s="287"/>
      <c r="W106" s="48"/>
      <c r="X106" s="48"/>
      <c r="Y106" s="48"/>
      <c r="Z106" s="48"/>
      <c r="AA106" s="48"/>
      <c r="AB106" s="48"/>
      <c r="AC106" s="48"/>
      <c r="AD106" s="48"/>
      <c r="AE106" s="48"/>
      <c r="AF106" s="48"/>
      <c r="AG106" s="48"/>
      <c r="AH106" s="48"/>
      <c r="AI106" s="48"/>
      <c r="AJ106" s="48"/>
      <c r="AK106" s="48"/>
      <c r="AL106" s="48"/>
      <c r="AM106" s="48"/>
      <c r="AN106" s="48"/>
      <c r="AO106" s="48"/>
    </row>
    <row r="107" spans="1:41">
      <c r="A107" s="290">
        <f>ROW()</f>
        <v>107</v>
      </c>
      <c r="B107" s="11" t="s">
        <v>408</v>
      </c>
      <c r="C107" s="11"/>
      <c r="D107" s="11"/>
      <c r="E107" s="474">
        <f t="shared" ref="E107:R107" si="73">IFERROR(E43/E$36,0)</f>
        <v>2.1957605388332527E-2</v>
      </c>
      <c r="F107" s="474">
        <f t="shared" si="73"/>
        <v>0</v>
      </c>
      <c r="G107" s="474">
        <f t="shared" si="73"/>
        <v>3.8029969788722966E-2</v>
      </c>
      <c r="H107" s="474">
        <f t="shared" si="73"/>
        <v>3.8029969788722966E-2</v>
      </c>
      <c r="I107" s="474">
        <f t="shared" si="73"/>
        <v>3.8029969788722966E-2</v>
      </c>
      <c r="J107" s="474">
        <f t="shared" si="73"/>
        <v>1.540554044265301E-2</v>
      </c>
      <c r="K107" s="474">
        <f t="shared" si="73"/>
        <v>2.3956849672370308E-2</v>
      </c>
      <c r="L107" s="474">
        <f t="shared" si="73"/>
        <v>2.3472775684100691E-2</v>
      </c>
      <c r="M107" s="474">
        <f t="shared" si="73"/>
        <v>2.3472775684100691E-2</v>
      </c>
      <c r="N107" s="474">
        <f t="shared" si="73"/>
        <v>2.3472775684100691E-2</v>
      </c>
      <c r="O107" s="474">
        <f t="shared" si="73"/>
        <v>2.3472775684100691E-2</v>
      </c>
      <c r="P107" s="474">
        <f t="shared" si="73"/>
        <v>2.3472775684100691E-2</v>
      </c>
      <c r="Q107" s="474">
        <f t="shared" si="73"/>
        <v>2.4613925623010718E-2</v>
      </c>
      <c r="R107" s="474">
        <f t="shared" si="73"/>
        <v>0</v>
      </c>
      <c r="U107" s="287"/>
      <c r="W107" s="48"/>
      <c r="X107" s="48"/>
      <c r="Y107" s="48"/>
      <c r="Z107" s="48"/>
      <c r="AA107" s="48"/>
      <c r="AB107" s="48"/>
      <c r="AC107" s="48"/>
      <c r="AD107" s="48"/>
      <c r="AE107" s="48"/>
      <c r="AF107" s="48"/>
      <c r="AG107" s="48"/>
      <c r="AH107" s="48"/>
      <c r="AI107" s="48"/>
      <c r="AJ107" s="48"/>
      <c r="AK107" s="48"/>
      <c r="AL107" s="48"/>
      <c r="AM107" s="48"/>
      <c r="AN107" s="48"/>
      <c r="AO107" s="48"/>
    </row>
    <row r="108" spans="1:41">
      <c r="A108" s="290">
        <f>ROW()</f>
        <v>108</v>
      </c>
      <c r="B108" s="11" t="s">
        <v>409</v>
      </c>
      <c r="C108" s="11"/>
      <c r="D108" s="11"/>
      <c r="E108" s="474">
        <f>IFERROR(#REF!/E$36,0)</f>
        <v>0</v>
      </c>
      <c r="F108" s="474">
        <f>IFERROR(#REF!/F$36,0)</f>
        <v>0</v>
      </c>
      <c r="G108" s="474">
        <f>IFERROR(#REF!/G$36,0)</f>
        <v>0</v>
      </c>
      <c r="H108" s="474">
        <f>IFERROR(#REF!/H$36,0)</f>
        <v>0</v>
      </c>
      <c r="I108" s="474">
        <f>IFERROR(#REF!/I$36,0)</f>
        <v>0</v>
      </c>
      <c r="J108" s="474">
        <f>IFERROR(#REF!/J$36,0)</f>
        <v>0</v>
      </c>
      <c r="K108" s="474">
        <f>IFERROR(#REF!/K$36,0)</f>
        <v>0</v>
      </c>
      <c r="L108" s="474">
        <f>IFERROR(#REF!/L$36,0)</f>
        <v>0</v>
      </c>
      <c r="M108" s="474">
        <f>IFERROR(#REF!/M$36,0)</f>
        <v>0</v>
      </c>
      <c r="N108" s="474">
        <f>IFERROR(#REF!/N$36,0)</f>
        <v>0</v>
      </c>
      <c r="O108" s="474">
        <f>IFERROR(#REF!/O$36,0)</f>
        <v>0</v>
      </c>
      <c r="P108" s="474">
        <f>IFERROR(#REF!/P$36,0)</f>
        <v>0</v>
      </c>
      <c r="Q108" s="474">
        <f>IFERROR(#REF!/Q$36,0)</f>
        <v>0</v>
      </c>
      <c r="R108" s="474">
        <f>IFERROR(#REF!/R$36,0)</f>
        <v>0</v>
      </c>
      <c r="U108" s="287"/>
      <c r="W108" s="48"/>
      <c r="X108" s="48"/>
      <c r="Y108" s="48"/>
      <c r="Z108" s="48"/>
      <c r="AA108" s="48"/>
      <c r="AB108" s="48"/>
      <c r="AC108" s="48"/>
      <c r="AD108" s="48"/>
      <c r="AE108" s="48"/>
      <c r="AF108" s="48"/>
      <c r="AG108" s="48"/>
      <c r="AH108" s="48"/>
      <c r="AI108" s="48"/>
      <c r="AJ108" s="48"/>
      <c r="AK108" s="48"/>
      <c r="AL108" s="48"/>
      <c r="AM108" s="48"/>
      <c r="AN108" s="48"/>
      <c r="AO108" s="48"/>
    </row>
    <row r="109" spans="1:41">
      <c r="A109" s="290">
        <f>ROW()</f>
        <v>109</v>
      </c>
      <c r="B109" s="11" t="s">
        <v>96</v>
      </c>
      <c r="C109" s="11"/>
      <c r="D109" s="11"/>
      <c r="E109" s="474">
        <f t="shared" ref="E109:R109" si="74">IFERROR(E44/E$36,0)</f>
        <v>0</v>
      </c>
      <c r="F109" s="474">
        <f t="shared" si="74"/>
        <v>0</v>
      </c>
      <c r="G109" s="474">
        <f t="shared" si="74"/>
        <v>0</v>
      </c>
      <c r="H109" s="474">
        <f t="shared" si="74"/>
        <v>0</v>
      </c>
      <c r="I109" s="474">
        <f t="shared" si="74"/>
        <v>0</v>
      </c>
      <c r="J109" s="474">
        <f t="shared" si="74"/>
        <v>0</v>
      </c>
      <c r="K109" s="474">
        <f t="shared" si="74"/>
        <v>0</v>
      </c>
      <c r="L109" s="474">
        <f t="shared" si="74"/>
        <v>0</v>
      </c>
      <c r="M109" s="474">
        <f t="shared" si="74"/>
        <v>0</v>
      </c>
      <c r="N109" s="474">
        <f t="shared" si="74"/>
        <v>0</v>
      </c>
      <c r="O109" s="474">
        <f t="shared" si="74"/>
        <v>0</v>
      </c>
      <c r="P109" s="474">
        <f t="shared" si="74"/>
        <v>0</v>
      </c>
      <c r="Q109" s="474">
        <f t="shared" si="74"/>
        <v>0</v>
      </c>
      <c r="R109" s="474">
        <f t="shared" si="74"/>
        <v>0</v>
      </c>
      <c r="U109" s="287"/>
      <c r="W109" s="48"/>
      <c r="X109" s="48"/>
      <c r="Y109" s="48"/>
      <c r="Z109" s="48"/>
      <c r="AA109" s="48"/>
      <c r="AB109" s="48"/>
      <c r="AC109" s="48"/>
      <c r="AD109" s="48"/>
      <c r="AE109" s="48"/>
      <c r="AF109" s="48"/>
      <c r="AG109" s="48"/>
      <c r="AH109" s="48"/>
      <c r="AI109" s="48"/>
      <c r="AJ109" s="48"/>
      <c r="AK109" s="48"/>
      <c r="AL109" s="48"/>
      <c r="AM109" s="48"/>
      <c r="AN109" s="48"/>
      <c r="AO109" s="48"/>
    </row>
    <row r="110" spans="1:41">
      <c r="A110" s="290">
        <f>ROW()</f>
        <v>110</v>
      </c>
      <c r="B110" s="97" t="s">
        <v>377</v>
      </c>
      <c r="C110" s="11"/>
      <c r="D110" s="11"/>
      <c r="E110" s="474">
        <f t="shared" ref="E110:R110" si="75">IFERROR(E45/E$36,0)</f>
        <v>0</v>
      </c>
      <c r="F110" s="474">
        <f t="shared" si="75"/>
        <v>0</v>
      </c>
      <c r="G110" s="474">
        <f t="shared" si="75"/>
        <v>0</v>
      </c>
      <c r="H110" s="474">
        <f t="shared" si="75"/>
        <v>0</v>
      </c>
      <c r="I110" s="474">
        <f t="shared" si="75"/>
        <v>0</v>
      </c>
      <c r="J110" s="474">
        <f t="shared" si="75"/>
        <v>0</v>
      </c>
      <c r="K110" s="474">
        <f t="shared" si="75"/>
        <v>0</v>
      </c>
      <c r="L110" s="474">
        <f t="shared" si="75"/>
        <v>0</v>
      </c>
      <c r="M110" s="474">
        <f t="shared" si="75"/>
        <v>0</v>
      </c>
      <c r="N110" s="474">
        <f t="shared" si="75"/>
        <v>0</v>
      </c>
      <c r="O110" s="474">
        <f t="shared" si="75"/>
        <v>0</v>
      </c>
      <c r="P110" s="474">
        <f t="shared" si="75"/>
        <v>0</v>
      </c>
      <c r="Q110" s="474">
        <f t="shared" si="75"/>
        <v>0</v>
      </c>
      <c r="R110" s="474">
        <f t="shared" si="75"/>
        <v>0</v>
      </c>
      <c r="U110" s="287"/>
      <c r="W110" s="48"/>
      <c r="X110" s="48"/>
      <c r="Y110" s="48"/>
      <c r="Z110" s="48"/>
      <c r="AA110" s="48"/>
      <c r="AB110" s="48"/>
      <c r="AC110" s="48"/>
      <c r="AD110" s="48"/>
      <c r="AE110" s="48"/>
      <c r="AF110" s="48"/>
      <c r="AG110" s="48"/>
      <c r="AH110" s="48"/>
      <c r="AI110" s="48"/>
      <c r="AJ110" s="48"/>
      <c r="AK110" s="48"/>
      <c r="AL110" s="48"/>
      <c r="AM110" s="48"/>
      <c r="AN110" s="48"/>
      <c r="AO110" s="48"/>
    </row>
    <row r="111" spans="1:41">
      <c r="A111" s="290">
        <f>ROW()</f>
        <v>111</v>
      </c>
      <c r="B111" s="32" t="s">
        <v>53</v>
      </c>
      <c r="C111" s="11"/>
      <c r="D111" s="11"/>
      <c r="E111" s="474">
        <f t="shared" ref="E111:R111" si="76">IFERROR(E47/E$36,0)</f>
        <v>1.4803412294598815E-3</v>
      </c>
      <c r="F111" s="474">
        <f t="shared" si="76"/>
        <v>3.2006897486408323E-2</v>
      </c>
      <c r="G111" s="474">
        <f t="shared" si="76"/>
        <v>0</v>
      </c>
      <c r="H111" s="474">
        <f t="shared" si="76"/>
        <v>0</v>
      </c>
      <c r="I111" s="474">
        <f t="shared" si="76"/>
        <v>0</v>
      </c>
      <c r="J111" s="474">
        <f t="shared" si="76"/>
        <v>0</v>
      </c>
      <c r="K111" s="474">
        <f t="shared" si="76"/>
        <v>0</v>
      </c>
      <c r="L111" s="474">
        <f t="shared" si="76"/>
        <v>0</v>
      </c>
      <c r="M111" s="474">
        <f t="shared" si="76"/>
        <v>0</v>
      </c>
      <c r="N111" s="474">
        <f t="shared" si="76"/>
        <v>0</v>
      </c>
      <c r="O111" s="474">
        <f t="shared" si="76"/>
        <v>0</v>
      </c>
      <c r="P111" s="474">
        <f t="shared" si="76"/>
        <v>0</v>
      </c>
      <c r="Q111" s="474">
        <f t="shared" si="76"/>
        <v>0</v>
      </c>
      <c r="R111" s="474">
        <f t="shared" si="76"/>
        <v>0</v>
      </c>
      <c r="U111" s="287"/>
      <c r="W111" s="48"/>
      <c r="X111" s="48"/>
      <c r="Y111" s="48"/>
      <c r="Z111" s="48"/>
      <c r="AA111" s="48"/>
      <c r="AB111" s="48"/>
      <c r="AC111" s="48"/>
      <c r="AD111" s="48"/>
      <c r="AE111" s="48"/>
      <c r="AF111" s="48"/>
      <c r="AG111" s="48"/>
      <c r="AH111" s="48"/>
      <c r="AI111" s="48"/>
      <c r="AJ111" s="48"/>
      <c r="AK111" s="48"/>
      <c r="AL111" s="48"/>
      <c r="AM111" s="48"/>
      <c r="AN111" s="48"/>
      <c r="AO111" s="48"/>
    </row>
    <row r="112" spans="1:41">
      <c r="A112" s="290">
        <f>ROW()</f>
        <v>112</v>
      </c>
      <c r="B112" s="11" t="s">
        <v>410</v>
      </c>
      <c r="C112" s="11"/>
      <c r="D112" s="11"/>
      <c r="E112" s="474">
        <f t="shared" ref="E112:R112" si="77">IFERROR(E48/E$36,0)</f>
        <v>9.1962498027121475E-2</v>
      </c>
      <c r="F112" s="474">
        <f t="shared" si="77"/>
        <v>0.16569570742495007</v>
      </c>
      <c r="G112" s="474">
        <f t="shared" si="77"/>
        <v>0.14600347866552152</v>
      </c>
      <c r="H112" s="474">
        <f t="shared" si="77"/>
        <v>0.14600347866552152</v>
      </c>
      <c r="I112" s="474">
        <f t="shared" si="77"/>
        <v>0.14600347866552152</v>
      </c>
      <c r="J112" s="474">
        <f t="shared" si="77"/>
        <v>5.9144472316059835E-2</v>
      </c>
      <c r="K112" s="474">
        <f t="shared" si="77"/>
        <v>9.1974393076436844E-2</v>
      </c>
      <c r="L112" s="474">
        <f t="shared" si="77"/>
        <v>9.0115951257747448E-2</v>
      </c>
      <c r="M112" s="474">
        <f t="shared" si="77"/>
        <v>9.0115951257747448E-2</v>
      </c>
      <c r="N112" s="474">
        <f t="shared" si="77"/>
        <v>9.0115951257747448E-2</v>
      </c>
      <c r="O112" s="474">
        <f t="shared" si="77"/>
        <v>9.0115951257747448E-2</v>
      </c>
      <c r="P112" s="474">
        <f t="shared" si="77"/>
        <v>9.0115951257747448E-2</v>
      </c>
      <c r="Q112" s="474">
        <f t="shared" si="77"/>
        <v>9.4497018654998363E-2</v>
      </c>
      <c r="R112" s="474">
        <f t="shared" si="77"/>
        <v>0</v>
      </c>
      <c r="U112" s="287"/>
      <c r="W112" s="48"/>
      <c r="X112" s="48"/>
      <c r="Y112" s="48"/>
      <c r="Z112" s="48"/>
      <c r="AA112" s="48"/>
      <c r="AB112" s="48"/>
      <c r="AC112" s="48"/>
      <c r="AD112" s="48"/>
      <c r="AE112" s="48"/>
      <c r="AF112" s="48"/>
      <c r="AG112" s="48"/>
      <c r="AH112" s="48"/>
      <c r="AI112" s="48"/>
      <c r="AJ112" s="48"/>
      <c r="AK112" s="48"/>
      <c r="AL112" s="48"/>
      <c r="AM112" s="48"/>
      <c r="AN112" s="48"/>
      <c r="AO112" s="48"/>
    </row>
    <row r="113" spans="1:41">
      <c r="A113" s="290">
        <f>ROW()</f>
        <v>113</v>
      </c>
      <c r="B113" s="11" t="s">
        <v>411</v>
      </c>
      <c r="C113" s="11"/>
      <c r="D113" s="11"/>
      <c r="E113" s="474">
        <f>IFERROR(#REF!/E$36,0)</f>
        <v>0</v>
      </c>
      <c r="F113" s="474">
        <f>IFERROR(#REF!/F$36,0)</f>
        <v>0</v>
      </c>
      <c r="G113" s="474">
        <f>IFERROR(#REF!/G$36,0)</f>
        <v>0</v>
      </c>
      <c r="H113" s="474">
        <f>IFERROR(#REF!/H$36,0)</f>
        <v>0</v>
      </c>
      <c r="I113" s="474">
        <f>IFERROR(#REF!/I$36,0)</f>
        <v>0</v>
      </c>
      <c r="J113" s="474">
        <f>IFERROR(#REF!/J$36,0)</f>
        <v>0</v>
      </c>
      <c r="K113" s="474">
        <f>IFERROR(#REF!/K$36,0)</f>
        <v>0</v>
      </c>
      <c r="L113" s="474">
        <f>IFERROR(#REF!/L$36,0)</f>
        <v>0</v>
      </c>
      <c r="M113" s="474">
        <f>IFERROR(#REF!/M$36,0)</f>
        <v>0</v>
      </c>
      <c r="N113" s="474">
        <f>IFERROR(#REF!/N$36,0)</f>
        <v>0</v>
      </c>
      <c r="O113" s="474">
        <f>IFERROR(#REF!/O$36,0)</f>
        <v>0</v>
      </c>
      <c r="P113" s="474">
        <f>IFERROR(#REF!/P$36,0)</f>
        <v>0</v>
      </c>
      <c r="Q113" s="474">
        <f>IFERROR(#REF!/Q$36,0)</f>
        <v>0</v>
      </c>
      <c r="R113" s="474">
        <f>IFERROR(#REF!/R$36,0)</f>
        <v>0</v>
      </c>
      <c r="U113" s="287"/>
      <c r="W113" s="48"/>
      <c r="X113" s="48"/>
      <c r="Y113" s="48"/>
      <c r="Z113" s="48"/>
      <c r="AA113" s="48"/>
      <c r="AB113" s="48"/>
      <c r="AC113" s="48"/>
      <c r="AD113" s="48"/>
      <c r="AE113" s="48"/>
      <c r="AF113" s="48"/>
      <c r="AG113" s="48"/>
      <c r="AH113" s="48"/>
      <c r="AI113" s="48"/>
      <c r="AJ113" s="48"/>
      <c r="AK113" s="48"/>
      <c r="AL113" s="48"/>
      <c r="AM113" s="48"/>
      <c r="AN113" s="48"/>
      <c r="AO113" s="48"/>
    </row>
    <row r="114" spans="1:41">
      <c r="A114" s="290">
        <f>ROW()</f>
        <v>114</v>
      </c>
      <c r="B114" s="11" t="s">
        <v>412</v>
      </c>
      <c r="C114" s="11"/>
      <c r="D114" s="11"/>
      <c r="E114" s="474">
        <f>IFERROR(#REF!/E$36,0)</f>
        <v>0</v>
      </c>
      <c r="F114" s="474">
        <f>IFERROR(#REF!/F$36,0)</f>
        <v>0</v>
      </c>
      <c r="G114" s="474">
        <f>IFERROR(#REF!/G$36,0)</f>
        <v>0</v>
      </c>
      <c r="H114" s="474">
        <f>IFERROR(#REF!/H$36,0)</f>
        <v>0</v>
      </c>
      <c r="I114" s="474">
        <f>IFERROR(#REF!/I$36,0)</f>
        <v>0</v>
      </c>
      <c r="J114" s="474">
        <f>IFERROR(#REF!/J$36,0)</f>
        <v>0</v>
      </c>
      <c r="K114" s="474">
        <f>IFERROR(#REF!/K$36,0)</f>
        <v>0</v>
      </c>
      <c r="L114" s="474">
        <f>IFERROR(#REF!/L$36,0)</f>
        <v>0</v>
      </c>
      <c r="M114" s="474">
        <f>IFERROR(#REF!/M$36,0)</f>
        <v>0</v>
      </c>
      <c r="N114" s="474">
        <f>IFERROR(#REF!/N$36,0)</f>
        <v>0</v>
      </c>
      <c r="O114" s="474">
        <f>IFERROR(#REF!/O$36,0)</f>
        <v>0</v>
      </c>
      <c r="P114" s="474">
        <f>IFERROR(#REF!/P$36,0)</f>
        <v>0</v>
      </c>
      <c r="Q114" s="474">
        <f>IFERROR(#REF!/Q$36,0)</f>
        <v>0</v>
      </c>
      <c r="R114" s="474">
        <f>IFERROR(#REF!/R$36,0)</f>
        <v>0</v>
      </c>
      <c r="U114" s="287"/>
      <c r="W114" s="48"/>
      <c r="X114" s="48"/>
      <c r="Y114" s="48"/>
      <c r="Z114" s="48"/>
      <c r="AA114" s="48"/>
      <c r="AB114" s="48"/>
      <c r="AC114" s="48"/>
      <c r="AD114" s="48"/>
      <c r="AE114" s="48"/>
      <c r="AF114" s="48"/>
      <c r="AG114" s="48"/>
      <c r="AH114" s="48"/>
      <c r="AI114" s="48"/>
      <c r="AJ114" s="48"/>
      <c r="AK114" s="48"/>
      <c r="AL114" s="48"/>
      <c r="AM114" s="48"/>
      <c r="AN114" s="48"/>
      <c r="AO114" s="48"/>
    </row>
    <row r="115" spans="1:41">
      <c r="A115" s="290">
        <f>ROW()</f>
        <v>115</v>
      </c>
      <c r="B115" s="97" t="s">
        <v>413</v>
      </c>
      <c r="C115" s="11"/>
      <c r="D115" s="11"/>
      <c r="E115" s="474">
        <f>IFERROR(#REF!/E$36,0)</f>
        <v>0</v>
      </c>
      <c r="F115" s="474">
        <f>IFERROR(#REF!/F$36,0)</f>
        <v>0</v>
      </c>
      <c r="G115" s="474">
        <f>IFERROR(#REF!/G$36,0)</f>
        <v>0</v>
      </c>
      <c r="H115" s="474">
        <f>IFERROR(#REF!/H$36,0)</f>
        <v>0</v>
      </c>
      <c r="I115" s="474">
        <f>IFERROR(#REF!/I$36,0)</f>
        <v>0</v>
      </c>
      <c r="J115" s="474">
        <f>IFERROR(#REF!/J$36,0)</f>
        <v>0</v>
      </c>
      <c r="K115" s="474">
        <f>IFERROR(#REF!/K$36,0)</f>
        <v>0</v>
      </c>
      <c r="L115" s="474">
        <f>IFERROR(#REF!/L$36,0)</f>
        <v>0</v>
      </c>
      <c r="M115" s="474">
        <f>IFERROR(#REF!/M$36,0)</f>
        <v>0</v>
      </c>
      <c r="N115" s="474">
        <f>IFERROR(#REF!/N$36,0)</f>
        <v>0</v>
      </c>
      <c r="O115" s="474">
        <f>IFERROR(#REF!/O$36,0)</f>
        <v>0</v>
      </c>
      <c r="P115" s="474">
        <f>IFERROR(#REF!/P$36,0)</f>
        <v>0</v>
      </c>
      <c r="Q115" s="474">
        <f>IFERROR(#REF!/Q$36,0)</f>
        <v>0</v>
      </c>
      <c r="R115" s="474">
        <f>IFERROR(#REF!/R$36,0)</f>
        <v>0</v>
      </c>
      <c r="U115" s="287"/>
      <c r="W115" s="48"/>
      <c r="X115" s="48"/>
      <c r="Y115" s="48"/>
      <c r="Z115" s="48"/>
      <c r="AA115" s="48"/>
      <c r="AB115" s="48"/>
      <c r="AC115" s="48"/>
      <c r="AD115" s="48"/>
      <c r="AE115" s="48"/>
      <c r="AF115" s="48"/>
      <c r="AG115" s="48"/>
      <c r="AH115" s="48"/>
      <c r="AI115" s="48"/>
      <c r="AJ115" s="48"/>
      <c r="AK115" s="48"/>
      <c r="AL115" s="48"/>
      <c r="AM115" s="48"/>
      <c r="AN115" s="48"/>
      <c r="AO115" s="48"/>
    </row>
    <row r="116" spans="1:41">
      <c r="A116" s="290">
        <f>ROW()</f>
        <v>116</v>
      </c>
      <c r="B116" s="97" t="s">
        <v>414</v>
      </c>
      <c r="C116" s="11"/>
      <c r="D116" s="11"/>
      <c r="E116" s="474">
        <f>IFERROR(#REF!/E$36,0)</f>
        <v>0</v>
      </c>
      <c r="F116" s="474">
        <f>IFERROR(#REF!/F$36,0)</f>
        <v>0</v>
      </c>
      <c r="G116" s="474">
        <f>IFERROR(#REF!/G$36,0)</f>
        <v>0</v>
      </c>
      <c r="H116" s="474">
        <f>IFERROR(#REF!/H$36,0)</f>
        <v>0</v>
      </c>
      <c r="I116" s="474">
        <f>IFERROR(#REF!/I$36,0)</f>
        <v>0</v>
      </c>
      <c r="J116" s="474">
        <f>IFERROR(#REF!/J$36,0)</f>
        <v>0</v>
      </c>
      <c r="K116" s="474">
        <f>IFERROR(#REF!/K$36,0)</f>
        <v>0</v>
      </c>
      <c r="L116" s="474">
        <f>IFERROR(#REF!/L$36,0)</f>
        <v>0</v>
      </c>
      <c r="M116" s="474">
        <f>IFERROR(#REF!/M$36,0)</f>
        <v>0</v>
      </c>
      <c r="N116" s="474">
        <f>IFERROR(#REF!/N$36,0)</f>
        <v>0</v>
      </c>
      <c r="O116" s="474">
        <f>IFERROR(#REF!/O$36,0)</f>
        <v>0</v>
      </c>
      <c r="P116" s="474">
        <f>IFERROR(#REF!/P$36,0)</f>
        <v>0</v>
      </c>
      <c r="Q116" s="474">
        <f>IFERROR(#REF!/Q$36,0)</f>
        <v>0</v>
      </c>
      <c r="R116" s="474">
        <f>IFERROR(#REF!/R$36,0)</f>
        <v>0</v>
      </c>
      <c r="U116" s="287"/>
      <c r="W116" s="48"/>
      <c r="X116" s="48"/>
      <c r="Y116" s="48"/>
      <c r="Z116" s="48"/>
      <c r="AA116" s="48"/>
      <c r="AB116" s="48"/>
      <c r="AC116" s="48"/>
      <c r="AD116" s="48"/>
      <c r="AE116" s="48"/>
      <c r="AF116" s="48"/>
      <c r="AG116" s="48"/>
      <c r="AH116" s="48"/>
      <c r="AI116" s="48"/>
      <c r="AJ116" s="48"/>
      <c r="AK116" s="48"/>
      <c r="AL116" s="48"/>
      <c r="AM116" s="48"/>
      <c r="AN116" s="48"/>
      <c r="AO116" s="48"/>
    </row>
    <row r="117" spans="1:41">
      <c r="A117" s="290">
        <f>ROW()</f>
        <v>117</v>
      </c>
      <c r="B117" s="97" t="s">
        <v>415</v>
      </c>
      <c r="C117" s="11"/>
      <c r="D117" s="11"/>
      <c r="E117" s="474">
        <f>IFERROR(#REF!/E$36,0)</f>
        <v>0</v>
      </c>
      <c r="F117" s="474">
        <f>IFERROR(#REF!/F$36,0)</f>
        <v>0</v>
      </c>
      <c r="G117" s="474">
        <f>IFERROR(#REF!/G$36,0)</f>
        <v>0</v>
      </c>
      <c r="H117" s="474">
        <f>IFERROR(#REF!/H$36,0)</f>
        <v>0</v>
      </c>
      <c r="I117" s="474">
        <f>IFERROR(#REF!/I$36,0)</f>
        <v>0</v>
      </c>
      <c r="J117" s="474">
        <f>IFERROR(#REF!/J$36,0)</f>
        <v>0</v>
      </c>
      <c r="K117" s="474">
        <f>IFERROR(#REF!/K$36,0)</f>
        <v>0</v>
      </c>
      <c r="L117" s="474">
        <f>IFERROR(#REF!/L$36,0)</f>
        <v>0</v>
      </c>
      <c r="M117" s="474">
        <f>IFERROR(#REF!/M$36,0)</f>
        <v>0</v>
      </c>
      <c r="N117" s="474">
        <f>IFERROR(#REF!/N$36,0)</f>
        <v>0</v>
      </c>
      <c r="O117" s="474">
        <f>IFERROR(#REF!/O$36,0)</f>
        <v>0</v>
      </c>
      <c r="P117" s="474">
        <f>IFERROR(#REF!/P$36,0)</f>
        <v>0</v>
      </c>
      <c r="Q117" s="474">
        <f>IFERROR(#REF!/Q$36,0)</f>
        <v>0</v>
      </c>
      <c r="R117" s="474">
        <f>IFERROR(#REF!/R$36,0)</f>
        <v>0</v>
      </c>
      <c r="U117" s="287"/>
      <c r="W117" s="48"/>
      <c r="X117" s="48"/>
      <c r="Y117" s="48"/>
      <c r="Z117" s="48"/>
      <c r="AA117" s="48"/>
      <c r="AB117" s="48"/>
      <c r="AC117" s="48"/>
      <c r="AD117" s="48"/>
      <c r="AE117" s="48"/>
      <c r="AF117" s="48"/>
      <c r="AG117" s="48"/>
      <c r="AH117" s="48"/>
      <c r="AI117" s="48"/>
      <c r="AJ117" s="48"/>
      <c r="AK117" s="48"/>
      <c r="AL117" s="48"/>
      <c r="AM117" s="48"/>
      <c r="AN117" s="48"/>
      <c r="AO117" s="48"/>
    </row>
    <row r="118" spans="1:41">
      <c r="A118" s="290">
        <f>ROW()</f>
        <v>118</v>
      </c>
      <c r="B118" s="11" t="s">
        <v>380</v>
      </c>
      <c r="C118" s="11"/>
      <c r="D118" s="11"/>
      <c r="E118" s="474">
        <f t="shared" ref="E118:R118" si="78">IFERROR(E49/E$36,0)</f>
        <v>0</v>
      </c>
      <c r="F118" s="474">
        <f t="shared" si="78"/>
        <v>0</v>
      </c>
      <c r="G118" s="474">
        <f t="shared" si="78"/>
        <v>0</v>
      </c>
      <c r="H118" s="474">
        <f t="shared" si="78"/>
        <v>0</v>
      </c>
      <c r="I118" s="474">
        <f t="shared" si="78"/>
        <v>0</v>
      </c>
      <c r="J118" s="474">
        <f t="shared" si="78"/>
        <v>0</v>
      </c>
      <c r="K118" s="474">
        <f t="shared" si="78"/>
        <v>0</v>
      </c>
      <c r="L118" s="474">
        <f t="shared" si="78"/>
        <v>0</v>
      </c>
      <c r="M118" s="474">
        <f t="shared" si="78"/>
        <v>0</v>
      </c>
      <c r="N118" s="474">
        <f t="shared" si="78"/>
        <v>0</v>
      </c>
      <c r="O118" s="474">
        <f t="shared" si="78"/>
        <v>0</v>
      </c>
      <c r="P118" s="474">
        <f t="shared" si="78"/>
        <v>0</v>
      </c>
      <c r="Q118" s="474">
        <f t="shared" si="78"/>
        <v>0</v>
      </c>
      <c r="R118" s="474">
        <f t="shared" si="78"/>
        <v>0</v>
      </c>
      <c r="U118" s="287"/>
      <c r="W118" s="48"/>
      <c r="X118" s="48"/>
      <c r="Y118" s="48"/>
      <c r="Z118" s="48"/>
      <c r="AA118" s="48"/>
      <c r="AB118" s="48"/>
      <c r="AC118" s="48"/>
      <c r="AD118" s="48"/>
      <c r="AE118" s="48"/>
      <c r="AF118" s="48"/>
      <c r="AG118" s="48"/>
      <c r="AH118" s="48"/>
      <c r="AI118" s="48"/>
      <c r="AJ118" s="48"/>
      <c r="AK118" s="48"/>
      <c r="AL118" s="48"/>
      <c r="AM118" s="48"/>
      <c r="AN118" s="48"/>
      <c r="AO118" s="48"/>
    </row>
    <row r="119" spans="1:41">
      <c r="A119" s="290">
        <f>ROW()</f>
        <v>119</v>
      </c>
      <c r="B119" s="97" t="s">
        <v>113</v>
      </c>
      <c r="C119" s="11"/>
      <c r="D119" s="11"/>
      <c r="E119" s="474">
        <f t="shared" ref="E119:R119" si="79">IFERROR(E50/E$36,0)</f>
        <v>5.997244742026258E-2</v>
      </c>
      <c r="F119" s="474">
        <f t="shared" si="79"/>
        <v>0.10805684180496454</v>
      </c>
      <c r="G119" s="474">
        <f t="shared" si="79"/>
        <v>9.5214746611831408E-2</v>
      </c>
      <c r="H119" s="474">
        <f t="shared" si="79"/>
        <v>9.5214746611831408E-2</v>
      </c>
      <c r="I119" s="474">
        <f t="shared" si="79"/>
        <v>9.5214746611831408E-2</v>
      </c>
      <c r="J119" s="474">
        <f t="shared" si="79"/>
        <v>3.8570491583732151E-2</v>
      </c>
      <c r="K119" s="474">
        <f t="shared" si="79"/>
        <v>5.9980204660821844E-2</v>
      </c>
      <c r="L119" s="474">
        <f t="shared" si="79"/>
        <v>5.8768239929045014E-2</v>
      </c>
      <c r="M119" s="474">
        <f t="shared" si="79"/>
        <v>5.8768239929045014E-2</v>
      </c>
      <c r="N119" s="474">
        <f t="shared" si="79"/>
        <v>5.8768239929045014E-2</v>
      </c>
      <c r="O119" s="474">
        <f t="shared" si="79"/>
        <v>5.8768239929045014E-2</v>
      </c>
      <c r="P119" s="474">
        <f t="shared" si="79"/>
        <v>5.8768239929045014E-2</v>
      </c>
      <c r="Q119" s="474">
        <f t="shared" si="79"/>
        <v>6.1625310362786047E-2</v>
      </c>
      <c r="R119" s="474">
        <f t="shared" si="79"/>
        <v>0</v>
      </c>
      <c r="U119" s="287"/>
      <c r="W119" s="48"/>
      <c r="X119" s="48"/>
      <c r="Y119" s="48"/>
      <c r="Z119" s="48"/>
      <c r="AA119" s="48"/>
      <c r="AB119" s="48"/>
      <c r="AC119" s="48"/>
      <c r="AD119" s="48"/>
      <c r="AE119" s="48"/>
      <c r="AF119" s="48"/>
      <c r="AG119" s="48"/>
      <c r="AH119" s="48"/>
      <c r="AI119" s="48"/>
      <c r="AJ119" s="48"/>
      <c r="AK119" s="48"/>
      <c r="AL119" s="48"/>
      <c r="AM119" s="48"/>
      <c r="AN119" s="48"/>
      <c r="AO119" s="48"/>
    </row>
    <row r="120" spans="1:41">
      <c r="A120" s="290">
        <f>ROW()</f>
        <v>120</v>
      </c>
      <c r="B120" s="97" t="s">
        <v>51</v>
      </c>
      <c r="C120" s="11"/>
      <c r="D120" s="11"/>
      <c r="E120" s="473">
        <f t="shared" ref="E120:R120" si="80">IFERROR(E52/E$36,0)</f>
        <v>6.0990058653747114E-3</v>
      </c>
      <c r="F120" s="473">
        <f t="shared" si="80"/>
        <v>1.3186841764400228E-2</v>
      </c>
      <c r="G120" s="473">
        <f t="shared" si="80"/>
        <v>1.1619641812907373E-2</v>
      </c>
      <c r="H120" s="473">
        <f t="shared" si="80"/>
        <v>1.1619641812907373E-2</v>
      </c>
      <c r="I120" s="473">
        <f t="shared" si="80"/>
        <v>1.1619641812907373E-2</v>
      </c>
      <c r="J120" s="473">
        <f t="shared" si="80"/>
        <v>4.7069945853853244E-3</v>
      </c>
      <c r="K120" s="473">
        <f t="shared" si="80"/>
        <v>7.3197537022802331E-3</v>
      </c>
      <c r="L120" s="473">
        <f t="shared" si="80"/>
        <v>7.1718501834005938E-3</v>
      </c>
      <c r="M120" s="473">
        <f t="shared" si="80"/>
        <v>7.1718501834005938E-3</v>
      </c>
      <c r="N120" s="473">
        <f t="shared" si="80"/>
        <v>7.1718501834005938E-3</v>
      </c>
      <c r="O120" s="473">
        <f t="shared" si="80"/>
        <v>7.1718501834005938E-3</v>
      </c>
      <c r="P120" s="473">
        <f t="shared" si="80"/>
        <v>0</v>
      </c>
      <c r="Q120" s="473">
        <f t="shared" si="80"/>
        <v>0</v>
      </c>
      <c r="R120" s="473">
        <f t="shared" si="80"/>
        <v>0</v>
      </c>
      <c r="U120" s="287"/>
      <c r="W120" s="48"/>
      <c r="X120" s="48"/>
      <c r="Y120" s="48"/>
      <c r="Z120" s="48"/>
      <c r="AA120" s="48"/>
      <c r="AB120" s="48"/>
      <c r="AC120" s="48"/>
      <c r="AD120" s="48"/>
      <c r="AE120" s="48"/>
      <c r="AF120" s="48"/>
      <c r="AG120" s="48"/>
      <c r="AH120" s="48"/>
      <c r="AI120" s="48"/>
      <c r="AJ120" s="48"/>
      <c r="AK120" s="48"/>
      <c r="AL120" s="48"/>
      <c r="AM120" s="48"/>
      <c r="AN120" s="48"/>
      <c r="AO120" s="48"/>
    </row>
    <row r="121" spans="1:41">
      <c r="A121" s="290">
        <f>ROW()</f>
        <v>121</v>
      </c>
      <c r="B121" s="12" t="s">
        <v>381</v>
      </c>
      <c r="C121" s="11"/>
      <c r="D121" s="12"/>
      <c r="E121" s="482">
        <f t="shared" ref="E121:R121" si="81">IFERROR(E50/E$36,0)</f>
        <v>5.997244742026258E-2</v>
      </c>
      <c r="F121" s="482">
        <f t="shared" si="81"/>
        <v>0.10805684180496454</v>
      </c>
      <c r="G121" s="482">
        <f t="shared" si="81"/>
        <v>9.5214746611831408E-2</v>
      </c>
      <c r="H121" s="482">
        <f t="shared" si="81"/>
        <v>9.5214746611831408E-2</v>
      </c>
      <c r="I121" s="482">
        <f t="shared" si="81"/>
        <v>9.5214746611831408E-2</v>
      </c>
      <c r="J121" s="482">
        <f t="shared" si="81"/>
        <v>3.8570491583732151E-2</v>
      </c>
      <c r="K121" s="482">
        <f t="shared" si="81"/>
        <v>5.9980204660821844E-2</v>
      </c>
      <c r="L121" s="482">
        <f t="shared" si="81"/>
        <v>5.8768239929045014E-2</v>
      </c>
      <c r="M121" s="482">
        <f t="shared" si="81"/>
        <v>5.8768239929045014E-2</v>
      </c>
      <c r="N121" s="482">
        <f t="shared" si="81"/>
        <v>5.8768239929045014E-2</v>
      </c>
      <c r="O121" s="482">
        <f t="shared" si="81"/>
        <v>5.8768239929045014E-2</v>
      </c>
      <c r="P121" s="482">
        <f t="shared" si="81"/>
        <v>5.8768239929045014E-2</v>
      </c>
      <c r="Q121" s="482">
        <f t="shared" si="81"/>
        <v>6.1625310362786047E-2</v>
      </c>
      <c r="R121" s="482">
        <f t="shared" si="81"/>
        <v>0</v>
      </c>
      <c r="U121" s="287"/>
      <c r="W121" s="48"/>
      <c r="X121" s="48"/>
      <c r="Y121" s="48"/>
      <c r="Z121" s="48"/>
      <c r="AA121" s="48"/>
      <c r="AB121" s="48"/>
      <c r="AC121" s="48"/>
      <c r="AD121" s="48"/>
      <c r="AE121" s="48"/>
      <c r="AF121" s="48"/>
      <c r="AG121" s="48"/>
      <c r="AH121" s="48"/>
      <c r="AI121" s="48"/>
      <c r="AJ121" s="48"/>
      <c r="AK121" s="48"/>
      <c r="AL121" s="48"/>
      <c r="AM121" s="48"/>
      <c r="AN121" s="48"/>
      <c r="AO121" s="48"/>
    </row>
    <row r="122" spans="1:41">
      <c r="A122" s="290">
        <f>ROW()</f>
        <v>122</v>
      </c>
      <c r="B122" s="12" t="s">
        <v>385</v>
      </c>
      <c r="C122" s="11"/>
      <c r="D122" s="12"/>
      <c r="E122" s="480"/>
      <c r="F122" s="481">
        <f t="shared" ref="F122:R122" si="82">IFERROR(F52/F$36,0)</f>
        <v>1.3186841764400228E-2</v>
      </c>
      <c r="G122" s="481">
        <f t="shared" si="82"/>
        <v>1.1619641812907373E-2</v>
      </c>
      <c r="H122" s="481">
        <f t="shared" si="82"/>
        <v>1.1619641812907373E-2</v>
      </c>
      <c r="I122" s="481">
        <f t="shared" si="82"/>
        <v>1.1619641812907373E-2</v>
      </c>
      <c r="J122" s="481">
        <f t="shared" si="82"/>
        <v>4.7069945853853244E-3</v>
      </c>
      <c r="K122" s="481">
        <f t="shared" si="82"/>
        <v>7.3197537022802331E-3</v>
      </c>
      <c r="L122" s="481">
        <f t="shared" si="82"/>
        <v>7.1718501834005938E-3</v>
      </c>
      <c r="M122" s="481">
        <f t="shared" si="82"/>
        <v>7.1718501834005938E-3</v>
      </c>
      <c r="N122" s="481">
        <f t="shared" si="82"/>
        <v>7.1718501834005938E-3</v>
      </c>
      <c r="O122" s="481">
        <f t="shared" si="82"/>
        <v>7.1718501834005938E-3</v>
      </c>
      <c r="P122" s="481">
        <f t="shared" si="82"/>
        <v>0</v>
      </c>
      <c r="Q122" s="481">
        <f t="shared" si="82"/>
        <v>0</v>
      </c>
      <c r="R122" s="481">
        <f t="shared" si="82"/>
        <v>0</v>
      </c>
      <c r="U122" s="287"/>
      <c r="W122" s="48"/>
      <c r="X122" s="48"/>
      <c r="Y122" s="48"/>
      <c r="Z122" s="48"/>
      <c r="AA122" s="48"/>
      <c r="AB122" s="48"/>
      <c r="AC122" s="48"/>
      <c r="AD122" s="48"/>
      <c r="AE122" s="48"/>
      <c r="AF122" s="48"/>
      <c r="AG122" s="48"/>
      <c r="AH122" s="48"/>
      <c r="AI122" s="48"/>
      <c r="AJ122" s="48"/>
      <c r="AK122" s="48"/>
      <c r="AL122" s="48"/>
      <c r="AM122" s="48"/>
      <c r="AN122" s="48"/>
      <c r="AO122" s="48"/>
    </row>
    <row r="123" spans="1:41">
      <c r="A123" s="290">
        <f>ROW()</f>
        <v>123</v>
      </c>
      <c r="B123" s="98" t="s">
        <v>416</v>
      </c>
      <c r="C123" s="76"/>
      <c r="D123" s="76"/>
      <c r="E123" s="76"/>
      <c r="F123" s="76"/>
      <c r="G123" s="76"/>
      <c r="H123" s="76"/>
      <c r="I123" s="76"/>
      <c r="J123" s="76"/>
      <c r="K123" s="76"/>
      <c r="L123" s="76"/>
      <c r="M123" s="76"/>
      <c r="N123" s="76"/>
      <c r="O123" s="76"/>
      <c r="P123" s="76"/>
      <c r="Q123" s="76"/>
      <c r="R123" s="76"/>
      <c r="U123" s="287"/>
      <c r="W123" s="48"/>
      <c r="X123" s="48"/>
      <c r="Y123" s="48"/>
      <c r="Z123" s="48"/>
      <c r="AA123" s="48"/>
      <c r="AB123" s="48"/>
      <c r="AC123" s="48"/>
      <c r="AD123" s="48"/>
      <c r="AE123" s="48"/>
      <c r="AF123" s="48"/>
      <c r="AG123" s="48"/>
      <c r="AH123" s="48"/>
      <c r="AI123" s="48"/>
      <c r="AJ123" s="48"/>
      <c r="AK123" s="48"/>
      <c r="AL123" s="48"/>
      <c r="AM123" s="48"/>
      <c r="AN123" s="48"/>
      <c r="AO123" s="48"/>
    </row>
    <row r="124" spans="1:41">
      <c r="A124" s="290">
        <f>ROW()</f>
        <v>124</v>
      </c>
      <c r="B124" s="11"/>
      <c r="C124" s="11"/>
      <c r="D124" s="11"/>
      <c r="E124" s="27"/>
      <c r="F124" s="487"/>
      <c r="G124" s="487"/>
      <c r="H124" s="487"/>
      <c r="I124" s="487"/>
      <c r="J124" s="487"/>
      <c r="K124" s="487"/>
      <c r="L124" s="487"/>
      <c r="M124" s="487"/>
      <c r="N124" s="487"/>
      <c r="O124" s="487"/>
      <c r="P124" s="487"/>
      <c r="Q124" s="487"/>
      <c r="R124" s="487"/>
      <c r="U124" s="287"/>
      <c r="W124" s="48"/>
      <c r="X124" s="48"/>
      <c r="Y124" s="48"/>
      <c r="Z124" s="48"/>
      <c r="AA124" s="48"/>
      <c r="AB124" s="48"/>
      <c r="AC124" s="48"/>
      <c r="AD124" s="48"/>
      <c r="AE124" s="48"/>
      <c r="AF124" s="48"/>
      <c r="AG124" s="48"/>
      <c r="AH124" s="48"/>
      <c r="AI124" s="48"/>
      <c r="AJ124" s="48"/>
      <c r="AK124" s="48"/>
      <c r="AL124" s="48"/>
      <c r="AM124" s="48"/>
      <c r="AN124" s="48"/>
      <c r="AO124" s="48"/>
    </row>
    <row r="125" spans="1:41">
      <c r="A125" s="290">
        <f>ROW()</f>
        <v>125</v>
      </c>
      <c r="B125" s="11" t="s">
        <v>417</v>
      </c>
      <c r="C125" s="11"/>
      <c r="D125" s="11"/>
      <c r="E125" s="486">
        <f t="shared" ref="E125:R125" si="83">IF(OR(E71=0,E$36=0),0,MAX(E71,E72)/E$36)</f>
        <v>0</v>
      </c>
      <c r="F125" s="475">
        <f t="shared" si="83"/>
        <v>1.0909135628873441</v>
      </c>
      <c r="G125" s="475">
        <f t="shared" si="83"/>
        <v>1.3760156567516988</v>
      </c>
      <c r="H125" s="475">
        <f t="shared" si="83"/>
        <v>1.7924963144373411</v>
      </c>
      <c r="I125" s="475">
        <f t="shared" si="83"/>
        <v>2.210712308196674</v>
      </c>
      <c r="J125" s="475">
        <f t="shared" si="83"/>
        <v>0.47074655096659557</v>
      </c>
      <c r="K125" s="475">
        <f t="shared" si="83"/>
        <v>0.62379422624699143</v>
      </c>
      <c r="L125" s="475">
        <f t="shared" si="83"/>
        <v>0.48447478664189159</v>
      </c>
      <c r="M125" s="475">
        <f t="shared" si="83"/>
        <v>0.3572318030378297</v>
      </c>
      <c r="N125" s="475">
        <f t="shared" si="83"/>
        <v>0.2294586403354176</v>
      </c>
      <c r="O125" s="475">
        <f t="shared" si="83"/>
        <v>0.10115308945507877</v>
      </c>
      <c r="P125" s="475">
        <f t="shared" si="83"/>
        <v>0</v>
      </c>
      <c r="Q125" s="475">
        <f t="shared" si="83"/>
        <v>0</v>
      </c>
      <c r="R125" s="475">
        <f t="shared" si="83"/>
        <v>0</v>
      </c>
      <c r="U125" s="287"/>
      <c r="W125" s="48"/>
      <c r="X125" s="48"/>
      <c r="Y125" s="48"/>
      <c r="Z125" s="48"/>
      <c r="AA125" s="48"/>
      <c r="AB125" s="48"/>
      <c r="AC125" s="48"/>
      <c r="AD125" s="48"/>
      <c r="AE125" s="48"/>
      <c r="AF125" s="48"/>
      <c r="AG125" s="48"/>
      <c r="AH125" s="48"/>
      <c r="AI125" s="48"/>
      <c r="AJ125" s="48"/>
      <c r="AK125" s="48"/>
      <c r="AL125" s="48"/>
      <c r="AM125" s="48"/>
      <c r="AN125" s="48"/>
      <c r="AO125" s="48"/>
    </row>
    <row r="126" spans="1:41">
      <c r="A126" s="290">
        <f>ROW()</f>
        <v>126</v>
      </c>
      <c r="B126" s="11"/>
      <c r="C126" s="11"/>
      <c r="D126" s="11"/>
      <c r="E126" s="480"/>
      <c r="F126" s="490"/>
      <c r="G126" s="490"/>
      <c r="H126" s="490"/>
      <c r="I126" s="490"/>
      <c r="J126" s="490"/>
      <c r="K126" s="490"/>
      <c r="L126" s="490"/>
      <c r="M126" s="490"/>
      <c r="N126" s="490"/>
      <c r="O126" s="490"/>
      <c r="P126" s="490"/>
      <c r="Q126" s="490"/>
      <c r="R126" s="490"/>
      <c r="U126" s="287"/>
      <c r="W126" s="48"/>
      <c r="X126" s="48"/>
      <c r="Y126" s="48"/>
      <c r="Z126" s="48"/>
      <c r="AA126" s="48"/>
      <c r="AB126" s="48"/>
      <c r="AC126" s="48"/>
      <c r="AD126" s="48"/>
      <c r="AE126" s="48"/>
      <c r="AF126" s="48"/>
      <c r="AG126" s="48"/>
      <c r="AH126" s="48"/>
      <c r="AI126" s="48"/>
      <c r="AJ126" s="48"/>
      <c r="AK126" s="48"/>
      <c r="AL126" s="48"/>
      <c r="AM126" s="48"/>
      <c r="AN126" s="48"/>
      <c r="AO126" s="48"/>
    </row>
    <row r="127" spans="1:41">
      <c r="A127" s="290">
        <f>ROW()</f>
        <v>127</v>
      </c>
      <c r="B127" s="11" t="s">
        <v>418</v>
      </c>
      <c r="C127" s="11"/>
      <c r="D127" s="11"/>
      <c r="E127" s="489"/>
      <c r="F127" s="656">
        <v>0.01</v>
      </c>
      <c r="G127" s="1632">
        <f t="shared" ref="G127:P127" si="84">F129</f>
        <v>1.1009135628873441</v>
      </c>
      <c r="H127" s="1632">
        <f t="shared" si="84"/>
        <v>2.4769292196390431</v>
      </c>
      <c r="I127" s="1632">
        <f t="shared" si="84"/>
        <v>4.269425534076384</v>
      </c>
      <c r="J127" s="1632">
        <f t="shared" si="84"/>
        <v>6.4801378422730576</v>
      </c>
      <c r="K127" s="1632">
        <f t="shared" si="84"/>
        <v>6.9508843932396527</v>
      </c>
      <c r="L127" s="1632">
        <f t="shared" si="84"/>
        <v>7.5746786194866438</v>
      </c>
      <c r="M127" s="1632">
        <f t="shared" si="84"/>
        <v>8.0591534061285355</v>
      </c>
      <c r="N127" s="1632">
        <f t="shared" si="84"/>
        <v>8.416385209166366</v>
      </c>
      <c r="O127" s="1632">
        <f t="shared" si="84"/>
        <v>8.6458438495017838</v>
      </c>
      <c r="P127" s="1632">
        <f t="shared" si="84"/>
        <v>8.7469969389568618</v>
      </c>
      <c r="Q127" s="1632">
        <f>O129</f>
        <v>8.7469969389568618</v>
      </c>
      <c r="R127" s="1632">
        <f>P129</f>
        <v>8.7469969389568618</v>
      </c>
      <c r="U127" s="287"/>
      <c r="W127" s="48"/>
      <c r="X127" s="48"/>
      <c r="Y127" s="48"/>
      <c r="Z127" s="48"/>
      <c r="AA127" s="48"/>
      <c r="AB127" s="48"/>
      <c r="AC127" s="48"/>
      <c r="AD127" s="48"/>
      <c r="AE127" s="48"/>
      <c r="AF127" s="48"/>
      <c r="AG127" s="48"/>
      <c r="AH127" s="48"/>
      <c r="AI127" s="48"/>
      <c r="AJ127" s="48"/>
      <c r="AK127" s="48"/>
      <c r="AL127" s="48"/>
      <c r="AM127" s="48"/>
      <c r="AN127" s="48"/>
      <c r="AO127" s="48"/>
    </row>
    <row r="128" spans="1:41">
      <c r="A128" s="290">
        <f>ROW()</f>
        <v>128</v>
      </c>
      <c r="B128" s="11"/>
      <c r="C128" s="11"/>
      <c r="D128" s="11"/>
      <c r="E128" s="485"/>
      <c r="F128" s="484"/>
      <c r="G128" s="488"/>
      <c r="H128" s="488"/>
      <c r="I128" s="488"/>
      <c r="J128" s="488"/>
      <c r="K128" s="488"/>
      <c r="L128" s="488"/>
      <c r="M128" s="488"/>
      <c r="N128" s="488"/>
      <c r="O128" s="488"/>
      <c r="P128" s="488"/>
      <c r="Q128" s="488"/>
      <c r="R128" s="488"/>
      <c r="U128" s="287"/>
      <c r="W128" s="48"/>
      <c r="X128" s="48"/>
      <c r="Y128" s="48"/>
      <c r="Z128" s="48"/>
      <c r="AA128" s="48"/>
      <c r="AB128" s="48"/>
      <c r="AC128" s="48"/>
      <c r="AD128" s="48"/>
      <c r="AE128" s="48"/>
      <c r="AF128" s="48"/>
      <c r="AG128" s="48"/>
      <c r="AH128" s="48"/>
      <c r="AI128" s="48"/>
      <c r="AJ128" s="48"/>
      <c r="AK128" s="48"/>
      <c r="AL128" s="48"/>
      <c r="AM128" s="48"/>
      <c r="AN128" s="48"/>
      <c r="AO128" s="48"/>
    </row>
    <row r="129" spans="1:41">
      <c r="A129" s="290">
        <f>ROW()</f>
        <v>129</v>
      </c>
      <c r="B129" s="12" t="s">
        <v>419</v>
      </c>
      <c r="C129" s="12"/>
      <c r="D129" s="12"/>
      <c r="E129" s="1626">
        <f>SUM(E127,E125)</f>
        <v>0</v>
      </c>
      <c r="F129" s="1627">
        <f>SUM(F127,F125)</f>
        <v>1.1009135628873441</v>
      </c>
      <c r="G129" s="1627">
        <f>SUM(G127,G125)</f>
        <v>2.4769292196390431</v>
      </c>
      <c r="H129" s="1627">
        <f t="shared" ref="H129:R129" si="85">SUM(H127,H125)</f>
        <v>4.269425534076384</v>
      </c>
      <c r="I129" s="1627">
        <f t="shared" si="85"/>
        <v>6.4801378422730576</v>
      </c>
      <c r="J129" s="1627">
        <f t="shared" si="85"/>
        <v>6.9508843932396527</v>
      </c>
      <c r="K129" s="1627">
        <f t="shared" si="85"/>
        <v>7.5746786194866438</v>
      </c>
      <c r="L129" s="1627">
        <f t="shared" si="85"/>
        <v>8.0591534061285355</v>
      </c>
      <c r="M129" s="1627">
        <f t="shared" si="85"/>
        <v>8.416385209166366</v>
      </c>
      <c r="N129" s="1627">
        <f t="shared" si="85"/>
        <v>8.6458438495017838</v>
      </c>
      <c r="O129" s="1627">
        <f t="shared" si="85"/>
        <v>8.7469969389568618</v>
      </c>
      <c r="P129" s="1627">
        <f t="shared" si="85"/>
        <v>8.7469969389568618</v>
      </c>
      <c r="Q129" s="1627">
        <f t="shared" ref="Q129" si="86">SUM(Q127,Q125)</f>
        <v>8.7469969389568618</v>
      </c>
      <c r="R129" s="1627">
        <f t="shared" si="85"/>
        <v>8.7469969389568618</v>
      </c>
      <c r="U129" s="287"/>
      <c r="W129" s="48"/>
      <c r="X129" s="48"/>
      <c r="Y129" s="48"/>
      <c r="Z129" s="48"/>
      <c r="AA129" s="48"/>
      <c r="AB129" s="48"/>
      <c r="AC129" s="48"/>
      <c r="AD129" s="48"/>
      <c r="AE129" s="48"/>
      <c r="AF129" s="48"/>
      <c r="AG129" s="48"/>
      <c r="AH129" s="48"/>
      <c r="AI129" s="48"/>
      <c r="AJ129" s="48"/>
      <c r="AK129" s="48"/>
      <c r="AL129" s="48"/>
      <c r="AM129" s="48"/>
      <c r="AN129" s="48"/>
      <c r="AO129" s="48"/>
    </row>
    <row r="130" spans="1:41">
      <c r="A130" s="290">
        <f>ROW()</f>
        <v>130</v>
      </c>
      <c r="E130" s="1628"/>
      <c r="F130" s="1628"/>
      <c r="G130" s="1628"/>
      <c r="H130" s="1628"/>
      <c r="I130" s="1628"/>
      <c r="J130" s="1628"/>
      <c r="K130" s="1628"/>
      <c r="L130" s="1628"/>
      <c r="M130" s="1628"/>
      <c r="N130" s="1628"/>
      <c r="O130" s="1628"/>
      <c r="P130" s="1628"/>
      <c r="Q130" s="1628"/>
      <c r="R130" s="1628"/>
      <c r="U130" s="287"/>
      <c r="W130" s="48"/>
      <c r="X130" s="48"/>
      <c r="Y130" s="48"/>
      <c r="Z130" s="48"/>
      <c r="AA130" s="48"/>
      <c r="AB130" s="48"/>
      <c r="AC130" s="48"/>
      <c r="AD130" s="48"/>
      <c r="AE130" s="48"/>
      <c r="AF130" s="48"/>
      <c r="AG130" s="48"/>
      <c r="AH130" s="48"/>
      <c r="AI130" s="48"/>
      <c r="AJ130" s="48"/>
      <c r="AK130" s="48"/>
      <c r="AL130" s="48"/>
      <c r="AM130" s="48"/>
      <c r="AN130" s="48"/>
      <c r="AO130" s="48"/>
    </row>
    <row r="131" spans="1:41">
      <c r="A131" s="290">
        <f>ROW()</f>
        <v>131</v>
      </c>
      <c r="B131" s="32" t="s">
        <v>420</v>
      </c>
      <c r="E131" s="1628"/>
      <c r="F131" s="1629">
        <f>IFERROR(#REF!/F41,0)</f>
        <v>0</v>
      </c>
      <c r="G131" s="1629">
        <f>IFERROR(#REF!/G41,0)</f>
        <v>0</v>
      </c>
      <c r="H131" s="1629">
        <f>IFERROR(#REF!/H41,0)</f>
        <v>0</v>
      </c>
      <c r="I131" s="1629">
        <f>IFERROR(#REF!/I41,0)</f>
        <v>0</v>
      </c>
      <c r="J131" s="1629">
        <f>IFERROR(#REF!/J41,0)</f>
        <v>0</v>
      </c>
      <c r="K131" s="1629">
        <f>IFERROR(#REF!/K41,0)</f>
        <v>0</v>
      </c>
      <c r="L131" s="1629">
        <f>IFERROR(#REF!/L41,0)</f>
        <v>0</v>
      </c>
      <c r="M131" s="1629">
        <f>IFERROR(#REF!/M41,0)</f>
        <v>0</v>
      </c>
      <c r="N131" s="1629">
        <f>IFERROR(#REF!/N41,0)</f>
        <v>0</v>
      </c>
      <c r="O131" s="1629">
        <f>IFERROR(#REF!/O41,0)</f>
        <v>0</v>
      </c>
      <c r="P131" s="1629">
        <f>IFERROR(#REF!/P41,0)</f>
        <v>0</v>
      </c>
      <c r="Q131" s="1629">
        <f>IFERROR(#REF!/Q41,0)</f>
        <v>0</v>
      </c>
      <c r="R131" s="1629">
        <f>IFERROR(#REF!/R41,0)</f>
        <v>0</v>
      </c>
      <c r="U131" s="287"/>
      <c r="W131" s="48"/>
      <c r="X131" s="48"/>
      <c r="Y131" s="48"/>
      <c r="Z131" s="48"/>
      <c r="AA131" s="48"/>
      <c r="AB131" s="48"/>
      <c r="AC131" s="48"/>
      <c r="AD131" s="48"/>
      <c r="AE131" s="48"/>
      <c r="AF131" s="48"/>
      <c r="AG131" s="48"/>
      <c r="AH131" s="48"/>
      <c r="AI131" s="48"/>
      <c r="AJ131" s="48"/>
      <c r="AK131" s="48"/>
      <c r="AL131" s="48"/>
      <c r="AM131" s="48"/>
      <c r="AN131" s="48"/>
      <c r="AO131" s="48"/>
    </row>
    <row r="132" spans="1:41">
      <c r="A132" s="290">
        <f>ROW()</f>
        <v>132</v>
      </c>
      <c r="B132" s="78" t="s">
        <v>421</v>
      </c>
      <c r="C132" s="78"/>
      <c r="D132" s="78"/>
      <c r="E132" s="1628"/>
      <c r="F132" s="1630">
        <f>Statistics!$G$22</f>
        <v>27</v>
      </c>
      <c r="G132" s="1630">
        <f>Statistics!$G$22</f>
        <v>27</v>
      </c>
      <c r="H132" s="1630">
        <f>Statistics!$G$22</f>
        <v>27</v>
      </c>
      <c r="I132" s="1630">
        <f>Statistics!$G$22</f>
        <v>27</v>
      </c>
      <c r="J132" s="1630">
        <f>Statistics!$G$22</f>
        <v>27</v>
      </c>
      <c r="K132" s="1630">
        <f>Statistics!$G$22</f>
        <v>27</v>
      </c>
      <c r="L132" s="1630">
        <f>Statistics!$G$22</f>
        <v>27</v>
      </c>
      <c r="M132" s="1630">
        <f>Statistics!$G$22</f>
        <v>27</v>
      </c>
      <c r="N132" s="1630">
        <f>Statistics!$G$22</f>
        <v>27</v>
      </c>
      <c r="O132" s="1630">
        <f>Statistics!$G$22</f>
        <v>27</v>
      </c>
      <c r="P132" s="1630">
        <f>Statistics!$G$22</f>
        <v>27</v>
      </c>
      <c r="Q132" s="1630">
        <f>Statistics!$G$22</f>
        <v>27</v>
      </c>
      <c r="R132" s="1630">
        <f>Statistics!$G$22</f>
        <v>27</v>
      </c>
      <c r="U132" s="287"/>
      <c r="W132" s="48"/>
      <c r="X132" s="48"/>
      <c r="Y132" s="48"/>
      <c r="Z132" s="48"/>
      <c r="AA132" s="48"/>
      <c r="AB132" s="48"/>
      <c r="AC132" s="48"/>
      <c r="AD132" s="48"/>
      <c r="AE132" s="48"/>
      <c r="AF132" s="48"/>
      <c r="AG132" s="48"/>
      <c r="AH132" s="48"/>
      <c r="AI132" s="48"/>
      <c r="AJ132" s="48"/>
      <c r="AK132" s="48"/>
      <c r="AL132" s="48"/>
      <c r="AM132" s="48"/>
      <c r="AN132" s="48"/>
      <c r="AO132" s="48"/>
    </row>
    <row r="133" spans="1:41">
      <c r="A133" s="290">
        <f>ROW()</f>
        <v>133</v>
      </c>
      <c r="B133" s="32" t="s">
        <v>422</v>
      </c>
      <c r="E133" s="1628"/>
      <c r="F133" s="1631">
        <f>IFERROR(#REF!/Statistics!$H$22,0)</f>
        <v>0</v>
      </c>
      <c r="G133" s="1631">
        <f>IFERROR(#REF!/Statistics!$H$22,0)</f>
        <v>0</v>
      </c>
      <c r="H133" s="1631">
        <f>IFERROR(#REF!/Statistics!$H$22,0)</f>
        <v>0</v>
      </c>
      <c r="I133" s="1631">
        <f>IFERROR(#REF!/Statistics!$H$22,0)</f>
        <v>0</v>
      </c>
      <c r="J133" s="1631">
        <f>IFERROR(#REF!/Statistics!$H$22,0)</f>
        <v>0</v>
      </c>
      <c r="K133" s="1631">
        <f>IFERROR(#REF!/Statistics!$H$22,0)</f>
        <v>0</v>
      </c>
      <c r="L133" s="1631">
        <f>IFERROR(#REF!/Statistics!$H$22,0)</f>
        <v>0</v>
      </c>
      <c r="M133" s="1631">
        <f>IFERROR(#REF!/Statistics!$H$22,0)</f>
        <v>0</v>
      </c>
      <c r="N133" s="1631">
        <f>IFERROR(#REF!/Statistics!$H$22,0)</f>
        <v>0</v>
      </c>
      <c r="O133" s="1631">
        <f>IFERROR(#REF!/Statistics!$H$22,0)</f>
        <v>0</v>
      </c>
      <c r="P133" s="1631">
        <f>IFERROR(#REF!/Statistics!$H$22,0)</f>
        <v>0</v>
      </c>
      <c r="Q133" s="1631">
        <f>IFERROR(#REF!/Statistics!$H$22,0)</f>
        <v>0</v>
      </c>
      <c r="R133" s="1631">
        <f>IFERROR(#REF!/Statistics!$H$22,0)</f>
        <v>0</v>
      </c>
      <c r="U133" s="287"/>
      <c r="W133" s="48"/>
      <c r="X133" s="48"/>
      <c r="Y133" s="48"/>
      <c r="Z133" s="48"/>
      <c r="AA133" s="48"/>
      <c r="AB133" s="48"/>
      <c r="AC133" s="48"/>
      <c r="AD133" s="48"/>
      <c r="AE133" s="48"/>
      <c r="AF133" s="48"/>
      <c r="AG133" s="48"/>
      <c r="AH133" s="48"/>
      <c r="AI133" s="48"/>
      <c r="AJ133" s="48"/>
      <c r="AK133" s="48"/>
      <c r="AL133" s="48"/>
      <c r="AM133" s="48"/>
      <c r="AN133" s="48"/>
      <c r="AO133" s="48"/>
    </row>
    <row r="134" spans="1:41">
      <c r="A134" s="290">
        <f>ROW()</f>
        <v>134</v>
      </c>
      <c r="B134" s="32" t="s">
        <v>423</v>
      </c>
      <c r="E134" s="1628"/>
      <c r="F134" s="1631">
        <f>IFERROR(F41/Statistics!$H$22,0)</f>
        <v>4592.6762772128204</v>
      </c>
      <c r="G134" s="1631">
        <f>IFERROR(G41/Statistics!$H$22,0)</f>
        <v>4592.6762772128204</v>
      </c>
      <c r="H134" s="1631">
        <f>IFERROR(H41/Statistics!$H$22,0)</f>
        <v>4592.6762772128204</v>
      </c>
      <c r="I134" s="1631">
        <f>IFERROR(I41/Statistics!$H$22,0)</f>
        <v>4592.6762772128204</v>
      </c>
      <c r="J134" s="1631">
        <f>IFERROR(J41/Statistics!$H$22,0)</f>
        <v>4592.6762772128204</v>
      </c>
      <c r="K134" s="1631">
        <f>IFERROR(K41/Statistics!$H$22,0)</f>
        <v>4592.6762772128204</v>
      </c>
      <c r="L134" s="1631">
        <f>IFERROR(L41/Statistics!$H$22,0)</f>
        <v>4592.6762772128204</v>
      </c>
      <c r="M134" s="1631">
        <f>IFERROR(M41/Statistics!$H$22,0)</f>
        <v>4592.6762772128204</v>
      </c>
      <c r="N134" s="1631">
        <f>IFERROR(N41/Statistics!$H$22,0)</f>
        <v>4592.6762772128204</v>
      </c>
      <c r="O134" s="1631">
        <f>IFERROR(O41/Statistics!$H$22,0)</f>
        <v>4592.6762772128204</v>
      </c>
      <c r="P134" s="1631">
        <f>IFERROR(P41/Statistics!$H$22,0)</f>
        <v>4592.6762772128204</v>
      </c>
      <c r="Q134" s="1631">
        <f>IFERROR(Q41/Statistics!$H$22,0)</f>
        <v>4592.6762772128204</v>
      </c>
      <c r="R134" s="1631">
        <f>IFERROR(R41/Statistics!$H$22,0)</f>
        <v>0</v>
      </c>
      <c r="U134" s="287"/>
      <c r="W134" s="48"/>
      <c r="X134" s="48"/>
      <c r="Y134" s="48"/>
      <c r="Z134" s="48"/>
      <c r="AA134" s="48"/>
      <c r="AB134" s="48"/>
      <c r="AC134" s="48"/>
      <c r="AD134" s="48"/>
      <c r="AE134" s="48"/>
      <c r="AF134" s="48"/>
      <c r="AG134" s="48"/>
      <c r="AH134" s="48"/>
      <c r="AI134" s="48"/>
      <c r="AJ134" s="48"/>
      <c r="AK134" s="48"/>
      <c r="AL134" s="48"/>
      <c r="AM134" s="48"/>
      <c r="AN134" s="48"/>
      <c r="AO134" s="48"/>
    </row>
    <row r="136" spans="1:41">
      <c r="A136" s="74"/>
      <c r="B136" s="74"/>
    </row>
  </sheetData>
  <sheetProtection sheet="1" objects="1" scenarios="1"/>
  <conditionalFormatting sqref="D1">
    <cfRule type="expression" dxfId="64" priority="14" stopIfTrue="1">
      <formula>MOD(ROW(),2)=0</formula>
    </cfRule>
  </conditionalFormatting>
  <conditionalFormatting sqref="E67:E70">
    <cfRule type="cellIs" dxfId="63" priority="191" stopIfTrue="1" operator="equal">
      <formula>0</formula>
    </cfRule>
  </conditionalFormatting>
  <conditionalFormatting sqref="E69:R69">
    <cfRule type="cellIs" dxfId="62" priority="4" stopIfTrue="1" operator="equal">
      <formula>0</formula>
    </cfRule>
  </conditionalFormatting>
  <conditionalFormatting sqref="E71:R72">
    <cfRule type="cellIs" dxfId="61" priority="3" stopIfTrue="1" operator="equal">
      <formula>0</formula>
    </cfRule>
  </conditionalFormatting>
  <conditionalFormatting sqref="E79:R95">
    <cfRule type="cellIs" dxfId="60" priority="5" stopIfTrue="1" operator="equal">
      <formula>0</formula>
    </cfRule>
  </conditionalFormatting>
  <conditionalFormatting sqref="E101:R122">
    <cfRule type="cellIs" dxfId="59" priority="6" stopIfTrue="1" operator="equal">
      <formula>0</formula>
    </cfRule>
  </conditionalFormatting>
  <conditionalFormatting sqref="E125:R129">
    <cfRule type="cellIs" dxfId="58" priority="8" stopIfTrue="1" operator="equal">
      <formula>0</formula>
    </cfRule>
  </conditionalFormatting>
  <conditionalFormatting sqref="F131:R134">
    <cfRule type="cellIs" dxfId="57" priority="10" stopIfTrue="1" operator="equal">
      <formula>0</formula>
    </cfRule>
  </conditionalFormatting>
  <pageMargins left="0.25" right="0.25" top="0.5" bottom="0.45" header="0.25" footer="0.25"/>
  <pageSetup paperSize="5" scale="71" fitToHeight="3" orientation="landscape" r:id="rId1"/>
  <headerFooter>
    <oddHeader xml:space="preserve">&amp;L &amp;C &amp;R </oddHeader>
    <oddFooter>&amp;L&amp;7&amp;D  at &amp;T Mike 702.486.8879&amp;C&amp;7&amp;F  &amp;A&amp;R&amp;7Page &amp;P of &amp;N</oddFooter>
  </headerFooter>
  <rowBreaks count="2" manualBreakCount="2">
    <brk id="64" max="16" man="1"/>
    <brk id="97" max="17" man="1"/>
  </rowBreaks>
  <legacyDrawing r:id="rId2"/>
  <extLst>
    <ext xmlns:x14="http://schemas.microsoft.com/office/spreadsheetml/2009/9/main" uri="{78C0D931-6437-407d-A8EE-F0AAD7539E65}">
      <x14:conditionalFormattings>
        <x14:conditionalFormatting xmlns:xm="http://schemas.microsoft.com/office/excel/2006/main">
          <x14:cfRule type="cellIs" priority="19" operator="notBetween" id="{43A297F8-FFBE-417E-89DE-D5D0089D6E55}">
            <xm:f>0.95*' Enrol &amp; Rev'!$G$145</xm:f>
            <xm:f>1.05*' Enrol &amp; Rev'!$G$145</xm:f>
            <x14:dxf>
              <fill>
                <patternFill>
                  <bgColor rgb="FFFF0000"/>
                </patternFill>
              </fill>
            </x14:dxf>
          </x14:cfRule>
          <xm:sqref>C36</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D0370-FC1C-4B54-A404-4F56C11DD8BD}">
  <sheetPr codeName="Sheet16">
    <tabColor rgb="FFFFFF99"/>
  </sheetPr>
  <dimension ref="A1:AE489"/>
  <sheetViews>
    <sheetView zoomScaleNormal="100" workbookViewId="0">
      <pane ySplit="16" topLeftCell="A27" activePane="bottomLeft" state="frozen"/>
      <selection pane="bottomLeft" activeCell="G38" sqref="G38:M41"/>
    </sheetView>
  </sheetViews>
  <sheetFormatPr defaultColWidth="8.6640625" defaultRowHeight="13.8" outlineLevelRow="1"/>
  <cols>
    <col min="1" max="1" width="8.33203125" style="32" customWidth="1"/>
    <col min="2" max="2" width="43.6640625" style="32" customWidth="1"/>
    <col min="3" max="3" width="20.33203125" style="32" customWidth="1"/>
    <col min="4" max="5" width="13.33203125" style="32" customWidth="1"/>
    <col min="6" max="6" width="10" style="32" customWidth="1"/>
    <col min="7" max="13" width="18" style="32" customWidth="1"/>
    <col min="14" max="14" width="2.5546875" style="32" customWidth="1"/>
    <col min="15" max="15" width="70.44140625" style="257" customWidth="1"/>
    <col min="16" max="16" width="12.5546875" style="32" customWidth="1"/>
    <col min="17" max="30" width="3.44140625" style="32" bestFit="1" customWidth="1"/>
    <col min="31" max="31" width="3.109375" style="32" bestFit="1" customWidth="1"/>
    <col min="32" max="16384" width="8.6640625" style="32"/>
  </cols>
  <sheetData>
    <row r="1" spans="1:31" ht="17.399999999999999">
      <c r="A1" s="1640" t="s">
        <v>424</v>
      </c>
      <c r="B1" s="1635"/>
      <c r="D1" s="347"/>
      <c r="Q1" s="34"/>
      <c r="Y1" s="257"/>
    </row>
    <row r="2" spans="1:31" ht="15.6">
      <c r="A2" s="35" t="str">
        <f>SchoolName</f>
        <v>Pahrump Valley Academy</v>
      </c>
      <c r="B2" s="36"/>
      <c r="Y2" s="257"/>
    </row>
    <row r="3" spans="1:31">
      <c r="A3" s="37"/>
      <c r="L3" s="30"/>
      <c r="Y3" s="257"/>
    </row>
    <row r="4" spans="1:31" hidden="1">
      <c r="A4" s="38"/>
      <c r="Y4" s="257"/>
    </row>
    <row r="5" spans="1:31" hidden="1">
      <c r="A5" s="29"/>
      <c r="Y5" s="257"/>
    </row>
    <row r="6" spans="1:31" ht="15.6" hidden="1">
      <c r="A6" s="412"/>
      <c r="D6" s="60"/>
      <c r="E6" s="60"/>
      <c r="F6" s="60"/>
      <c r="G6" s="429"/>
      <c r="H6" s="430"/>
      <c r="I6" s="429"/>
      <c r="J6" s="429"/>
      <c r="K6" s="60"/>
      <c r="L6" s="429"/>
      <c r="M6" s="429"/>
      <c r="Y6" s="257"/>
    </row>
    <row r="7" spans="1:31" hidden="1">
      <c r="A7" s="412"/>
      <c r="D7" s="31"/>
      <c r="E7" s="31"/>
      <c r="F7" s="31"/>
      <c r="G7" s="429">
        <f>+G8</f>
        <v>0</v>
      </c>
      <c r="H7" s="429">
        <f>+H8</f>
        <v>1</v>
      </c>
      <c r="I7" s="429">
        <f t="shared" ref="I7:K7" si="0">+I8</f>
        <v>2</v>
      </c>
      <c r="J7" s="429">
        <f t="shared" si="0"/>
        <v>3</v>
      </c>
      <c r="K7" s="429">
        <f t="shared" si="0"/>
        <v>4</v>
      </c>
      <c r="L7" s="429"/>
      <c r="M7" s="429"/>
      <c r="Y7" s="257"/>
    </row>
    <row r="8" spans="1:31" hidden="1">
      <c r="A8" s="412"/>
      <c r="G8" s="1297">
        <f>' Enrol &amp; Rev'!F9</f>
        <v>0</v>
      </c>
      <c r="H8" s="616">
        <f>' Enrol &amp; Rev'!G9</f>
        <v>1</v>
      </c>
      <c r="I8" s="616">
        <f>' Enrol &amp; Rev'!H9</f>
        <v>2</v>
      </c>
      <c r="J8" s="616">
        <f>' Enrol &amp; Rev'!I9</f>
        <v>3</v>
      </c>
      <c r="K8" s="616">
        <f>' Enrol &amp; Rev'!J9</f>
        <v>4</v>
      </c>
      <c r="L8" s="616">
        <f>' Enrol &amp; Rev'!K9</f>
        <v>5</v>
      </c>
      <c r="M8" s="958">
        <f>' Enrol &amp; Rev'!L9</f>
        <v>6</v>
      </c>
      <c r="Q8" s="48"/>
      <c r="R8" s="48"/>
      <c r="S8" s="48"/>
      <c r="T8" s="48"/>
      <c r="U8" s="48"/>
      <c r="V8" s="48"/>
      <c r="W8" s="48"/>
      <c r="X8" s="48"/>
      <c r="Y8" s="48"/>
      <c r="Z8" s="48"/>
      <c r="AA8" s="48"/>
      <c r="AB8" s="48"/>
      <c r="AC8" s="48"/>
      <c r="AD8" s="48"/>
      <c r="AE8" s="48"/>
    </row>
    <row r="9" spans="1:31" hidden="1">
      <c r="A9" s="412"/>
      <c r="G9" s="617">
        <f>' Enrol &amp; Rev'!F10</f>
        <v>2025</v>
      </c>
      <c r="H9" s="618">
        <f>' Enrol &amp; Rev'!G10</f>
        <v>2026</v>
      </c>
      <c r="I9" s="618">
        <f>' Enrol &amp; Rev'!H10</f>
        <v>2027</v>
      </c>
      <c r="J9" s="618">
        <f>' Enrol &amp; Rev'!I10</f>
        <v>2028</v>
      </c>
      <c r="K9" s="618">
        <f>' Enrol &amp; Rev'!J10</f>
        <v>2029</v>
      </c>
      <c r="L9" s="618">
        <f>' Enrol &amp; Rev'!K10</f>
        <v>2030</v>
      </c>
      <c r="M9" s="619">
        <f>' Enrol &amp; Rev'!L10</f>
        <v>2031</v>
      </c>
      <c r="Q9" s="48"/>
      <c r="R9" s="48"/>
      <c r="S9" s="48"/>
      <c r="T9" s="48"/>
      <c r="U9" s="48"/>
      <c r="V9" s="48"/>
      <c r="W9" s="48"/>
      <c r="X9" s="48"/>
      <c r="Y9" s="48"/>
      <c r="Z9" s="48"/>
      <c r="AA9" s="48"/>
      <c r="AB9" s="48"/>
      <c r="AC9" s="48"/>
      <c r="AD9" s="48"/>
      <c r="AE9" s="48"/>
    </row>
    <row r="10" spans="1:31" hidden="1">
      <c r="A10" s="412"/>
      <c r="G10" s="620">
        <f>' Enrol &amp; Rev'!F11</f>
        <v>2026</v>
      </c>
      <c r="H10" s="621">
        <f>' Enrol &amp; Rev'!G11</f>
        <v>2027</v>
      </c>
      <c r="I10" s="621">
        <f>' Enrol &amp; Rev'!H11</f>
        <v>2028</v>
      </c>
      <c r="J10" s="621">
        <f>' Enrol &amp; Rev'!I11</f>
        <v>2029</v>
      </c>
      <c r="K10" s="621">
        <f>' Enrol &amp; Rev'!J11</f>
        <v>2030</v>
      </c>
      <c r="L10" s="621">
        <f>' Enrol &amp; Rev'!K11</f>
        <v>2031</v>
      </c>
      <c r="M10" s="622">
        <f>' Enrol &amp; Rev'!L11</f>
        <v>2032</v>
      </c>
      <c r="Q10" s="48"/>
      <c r="R10" s="48"/>
      <c r="S10" s="48"/>
      <c r="T10" s="48"/>
      <c r="U10" s="48"/>
      <c r="V10" s="48"/>
      <c r="W10" s="48"/>
      <c r="X10" s="48"/>
      <c r="Y10" s="48"/>
      <c r="Z10" s="48"/>
      <c r="AA10" s="48"/>
      <c r="AB10" s="48"/>
      <c r="AC10" s="48"/>
      <c r="AD10" s="48"/>
      <c r="AE10" s="48"/>
    </row>
    <row r="11" spans="1:31" ht="17.399999999999999" hidden="1">
      <c r="A11" s="412"/>
      <c r="B11" s="373"/>
      <c r="F11" s="32" t="s">
        <v>1265</v>
      </c>
      <c r="G11" s="429"/>
      <c r="H11" s="429"/>
      <c r="I11" s="429"/>
      <c r="J11" s="429"/>
      <c r="K11" s="429"/>
      <c r="L11" s="429"/>
      <c r="M11" s="429"/>
      <c r="Q11" s="48"/>
      <c r="R11" s="48"/>
      <c r="S11" s="48"/>
      <c r="T11" s="48"/>
      <c r="U11" s="48"/>
      <c r="V11" s="48"/>
      <c r="W11" s="48"/>
      <c r="X11" s="48"/>
      <c r="Y11" s="48"/>
      <c r="Z11" s="48"/>
      <c r="AA11" s="48"/>
      <c r="AB11" s="48"/>
      <c r="AC11" s="48"/>
      <c r="AD11" s="48"/>
      <c r="AE11" s="48"/>
    </row>
    <row r="12" spans="1:31">
      <c r="A12" s="412"/>
      <c r="D12" s="247"/>
      <c r="E12" s="247"/>
      <c r="F12" s="247"/>
      <c r="G12" s="429"/>
      <c r="H12" s="429"/>
      <c r="I12" s="429"/>
      <c r="J12" s="429"/>
      <c r="K12" s="429"/>
      <c r="L12" s="429"/>
      <c r="M12" s="429"/>
      <c r="N12" s="83"/>
      <c r="Q12" s="48"/>
      <c r="R12" s="48"/>
      <c r="S12" s="48"/>
      <c r="T12" s="48"/>
      <c r="U12" s="48"/>
      <c r="V12" s="48"/>
      <c r="W12" s="48"/>
      <c r="X12" s="48"/>
      <c r="Y12" s="48"/>
      <c r="Z12" s="48"/>
      <c r="AA12" s="48"/>
      <c r="AB12" s="48"/>
      <c r="AC12" s="48"/>
      <c r="AD12" s="48"/>
      <c r="AE12" s="48"/>
    </row>
    <row r="13" spans="1:31">
      <c r="A13" s="412"/>
      <c r="B13" s="30"/>
      <c r="C13" s="30"/>
      <c r="D13" s="30"/>
      <c r="E13" s="30"/>
      <c r="F13" s="30"/>
      <c r="G13" s="60"/>
      <c r="H13" s="431"/>
      <c r="I13" s="431"/>
      <c r="J13" s="431"/>
      <c r="K13" s="431"/>
      <c r="L13" s="431"/>
      <c r="M13" s="431"/>
      <c r="N13" s="83"/>
      <c r="Q13" s="48"/>
      <c r="R13" s="48"/>
      <c r="S13" s="48"/>
      <c r="T13" s="48"/>
      <c r="U13" s="48"/>
      <c r="V13" s="48"/>
      <c r="W13" s="48"/>
      <c r="X13" s="48"/>
      <c r="Y13" s="48"/>
      <c r="Z13" s="48"/>
      <c r="AA13" s="48"/>
      <c r="AB13" s="48"/>
      <c r="AC13" s="48"/>
      <c r="AD13" s="48"/>
      <c r="AE13" s="48"/>
    </row>
    <row r="14" spans="1:31" ht="17.399999999999999">
      <c r="A14" s="412">
        <f>ROW()</f>
        <v>14</v>
      </c>
      <c r="B14" s="1429" t="s">
        <v>425</v>
      </c>
      <c r="C14" s="1510"/>
      <c r="D14" s="1510"/>
      <c r="E14" s="1510"/>
      <c r="F14" s="1510"/>
      <c r="G14" s="1492"/>
      <c r="H14" s="1492"/>
      <c r="I14" s="1492"/>
      <c r="J14" s="1492"/>
      <c r="K14" s="1492"/>
      <c r="L14" s="1492"/>
      <c r="M14" s="1492"/>
      <c r="N14" s="83"/>
      <c r="O14" s="1426" t="s">
        <v>1253</v>
      </c>
      <c r="Q14" s="48"/>
      <c r="R14" s="48"/>
      <c r="S14" s="48"/>
      <c r="T14" s="48"/>
      <c r="U14" s="48"/>
      <c r="V14" s="48"/>
      <c r="W14" s="48"/>
      <c r="X14" s="48"/>
      <c r="Y14" s="48"/>
      <c r="Z14" s="48"/>
      <c r="AA14" s="48"/>
      <c r="AB14" s="48"/>
      <c r="AC14" s="48"/>
      <c r="AD14" s="48"/>
      <c r="AE14" s="48"/>
    </row>
    <row r="15" spans="1:31">
      <c r="A15" s="412">
        <f>ROW()</f>
        <v>15</v>
      </c>
      <c r="G15" s="1512">
        <v>0</v>
      </c>
      <c r="H15" s="1512">
        <v>1</v>
      </c>
      <c r="I15" s="1512">
        <v>2</v>
      </c>
      <c r="J15" s="1512">
        <v>3</v>
      </c>
      <c r="K15" s="1512">
        <v>4</v>
      </c>
      <c r="L15" s="1512">
        <v>5</v>
      </c>
      <c r="M15" s="1513">
        <v>6</v>
      </c>
      <c r="N15" s="83"/>
      <c r="O15" s="394"/>
      <c r="Q15" s="48"/>
      <c r="R15" s="48"/>
      <c r="S15" s="48"/>
      <c r="T15" s="48"/>
      <c r="U15" s="48"/>
      <c r="V15" s="48"/>
      <c r="W15" s="48"/>
      <c r="X15" s="48"/>
      <c r="Y15" s="48"/>
      <c r="Z15" s="48"/>
      <c r="AA15" s="48"/>
      <c r="AB15" s="48"/>
      <c r="AC15" s="48"/>
      <c r="AD15" s="48"/>
      <c r="AE15" s="48"/>
    </row>
    <row r="16" spans="1:31" ht="17.399999999999999">
      <c r="A16" s="412">
        <f>ROW()</f>
        <v>16</v>
      </c>
      <c r="B16" s="74"/>
      <c r="D16" s="1063" t="s">
        <v>426</v>
      </c>
      <c r="E16" s="58"/>
      <c r="F16" s="58"/>
      <c r="G16" s="1641">
        <f>+G10</f>
        <v>2026</v>
      </c>
      <c r="H16" s="1641">
        <f t="shared" ref="H16:M16" si="1">+H10</f>
        <v>2027</v>
      </c>
      <c r="I16" s="1641">
        <f t="shared" si="1"/>
        <v>2028</v>
      </c>
      <c r="J16" s="1641">
        <f t="shared" si="1"/>
        <v>2029</v>
      </c>
      <c r="K16" s="1641">
        <f t="shared" si="1"/>
        <v>2030</v>
      </c>
      <c r="L16" s="1641">
        <f t="shared" si="1"/>
        <v>2031</v>
      </c>
      <c r="M16" s="1641">
        <f t="shared" si="1"/>
        <v>2032</v>
      </c>
      <c r="N16" s="83"/>
      <c r="O16" s="394"/>
      <c r="Q16" s="48"/>
      <c r="R16" s="48"/>
      <c r="S16" s="48"/>
      <c r="T16" s="48"/>
      <c r="U16" s="48"/>
      <c r="V16" s="48"/>
      <c r="W16" s="48"/>
      <c r="X16" s="48"/>
      <c r="Y16" s="48"/>
      <c r="Z16" s="48"/>
      <c r="AA16" s="48"/>
      <c r="AB16" s="48"/>
      <c r="AC16" s="48"/>
      <c r="AD16" s="48"/>
      <c r="AE16" s="48"/>
    </row>
    <row r="17" spans="1:31" ht="15.6">
      <c r="A17" s="412">
        <f>ROW()</f>
        <v>17</v>
      </c>
      <c r="B17" s="74"/>
      <c r="D17" s="312" t="s">
        <v>427</v>
      </c>
      <c r="E17" s="312"/>
      <c r="F17" s="312"/>
      <c r="G17" s="1057">
        <f>$G$89</f>
        <v>0</v>
      </c>
      <c r="H17" s="1057">
        <f>$H$89</f>
        <v>2</v>
      </c>
      <c r="I17" s="1057">
        <f>$I$89</f>
        <v>2</v>
      </c>
      <c r="J17" s="1057">
        <f>$J$89</f>
        <v>3</v>
      </c>
      <c r="K17" s="1057">
        <f>$K$89</f>
        <v>3</v>
      </c>
      <c r="L17" s="1057">
        <f>$L$89</f>
        <v>3</v>
      </c>
      <c r="M17" s="1057">
        <f>$M$89</f>
        <v>3</v>
      </c>
      <c r="N17" s="83"/>
      <c r="O17" s="394"/>
      <c r="Q17" s="48"/>
      <c r="R17" s="48"/>
      <c r="S17" s="48"/>
      <c r="T17" s="48"/>
      <c r="U17" s="48"/>
      <c r="V17" s="48"/>
      <c r="W17" s="48"/>
      <c r="X17" s="48"/>
      <c r="Y17" s="48"/>
      <c r="Z17" s="48"/>
      <c r="AA17" s="48"/>
      <c r="AB17" s="48"/>
      <c r="AC17" s="48"/>
      <c r="AD17" s="48"/>
      <c r="AE17" s="48"/>
    </row>
    <row r="18" spans="1:31" ht="15.6">
      <c r="A18" s="412">
        <f>ROW()</f>
        <v>18</v>
      </c>
      <c r="D18" s="312" t="s">
        <v>428</v>
      </c>
      <c r="E18" s="312"/>
      <c r="F18" s="312"/>
      <c r="G18" s="1057">
        <f>$G$97-$G$89</f>
        <v>0</v>
      </c>
      <c r="H18" s="1057">
        <f>$H$97-$H$89</f>
        <v>2</v>
      </c>
      <c r="I18" s="1057">
        <f>$I$97-$I$89</f>
        <v>4</v>
      </c>
      <c r="J18" s="1057">
        <f>$J$97-$J$89</f>
        <v>4</v>
      </c>
      <c r="K18" s="1057">
        <f>$K$97-$K$89</f>
        <v>4</v>
      </c>
      <c r="L18" s="1057">
        <f>$L$97-$L$89</f>
        <v>4</v>
      </c>
      <c r="M18" s="1057">
        <f>$M$97-$M$89</f>
        <v>4</v>
      </c>
      <c r="N18" s="83"/>
      <c r="O18" s="287"/>
      <c r="Q18" s="48"/>
      <c r="R18" s="48"/>
      <c r="S18" s="48"/>
      <c r="T18" s="48"/>
      <c r="U18" s="48"/>
      <c r="V18" s="48"/>
      <c r="W18" s="48"/>
      <c r="X18" s="48"/>
      <c r="Y18" s="48"/>
      <c r="Z18" s="48"/>
      <c r="AA18" s="48"/>
      <c r="AB18" s="48"/>
      <c r="AC18" s="48"/>
      <c r="AD18" s="48"/>
      <c r="AE18" s="48"/>
    </row>
    <row r="19" spans="1:31" ht="15.6">
      <c r="A19" s="412">
        <f>ROW()</f>
        <v>19</v>
      </c>
      <c r="D19" s="312" t="s">
        <v>429</v>
      </c>
      <c r="E19" s="312"/>
      <c r="F19" s="312"/>
      <c r="G19" s="1057">
        <f>$G$109</f>
        <v>0</v>
      </c>
      <c r="H19" s="1057">
        <f>$H$109</f>
        <v>2</v>
      </c>
      <c r="I19" s="1057">
        <f>$I$109</f>
        <v>2</v>
      </c>
      <c r="J19" s="1057">
        <f>$J$109</f>
        <v>3</v>
      </c>
      <c r="K19" s="1057">
        <f>$K$109</f>
        <v>3</v>
      </c>
      <c r="L19" s="1057">
        <f>$L$109</f>
        <v>3</v>
      </c>
      <c r="M19" s="1057">
        <f>$M$109</f>
        <v>3</v>
      </c>
      <c r="N19" s="83"/>
      <c r="O19" s="287"/>
      <c r="Q19" s="48"/>
      <c r="R19" s="48"/>
      <c r="S19" s="48"/>
      <c r="T19" s="48"/>
      <c r="U19" s="48"/>
      <c r="V19" s="48"/>
      <c r="W19" s="48"/>
      <c r="X19" s="48"/>
      <c r="Y19" s="48"/>
      <c r="Z19" s="48"/>
      <c r="AA19" s="48"/>
      <c r="AB19" s="48"/>
      <c r="AC19" s="48"/>
      <c r="AD19" s="48"/>
      <c r="AE19" s="48"/>
    </row>
    <row r="20" spans="1:31" ht="15.6">
      <c r="A20" s="412">
        <f>ROW()</f>
        <v>20</v>
      </c>
      <c r="D20" s="312" t="s">
        <v>430</v>
      </c>
      <c r="E20" s="312"/>
      <c r="F20" s="312"/>
      <c r="G20" s="1057">
        <f>$G$123</f>
        <v>0</v>
      </c>
      <c r="H20" s="1057">
        <f>$H$123</f>
        <v>2</v>
      </c>
      <c r="I20" s="1057">
        <f>$I$123</f>
        <v>2</v>
      </c>
      <c r="J20" s="1057">
        <f>$J$123</f>
        <v>2</v>
      </c>
      <c r="K20" s="1057">
        <f>$K$123</f>
        <v>2</v>
      </c>
      <c r="L20" s="1057">
        <f>$L$123</f>
        <v>2</v>
      </c>
      <c r="M20" s="1057">
        <f>$M$123</f>
        <v>2</v>
      </c>
      <c r="N20" s="83"/>
      <c r="O20" s="287"/>
      <c r="Q20" s="48"/>
      <c r="R20" s="48"/>
      <c r="S20" s="48"/>
      <c r="T20" s="48"/>
      <c r="U20" s="48"/>
      <c r="V20" s="48"/>
      <c r="W20" s="48"/>
      <c r="X20" s="48"/>
      <c r="Y20" s="48"/>
      <c r="Z20" s="48"/>
      <c r="AA20" s="48"/>
      <c r="AB20" s="48"/>
      <c r="AC20" s="48"/>
      <c r="AD20" s="48"/>
      <c r="AE20" s="48"/>
    </row>
    <row r="21" spans="1:31" ht="15.6">
      <c r="A21" s="412">
        <f>ROW()</f>
        <v>21</v>
      </c>
      <c r="D21" s="312" t="s">
        <v>431</v>
      </c>
      <c r="E21" s="312"/>
      <c r="F21" s="312"/>
      <c r="G21" s="1057">
        <f>$G$137</f>
        <v>0</v>
      </c>
      <c r="H21" s="1057">
        <f>$H$137</f>
        <v>4</v>
      </c>
      <c r="I21" s="1057">
        <f>$I$137</f>
        <v>11</v>
      </c>
      <c r="J21" s="1057">
        <f>$J$137</f>
        <v>12</v>
      </c>
      <c r="K21" s="1057">
        <f>$K$137</f>
        <v>13</v>
      </c>
      <c r="L21" s="1057">
        <f>$L$137</f>
        <v>13</v>
      </c>
      <c r="M21" s="1057">
        <f>$M$137</f>
        <v>13</v>
      </c>
      <c r="N21" s="83"/>
      <c r="O21" s="287"/>
      <c r="Q21" s="48"/>
      <c r="R21" s="48"/>
      <c r="S21" s="48"/>
      <c r="T21" s="48"/>
      <c r="U21" s="48"/>
      <c r="V21" s="48"/>
      <c r="W21" s="48"/>
      <c r="X21" s="48"/>
      <c r="Y21" s="48"/>
      <c r="Z21" s="48"/>
      <c r="AA21" s="48"/>
      <c r="AB21" s="48"/>
      <c r="AC21" s="48"/>
      <c r="AD21" s="48"/>
      <c r="AE21" s="48"/>
    </row>
    <row r="22" spans="1:31" ht="15.6">
      <c r="A22" s="412">
        <f>ROW()</f>
        <v>22</v>
      </c>
      <c r="D22" s="312" t="s">
        <v>432</v>
      </c>
      <c r="E22" s="312"/>
      <c r="F22" s="312"/>
      <c r="G22" s="1057">
        <f>$G$241</f>
        <v>0</v>
      </c>
      <c r="H22" s="1057">
        <f>$H$241</f>
        <v>15</v>
      </c>
      <c r="I22" s="1057">
        <f>$I$241</f>
        <v>18</v>
      </c>
      <c r="J22" s="1057">
        <f>$J$241</f>
        <v>20</v>
      </c>
      <c r="K22" s="1057">
        <f>$K$241</f>
        <v>26</v>
      </c>
      <c r="L22" s="1057">
        <f>$L$241</f>
        <v>26</v>
      </c>
      <c r="M22" s="1057">
        <f>$M$241</f>
        <v>26</v>
      </c>
      <c r="N22" s="83"/>
      <c r="O22" s="287"/>
      <c r="Q22" s="48"/>
      <c r="R22" s="48"/>
      <c r="S22" s="48"/>
      <c r="T22" s="48"/>
      <c r="U22" s="48"/>
      <c r="V22" s="48"/>
      <c r="W22" s="48"/>
      <c r="X22" s="48"/>
      <c r="Y22" s="48"/>
      <c r="Z22" s="48"/>
      <c r="AA22" s="48"/>
      <c r="AB22" s="48"/>
      <c r="AC22" s="48"/>
      <c r="AD22" s="48"/>
      <c r="AE22" s="48"/>
    </row>
    <row r="23" spans="1:31" ht="15.6">
      <c r="A23" s="412"/>
      <c r="D23" s="312" t="s">
        <v>1238</v>
      </c>
      <c r="E23" s="312"/>
      <c r="F23" s="312"/>
      <c r="G23" s="1057">
        <f>+G434</f>
        <v>0</v>
      </c>
      <c r="H23" s="1057">
        <f t="shared" ref="H23:M23" si="2">+H434</f>
        <v>0</v>
      </c>
      <c r="I23" s="1057">
        <f t="shared" si="2"/>
        <v>0</v>
      </c>
      <c r="J23" s="1057">
        <f t="shared" si="2"/>
        <v>0</v>
      </c>
      <c r="K23" s="1057">
        <f t="shared" si="2"/>
        <v>0</v>
      </c>
      <c r="L23" s="1057">
        <f t="shared" si="2"/>
        <v>0</v>
      </c>
      <c r="M23" s="1057">
        <f t="shared" si="2"/>
        <v>0</v>
      </c>
      <c r="N23" s="83"/>
      <c r="O23" s="287"/>
      <c r="Q23" s="48"/>
      <c r="R23" s="48"/>
      <c r="S23" s="48"/>
      <c r="T23" s="48"/>
      <c r="U23" s="48"/>
      <c r="V23" s="48"/>
      <c r="W23" s="48"/>
      <c r="X23" s="48"/>
      <c r="Y23" s="48"/>
      <c r="Z23" s="48"/>
      <c r="AA23" s="48"/>
      <c r="AB23" s="48"/>
      <c r="AC23" s="48"/>
      <c r="AD23" s="48"/>
      <c r="AE23" s="48"/>
    </row>
    <row r="24" spans="1:31" ht="15.6">
      <c r="A24" s="412">
        <f>ROW()</f>
        <v>24</v>
      </c>
      <c r="C24" s="30"/>
      <c r="D24" s="147" t="s">
        <v>433</v>
      </c>
      <c r="E24" s="147"/>
      <c r="F24" s="147"/>
      <c r="G24" s="1062">
        <f>SUM(G17:G23)</f>
        <v>0</v>
      </c>
      <c r="H24" s="1062">
        <f t="shared" ref="H24:M24" si="3">SUM(H17:H23)</f>
        <v>27</v>
      </c>
      <c r="I24" s="1062">
        <f t="shared" si="3"/>
        <v>39</v>
      </c>
      <c r="J24" s="1062">
        <f t="shared" si="3"/>
        <v>44</v>
      </c>
      <c r="K24" s="1062">
        <f t="shared" si="3"/>
        <v>51</v>
      </c>
      <c r="L24" s="1062">
        <f t="shared" si="3"/>
        <v>51</v>
      </c>
      <c r="M24" s="1062">
        <f t="shared" si="3"/>
        <v>51</v>
      </c>
      <c r="N24" s="83"/>
      <c r="O24" s="287"/>
      <c r="Q24" s="48"/>
      <c r="R24" s="48"/>
      <c r="S24" s="48"/>
      <c r="T24" s="48"/>
      <c r="U24" s="48"/>
      <c r="V24" s="48"/>
      <c r="W24" s="48"/>
      <c r="X24" s="48"/>
      <c r="Y24" s="48"/>
      <c r="Z24" s="48"/>
      <c r="AA24" s="48"/>
      <c r="AB24" s="48"/>
      <c r="AC24" s="48"/>
      <c r="AD24" s="48"/>
      <c r="AE24" s="48"/>
    </row>
    <row r="25" spans="1:31" ht="15.6">
      <c r="A25" s="412">
        <f>ROW()</f>
        <v>25</v>
      </c>
      <c r="D25" s="312"/>
      <c r="E25" s="312"/>
      <c r="F25" s="312"/>
      <c r="G25" s="312"/>
      <c r="H25" s="1058"/>
      <c r="I25" s="1058"/>
      <c r="J25" s="1058"/>
      <c r="K25" s="312"/>
      <c r="L25" s="312"/>
      <c r="M25" s="312"/>
      <c r="N25" s="83"/>
      <c r="O25" s="287"/>
      <c r="Q25" s="48"/>
      <c r="R25" s="48"/>
      <c r="S25" s="48"/>
      <c r="T25" s="48"/>
      <c r="U25" s="48"/>
      <c r="V25" s="48"/>
      <c r="W25" s="48"/>
      <c r="X25" s="48"/>
      <c r="Y25" s="48"/>
      <c r="Z25" s="48"/>
      <c r="AA25" s="48"/>
      <c r="AB25" s="48"/>
      <c r="AC25" s="48"/>
      <c r="AD25" s="48"/>
      <c r="AE25" s="48"/>
    </row>
    <row r="26" spans="1:31" ht="15.6">
      <c r="A26" s="412">
        <f>ROW()</f>
        <v>26</v>
      </c>
      <c r="D26" s="1059" t="s">
        <v>434</v>
      </c>
      <c r="E26" s="1059"/>
      <c r="F26" s="1059"/>
      <c r="G26" s="1060">
        <f>G470</f>
        <v>0</v>
      </c>
      <c r="H26" s="1060">
        <f t="shared" ref="H26:M26" si="4">H470</f>
        <v>0</v>
      </c>
      <c r="I26" s="1060">
        <f t="shared" si="4"/>
        <v>0</v>
      </c>
      <c r="J26" s="1060">
        <f t="shared" si="4"/>
        <v>0</v>
      </c>
      <c r="K26" s="1060">
        <f t="shared" si="4"/>
        <v>0</v>
      </c>
      <c r="L26" s="1060">
        <f t="shared" si="4"/>
        <v>0</v>
      </c>
      <c r="M26" s="1060">
        <f t="shared" si="4"/>
        <v>0</v>
      </c>
      <c r="N26" s="83"/>
      <c r="O26" s="287"/>
      <c r="Q26" s="48"/>
      <c r="R26" s="48"/>
      <c r="S26" s="48"/>
      <c r="T26" s="48"/>
      <c r="U26" s="48"/>
      <c r="V26" s="48"/>
      <c r="W26" s="48"/>
      <c r="X26" s="48"/>
      <c r="Y26" s="48"/>
      <c r="Z26" s="48"/>
      <c r="AA26" s="48"/>
      <c r="AB26" s="48"/>
      <c r="AC26" s="48"/>
      <c r="AD26" s="48"/>
      <c r="AE26" s="48"/>
    </row>
    <row r="27" spans="1:31" ht="15.6">
      <c r="A27" s="412">
        <f>ROW()</f>
        <v>27</v>
      </c>
      <c r="D27" s="312"/>
      <c r="E27" s="312"/>
      <c r="F27" s="312"/>
      <c r="G27" s="312"/>
      <c r="H27" s="1058"/>
      <c r="I27" s="1058"/>
      <c r="J27" s="1058"/>
      <c r="K27" s="312"/>
      <c r="L27" s="312"/>
      <c r="M27" s="312"/>
      <c r="N27" s="83"/>
      <c r="O27" s="287"/>
      <c r="Q27" s="48"/>
      <c r="R27" s="48"/>
      <c r="S27" s="48"/>
      <c r="T27" s="48"/>
      <c r="U27" s="48"/>
      <c r="V27" s="48"/>
      <c r="W27" s="48"/>
      <c r="X27" s="48"/>
      <c r="Y27" s="48"/>
      <c r="Z27" s="48"/>
      <c r="AA27" s="48"/>
      <c r="AB27" s="48"/>
      <c r="AC27" s="48"/>
      <c r="AD27" s="48"/>
      <c r="AE27" s="48"/>
    </row>
    <row r="28" spans="1:31" ht="15.6">
      <c r="A28" s="412">
        <f>ROW()</f>
        <v>28</v>
      </c>
      <c r="C28" s="30"/>
      <c r="D28" s="147" t="s">
        <v>435</v>
      </c>
      <c r="E28" s="147"/>
      <c r="F28" s="147"/>
      <c r="G28" s="1061">
        <f>+G26+G24</f>
        <v>0</v>
      </c>
      <c r="H28" s="1061">
        <f t="shared" ref="H28:M28" si="5">+H26+H24</f>
        <v>27</v>
      </c>
      <c r="I28" s="1061">
        <f t="shared" si="5"/>
        <v>39</v>
      </c>
      <c r="J28" s="1061">
        <f t="shared" si="5"/>
        <v>44</v>
      </c>
      <c r="K28" s="1061">
        <f t="shared" si="5"/>
        <v>51</v>
      </c>
      <c r="L28" s="1061">
        <f t="shared" si="5"/>
        <v>51</v>
      </c>
      <c r="M28" s="1061">
        <f t="shared" si="5"/>
        <v>51</v>
      </c>
      <c r="N28" s="83"/>
      <c r="O28" s="287"/>
      <c r="Q28" s="48"/>
      <c r="R28" s="48"/>
      <c r="S28" s="48"/>
      <c r="T28" s="48"/>
      <c r="U28" s="48"/>
      <c r="V28" s="48"/>
      <c r="W28" s="48"/>
      <c r="X28" s="48"/>
      <c r="Y28" s="48"/>
      <c r="Z28" s="48"/>
      <c r="AA28" s="48"/>
      <c r="AB28" s="48"/>
      <c r="AC28" s="48"/>
      <c r="AD28" s="48"/>
      <c r="AE28" s="48"/>
    </row>
    <row r="29" spans="1:31">
      <c r="A29" s="412">
        <f>ROW()</f>
        <v>29</v>
      </c>
      <c r="H29" s="89"/>
      <c r="I29" s="89"/>
      <c r="J29" s="89"/>
      <c r="N29" s="83"/>
      <c r="O29" s="287"/>
      <c r="Q29" s="48"/>
      <c r="R29" s="48"/>
      <c r="S29" s="48"/>
      <c r="T29" s="48"/>
      <c r="U29" s="48"/>
      <c r="V29" s="48"/>
      <c r="W29" s="48"/>
      <c r="X29" s="48"/>
      <c r="Y29" s="48"/>
      <c r="Z29" s="48"/>
      <c r="AA29" s="48"/>
      <c r="AB29" s="48"/>
      <c r="AC29" s="48"/>
      <c r="AD29" s="48"/>
      <c r="AE29" s="48"/>
    </row>
    <row r="30" spans="1:31">
      <c r="A30" s="412">
        <f>ROW()</f>
        <v>30</v>
      </c>
      <c r="C30" s="429" t="s">
        <v>436</v>
      </c>
      <c r="H30" s="89"/>
      <c r="I30" s="89"/>
      <c r="J30" s="89"/>
      <c r="N30" s="83"/>
      <c r="O30" s="287"/>
      <c r="Q30" s="48"/>
      <c r="R30" s="48"/>
      <c r="S30" s="48"/>
      <c r="T30" s="48"/>
      <c r="U30" s="48"/>
      <c r="V30" s="48"/>
      <c r="W30" s="48"/>
      <c r="X30" s="48"/>
      <c r="Y30" s="48"/>
      <c r="Z30" s="48"/>
      <c r="AA30" s="48"/>
      <c r="AB30" s="48"/>
      <c r="AC30" s="48"/>
      <c r="AD30" s="48"/>
      <c r="AE30" s="48"/>
    </row>
    <row r="31" spans="1:31" ht="17.399999999999999">
      <c r="A31" s="412">
        <f>ROW()</f>
        <v>31</v>
      </c>
      <c r="B31" s="1063" t="s">
        <v>437</v>
      </c>
      <c r="C31" s="664">
        <f>AVERAGE(H31:M31)</f>
        <v>395.83333333333331</v>
      </c>
      <c r="D31" s="374"/>
      <c r="E31" s="374"/>
      <c r="F31" s="374"/>
      <c r="G31" s="1642"/>
      <c r="H31" s="1642">
        <f>Levers!D9</f>
        <v>275</v>
      </c>
      <c r="I31" s="1642">
        <f>Levers!E9</f>
        <v>350</v>
      </c>
      <c r="J31" s="1642">
        <f>Levers!F9</f>
        <v>400</v>
      </c>
      <c r="K31" s="1642">
        <f>Levers!G9</f>
        <v>450</v>
      </c>
      <c r="L31" s="1642">
        <f>Levers!H9</f>
        <v>450</v>
      </c>
      <c r="M31" s="1642">
        <f>Levers!I9</f>
        <v>450</v>
      </c>
      <c r="N31" s="83"/>
      <c r="O31" s="287"/>
      <c r="Q31" s="48"/>
      <c r="R31" s="48"/>
      <c r="S31" s="48"/>
      <c r="T31" s="48"/>
      <c r="U31" s="48"/>
      <c r="V31" s="48"/>
      <c r="W31" s="48"/>
      <c r="X31" s="48"/>
      <c r="Y31" s="48"/>
      <c r="Z31" s="48"/>
      <c r="AA31" s="48"/>
      <c r="AB31" s="48"/>
      <c r="AC31" s="48"/>
      <c r="AD31" s="48"/>
      <c r="AE31" s="48"/>
    </row>
    <row r="32" spans="1:31" ht="18">
      <c r="A32" s="412">
        <f>ROW()</f>
        <v>32</v>
      </c>
      <c r="B32" s="1150" t="s">
        <v>438</v>
      </c>
      <c r="C32" s="1078"/>
      <c r="D32" s="1079"/>
      <c r="E32" s="1079"/>
      <c r="F32" s="1079"/>
      <c r="G32" s="1080">
        <f>SUM(G19,G20,G22)</f>
        <v>0</v>
      </c>
      <c r="H32" s="1080">
        <f t="shared" ref="H32:M32" si="6">SUM(H19,H20,H22)</f>
        <v>19</v>
      </c>
      <c r="I32" s="1080">
        <f t="shared" si="6"/>
        <v>22</v>
      </c>
      <c r="J32" s="1080">
        <f t="shared" si="6"/>
        <v>25</v>
      </c>
      <c r="K32" s="1080">
        <f t="shared" si="6"/>
        <v>31</v>
      </c>
      <c r="L32" s="1080">
        <f t="shared" si="6"/>
        <v>31</v>
      </c>
      <c r="M32" s="1080">
        <f t="shared" si="6"/>
        <v>31</v>
      </c>
      <c r="N32" s="83"/>
      <c r="O32" s="287"/>
      <c r="Q32" s="48"/>
      <c r="R32" s="48"/>
      <c r="S32" s="48"/>
      <c r="T32" s="48"/>
      <c r="U32" s="48"/>
      <c r="V32" s="48"/>
      <c r="W32" s="48"/>
      <c r="X32" s="48"/>
      <c r="Y32" s="48"/>
      <c r="Z32" s="48"/>
      <c r="AA32" s="48"/>
      <c r="AB32" s="48"/>
      <c r="AC32" s="48"/>
      <c r="AD32" s="48"/>
      <c r="AE32" s="48"/>
    </row>
    <row r="33" spans="1:31" ht="18">
      <c r="A33" s="412">
        <f>ROW()</f>
        <v>33</v>
      </c>
      <c r="B33" s="1151" t="s">
        <v>439</v>
      </c>
      <c r="C33" s="1081"/>
      <c r="D33" s="1082"/>
      <c r="E33" s="1082"/>
      <c r="F33" s="1082"/>
      <c r="G33" s="1083">
        <f>IFERROR(G31/G32,0)</f>
        <v>0</v>
      </c>
      <c r="H33" s="1083">
        <f t="shared" ref="H33:M33" si="7">IFERROR(H31/H32,0)</f>
        <v>14.473684210526315</v>
      </c>
      <c r="I33" s="1083">
        <f t="shared" si="7"/>
        <v>15.909090909090908</v>
      </c>
      <c r="J33" s="1083">
        <f t="shared" si="7"/>
        <v>16</v>
      </c>
      <c r="K33" s="1083">
        <f t="shared" si="7"/>
        <v>14.516129032258064</v>
      </c>
      <c r="L33" s="1083">
        <f t="shared" si="7"/>
        <v>14.516129032258064</v>
      </c>
      <c r="M33" s="1083">
        <f t="shared" si="7"/>
        <v>14.516129032258064</v>
      </c>
      <c r="N33" s="83"/>
      <c r="O33" s="287"/>
      <c r="Q33" s="48"/>
      <c r="R33" s="48"/>
      <c r="S33" s="48"/>
      <c r="T33" s="48"/>
      <c r="U33" s="48"/>
      <c r="V33" s="48"/>
      <c r="W33" s="48"/>
      <c r="X33" s="48"/>
      <c r="Y33" s="48"/>
      <c r="Z33" s="48"/>
      <c r="AA33" s="48"/>
      <c r="AB33" s="48"/>
      <c r="AC33" s="48"/>
      <c r="AD33" s="48"/>
      <c r="AE33" s="48"/>
    </row>
    <row r="34" spans="1:31">
      <c r="A34" s="412">
        <f>ROW()</f>
        <v>34</v>
      </c>
      <c r="B34" s="664"/>
      <c r="C34" s="664"/>
      <c r="D34" s="374"/>
      <c r="E34" s="374"/>
      <c r="F34" s="374"/>
      <c r="G34" s="374"/>
      <c r="H34" s="374"/>
      <c r="I34" s="374"/>
      <c r="J34" s="374"/>
      <c r="K34" s="374"/>
      <c r="L34" s="374"/>
      <c r="M34" s="374"/>
      <c r="N34" s="83"/>
      <c r="O34" s="287"/>
      <c r="Q34" s="48"/>
      <c r="R34" s="48"/>
      <c r="S34" s="48"/>
      <c r="T34" s="48"/>
      <c r="U34" s="48"/>
      <c r="V34" s="48"/>
      <c r="W34" s="48"/>
      <c r="X34" s="48"/>
      <c r="Y34" s="48"/>
      <c r="Z34" s="48"/>
      <c r="AA34" s="48"/>
      <c r="AB34" s="48"/>
      <c r="AC34" s="48"/>
      <c r="AD34" s="48"/>
      <c r="AE34" s="48"/>
    </row>
    <row r="35" spans="1:31">
      <c r="A35" s="412">
        <f>ROW()</f>
        <v>35</v>
      </c>
      <c r="B35" s="1308" t="s">
        <v>440</v>
      </c>
      <c r="C35" s="664">
        <f t="shared" ref="C35:C36" si="8">AVERAGE(H35:M35)</f>
        <v>5141766.7215505168</v>
      </c>
      <c r="D35" s="389"/>
      <c r="E35" s="386"/>
      <c r="F35" s="386"/>
      <c r="G35" s="388">
        <f>Levers!C10</f>
        <v>0</v>
      </c>
      <c r="H35" s="388">
        <f>Levers!D10</f>
        <v>3377599.6375000002</v>
      </c>
      <c r="I35" s="388">
        <f>Levers!E10</f>
        <v>4550328.4095433</v>
      </c>
      <c r="J35" s="388">
        <f>Levers!F10</f>
        <v>5222587.0439642007</v>
      </c>
      <c r="K35" s="388">
        <f>Levers!G10</f>
        <v>5879297.4752447996</v>
      </c>
      <c r="L35" s="388">
        <f>Levers!H10</f>
        <v>5910393.8815254001</v>
      </c>
      <c r="M35" s="388">
        <f>Levers!I10</f>
        <v>5910393.8815254001</v>
      </c>
      <c r="N35" s="83"/>
      <c r="O35" s="287"/>
      <c r="Q35" s="48"/>
      <c r="R35" s="48"/>
      <c r="S35" s="48"/>
      <c r="T35" s="48"/>
      <c r="U35" s="48"/>
      <c r="V35" s="48"/>
      <c r="W35" s="48"/>
      <c r="X35" s="48"/>
      <c r="Y35" s="48"/>
      <c r="Z35" s="48"/>
      <c r="AA35" s="48"/>
      <c r="AB35" s="48"/>
      <c r="AC35" s="48"/>
      <c r="AD35" s="48"/>
      <c r="AE35" s="48"/>
    </row>
    <row r="36" spans="1:31">
      <c r="A36" s="412">
        <f>ROW()</f>
        <v>36</v>
      </c>
      <c r="B36" s="1308" t="s">
        <v>441</v>
      </c>
      <c r="C36" s="664">
        <f t="shared" si="8"/>
        <v>2470296.2139999997</v>
      </c>
      <c r="D36" s="389"/>
      <c r="E36" s="386"/>
      <c r="F36" s="386"/>
      <c r="G36" s="388">
        <f>G403</f>
        <v>0</v>
      </c>
      <c r="H36" s="388">
        <f>H403</f>
        <v>1632365.3640000001</v>
      </c>
      <c r="I36" s="388">
        <f t="shared" ref="I36:M36" si="9">I403</f>
        <v>2179875.048</v>
      </c>
      <c r="J36" s="388">
        <f t="shared" si="9"/>
        <v>2454993.5279999999</v>
      </c>
      <c r="K36" s="388">
        <f t="shared" si="9"/>
        <v>2851514.4479999999</v>
      </c>
      <c r="L36" s="388">
        <f t="shared" si="9"/>
        <v>2851514.4479999999</v>
      </c>
      <c r="M36" s="388">
        <f t="shared" si="9"/>
        <v>2851514.4479999999</v>
      </c>
      <c r="N36" s="83"/>
      <c r="O36" s="287"/>
      <c r="Q36" s="48"/>
      <c r="R36" s="48"/>
      <c r="S36" s="48"/>
      <c r="T36" s="48"/>
      <c r="U36" s="48"/>
      <c r="V36" s="48"/>
      <c r="W36" s="48"/>
      <c r="X36" s="48"/>
      <c r="Y36" s="48"/>
      <c r="Z36" s="48"/>
      <c r="AA36" s="48"/>
      <c r="AB36" s="48"/>
      <c r="AC36" s="48"/>
      <c r="AD36" s="48"/>
      <c r="AE36" s="48"/>
    </row>
    <row r="37" spans="1:31">
      <c r="A37" s="412">
        <f>ROW()</f>
        <v>37</v>
      </c>
      <c r="C37" s="109"/>
      <c r="D37" s="52"/>
      <c r="E37" s="52"/>
      <c r="F37" s="52"/>
      <c r="G37" s="52"/>
      <c r="H37" s="92"/>
      <c r="I37" s="92"/>
      <c r="J37" s="92"/>
      <c r="K37" s="92"/>
      <c r="L37" s="92"/>
      <c r="M37" s="92"/>
      <c r="N37" s="83"/>
      <c r="O37" s="287"/>
      <c r="Q37" s="48"/>
      <c r="R37" s="48"/>
      <c r="S37" s="48"/>
      <c r="T37" s="48"/>
      <c r="U37" s="48"/>
      <c r="V37" s="48"/>
      <c r="W37" s="48"/>
      <c r="X37" s="48"/>
      <c r="Y37" s="48"/>
      <c r="Z37" s="48"/>
      <c r="AA37" s="48"/>
      <c r="AB37" s="48"/>
      <c r="AC37" s="48"/>
      <c r="AD37" s="48"/>
      <c r="AE37" s="48"/>
    </row>
    <row r="38" spans="1:31">
      <c r="A38" s="412">
        <f>ROW()</f>
        <v>38</v>
      </c>
      <c r="B38" s="1308" t="s">
        <v>442</v>
      </c>
      <c r="C38" s="664">
        <f>AVERAGE(H38:M38)</f>
        <v>794178.92734522873</v>
      </c>
      <c r="D38" s="390"/>
      <c r="E38" s="387"/>
      <c r="F38" s="387"/>
      <c r="G38" s="428">
        <f>G428</f>
        <v>0</v>
      </c>
      <c r="H38" s="428">
        <f t="shared" ref="H38:M38" si="10">H428</f>
        <v>510527.13373560004</v>
      </c>
      <c r="I38" s="428">
        <f t="shared" si="10"/>
        <v>696363.63079919992</v>
      </c>
      <c r="J38" s="428">
        <f t="shared" si="10"/>
        <v>788081.37187919999</v>
      </c>
      <c r="K38" s="428">
        <f t="shared" si="10"/>
        <v>919094.76203424006</v>
      </c>
      <c r="L38" s="428">
        <f t="shared" si="10"/>
        <v>923338.84864174074</v>
      </c>
      <c r="M38" s="428">
        <f t="shared" si="10"/>
        <v>927667.81698139163</v>
      </c>
      <c r="N38" s="83"/>
      <c r="O38" s="287"/>
      <c r="Q38" s="48"/>
      <c r="R38" s="48"/>
      <c r="S38" s="48"/>
      <c r="T38" s="48"/>
      <c r="U38" s="48"/>
      <c r="V38" s="48"/>
      <c r="W38" s="48"/>
      <c r="X38" s="48"/>
      <c r="Y38" s="48"/>
      <c r="Z38" s="48"/>
      <c r="AA38" s="48"/>
      <c r="AB38" s="48"/>
      <c r="AC38" s="48"/>
      <c r="AD38" s="48"/>
      <c r="AE38" s="48"/>
    </row>
    <row r="39" spans="1:31">
      <c r="A39" s="412">
        <f>ROW()</f>
        <v>39</v>
      </c>
      <c r="B39" s="32" t="s">
        <v>455</v>
      </c>
      <c r="G39" s="87">
        <f>G408</f>
        <v>0</v>
      </c>
      <c r="H39" s="87">
        <f t="shared" ref="H39:M39" si="11">H408</f>
        <v>105863.76</v>
      </c>
      <c r="I39" s="87">
        <f t="shared" si="11"/>
        <v>155972.60639999999</v>
      </c>
      <c r="J39" s="87">
        <f t="shared" si="11"/>
        <v>179488.47628799998</v>
      </c>
      <c r="K39" s="87">
        <f t="shared" si="11"/>
        <v>212204.33037504001</v>
      </c>
      <c r="L39" s="87">
        <f t="shared" si="11"/>
        <v>216448.4169825408</v>
      </c>
      <c r="M39" s="87">
        <f t="shared" si="11"/>
        <v>220777.38532219164</v>
      </c>
      <c r="N39" s="83"/>
      <c r="O39" s="287"/>
      <c r="Q39" s="48"/>
      <c r="R39" s="48"/>
      <c r="S39" s="48"/>
      <c r="T39" s="48"/>
      <c r="U39" s="48"/>
      <c r="V39" s="48"/>
      <c r="W39" s="48"/>
      <c r="X39" s="48"/>
      <c r="Y39" s="48"/>
      <c r="Z39" s="48"/>
      <c r="AA39" s="48"/>
      <c r="AB39" s="48"/>
      <c r="AC39" s="48"/>
      <c r="AD39" s="48"/>
      <c r="AE39" s="48"/>
    </row>
    <row r="40" spans="1:31">
      <c r="A40" s="412">
        <f>ROW()</f>
        <v>40</v>
      </c>
      <c r="B40" s="32" t="s">
        <v>444</v>
      </c>
      <c r="G40" s="87">
        <f>G414</f>
        <v>0</v>
      </c>
      <c r="H40" s="87">
        <f t="shared" ref="H40:M40" si="12">H414</f>
        <v>314230.33257000003</v>
      </c>
      <c r="I40" s="87">
        <f t="shared" si="12"/>
        <v>419625.94673999998</v>
      </c>
      <c r="J40" s="87">
        <f t="shared" si="12"/>
        <v>472586.25413999998</v>
      </c>
      <c r="K40" s="87">
        <f t="shared" si="12"/>
        <v>548916.53124000004</v>
      </c>
      <c r="L40" s="87">
        <f t="shared" si="12"/>
        <v>548916.53124000004</v>
      </c>
      <c r="M40" s="87">
        <f t="shared" si="12"/>
        <v>548916.53124000004</v>
      </c>
      <c r="N40" s="83"/>
      <c r="O40" s="287"/>
      <c r="Q40" s="48"/>
      <c r="R40" s="48"/>
      <c r="S40" s="48"/>
      <c r="T40" s="48"/>
      <c r="U40" s="48"/>
      <c r="V40" s="48"/>
      <c r="W40" s="48"/>
      <c r="X40" s="48"/>
      <c r="Y40" s="48"/>
      <c r="Z40" s="48"/>
      <c r="AA40" s="48"/>
      <c r="AB40" s="48"/>
      <c r="AC40" s="48"/>
      <c r="AD40" s="48"/>
      <c r="AE40" s="48"/>
    </row>
    <row r="41" spans="1:31">
      <c r="A41" s="412">
        <f>ROW()</f>
        <v>41</v>
      </c>
      <c r="B41" s="32" t="s">
        <v>445</v>
      </c>
      <c r="G41" s="87">
        <f t="shared" ref="G41:M41" si="13">G428-G40-G39</f>
        <v>0</v>
      </c>
      <c r="H41" s="87">
        <f t="shared" si="13"/>
        <v>90433.041165600021</v>
      </c>
      <c r="I41" s="87">
        <f t="shared" si="13"/>
        <v>120765.07765919995</v>
      </c>
      <c r="J41" s="87">
        <f t="shared" si="13"/>
        <v>136006.64145120003</v>
      </c>
      <c r="K41" s="87">
        <f t="shared" si="13"/>
        <v>157973.90041920001</v>
      </c>
      <c r="L41" s="87">
        <f t="shared" si="13"/>
        <v>157973.9004191999</v>
      </c>
      <c r="M41" s="87">
        <f t="shared" si="13"/>
        <v>157973.90041919996</v>
      </c>
      <c r="N41" s="83"/>
      <c r="O41" s="287"/>
      <c r="Q41" s="48"/>
      <c r="R41" s="48"/>
      <c r="S41" s="48"/>
      <c r="T41" s="48"/>
      <c r="U41" s="48"/>
      <c r="V41" s="48"/>
      <c r="W41" s="48"/>
      <c r="X41" s="48"/>
      <c r="Y41" s="48"/>
      <c r="Z41" s="48"/>
      <c r="AA41" s="48"/>
      <c r="AB41" s="48"/>
      <c r="AC41" s="48"/>
      <c r="AD41" s="48"/>
      <c r="AE41" s="48"/>
    </row>
    <row r="42" spans="1:31">
      <c r="A42" s="412">
        <f>ROW()</f>
        <v>42</v>
      </c>
      <c r="H42" s="89"/>
      <c r="I42" s="89"/>
      <c r="J42" s="89"/>
      <c r="N42" s="83"/>
      <c r="O42" s="287"/>
      <c r="Q42" s="48"/>
      <c r="R42" s="48"/>
      <c r="S42" s="48"/>
      <c r="T42" s="48"/>
      <c r="U42" s="48"/>
      <c r="V42" s="48"/>
      <c r="W42" s="48"/>
      <c r="X42" s="48"/>
      <c r="Y42" s="48"/>
      <c r="Z42" s="48"/>
      <c r="AA42" s="48"/>
      <c r="AB42" s="48"/>
      <c r="AC42" s="48"/>
      <c r="AD42" s="48"/>
      <c r="AE42" s="48"/>
    </row>
    <row r="43" spans="1:31">
      <c r="A43" s="412">
        <f>ROW()</f>
        <v>43</v>
      </c>
      <c r="B43" s="1308" t="s">
        <v>446</v>
      </c>
      <c r="C43" s="664">
        <f t="shared" ref="C43:C48" si="14">AVERAGE(H43:M43)</f>
        <v>3274995.141345229</v>
      </c>
      <c r="D43" s="1308"/>
      <c r="E43" s="1308"/>
      <c r="F43" s="1308"/>
      <c r="G43" s="428">
        <f>G474</f>
        <v>0</v>
      </c>
      <c r="H43" s="428">
        <f t="shared" ref="H43:M43" si="15">H474</f>
        <v>2149372.4977356</v>
      </c>
      <c r="I43" s="428">
        <f t="shared" si="15"/>
        <v>2885598.6787991999</v>
      </c>
      <c r="J43" s="428">
        <f t="shared" si="15"/>
        <v>3253634.8998791999</v>
      </c>
      <c r="K43" s="428">
        <f t="shared" si="15"/>
        <v>3782849.21003424</v>
      </c>
      <c r="L43" s="428">
        <f t="shared" si="15"/>
        <v>3787093.2966417405</v>
      </c>
      <c r="M43" s="428">
        <f t="shared" si="15"/>
        <v>3791422.2649813914</v>
      </c>
      <c r="N43" s="83"/>
      <c r="O43" s="287"/>
      <c r="Q43" s="48"/>
      <c r="R43" s="48"/>
      <c r="S43" s="48"/>
      <c r="T43" s="48"/>
      <c r="U43" s="48"/>
      <c r="V43" s="48"/>
      <c r="W43" s="48"/>
      <c r="X43" s="48"/>
      <c r="Y43" s="48"/>
      <c r="Z43" s="48"/>
      <c r="AA43" s="48"/>
      <c r="AB43" s="48"/>
      <c r="AC43" s="48"/>
      <c r="AD43" s="48"/>
      <c r="AE43" s="48"/>
    </row>
    <row r="44" spans="1:31">
      <c r="A44" s="412">
        <f>ROW()</f>
        <v>44</v>
      </c>
      <c r="B44" s="32" t="s">
        <v>447</v>
      </c>
      <c r="C44" s="666">
        <f t="shared" si="14"/>
        <v>8240.3386942542547</v>
      </c>
      <c r="G44" s="375"/>
      <c r="H44" s="375">
        <f>Levers!D13</f>
        <v>7815.8999917658184</v>
      </c>
      <c r="I44" s="375">
        <f>Levers!E13</f>
        <v>8244.5676537119998</v>
      </c>
      <c r="J44" s="375">
        <f>Levers!F13</f>
        <v>8134.0872496980001</v>
      </c>
      <c r="K44" s="375">
        <f>Levers!G13</f>
        <v>8406.3315778538672</v>
      </c>
      <c r="L44" s="375">
        <f>Levers!H13</f>
        <v>8415.7628814260897</v>
      </c>
      <c r="M44" s="375">
        <f>Levers!I13</f>
        <v>8425.3828110697577</v>
      </c>
      <c r="N44" s="83"/>
      <c r="O44" s="287"/>
      <c r="Q44" s="48"/>
      <c r="R44" s="48"/>
      <c r="S44" s="48"/>
      <c r="T44" s="48"/>
      <c r="U44" s="48"/>
      <c r="V44" s="48"/>
      <c r="W44" s="48"/>
      <c r="X44" s="48"/>
      <c r="Y44" s="48"/>
      <c r="Z44" s="48"/>
      <c r="AA44" s="48"/>
      <c r="AB44" s="48"/>
      <c r="AC44" s="48"/>
      <c r="AD44" s="48"/>
      <c r="AE44" s="48"/>
    </row>
    <row r="45" spans="1:31">
      <c r="A45" s="412">
        <f>ROW()</f>
        <v>45</v>
      </c>
      <c r="B45" s="66" t="s">
        <v>448</v>
      </c>
      <c r="C45" s="665">
        <f t="shared" si="14"/>
        <v>1866771.580205288</v>
      </c>
      <c r="D45" s="66"/>
      <c r="E45" s="66"/>
      <c r="F45" s="66"/>
      <c r="G45" s="376">
        <f>Levers!C14</f>
        <v>0</v>
      </c>
      <c r="H45" s="376">
        <f>Levers!D14</f>
        <v>1228227.1397644002</v>
      </c>
      <c r="I45" s="376">
        <f>Levers!E14</f>
        <v>1664729.7307441002</v>
      </c>
      <c r="J45" s="376">
        <f>Levers!F14</f>
        <v>1968952.1440850007</v>
      </c>
      <c r="K45" s="376">
        <f>Levers!G14</f>
        <v>2096448.2652105596</v>
      </c>
      <c r="L45" s="376">
        <f>Levers!H14</f>
        <v>2123300.5848836596</v>
      </c>
      <c r="M45" s="376">
        <f>Levers!I14</f>
        <v>2118971.6165440087</v>
      </c>
      <c r="N45" s="83"/>
      <c r="O45" s="287"/>
      <c r="Q45" s="48"/>
      <c r="R45" s="48"/>
      <c r="S45" s="48"/>
      <c r="T45" s="48"/>
      <c r="U45" s="48"/>
      <c r="V45" s="48"/>
      <c r="W45" s="48"/>
      <c r="X45" s="48"/>
      <c r="Y45" s="48"/>
      <c r="Z45" s="48"/>
      <c r="AA45" s="48"/>
      <c r="AB45" s="48"/>
      <c r="AC45" s="48"/>
      <c r="AD45" s="48"/>
      <c r="AE45" s="48"/>
    </row>
    <row r="46" spans="1:31">
      <c r="A46" s="412">
        <f>ROW()</f>
        <v>46</v>
      </c>
      <c r="B46" s="66" t="s">
        <v>449</v>
      </c>
      <c r="C46" s="665">
        <f t="shared" si="14"/>
        <v>4705.1795015223042</v>
      </c>
      <c r="D46" s="66"/>
      <c r="E46" s="66"/>
      <c r="F46" s="66"/>
      <c r="G46" s="376"/>
      <c r="H46" s="376">
        <f>Levers!D15</f>
        <v>4466.2805082341829</v>
      </c>
      <c r="I46" s="376">
        <f>Levers!E15</f>
        <v>4756.3706592688577</v>
      </c>
      <c r="J46" s="376">
        <f>Levers!F15</f>
        <v>4922.3803602125017</v>
      </c>
      <c r="K46" s="376">
        <f>Levers!G15</f>
        <v>4658.7739226901322</v>
      </c>
      <c r="L46" s="376">
        <f>Levers!H15</f>
        <v>4718.4457441859104</v>
      </c>
      <c r="M46" s="376">
        <f>Levers!I15</f>
        <v>4708.8258145422415</v>
      </c>
      <c r="N46" s="83"/>
      <c r="O46" s="287"/>
      <c r="Q46" s="48"/>
      <c r="R46" s="48"/>
      <c r="S46" s="48"/>
      <c r="T46" s="48"/>
      <c r="U46" s="48"/>
      <c r="V46" s="48"/>
      <c r="W46" s="48"/>
      <c r="X46" s="48"/>
      <c r="Y46" s="48"/>
      <c r="Z46" s="48"/>
      <c r="AA46" s="48"/>
      <c r="AB46" s="48"/>
      <c r="AC46" s="48"/>
      <c r="AD46" s="48"/>
      <c r="AE46" s="48"/>
    </row>
    <row r="47" spans="1:31">
      <c r="A47" s="412">
        <f>ROW()</f>
        <v>47</v>
      </c>
      <c r="B47" s="66" t="s">
        <v>450</v>
      </c>
      <c r="C47" s="665">
        <f t="shared" si="14"/>
        <v>651771.81212943769</v>
      </c>
      <c r="D47" s="66"/>
      <c r="E47" s="66"/>
      <c r="F47" s="66"/>
      <c r="G47" s="376">
        <f>Levers!C38</f>
        <v>0</v>
      </c>
      <c r="H47" s="376">
        <f>Levers!D38</f>
        <v>296795.20059773355</v>
      </c>
      <c r="I47" s="376">
        <f>Levers!E38</f>
        <v>638547.97084410023</v>
      </c>
      <c r="J47" s="376">
        <f>Levers!F38</f>
        <v>802108.12202633417</v>
      </c>
      <c r="K47" s="376">
        <f>Levers!G38</f>
        <v>760052.28526897286</v>
      </c>
      <c r="L47" s="376">
        <f>Levers!H38</f>
        <v>785061.49731156114</v>
      </c>
      <c r="M47" s="376">
        <f>Levers!I38</f>
        <v>628065.79672792414</v>
      </c>
      <c r="N47" s="83"/>
      <c r="O47" s="287"/>
      <c r="Q47" s="48"/>
      <c r="R47" s="48"/>
      <c r="S47" s="48"/>
      <c r="T47" s="48"/>
      <c r="U47" s="48"/>
      <c r="V47" s="48"/>
      <c r="W47" s="48"/>
      <c r="X47" s="48"/>
      <c r="Y47" s="48"/>
      <c r="Z47" s="48"/>
      <c r="AA47" s="48"/>
      <c r="AB47" s="48"/>
      <c r="AC47" s="48"/>
      <c r="AD47" s="48"/>
      <c r="AE47" s="48"/>
    </row>
    <row r="48" spans="1:31">
      <c r="A48" s="412">
        <f>ROW()</f>
        <v>48</v>
      </c>
      <c r="B48" s="66" t="s">
        <v>451</v>
      </c>
      <c r="C48" s="665">
        <f t="shared" si="14"/>
        <v>1623.0393846376276</v>
      </c>
      <c r="D48" s="66"/>
      <c r="E48" s="66"/>
      <c r="F48" s="66"/>
      <c r="G48" s="376">
        <f>Levers!C39</f>
        <v>0</v>
      </c>
      <c r="H48" s="376">
        <f>Levers!D39</f>
        <v>1079.2552749008494</v>
      </c>
      <c r="I48" s="376">
        <f>Levers!E39</f>
        <v>1824.4227738402865</v>
      </c>
      <c r="J48" s="376">
        <f>Levers!F39</f>
        <v>2005.2703050658354</v>
      </c>
      <c r="K48" s="376">
        <f>Levers!G39</f>
        <v>1689.0050783754953</v>
      </c>
      <c r="L48" s="376">
        <f>Levers!H39</f>
        <v>1744.5811051368025</v>
      </c>
      <c r="M48" s="376">
        <f>Levers!I39</f>
        <v>1395.7017705064982</v>
      </c>
      <c r="N48" s="83"/>
      <c r="O48" s="287"/>
      <c r="Q48" s="48"/>
      <c r="R48" s="48"/>
      <c r="S48" s="48"/>
      <c r="T48" s="48"/>
      <c r="U48" s="48"/>
      <c r="V48" s="48"/>
      <c r="W48" s="48"/>
      <c r="X48" s="48"/>
      <c r="Y48" s="48"/>
      <c r="Z48" s="48"/>
      <c r="AA48" s="48"/>
      <c r="AB48" s="48"/>
      <c r="AC48" s="48"/>
      <c r="AD48" s="48"/>
      <c r="AE48" s="48"/>
    </row>
    <row r="49" spans="1:31">
      <c r="A49" s="412">
        <f>ROW()</f>
        <v>49</v>
      </c>
      <c r="H49" s="89"/>
      <c r="I49" s="89"/>
      <c r="J49" s="89"/>
      <c r="N49" s="83"/>
      <c r="O49" s="287"/>
      <c r="Q49" s="48"/>
      <c r="R49" s="48"/>
      <c r="S49" s="48"/>
      <c r="T49" s="48"/>
      <c r="U49" s="48"/>
      <c r="V49" s="48"/>
      <c r="W49" s="48"/>
      <c r="X49" s="48"/>
      <c r="Y49" s="48"/>
      <c r="Z49" s="48"/>
      <c r="AA49" s="48"/>
      <c r="AB49" s="48"/>
      <c r="AC49" s="48"/>
      <c r="AD49" s="48"/>
      <c r="AE49" s="48"/>
    </row>
    <row r="50" spans="1:31">
      <c r="A50" s="412">
        <f>ROW()</f>
        <v>50</v>
      </c>
      <c r="B50" s="1503" t="s">
        <v>109</v>
      </c>
      <c r="C50" s="1503"/>
      <c r="D50" s="1503"/>
      <c r="E50" s="1503"/>
      <c r="F50" s="1503"/>
      <c r="G50" s="1644">
        <f t="shared" ref="G50:M52" si="16">G8</f>
        <v>0</v>
      </c>
      <c r="H50" s="1645">
        <f t="shared" si="16"/>
        <v>1</v>
      </c>
      <c r="I50" s="1645">
        <f t="shared" si="16"/>
        <v>2</v>
      </c>
      <c r="J50" s="1645">
        <f t="shared" si="16"/>
        <v>3</v>
      </c>
      <c r="K50" s="1645">
        <f t="shared" si="16"/>
        <v>4</v>
      </c>
      <c r="L50" s="1645">
        <f t="shared" si="16"/>
        <v>5</v>
      </c>
      <c r="M50" s="1645">
        <f t="shared" si="16"/>
        <v>6</v>
      </c>
      <c r="N50" s="83"/>
      <c r="O50" s="287"/>
      <c r="Q50" s="48"/>
      <c r="R50" s="48"/>
      <c r="S50" s="48"/>
      <c r="T50" s="48"/>
      <c r="U50" s="48"/>
      <c r="V50" s="48"/>
      <c r="W50" s="48"/>
      <c r="X50" s="48"/>
      <c r="Y50" s="48"/>
      <c r="Z50" s="48"/>
      <c r="AA50" s="48"/>
      <c r="AB50" s="48"/>
      <c r="AC50" s="48"/>
      <c r="AD50" s="48"/>
      <c r="AE50" s="48"/>
    </row>
    <row r="51" spans="1:31">
      <c r="A51" s="412">
        <f>ROW()</f>
        <v>51</v>
      </c>
      <c r="B51" s="30" t="s">
        <v>452</v>
      </c>
      <c r="C51" s="30"/>
      <c r="D51" s="30"/>
      <c r="E51" s="30"/>
      <c r="F51" s="30"/>
      <c r="G51" s="662">
        <f t="shared" si="16"/>
        <v>2025</v>
      </c>
      <c r="H51" s="662">
        <f t="shared" si="16"/>
        <v>2026</v>
      </c>
      <c r="I51" s="427">
        <f t="shared" si="16"/>
        <v>2027</v>
      </c>
      <c r="J51" s="427">
        <f t="shared" si="16"/>
        <v>2028</v>
      </c>
      <c r="K51" s="427">
        <f t="shared" si="16"/>
        <v>2029</v>
      </c>
      <c r="L51" s="427">
        <f t="shared" si="16"/>
        <v>2030</v>
      </c>
      <c r="M51" s="427">
        <f t="shared" si="16"/>
        <v>2031</v>
      </c>
      <c r="N51" s="83"/>
      <c r="O51" s="287"/>
      <c r="Q51" s="48"/>
      <c r="R51" s="48"/>
      <c r="S51" s="48"/>
      <c r="T51" s="48"/>
      <c r="U51" s="48"/>
      <c r="V51" s="48"/>
      <c r="W51" s="48"/>
      <c r="X51" s="48"/>
      <c r="Y51" s="48"/>
      <c r="Z51" s="48"/>
      <c r="AA51" s="48"/>
      <c r="AB51" s="48"/>
      <c r="AC51" s="48"/>
      <c r="AD51" s="48"/>
      <c r="AE51" s="48"/>
    </row>
    <row r="52" spans="1:31">
      <c r="A52" s="412">
        <f>ROW()</f>
        <v>52</v>
      </c>
      <c r="B52" s="30" t="s">
        <v>453</v>
      </c>
      <c r="C52" s="30"/>
      <c r="D52" s="30"/>
      <c r="E52" s="30"/>
      <c r="F52" s="30"/>
      <c r="G52" s="60">
        <f t="shared" si="16"/>
        <v>2026</v>
      </c>
      <c r="H52" s="60">
        <f t="shared" si="16"/>
        <v>2027</v>
      </c>
      <c r="I52" s="60">
        <f t="shared" si="16"/>
        <v>2028</v>
      </c>
      <c r="J52" s="60">
        <f t="shared" si="16"/>
        <v>2029</v>
      </c>
      <c r="K52" s="60">
        <f t="shared" si="16"/>
        <v>2030</v>
      </c>
      <c r="L52" s="60">
        <f t="shared" si="16"/>
        <v>2031</v>
      </c>
      <c r="M52" s="60">
        <f t="shared" si="16"/>
        <v>2032</v>
      </c>
      <c r="N52" s="83"/>
      <c r="O52" s="287"/>
      <c r="Q52" s="48"/>
      <c r="R52" s="48"/>
      <c r="S52" s="48"/>
      <c r="T52" s="48"/>
      <c r="U52" s="48"/>
      <c r="V52" s="48"/>
      <c r="W52" s="48"/>
      <c r="X52" s="48"/>
      <c r="Y52" s="48"/>
      <c r="Z52" s="48"/>
      <c r="AA52" s="48"/>
      <c r="AB52" s="48"/>
      <c r="AC52" s="48"/>
      <c r="AD52" s="48"/>
      <c r="AE52" s="48"/>
    </row>
    <row r="53" spans="1:31">
      <c r="A53" s="412">
        <f>ROW()</f>
        <v>53</v>
      </c>
      <c r="B53" s="106" t="s">
        <v>454</v>
      </c>
      <c r="C53" s="1778"/>
      <c r="D53" s="1778"/>
      <c r="E53" s="88"/>
      <c r="F53" s="88"/>
      <c r="G53" s="88"/>
      <c r="H53" s="88"/>
      <c r="I53" s="79"/>
      <c r="J53" s="79"/>
      <c r="K53" s="79"/>
      <c r="L53" s="79"/>
      <c r="M53" s="79"/>
      <c r="N53" s="83"/>
      <c r="O53" s="287"/>
      <c r="Q53" s="48"/>
      <c r="R53" s="48"/>
      <c r="S53" s="48"/>
      <c r="T53" s="48"/>
      <c r="U53" s="48"/>
      <c r="V53" s="48"/>
      <c r="W53" s="48"/>
      <c r="X53" s="48"/>
      <c r="Y53" s="48"/>
      <c r="Z53" s="48"/>
      <c r="AA53" s="48"/>
      <c r="AB53" s="48"/>
      <c r="AC53" s="48"/>
      <c r="AD53" s="48"/>
      <c r="AE53" s="48"/>
    </row>
    <row r="54" spans="1:31" ht="14.4">
      <c r="A54" s="412">
        <f>ROW()</f>
        <v>54</v>
      </c>
      <c r="B54" s="154" t="s">
        <v>455</v>
      </c>
      <c r="E54" s="30"/>
      <c r="G54" s="1643"/>
      <c r="H54" s="80"/>
      <c r="I54" s="80"/>
      <c r="J54" s="80"/>
      <c r="K54" s="80"/>
      <c r="L54" s="80"/>
      <c r="M54" s="80"/>
      <c r="N54" s="83"/>
      <c r="O54" s="287"/>
      <c r="Q54" s="48"/>
      <c r="R54" s="48"/>
      <c r="S54" s="48"/>
      <c r="T54" s="48"/>
      <c r="U54" s="48"/>
      <c r="V54" s="48"/>
      <c r="W54" s="48"/>
      <c r="X54" s="48"/>
      <c r="Y54" s="48"/>
      <c r="Z54" s="48"/>
      <c r="AA54" s="48"/>
      <c r="AB54" s="48"/>
      <c r="AC54" s="48"/>
      <c r="AD54" s="48"/>
      <c r="AE54" s="48"/>
    </row>
    <row r="55" spans="1:31">
      <c r="A55" s="412">
        <f>ROW()</f>
        <v>55</v>
      </c>
      <c r="B55" s="32" t="s">
        <v>456</v>
      </c>
      <c r="C55" s="667">
        <v>4805</v>
      </c>
      <c r="D55" s="80" t="s">
        <v>457</v>
      </c>
      <c r="E55" s="1853"/>
      <c r="F55" s="1853"/>
      <c r="G55" s="1853"/>
      <c r="H55" s="1853"/>
      <c r="I55" s="1853"/>
      <c r="J55" s="1853"/>
      <c r="K55" s="1853"/>
      <c r="L55" s="1853"/>
      <c r="M55" s="1853"/>
      <c r="N55" s="83"/>
      <c r="O55" s="287"/>
      <c r="Q55" s="48"/>
      <c r="R55" s="48"/>
      <c r="S55" s="48"/>
      <c r="T55" s="48"/>
      <c r="U55" s="48"/>
      <c r="V55" s="48"/>
      <c r="W55" s="48"/>
      <c r="X55" s="48"/>
      <c r="Y55" s="48"/>
      <c r="Z55" s="48"/>
      <c r="AA55" s="48"/>
      <c r="AB55" s="48"/>
      <c r="AC55" s="48"/>
      <c r="AD55" s="48"/>
      <c r="AE55" s="48"/>
    </row>
    <row r="56" spans="1:31">
      <c r="A56" s="412">
        <f>ROW()</f>
        <v>56</v>
      </c>
      <c r="B56" s="32" t="s">
        <v>458</v>
      </c>
      <c r="C56" s="667">
        <v>0</v>
      </c>
      <c r="D56" s="80" t="s">
        <v>457</v>
      </c>
      <c r="E56" s="1853"/>
      <c r="F56" s="1853"/>
      <c r="G56" s="1853"/>
      <c r="H56" s="1853"/>
      <c r="I56" s="1853"/>
      <c r="J56" s="1853"/>
      <c r="K56" s="1853"/>
      <c r="L56" s="1853"/>
      <c r="M56" s="1853"/>
      <c r="N56" s="83"/>
      <c r="O56" s="287"/>
      <c r="Q56" s="48"/>
      <c r="R56" s="48"/>
      <c r="S56" s="48"/>
      <c r="T56" s="48"/>
      <c r="U56" s="48"/>
      <c r="V56" s="48"/>
      <c r="W56" s="48"/>
      <c r="X56" s="48"/>
      <c r="Y56" s="48"/>
      <c r="Z56" s="48"/>
      <c r="AA56" s="48"/>
      <c r="AB56" s="48"/>
      <c r="AC56" s="48"/>
      <c r="AD56" s="48"/>
      <c r="AE56" s="48"/>
    </row>
    <row r="57" spans="1:31">
      <c r="A57" s="412">
        <f>ROW()</f>
        <v>57</v>
      </c>
      <c r="B57" s="32" t="s">
        <v>459</v>
      </c>
      <c r="C57" s="668">
        <v>1</v>
      </c>
      <c r="D57" s="80"/>
      <c r="E57" s="1853"/>
      <c r="F57" s="1853"/>
      <c r="G57" s="1853"/>
      <c r="H57" s="1853"/>
      <c r="I57" s="1853"/>
      <c r="J57" s="1853"/>
      <c r="K57" s="1853"/>
      <c r="L57" s="1853"/>
      <c r="M57" s="1853"/>
      <c r="N57" s="83"/>
      <c r="O57" s="287"/>
      <c r="Q57" s="48"/>
      <c r="R57" s="48"/>
      <c r="S57" s="48"/>
      <c r="T57" s="48"/>
      <c r="U57" s="48"/>
      <c r="V57" s="48"/>
      <c r="W57" s="48"/>
      <c r="X57" s="48"/>
      <c r="Y57" s="48"/>
      <c r="Z57" s="48"/>
      <c r="AA57" s="48"/>
      <c r="AB57" s="48"/>
      <c r="AC57" s="48"/>
      <c r="AD57" s="48"/>
      <c r="AE57" s="48"/>
    </row>
    <row r="58" spans="1:31">
      <c r="A58" s="412">
        <f>ROW()</f>
        <v>58</v>
      </c>
      <c r="B58" s="32" t="s">
        <v>460</v>
      </c>
      <c r="C58" s="668">
        <v>0.8</v>
      </c>
      <c r="D58" s="80"/>
      <c r="E58" s="1853"/>
      <c r="F58" s="1853"/>
      <c r="G58" s="1853"/>
      <c r="H58" s="1853"/>
      <c r="I58" s="1853"/>
      <c r="J58" s="1853"/>
      <c r="K58" s="1853"/>
      <c r="L58" s="1853"/>
      <c r="M58" s="1853"/>
      <c r="N58" s="83"/>
      <c r="O58" s="287"/>
      <c r="Q58" s="48"/>
      <c r="R58" s="48"/>
      <c r="S58" s="48"/>
      <c r="T58" s="48"/>
      <c r="U58" s="48"/>
      <c r="V58" s="48"/>
      <c r="W58" s="48"/>
      <c r="X58" s="48"/>
      <c r="Y58" s="48"/>
      <c r="Z58" s="48"/>
      <c r="AA58" s="48"/>
      <c r="AB58" s="48"/>
      <c r="AC58" s="48"/>
      <c r="AD58" s="48"/>
      <c r="AE58" s="48"/>
    </row>
    <row r="59" spans="1:31">
      <c r="A59" s="412">
        <f>ROW()</f>
        <v>59</v>
      </c>
      <c r="B59" s="32" t="s">
        <v>461</v>
      </c>
      <c r="C59" s="1147">
        <f>(C58*C55)+((1-C58)*C56)</f>
        <v>3844</v>
      </c>
      <c r="D59" s="1779" t="s">
        <v>462</v>
      </c>
      <c r="E59" s="1853"/>
      <c r="F59" s="1853"/>
      <c r="G59" s="1853"/>
      <c r="H59" s="1853"/>
      <c r="I59" s="1853"/>
      <c r="J59" s="1853"/>
      <c r="K59" s="1853"/>
      <c r="L59" s="1853"/>
      <c r="M59" s="1853"/>
      <c r="N59" s="83"/>
      <c r="O59" s="287"/>
      <c r="Q59" s="48"/>
      <c r="R59" s="48"/>
      <c r="S59" s="48"/>
      <c r="T59" s="48"/>
      <c r="U59" s="48"/>
      <c r="V59" s="48"/>
      <c r="W59" s="48"/>
      <c r="X59" s="48"/>
      <c r="Y59" s="48"/>
      <c r="Z59" s="48"/>
      <c r="AA59" s="48"/>
      <c r="AB59" s="48"/>
      <c r="AC59" s="48"/>
      <c r="AD59" s="48"/>
      <c r="AE59" s="48"/>
    </row>
    <row r="60" spans="1:31">
      <c r="A60" s="412">
        <f>ROW()</f>
        <v>60</v>
      </c>
      <c r="B60" s="32" t="s">
        <v>463</v>
      </c>
      <c r="C60" s="601">
        <v>1.4500000000000001E-2</v>
      </c>
      <c r="D60" s="80" t="s">
        <v>464</v>
      </c>
      <c r="E60" s="1853"/>
      <c r="F60" s="1853"/>
      <c r="G60" s="1853"/>
      <c r="H60" s="1853"/>
      <c r="I60" s="1853"/>
      <c r="J60" s="1853"/>
      <c r="K60" s="1853"/>
      <c r="L60" s="1853"/>
      <c r="M60" s="1853"/>
      <c r="N60" s="83"/>
      <c r="O60" s="287"/>
      <c r="Q60" s="48"/>
      <c r="R60" s="48"/>
      <c r="S60" s="48"/>
      <c r="T60" s="48"/>
      <c r="U60" s="48"/>
      <c r="V60" s="48"/>
      <c r="W60" s="48"/>
      <c r="X60" s="48"/>
      <c r="Y60" s="48"/>
      <c r="Z60" s="48"/>
      <c r="AA60" s="48"/>
      <c r="AB60" s="48"/>
      <c r="AC60" s="48"/>
      <c r="AD60" s="48"/>
      <c r="AE60" s="48"/>
    </row>
    <row r="61" spans="1:31">
      <c r="A61" s="412">
        <f>ROW()</f>
        <v>61</v>
      </c>
      <c r="B61" s="32" t="s">
        <v>465</v>
      </c>
      <c r="C61" s="601">
        <v>0.1925</v>
      </c>
      <c r="D61" s="80" t="s">
        <v>464</v>
      </c>
      <c r="E61" s="1853"/>
      <c r="F61" s="1853"/>
      <c r="G61" s="1853"/>
      <c r="H61" s="1853"/>
      <c r="I61" s="1853"/>
      <c r="J61" s="1853"/>
      <c r="K61" s="1853"/>
      <c r="L61" s="1853"/>
      <c r="M61" s="1853"/>
      <c r="N61" s="83"/>
      <c r="O61" s="287"/>
      <c r="Q61" s="48"/>
      <c r="R61" s="48"/>
      <c r="S61" s="48"/>
      <c r="T61" s="48"/>
      <c r="U61" s="48"/>
      <c r="V61" s="48"/>
      <c r="W61" s="48"/>
      <c r="X61" s="48"/>
      <c r="Y61" s="48"/>
      <c r="Z61" s="48"/>
      <c r="AA61" s="48"/>
      <c r="AB61" s="48"/>
      <c r="AC61" s="48"/>
      <c r="AD61" s="48"/>
      <c r="AE61" s="48"/>
    </row>
    <row r="62" spans="1:31">
      <c r="A62" s="412">
        <f>ROW()</f>
        <v>62</v>
      </c>
      <c r="B62" s="32" t="s">
        <v>466</v>
      </c>
      <c r="C62" s="601">
        <v>2.5000000000000001E-3</v>
      </c>
      <c r="D62" s="80" t="s">
        <v>464</v>
      </c>
      <c r="E62" s="1853"/>
      <c r="F62" s="1853"/>
      <c r="G62" s="1853"/>
      <c r="H62" s="1853"/>
      <c r="I62" s="1853"/>
      <c r="J62" s="1853"/>
      <c r="K62" s="1853"/>
      <c r="L62" s="1853"/>
      <c r="M62" s="1853"/>
      <c r="N62" s="83"/>
      <c r="O62" s="287"/>
      <c r="Q62" s="48"/>
      <c r="R62" s="48"/>
      <c r="S62" s="48"/>
      <c r="T62" s="48"/>
      <c r="U62" s="48"/>
      <c r="V62" s="48"/>
      <c r="W62" s="48"/>
      <c r="X62" s="48"/>
      <c r="Y62" s="48"/>
      <c r="Z62" s="48"/>
      <c r="AA62" s="48"/>
      <c r="AB62" s="48"/>
      <c r="AC62" s="48"/>
      <c r="AD62" s="48"/>
      <c r="AE62" s="48"/>
    </row>
    <row r="63" spans="1:31">
      <c r="A63" s="412">
        <f>ROW()</f>
        <v>63</v>
      </c>
      <c r="B63" s="32" t="s">
        <v>467</v>
      </c>
      <c r="C63" s="669">
        <v>0</v>
      </c>
      <c r="D63" s="1779" t="s">
        <v>468</v>
      </c>
      <c r="E63" s="1853"/>
      <c r="F63" s="1853"/>
      <c r="G63" s="1853"/>
      <c r="H63" s="1853"/>
      <c r="I63" s="1853"/>
      <c r="J63" s="1853"/>
      <c r="K63" s="1853"/>
      <c r="L63" s="1853"/>
      <c r="M63" s="1853"/>
      <c r="N63" s="83"/>
      <c r="O63" s="287"/>
      <c r="Q63" s="48"/>
      <c r="R63" s="48"/>
      <c r="S63" s="48"/>
      <c r="T63" s="48"/>
      <c r="U63" s="48"/>
      <c r="V63" s="48"/>
      <c r="W63" s="48"/>
      <c r="X63" s="48"/>
      <c r="Y63" s="48"/>
      <c r="Z63" s="48"/>
      <c r="AA63" s="48"/>
      <c r="AB63" s="48"/>
      <c r="AC63" s="48"/>
      <c r="AD63" s="48"/>
      <c r="AE63" s="48"/>
    </row>
    <row r="64" spans="1:31">
      <c r="A64" s="412">
        <f>ROW()</f>
        <v>64</v>
      </c>
      <c r="B64" s="32" t="s">
        <v>469</v>
      </c>
      <c r="C64" s="1290">
        <v>2.9499999999999998E-2</v>
      </c>
      <c r="D64" s="80" t="s">
        <v>464</v>
      </c>
      <c r="E64" s="1853"/>
      <c r="F64" s="1853"/>
      <c r="G64" s="1853"/>
      <c r="H64" s="1853"/>
      <c r="I64" s="1853"/>
      <c r="J64" s="1853"/>
      <c r="K64" s="1853"/>
      <c r="L64" s="1853"/>
      <c r="M64" s="1853"/>
      <c r="N64" s="83"/>
      <c r="O64" s="287"/>
      <c r="Q64" s="48"/>
      <c r="R64" s="48"/>
      <c r="S64" s="48"/>
      <c r="T64" s="48"/>
      <c r="U64" s="48"/>
      <c r="V64" s="48"/>
      <c r="W64" s="48"/>
      <c r="X64" s="48"/>
      <c r="Y64" s="48"/>
      <c r="Z64" s="48"/>
      <c r="AA64" s="48"/>
      <c r="AB64" s="48"/>
      <c r="AC64" s="48"/>
      <c r="AD64" s="48"/>
      <c r="AE64" s="48"/>
    </row>
    <row r="65" spans="1:31">
      <c r="A65" s="412">
        <f>ROW()</f>
        <v>65</v>
      </c>
      <c r="B65" s="32" t="s">
        <v>470</v>
      </c>
      <c r="C65" s="1290">
        <v>8.8999999999999999E-3</v>
      </c>
      <c r="D65" s="80" t="s">
        <v>464</v>
      </c>
      <c r="E65" s="1853"/>
      <c r="F65" s="1853"/>
      <c r="G65" s="1853"/>
      <c r="H65" s="1853"/>
      <c r="I65" s="1853"/>
      <c r="J65" s="1853"/>
      <c r="K65" s="1853"/>
      <c r="L65" s="1853"/>
      <c r="M65" s="1853"/>
      <c r="N65" s="83"/>
      <c r="O65" s="287"/>
      <c r="Q65" s="48"/>
      <c r="R65" s="48"/>
      <c r="S65" s="48"/>
      <c r="T65" s="48"/>
      <c r="U65" s="48"/>
      <c r="V65" s="48"/>
      <c r="W65" s="48"/>
      <c r="X65" s="48"/>
      <c r="Y65" s="48"/>
      <c r="Z65" s="48"/>
      <c r="AA65" s="48"/>
      <c r="AB65" s="48"/>
      <c r="AC65" s="48"/>
      <c r="AD65" s="48"/>
      <c r="AE65" s="48"/>
    </row>
    <row r="66" spans="1:31">
      <c r="A66" s="412">
        <f>ROW()</f>
        <v>66</v>
      </c>
      <c r="C66" s="1148"/>
      <c r="D66" s="80"/>
      <c r="E66" s="1853"/>
      <c r="F66" s="1853"/>
      <c r="G66" s="1853"/>
      <c r="H66" s="1853"/>
      <c r="I66" s="1853"/>
      <c r="J66" s="1853"/>
      <c r="K66" s="1853"/>
      <c r="L66" s="1853"/>
      <c r="M66" s="1853"/>
      <c r="N66" s="83"/>
      <c r="O66" s="287"/>
      <c r="Q66" s="48"/>
      <c r="R66" s="48"/>
      <c r="S66" s="48"/>
      <c r="T66" s="48"/>
      <c r="U66" s="48"/>
      <c r="V66" s="48"/>
      <c r="W66" s="48"/>
      <c r="X66" s="48"/>
      <c r="Y66" s="48"/>
      <c r="Z66" s="48"/>
      <c r="AA66" s="48"/>
      <c r="AB66" s="48"/>
      <c r="AC66" s="48"/>
      <c r="AD66" s="48"/>
      <c r="AE66" s="48"/>
    </row>
    <row r="67" spans="1:31">
      <c r="A67" s="412">
        <f>ROW()</f>
        <v>67</v>
      </c>
      <c r="B67" s="32" t="s">
        <v>407</v>
      </c>
      <c r="C67" s="667">
        <v>20</v>
      </c>
      <c r="D67" s="80" t="s">
        <v>471</v>
      </c>
      <c r="E67" s="1853"/>
      <c r="F67" s="1853"/>
      <c r="G67" s="1853"/>
      <c r="H67" s="1853"/>
      <c r="I67" s="1853"/>
      <c r="J67" s="1853"/>
      <c r="K67" s="1853"/>
      <c r="L67" s="1853"/>
      <c r="M67" s="1853"/>
      <c r="N67" s="83"/>
      <c r="O67" s="287"/>
      <c r="Q67" s="48"/>
      <c r="R67" s="48"/>
      <c r="S67" s="48"/>
      <c r="T67" s="48"/>
      <c r="U67" s="48"/>
      <c r="V67" s="48"/>
      <c r="W67" s="48"/>
      <c r="X67" s="48"/>
      <c r="Y67" s="48"/>
      <c r="Z67" s="48"/>
      <c r="AA67" s="48"/>
      <c r="AB67" s="48"/>
      <c r="AC67" s="48"/>
      <c r="AD67" s="48"/>
      <c r="AE67" s="48"/>
    </row>
    <row r="68" spans="1:31">
      <c r="A68" s="412">
        <f>ROW()</f>
        <v>68</v>
      </c>
      <c r="B68" s="32" t="s">
        <v>472</v>
      </c>
      <c r="C68" s="1149" t="s">
        <v>473</v>
      </c>
      <c r="D68" s="80"/>
      <c r="E68" s="1853"/>
      <c r="F68" s="1853"/>
      <c r="G68" s="1853"/>
      <c r="H68" s="1853"/>
      <c r="I68" s="1853"/>
      <c r="J68" s="1853"/>
      <c r="K68" s="1853"/>
      <c r="L68" s="1853"/>
      <c r="M68" s="1853"/>
      <c r="N68" s="83"/>
      <c r="O68" s="287"/>
      <c r="Q68" s="48"/>
      <c r="R68" s="48"/>
      <c r="S68" s="48"/>
      <c r="T68" s="48"/>
      <c r="U68" s="48"/>
      <c r="V68" s="48"/>
      <c r="W68" s="48"/>
      <c r="X68" s="48"/>
      <c r="Y68" s="48"/>
      <c r="Z68" s="48"/>
      <c r="AA68" s="48"/>
      <c r="AB68" s="48"/>
      <c r="AC68" s="48"/>
      <c r="AD68" s="48"/>
      <c r="AE68" s="48"/>
    </row>
    <row r="69" spans="1:31">
      <c r="A69" s="412">
        <f>ROW()</f>
        <v>69</v>
      </c>
      <c r="B69" s="30" t="s">
        <v>474</v>
      </c>
      <c r="C69" s="1287">
        <f>+' Enrol &amp; Rev'!C97</f>
        <v>0.02</v>
      </c>
      <c r="D69" s="32" t="s">
        <v>475</v>
      </c>
      <c r="E69" s="44"/>
      <c r="F69" s="44"/>
      <c r="G69" s="68"/>
      <c r="H69" s="68"/>
      <c r="I69" s="31"/>
      <c r="J69" s="31"/>
      <c r="K69" s="31"/>
      <c r="L69" s="31"/>
      <c r="M69" s="31"/>
      <c r="N69" s="83"/>
      <c r="O69" s="287"/>
      <c r="Q69" s="48"/>
      <c r="R69" s="48"/>
      <c r="S69" s="48"/>
      <c r="T69" s="48"/>
      <c r="U69" s="48"/>
      <c r="V69" s="48"/>
      <c r="W69" s="48"/>
      <c r="X69" s="48"/>
      <c r="Y69" s="48"/>
      <c r="Z69" s="48"/>
      <c r="AA69" s="48"/>
      <c r="AB69" s="48"/>
      <c r="AC69" s="48"/>
      <c r="AD69" s="48"/>
      <c r="AE69" s="48"/>
    </row>
    <row r="70" spans="1:31">
      <c r="A70" s="412">
        <f>ROW()</f>
        <v>70</v>
      </c>
      <c r="C70" s="257"/>
      <c r="N70" s="83"/>
      <c r="O70" s="287"/>
      <c r="Q70" s="48"/>
      <c r="R70" s="48"/>
      <c r="S70" s="48"/>
      <c r="T70" s="48"/>
      <c r="U70" s="48"/>
      <c r="V70" s="48"/>
      <c r="W70" s="48"/>
      <c r="X70" s="48"/>
      <c r="Y70" s="48"/>
      <c r="Z70" s="48"/>
      <c r="AA70" s="48"/>
      <c r="AB70" s="48"/>
      <c r="AC70" s="48"/>
      <c r="AD70" s="48"/>
      <c r="AE70" s="48"/>
    </row>
    <row r="71" spans="1:31">
      <c r="A71" s="412">
        <f>ROW()</f>
        <v>71</v>
      </c>
      <c r="B71" s="32" t="s">
        <v>1301</v>
      </c>
      <c r="C71" s="126">
        <v>180</v>
      </c>
      <c r="D71" s="78"/>
      <c r="E71" s="245"/>
      <c r="F71" s="245"/>
      <c r="H71" s="68"/>
      <c r="I71" s="31"/>
      <c r="J71" s="31"/>
      <c r="K71" s="31"/>
      <c r="L71" s="31"/>
      <c r="M71" s="31"/>
      <c r="N71" s="83"/>
      <c r="O71" s="287"/>
      <c r="Q71" s="48"/>
      <c r="R71" s="48"/>
      <c r="S71" s="48"/>
      <c r="T71" s="48"/>
      <c r="U71" s="48"/>
      <c r="V71" s="48"/>
      <c r="W71" s="48"/>
      <c r="X71" s="48"/>
      <c r="Y71" s="48"/>
      <c r="Z71" s="48"/>
      <c r="AA71" s="48"/>
      <c r="AB71" s="48"/>
      <c r="AC71" s="48"/>
      <c r="AD71" s="48"/>
      <c r="AE71" s="48"/>
    </row>
    <row r="72" spans="1:31">
      <c r="A72" s="412">
        <f>ROW()</f>
        <v>72</v>
      </c>
      <c r="B72" s="32" t="s">
        <v>476</v>
      </c>
      <c r="C72" s="127">
        <v>0</v>
      </c>
      <c r="D72" s="246"/>
      <c r="E72" s="246"/>
      <c r="F72" s="246"/>
      <c r="H72" s="39"/>
      <c r="N72" s="83"/>
      <c r="O72" s="287"/>
      <c r="Q72" s="48"/>
      <c r="R72" s="48"/>
      <c r="S72" s="48"/>
      <c r="T72" s="48"/>
      <c r="U72" s="48"/>
      <c r="V72" s="48"/>
      <c r="W72" s="48"/>
      <c r="X72" s="48"/>
      <c r="Y72" s="48"/>
      <c r="Z72" s="48"/>
      <c r="AA72" s="48"/>
      <c r="AB72" s="48"/>
      <c r="AC72" s="48"/>
      <c r="AD72" s="48"/>
      <c r="AE72" s="48"/>
    </row>
    <row r="73" spans="1:31">
      <c r="A73" s="412">
        <f>ROW()</f>
        <v>73</v>
      </c>
      <c r="B73" s="32" t="s">
        <v>477</v>
      </c>
      <c r="C73" s="127">
        <v>0</v>
      </c>
      <c r="D73" s="246"/>
      <c r="E73" s="246"/>
      <c r="F73" s="246"/>
      <c r="H73" s="39"/>
      <c r="N73" s="83"/>
      <c r="O73" s="287"/>
      <c r="Q73" s="48"/>
      <c r="R73" s="48"/>
      <c r="S73" s="48"/>
      <c r="T73" s="48"/>
      <c r="U73" s="48"/>
      <c r="V73" s="48"/>
      <c r="W73" s="48"/>
      <c r="X73" s="48"/>
      <c r="Y73" s="48"/>
      <c r="Z73" s="48"/>
      <c r="AA73" s="48"/>
      <c r="AB73" s="48"/>
      <c r="AC73" s="48"/>
      <c r="AD73" s="48"/>
      <c r="AE73" s="48"/>
    </row>
    <row r="74" spans="1:31">
      <c r="A74" s="412">
        <f>ROW()</f>
        <v>74</v>
      </c>
      <c r="B74" s="32" t="s">
        <v>478</v>
      </c>
      <c r="C74" s="128">
        <v>0</v>
      </c>
      <c r="D74" s="247"/>
      <c r="E74" s="247"/>
      <c r="F74" s="247"/>
      <c r="H74" s="39"/>
      <c r="N74" s="83"/>
      <c r="O74" s="287"/>
      <c r="Q74" s="48"/>
      <c r="R74" s="48"/>
      <c r="S74" s="48"/>
      <c r="T74" s="48"/>
      <c r="U74" s="48"/>
      <c r="V74" s="48"/>
      <c r="W74" s="48"/>
      <c r="X74" s="48"/>
      <c r="Y74" s="48"/>
      <c r="Z74" s="48"/>
      <c r="AA74" s="48"/>
      <c r="AB74" s="48"/>
      <c r="AC74" s="48"/>
      <c r="AD74" s="48"/>
      <c r="AE74" s="48"/>
    </row>
    <row r="75" spans="1:31">
      <c r="A75" s="412">
        <f>ROW()</f>
        <v>75</v>
      </c>
      <c r="H75" s="89"/>
      <c r="I75" s="89"/>
      <c r="J75" s="89"/>
      <c r="N75" s="83"/>
      <c r="O75" s="287"/>
      <c r="Q75" s="48"/>
      <c r="R75" s="48"/>
      <c r="S75" s="48"/>
      <c r="T75" s="48"/>
      <c r="U75" s="48"/>
      <c r="V75" s="48"/>
      <c r="W75" s="48"/>
      <c r="X75" s="48"/>
      <c r="Y75" s="48"/>
      <c r="Z75" s="48"/>
      <c r="AA75" s="48"/>
      <c r="AB75" s="48"/>
      <c r="AC75" s="48"/>
      <c r="AD75" s="48"/>
      <c r="AE75" s="48"/>
    </row>
    <row r="76" spans="1:31" ht="15.6" hidden="1">
      <c r="A76" s="412">
        <f>ROW()</f>
        <v>76</v>
      </c>
      <c r="G76" s="348"/>
      <c r="H76" s="89"/>
      <c r="I76" s="89"/>
      <c r="J76" s="89"/>
      <c r="N76" s="83"/>
      <c r="O76" s="287"/>
      <c r="Q76" s="48"/>
      <c r="R76" s="48"/>
      <c r="S76" s="48"/>
      <c r="T76" s="48"/>
      <c r="U76" s="48"/>
      <c r="V76" s="48"/>
      <c r="W76" s="48"/>
      <c r="X76" s="48"/>
      <c r="Y76" s="48"/>
      <c r="Z76" s="48"/>
      <c r="AA76" s="48"/>
      <c r="AB76" s="48"/>
      <c r="AC76" s="48"/>
      <c r="AD76" s="48"/>
      <c r="AE76" s="48"/>
    </row>
    <row r="77" spans="1:31" ht="15.6" hidden="1">
      <c r="A77" s="412">
        <f>ROW()</f>
        <v>77</v>
      </c>
      <c r="B77" s="30"/>
      <c r="G77" s="348"/>
      <c r="H77" s="89"/>
      <c r="I77" s="89"/>
      <c r="J77" s="89"/>
      <c r="N77" s="83"/>
      <c r="O77" s="287"/>
      <c r="Q77" s="48"/>
      <c r="R77" s="48"/>
      <c r="S77" s="48"/>
      <c r="T77" s="48"/>
      <c r="U77" s="48"/>
      <c r="V77" s="48"/>
      <c r="W77" s="48"/>
      <c r="X77" s="48"/>
      <c r="Y77" s="48"/>
      <c r="Z77" s="48"/>
      <c r="AA77" s="48"/>
      <c r="AB77" s="48"/>
      <c r="AC77" s="48"/>
      <c r="AD77" s="48"/>
      <c r="AE77" s="48"/>
    </row>
    <row r="78" spans="1:31" ht="15.6" hidden="1">
      <c r="A78" s="412">
        <f>ROW()</f>
        <v>78</v>
      </c>
      <c r="G78" s="348"/>
      <c r="H78" s="89"/>
      <c r="I78" s="89"/>
      <c r="J78" s="89"/>
      <c r="N78" s="83"/>
      <c r="O78" s="287"/>
      <c r="Q78" s="48"/>
      <c r="R78" s="48"/>
      <c r="S78" s="48"/>
      <c r="T78" s="48"/>
      <c r="U78" s="48"/>
      <c r="V78" s="48"/>
      <c r="W78" s="48"/>
      <c r="X78" s="48"/>
      <c r="Y78" s="48"/>
      <c r="Z78" s="48"/>
      <c r="AA78" s="48"/>
      <c r="AB78" s="48"/>
      <c r="AC78" s="48"/>
      <c r="AD78" s="48"/>
      <c r="AE78" s="48"/>
    </row>
    <row r="79" spans="1:31" hidden="1" outlineLevel="1">
      <c r="A79" s="412">
        <f>ROW()</f>
        <v>79</v>
      </c>
      <c r="C79" s="31" t="s">
        <v>495</v>
      </c>
      <c r="D79" s="31" t="s">
        <v>479</v>
      </c>
      <c r="E79" s="31"/>
      <c r="F79" s="31"/>
      <c r="H79" s="89"/>
      <c r="I79" s="89"/>
      <c r="J79" s="89"/>
      <c r="N79" s="83"/>
      <c r="O79" s="287"/>
      <c r="Q79" s="48"/>
      <c r="R79" s="48"/>
      <c r="S79" s="48"/>
      <c r="T79" s="48"/>
      <c r="U79" s="48"/>
      <c r="V79" s="48"/>
      <c r="W79" s="48"/>
      <c r="X79" s="48"/>
      <c r="Y79" s="48"/>
      <c r="Z79" s="48"/>
      <c r="AA79" s="48"/>
      <c r="AB79" s="48"/>
      <c r="AC79" s="48"/>
      <c r="AD79" s="48"/>
      <c r="AE79" s="48"/>
    </row>
    <row r="80" spans="1:31" hidden="1" outlineLevel="1">
      <c r="A80" s="709">
        <f>ROW()</f>
        <v>80</v>
      </c>
      <c r="B80" s="69" t="s">
        <v>480</v>
      </c>
      <c r="C80" s="53">
        <f>' Enrol &amp; Rev'!$G$10</f>
        <v>2026</v>
      </c>
      <c r="D80" s="131"/>
      <c r="E80" s="99"/>
      <c r="F80" s="99"/>
      <c r="I80" s="99"/>
      <c r="J80" s="99"/>
      <c r="N80" s="83"/>
      <c r="O80" s="287"/>
      <c r="Q80" s="48"/>
      <c r="R80" s="48"/>
      <c r="S80" s="48"/>
      <c r="T80" s="48"/>
      <c r="U80" s="48"/>
      <c r="V80" s="48"/>
      <c r="W80" s="48"/>
      <c r="X80" s="48"/>
      <c r="Y80" s="48"/>
      <c r="Z80" s="48"/>
      <c r="AA80" s="48"/>
      <c r="AB80" s="48"/>
      <c r="AC80" s="48"/>
      <c r="AD80" s="48"/>
      <c r="AE80" s="48"/>
    </row>
    <row r="81" spans="1:31" outlineLevel="1">
      <c r="A81" s="412">
        <f>ROW()</f>
        <v>81</v>
      </c>
      <c r="B81" s="1648" t="s">
        <v>481</v>
      </c>
      <c r="C81" s="1649"/>
      <c r="D81" s="1650"/>
      <c r="E81" s="1651"/>
      <c r="F81" s="1651"/>
      <c r="G81" s="1527" t="str">
        <f>+B81&amp;" "&amp;""</f>
        <v xml:space="preserve">FTE Count &amp; Hiring Timing  </v>
      </c>
      <c r="H81" s="1652"/>
      <c r="I81" s="1651"/>
      <c r="J81" s="1651"/>
      <c r="K81" s="1652"/>
      <c r="L81" s="1652"/>
      <c r="M81" s="1652"/>
      <c r="N81" s="83"/>
      <c r="O81" s="1529"/>
      <c r="Q81" s="48"/>
      <c r="R81" s="48"/>
      <c r="S81" s="48"/>
      <c r="T81" s="48"/>
      <c r="U81" s="48"/>
      <c r="V81" s="48"/>
      <c r="W81" s="48"/>
      <c r="X81" s="48"/>
      <c r="Y81" s="48"/>
      <c r="Z81" s="48"/>
      <c r="AA81" s="48"/>
      <c r="AB81" s="48"/>
      <c r="AC81" s="48"/>
      <c r="AD81" s="48"/>
      <c r="AE81" s="48"/>
    </row>
    <row r="82" spans="1:31" outlineLevel="1">
      <c r="A82" s="412">
        <f>ROW()</f>
        <v>82</v>
      </c>
      <c r="B82" s="1308" t="s">
        <v>482</v>
      </c>
      <c r="C82" s="53" t="s">
        <v>243</v>
      </c>
      <c r="D82" s="53" t="s">
        <v>1267</v>
      </c>
      <c r="E82" s="53"/>
      <c r="F82" s="53"/>
      <c r="G82" s="58"/>
      <c r="H82" s="53"/>
      <c r="I82" s="53"/>
      <c r="J82" s="53"/>
      <c r="K82" s="58"/>
      <c r="L82" s="58"/>
      <c r="M82" s="58"/>
      <c r="N82" s="83"/>
      <c r="O82" s="1646"/>
      <c r="Q82" s="48"/>
      <c r="R82" s="48"/>
      <c r="S82" s="48"/>
      <c r="T82" s="48"/>
      <c r="U82" s="48"/>
      <c r="V82" s="48"/>
      <c r="W82" s="48"/>
      <c r="X82" s="48"/>
      <c r="Y82" s="48"/>
      <c r="Z82" s="48"/>
      <c r="AA82" s="48"/>
      <c r="AB82" s="48"/>
      <c r="AC82" s="48"/>
      <c r="AD82" s="48"/>
      <c r="AE82" s="48"/>
    </row>
    <row r="83" spans="1:31" outlineLevel="1">
      <c r="A83" s="412">
        <f>ROW()</f>
        <v>83</v>
      </c>
      <c r="B83" s="155" t="s">
        <v>1433</v>
      </c>
      <c r="C83" s="156">
        <v>2027</v>
      </c>
      <c r="D83" s="160">
        <v>101597</v>
      </c>
      <c r="E83" s="1130"/>
      <c r="F83" s="1130"/>
      <c r="G83" s="603">
        <v>0</v>
      </c>
      <c r="H83" s="603">
        <f t="shared" ref="G83:M87" si="17">IF($C83&lt;=H$10,1,0)</f>
        <v>1</v>
      </c>
      <c r="I83" s="603">
        <f t="shared" si="17"/>
        <v>1</v>
      </c>
      <c r="J83" s="603">
        <f t="shared" si="17"/>
        <v>1</v>
      </c>
      <c r="K83" s="603">
        <f t="shared" si="17"/>
        <v>1</v>
      </c>
      <c r="L83" s="603">
        <f t="shared" si="17"/>
        <v>1</v>
      </c>
      <c r="M83" s="603">
        <f t="shared" si="17"/>
        <v>1</v>
      </c>
      <c r="N83" s="83"/>
      <c r="O83" s="287"/>
      <c r="Q83" s="48"/>
      <c r="R83" s="48"/>
      <c r="S83" s="48"/>
      <c r="T83" s="48"/>
      <c r="U83" s="48"/>
      <c r="V83" s="48"/>
      <c r="W83" s="48"/>
      <c r="X83" s="48"/>
      <c r="Y83" s="48"/>
      <c r="Z83" s="48"/>
      <c r="AA83" s="48"/>
      <c r="AB83" s="48"/>
      <c r="AC83" s="48"/>
      <c r="AD83" s="48"/>
      <c r="AE83" s="48"/>
    </row>
    <row r="84" spans="1:31" outlineLevel="1">
      <c r="A84" s="412">
        <f>ROW()</f>
        <v>84</v>
      </c>
      <c r="B84" s="129" t="s">
        <v>1386</v>
      </c>
      <c r="C84" s="130">
        <v>2027</v>
      </c>
      <c r="D84" s="160">
        <v>96947</v>
      </c>
      <c r="E84" s="1128"/>
      <c r="F84" s="1128"/>
      <c r="G84" s="602">
        <f t="shared" si="17"/>
        <v>0</v>
      </c>
      <c r="H84" s="602">
        <f t="shared" si="17"/>
        <v>1</v>
      </c>
      <c r="I84" s="602">
        <f t="shared" si="17"/>
        <v>1</v>
      </c>
      <c r="J84" s="602">
        <f t="shared" si="17"/>
        <v>1</v>
      </c>
      <c r="K84" s="602">
        <f t="shared" si="17"/>
        <v>1</v>
      </c>
      <c r="L84" s="602">
        <f t="shared" si="17"/>
        <v>1</v>
      </c>
      <c r="M84" s="602">
        <f t="shared" si="17"/>
        <v>1</v>
      </c>
      <c r="N84" s="83"/>
      <c r="O84" s="287"/>
      <c r="Q84" s="48"/>
      <c r="R84" s="48"/>
      <c r="S84" s="48"/>
      <c r="T84" s="48"/>
      <c r="U84" s="48"/>
      <c r="V84" s="48"/>
      <c r="W84" s="48"/>
      <c r="X84" s="48"/>
      <c r="Y84" s="48"/>
      <c r="Z84" s="48"/>
      <c r="AA84" s="48"/>
      <c r="AB84" s="48"/>
      <c r="AC84" s="48"/>
      <c r="AD84" s="48"/>
      <c r="AE84" s="48"/>
    </row>
    <row r="85" spans="1:31" outlineLevel="1">
      <c r="A85" s="412">
        <f>ROW()</f>
        <v>85</v>
      </c>
      <c r="B85" s="129" t="s">
        <v>1423</v>
      </c>
      <c r="C85" s="130">
        <v>2029</v>
      </c>
      <c r="D85" s="160">
        <v>59511</v>
      </c>
      <c r="E85" s="1128"/>
      <c r="F85" s="1128"/>
      <c r="G85" s="602">
        <f t="shared" si="17"/>
        <v>0</v>
      </c>
      <c r="H85" s="602">
        <f>IF($C85&lt;=H$10,1,0)</f>
        <v>0</v>
      </c>
      <c r="I85" s="602">
        <f t="shared" si="17"/>
        <v>0</v>
      </c>
      <c r="J85" s="602">
        <f t="shared" si="17"/>
        <v>1</v>
      </c>
      <c r="K85" s="602">
        <f t="shared" si="17"/>
        <v>1</v>
      </c>
      <c r="L85" s="602">
        <f t="shared" si="17"/>
        <v>1</v>
      </c>
      <c r="M85" s="602">
        <f t="shared" si="17"/>
        <v>1</v>
      </c>
      <c r="O85" s="287"/>
      <c r="Q85" s="48"/>
      <c r="R85" s="48"/>
      <c r="S85" s="48"/>
      <c r="T85" s="48"/>
      <c r="U85" s="48"/>
      <c r="V85" s="48"/>
      <c r="W85" s="48"/>
      <c r="X85" s="48"/>
      <c r="Y85" s="48"/>
      <c r="Z85" s="48"/>
      <c r="AA85" s="48"/>
      <c r="AB85" s="48"/>
      <c r="AC85" s="48"/>
      <c r="AD85" s="48"/>
      <c r="AE85" s="48"/>
    </row>
    <row r="86" spans="1:31" outlineLevel="1">
      <c r="A86" s="412">
        <f>ROW()</f>
        <v>86</v>
      </c>
      <c r="B86" s="129"/>
      <c r="C86" s="130" t="s">
        <v>483</v>
      </c>
      <c r="D86" s="160">
        <v>0</v>
      </c>
      <c r="E86" s="1128"/>
      <c r="F86" s="1128"/>
      <c r="G86" s="602">
        <f t="shared" si="17"/>
        <v>0</v>
      </c>
      <c r="H86" s="602">
        <f t="shared" si="17"/>
        <v>0</v>
      </c>
      <c r="I86" s="602">
        <f t="shared" si="17"/>
        <v>0</v>
      </c>
      <c r="J86" s="602">
        <f t="shared" si="17"/>
        <v>0</v>
      </c>
      <c r="K86" s="602">
        <f t="shared" si="17"/>
        <v>0</v>
      </c>
      <c r="L86" s="602">
        <f t="shared" si="17"/>
        <v>0</v>
      </c>
      <c r="M86" s="602">
        <f t="shared" si="17"/>
        <v>0</v>
      </c>
      <c r="O86" s="287"/>
      <c r="Q86" s="48"/>
      <c r="R86" s="48"/>
      <c r="S86" s="48"/>
      <c r="T86" s="48"/>
      <c r="U86" s="48"/>
      <c r="V86" s="48"/>
      <c r="W86" s="48"/>
      <c r="X86" s="48"/>
      <c r="Y86" s="48"/>
      <c r="Z86" s="48"/>
      <c r="AA86" s="48"/>
      <c r="AB86" s="48"/>
      <c r="AC86" s="48"/>
      <c r="AD86" s="48"/>
      <c r="AE86" s="48"/>
    </row>
    <row r="87" spans="1:31" outlineLevel="1">
      <c r="A87" s="412">
        <f>ROW()</f>
        <v>87</v>
      </c>
      <c r="B87" s="129"/>
      <c r="C87" s="130" t="s">
        <v>483</v>
      </c>
      <c r="D87" s="160">
        <v>0</v>
      </c>
      <c r="E87" s="1128"/>
      <c r="F87" s="1128"/>
      <c r="G87" s="602">
        <f t="shared" si="17"/>
        <v>0</v>
      </c>
      <c r="H87" s="602">
        <f t="shared" si="17"/>
        <v>0</v>
      </c>
      <c r="I87" s="602">
        <f t="shared" si="17"/>
        <v>0</v>
      </c>
      <c r="J87" s="602">
        <f t="shared" si="17"/>
        <v>0</v>
      </c>
      <c r="K87" s="602">
        <f t="shared" si="17"/>
        <v>0</v>
      </c>
      <c r="L87" s="602">
        <f t="shared" si="17"/>
        <v>0</v>
      </c>
      <c r="M87" s="602">
        <f t="shared" si="17"/>
        <v>0</v>
      </c>
      <c r="O87" s="287"/>
      <c r="Q87" s="48"/>
      <c r="R87" s="48"/>
      <c r="S87" s="48"/>
      <c r="T87" s="48"/>
      <c r="U87" s="48"/>
      <c r="V87" s="48"/>
      <c r="W87" s="48"/>
      <c r="X87" s="48"/>
      <c r="Y87" s="48"/>
      <c r="Z87" s="48"/>
      <c r="AA87" s="48"/>
      <c r="AB87" s="48"/>
      <c r="AC87" s="48"/>
      <c r="AD87" s="48"/>
      <c r="AE87" s="48"/>
    </row>
    <row r="88" spans="1:31" outlineLevel="1">
      <c r="A88" s="412">
        <f>ROW()</f>
        <v>88</v>
      </c>
      <c r="B88" s="257"/>
      <c r="C88" s="1131"/>
      <c r="D88" s="1132"/>
      <c r="E88" s="1132"/>
      <c r="F88" s="1132"/>
      <c r="G88" s="119"/>
      <c r="H88" s="119"/>
      <c r="I88" s="119"/>
      <c r="J88" s="119"/>
      <c r="K88" s="119"/>
      <c r="L88" s="119"/>
      <c r="M88" s="119"/>
      <c r="O88" s="287"/>
      <c r="Q88" s="48"/>
      <c r="R88" s="48"/>
      <c r="S88" s="48"/>
      <c r="T88" s="48"/>
      <c r="U88" s="48"/>
      <c r="V88" s="48"/>
      <c r="W88" s="48"/>
      <c r="X88" s="48"/>
      <c r="Y88" s="48"/>
      <c r="Z88" s="48"/>
      <c r="AA88" s="48"/>
      <c r="AB88" s="48"/>
      <c r="AC88" s="48"/>
      <c r="AD88" s="48"/>
      <c r="AE88" s="48"/>
    </row>
    <row r="89" spans="1:31" outlineLevel="1">
      <c r="A89" s="412">
        <f>ROW()</f>
        <v>89</v>
      </c>
      <c r="B89" s="1133" t="s">
        <v>484</v>
      </c>
      <c r="C89" s="1134"/>
      <c r="D89" s="1135"/>
      <c r="E89" s="1135"/>
      <c r="F89" s="1135"/>
      <c r="G89" s="1145">
        <f t="shared" ref="G89:M89" si="18">SUM(G83:G87)</f>
        <v>0</v>
      </c>
      <c r="H89" s="1145">
        <f t="shared" si="18"/>
        <v>2</v>
      </c>
      <c r="I89" s="1145">
        <f t="shared" si="18"/>
        <v>2</v>
      </c>
      <c r="J89" s="1145">
        <f t="shared" si="18"/>
        <v>3</v>
      </c>
      <c r="K89" s="1145">
        <f t="shared" si="18"/>
        <v>3</v>
      </c>
      <c r="L89" s="1145">
        <f t="shared" si="18"/>
        <v>3</v>
      </c>
      <c r="M89" s="1145">
        <f t="shared" si="18"/>
        <v>3</v>
      </c>
      <c r="O89" s="287"/>
      <c r="Q89" s="48"/>
      <c r="R89" s="48"/>
      <c r="S89" s="48"/>
      <c r="T89" s="48"/>
      <c r="U89" s="48"/>
      <c r="V89" s="48"/>
      <c r="W89" s="48"/>
      <c r="X89" s="48"/>
      <c r="Y89" s="48"/>
      <c r="Z89" s="48"/>
      <c r="AA89" s="48"/>
      <c r="AB89" s="48"/>
      <c r="AC89" s="48"/>
      <c r="AD89" s="48"/>
      <c r="AE89" s="48"/>
    </row>
    <row r="90" spans="1:31" outlineLevel="1">
      <c r="A90" s="412">
        <f>ROW()</f>
        <v>90</v>
      </c>
      <c r="B90" s="257"/>
      <c r="C90" s="257"/>
      <c r="D90" s="1132"/>
      <c r="E90" s="1132"/>
      <c r="F90" s="1132"/>
      <c r="G90" s="1647"/>
      <c r="H90" s="1647"/>
      <c r="I90" s="119"/>
      <c r="J90" s="119"/>
      <c r="K90" s="119"/>
      <c r="L90" s="119"/>
      <c r="M90" s="119"/>
      <c r="N90" s="51"/>
      <c r="O90" s="287"/>
      <c r="Q90" s="48"/>
      <c r="R90" s="48"/>
      <c r="S90" s="48"/>
      <c r="T90" s="48"/>
      <c r="U90" s="48"/>
      <c r="V90" s="48"/>
      <c r="W90" s="48"/>
      <c r="X90" s="48"/>
      <c r="Y90" s="48"/>
      <c r="Z90" s="48"/>
      <c r="AA90" s="48"/>
      <c r="AB90" s="48"/>
      <c r="AC90" s="48"/>
      <c r="AD90" s="48"/>
      <c r="AE90" s="48"/>
    </row>
    <row r="91" spans="1:31" outlineLevel="1">
      <c r="A91" s="412">
        <f>ROW()</f>
        <v>91</v>
      </c>
      <c r="B91" s="1100" t="s">
        <v>485</v>
      </c>
      <c r="C91" s="1137"/>
      <c r="D91" s="1138"/>
      <c r="E91" s="1138"/>
      <c r="F91" s="1138"/>
      <c r="G91" s="1139"/>
      <c r="H91" s="1139"/>
      <c r="I91" s="1140"/>
      <c r="J91" s="1140"/>
      <c r="K91" s="1140"/>
      <c r="L91" s="1140"/>
      <c r="M91" s="1140"/>
      <c r="N91" s="51"/>
      <c r="O91" s="287"/>
      <c r="Q91" s="48"/>
      <c r="R91" s="48"/>
      <c r="S91" s="48"/>
      <c r="T91" s="48"/>
      <c r="U91" s="48"/>
      <c r="V91" s="48"/>
      <c r="W91" s="48"/>
      <c r="X91" s="48"/>
      <c r="Y91" s="48"/>
      <c r="Z91" s="48"/>
      <c r="AA91" s="48"/>
      <c r="AB91" s="48"/>
      <c r="AC91" s="48"/>
      <c r="AD91" s="48"/>
      <c r="AE91" s="48"/>
    </row>
    <row r="92" spans="1:31" outlineLevel="1">
      <c r="A92" s="412">
        <f>ROW()</f>
        <v>92</v>
      </c>
      <c r="B92" s="155" t="s">
        <v>1387</v>
      </c>
      <c r="C92" s="156">
        <v>2027</v>
      </c>
      <c r="D92" s="157">
        <f>28*8*220</f>
        <v>49280</v>
      </c>
      <c r="E92" s="1129"/>
      <c r="F92" s="1129"/>
      <c r="G92" s="603">
        <v>0</v>
      </c>
      <c r="H92" s="603">
        <f t="shared" ref="G92:M95" si="19">IF($C92&lt;=H$10,1,0)</f>
        <v>1</v>
      </c>
      <c r="I92" s="603">
        <f t="shared" si="19"/>
        <v>1</v>
      </c>
      <c r="J92" s="603">
        <f t="shared" si="19"/>
        <v>1</v>
      </c>
      <c r="K92" s="603">
        <f t="shared" si="19"/>
        <v>1</v>
      </c>
      <c r="L92" s="603">
        <f t="shared" si="19"/>
        <v>1</v>
      </c>
      <c r="M92" s="603">
        <f t="shared" si="19"/>
        <v>1</v>
      </c>
      <c r="N92" s="51"/>
      <c r="O92" s="287"/>
      <c r="Q92" s="48"/>
      <c r="R92" s="48"/>
      <c r="S92" s="48"/>
      <c r="T92" s="48"/>
      <c r="U92" s="48"/>
      <c r="V92" s="48"/>
      <c r="W92" s="48"/>
      <c r="X92" s="48"/>
      <c r="Y92" s="48"/>
      <c r="Z92" s="48"/>
      <c r="AA92" s="48"/>
      <c r="AB92" s="48"/>
      <c r="AC92" s="48"/>
      <c r="AD92" s="48"/>
      <c r="AE92" s="48"/>
    </row>
    <row r="93" spans="1:31" outlineLevel="1">
      <c r="A93" s="412">
        <f>ROW()</f>
        <v>93</v>
      </c>
      <c r="B93" s="129" t="s">
        <v>1388</v>
      </c>
      <c r="C93" s="130">
        <v>2027</v>
      </c>
      <c r="D93" s="132">
        <f>19.57*8*220</f>
        <v>34443.199999999997</v>
      </c>
      <c r="E93" s="1128"/>
      <c r="F93" s="1128"/>
      <c r="G93" s="602">
        <f t="shared" si="19"/>
        <v>0</v>
      </c>
      <c r="H93" s="602">
        <f t="shared" si="19"/>
        <v>1</v>
      </c>
      <c r="I93" s="602">
        <f t="shared" si="19"/>
        <v>1</v>
      </c>
      <c r="J93" s="602">
        <f t="shared" si="19"/>
        <v>1</v>
      </c>
      <c r="K93" s="602">
        <f t="shared" si="19"/>
        <v>1</v>
      </c>
      <c r="L93" s="602">
        <f t="shared" si="19"/>
        <v>1</v>
      </c>
      <c r="M93" s="602">
        <f t="shared" si="19"/>
        <v>1</v>
      </c>
      <c r="N93" s="51"/>
      <c r="O93" s="287"/>
      <c r="Q93" s="48"/>
      <c r="R93" s="48"/>
      <c r="S93" s="48"/>
      <c r="T93" s="48"/>
      <c r="U93" s="48"/>
      <c r="V93" s="48"/>
      <c r="W93" s="48"/>
      <c r="X93" s="48"/>
      <c r="Y93" s="48"/>
      <c r="Z93" s="48"/>
      <c r="AA93" s="48"/>
      <c r="AB93" s="48"/>
      <c r="AC93" s="48"/>
      <c r="AD93" s="48"/>
      <c r="AE93" s="48"/>
    </row>
    <row r="94" spans="1:31" outlineLevel="1">
      <c r="A94" s="412">
        <f>ROW()</f>
        <v>94</v>
      </c>
      <c r="B94" s="129" t="s">
        <v>1420</v>
      </c>
      <c r="C94" s="130">
        <v>2028</v>
      </c>
      <c r="D94" s="132">
        <f>21.64*8*220</f>
        <v>38086.400000000001</v>
      </c>
      <c r="E94" s="1128"/>
      <c r="F94" s="1128"/>
      <c r="G94" s="602">
        <f t="shared" si="19"/>
        <v>0</v>
      </c>
      <c r="H94" s="602">
        <f t="shared" si="19"/>
        <v>0</v>
      </c>
      <c r="I94" s="602">
        <f t="shared" si="19"/>
        <v>1</v>
      </c>
      <c r="J94" s="602">
        <f t="shared" si="19"/>
        <v>1</v>
      </c>
      <c r="K94" s="602">
        <f t="shared" si="19"/>
        <v>1</v>
      </c>
      <c r="L94" s="602">
        <f t="shared" si="19"/>
        <v>1</v>
      </c>
      <c r="M94" s="602">
        <f t="shared" si="19"/>
        <v>1</v>
      </c>
      <c r="N94" s="51"/>
      <c r="O94" s="287"/>
      <c r="Q94" s="48"/>
      <c r="R94" s="48"/>
      <c r="S94" s="48"/>
      <c r="T94" s="48"/>
      <c r="U94" s="48"/>
      <c r="V94" s="48"/>
      <c r="W94" s="48"/>
      <c r="X94" s="48"/>
      <c r="Y94" s="48"/>
      <c r="Z94" s="48"/>
      <c r="AA94" s="48"/>
      <c r="AB94" s="48"/>
      <c r="AC94" s="48"/>
      <c r="AD94" s="48"/>
      <c r="AE94" s="48"/>
    </row>
    <row r="95" spans="1:31" outlineLevel="1">
      <c r="A95" s="412">
        <f>ROW()</f>
        <v>95</v>
      </c>
      <c r="B95" s="129" t="s">
        <v>1421</v>
      </c>
      <c r="C95" s="130">
        <v>2028</v>
      </c>
      <c r="D95" s="132">
        <f>21.64*8*220</f>
        <v>38086.400000000001</v>
      </c>
      <c r="E95" s="1128"/>
      <c r="F95" s="1128"/>
      <c r="G95" s="602">
        <f t="shared" si="19"/>
        <v>0</v>
      </c>
      <c r="H95" s="602">
        <f t="shared" si="19"/>
        <v>0</v>
      </c>
      <c r="I95" s="602">
        <f t="shared" si="19"/>
        <v>1</v>
      </c>
      <c r="J95" s="602">
        <f t="shared" si="19"/>
        <v>1</v>
      </c>
      <c r="K95" s="602">
        <f t="shared" si="19"/>
        <v>1</v>
      </c>
      <c r="L95" s="602">
        <f t="shared" si="19"/>
        <v>1</v>
      </c>
      <c r="M95" s="602">
        <f t="shared" si="19"/>
        <v>1</v>
      </c>
      <c r="N95" s="51"/>
      <c r="O95" s="287"/>
      <c r="Q95" s="48"/>
      <c r="R95" s="48"/>
      <c r="S95" s="48"/>
      <c r="T95" s="48"/>
      <c r="U95" s="48"/>
      <c r="V95" s="48"/>
      <c r="W95" s="48"/>
      <c r="X95" s="48"/>
      <c r="Y95" s="48"/>
      <c r="Z95" s="48"/>
      <c r="AA95" s="48"/>
      <c r="AB95" s="48"/>
      <c r="AC95" s="48"/>
      <c r="AD95" s="48"/>
      <c r="AE95" s="48"/>
    </row>
    <row r="96" spans="1:31" outlineLevel="1">
      <c r="A96" s="412">
        <f>ROW()</f>
        <v>96</v>
      </c>
      <c r="B96" s="257"/>
      <c r="C96" s="257"/>
      <c r="D96" s="1141"/>
      <c r="E96" s="1141"/>
      <c r="F96" s="1141"/>
      <c r="G96" s="119"/>
      <c r="H96" s="119"/>
      <c r="I96" s="119"/>
      <c r="J96" s="119"/>
      <c r="K96" s="119"/>
      <c r="L96" s="119"/>
      <c r="M96" s="119"/>
      <c r="N96" s="51"/>
      <c r="O96" s="287"/>
      <c r="Q96" s="48"/>
      <c r="R96" s="48"/>
      <c r="S96" s="48"/>
      <c r="T96" s="48"/>
      <c r="U96" s="48"/>
      <c r="V96" s="48"/>
      <c r="W96" s="48"/>
      <c r="X96" s="48"/>
      <c r="Y96" s="48"/>
      <c r="Z96" s="48"/>
      <c r="AA96" s="48"/>
      <c r="AB96" s="48"/>
      <c r="AC96" s="48"/>
      <c r="AD96" s="48"/>
      <c r="AE96" s="48"/>
    </row>
    <row r="97" spans="1:31" outlineLevel="1">
      <c r="A97" s="412">
        <f>ROW()</f>
        <v>97</v>
      </c>
      <c r="B97" s="1133" t="s">
        <v>486</v>
      </c>
      <c r="C97" s="1134"/>
      <c r="D97" s="1142"/>
      <c r="E97" s="1142"/>
      <c r="F97" s="1142"/>
      <c r="G97" s="1145">
        <f t="shared" ref="G97:M97" si="20">SUM(G92:G95)+G89</f>
        <v>0</v>
      </c>
      <c r="H97" s="1145">
        <f t="shared" si="20"/>
        <v>4</v>
      </c>
      <c r="I97" s="1145">
        <f t="shared" si="20"/>
        <v>6</v>
      </c>
      <c r="J97" s="1145">
        <f t="shared" si="20"/>
        <v>7</v>
      </c>
      <c r="K97" s="1145">
        <f t="shared" si="20"/>
        <v>7</v>
      </c>
      <c r="L97" s="1145">
        <f t="shared" si="20"/>
        <v>7</v>
      </c>
      <c r="M97" s="1145">
        <f t="shared" si="20"/>
        <v>7</v>
      </c>
      <c r="N97" s="51"/>
      <c r="O97" s="287"/>
      <c r="Q97" s="48"/>
      <c r="R97" s="48"/>
      <c r="S97" s="48"/>
      <c r="T97" s="48"/>
      <c r="U97" s="48"/>
      <c r="V97" s="48"/>
      <c r="W97" s="48"/>
      <c r="X97" s="48"/>
      <c r="Y97" s="48"/>
      <c r="Z97" s="48"/>
      <c r="AA97" s="48"/>
      <c r="AB97" s="48"/>
      <c r="AC97" s="48"/>
      <c r="AD97" s="48"/>
      <c r="AE97" s="48"/>
    </row>
    <row r="98" spans="1:31" outlineLevel="1">
      <c r="A98" s="412">
        <f>ROW()</f>
        <v>98</v>
      </c>
      <c r="B98" s="257"/>
      <c r="C98" s="257"/>
      <c r="D98" s="1141"/>
      <c r="E98" s="1141"/>
      <c r="F98" s="1141"/>
      <c r="G98" s="257"/>
      <c r="H98" s="257"/>
      <c r="I98" s="257"/>
      <c r="J98" s="119"/>
      <c r="K98" s="119"/>
      <c r="L98" s="119"/>
      <c r="M98" s="119"/>
      <c r="N98" s="51"/>
      <c r="O98" s="287"/>
      <c r="Q98" s="48"/>
      <c r="R98" s="48"/>
      <c r="S98" s="48"/>
      <c r="T98" s="48"/>
      <c r="U98" s="48"/>
      <c r="V98" s="48"/>
      <c r="W98" s="48"/>
      <c r="X98" s="48"/>
      <c r="Y98" s="48"/>
      <c r="Z98" s="48"/>
      <c r="AA98" s="48"/>
      <c r="AB98" s="48"/>
      <c r="AC98" s="48"/>
      <c r="AD98" s="48"/>
      <c r="AE98" s="48"/>
    </row>
    <row r="99" spans="1:31" outlineLevel="1">
      <c r="A99" s="412">
        <f>ROW()</f>
        <v>99</v>
      </c>
      <c r="B99" s="1100" t="s">
        <v>487</v>
      </c>
      <c r="C99" s="1137"/>
      <c r="D99" s="1138"/>
      <c r="E99" s="1138"/>
      <c r="F99" s="1138"/>
      <c r="G99" s="1137"/>
      <c r="H99" s="1137"/>
      <c r="I99" s="1137"/>
      <c r="J99" s="1140"/>
      <c r="K99" s="1140"/>
      <c r="L99" s="1140"/>
      <c r="M99" s="1140"/>
      <c r="N99" s="51"/>
      <c r="O99" s="287"/>
      <c r="Q99" s="48"/>
      <c r="R99" s="48"/>
      <c r="S99" s="48"/>
      <c r="T99" s="48"/>
      <c r="U99" s="48"/>
      <c r="V99" s="48"/>
      <c r="W99" s="48"/>
      <c r="X99" s="48"/>
      <c r="Y99" s="48"/>
      <c r="Z99" s="48"/>
      <c r="AA99" s="48"/>
      <c r="AB99" s="48"/>
      <c r="AC99" s="48"/>
      <c r="AD99" s="48"/>
      <c r="AE99" s="48"/>
    </row>
    <row r="100" spans="1:31" outlineLevel="1">
      <c r="A100" s="412">
        <f>ROW()</f>
        <v>100</v>
      </c>
      <c r="B100" s="158" t="s">
        <v>1425</v>
      </c>
      <c r="C100" s="159">
        <v>2027</v>
      </c>
      <c r="D100" s="160">
        <f>59511+5000</f>
        <v>64511</v>
      </c>
      <c r="E100" s="1129"/>
      <c r="F100" s="1129"/>
      <c r="G100" s="603">
        <f t="shared" ref="G100:M108" si="21">IF($C100&lt;=G$10,1,0)</f>
        <v>0</v>
      </c>
      <c r="H100" s="603">
        <f t="shared" si="21"/>
        <v>1</v>
      </c>
      <c r="I100" s="603">
        <f t="shared" si="21"/>
        <v>1</v>
      </c>
      <c r="J100" s="603">
        <f t="shared" si="21"/>
        <v>1</v>
      </c>
      <c r="K100" s="603">
        <f t="shared" si="21"/>
        <v>1</v>
      </c>
      <c r="L100" s="603">
        <f t="shared" si="21"/>
        <v>1</v>
      </c>
      <c r="M100" s="603">
        <f t="shared" si="21"/>
        <v>1</v>
      </c>
      <c r="N100" s="51"/>
      <c r="O100" s="287"/>
      <c r="Q100" s="48"/>
      <c r="R100" s="48"/>
      <c r="S100" s="48"/>
      <c r="T100" s="48"/>
      <c r="U100" s="48"/>
      <c r="V100" s="48"/>
      <c r="W100" s="48"/>
      <c r="X100" s="48"/>
      <c r="Y100" s="48"/>
      <c r="Z100" s="48"/>
      <c r="AA100" s="48"/>
      <c r="AB100" s="48"/>
      <c r="AC100" s="48"/>
      <c r="AD100" s="48"/>
      <c r="AE100" s="48"/>
    </row>
    <row r="101" spans="1:31" outlineLevel="1">
      <c r="A101" s="412">
        <f>ROW()</f>
        <v>101</v>
      </c>
      <c r="B101" s="124" t="s">
        <v>1419</v>
      </c>
      <c r="C101" s="125">
        <v>2027</v>
      </c>
      <c r="D101" s="133">
        <v>59511</v>
      </c>
      <c r="E101" s="1128"/>
      <c r="F101" s="1128"/>
      <c r="G101" s="602">
        <f t="shared" si="21"/>
        <v>0</v>
      </c>
      <c r="H101" s="602">
        <v>1</v>
      </c>
      <c r="I101" s="602">
        <f t="shared" si="21"/>
        <v>1</v>
      </c>
      <c r="J101" s="602">
        <f t="shared" si="21"/>
        <v>1</v>
      </c>
      <c r="K101" s="602">
        <f t="shared" si="21"/>
        <v>1</v>
      </c>
      <c r="L101" s="602">
        <f t="shared" si="21"/>
        <v>1</v>
      </c>
      <c r="M101" s="602">
        <f t="shared" si="21"/>
        <v>1</v>
      </c>
      <c r="N101" s="51"/>
      <c r="O101" s="287" t="s">
        <v>1440</v>
      </c>
      <c r="Q101" s="48"/>
      <c r="R101" s="48"/>
      <c r="S101" s="48"/>
      <c r="T101" s="48"/>
      <c r="U101" s="48"/>
      <c r="V101" s="48"/>
      <c r="W101" s="48"/>
      <c r="X101" s="48"/>
      <c r="Y101" s="48"/>
      <c r="Z101" s="48"/>
      <c r="AA101" s="48"/>
      <c r="AB101" s="48"/>
      <c r="AC101" s="48"/>
      <c r="AD101" s="48"/>
      <c r="AE101" s="48"/>
    </row>
    <row r="102" spans="1:31" outlineLevel="1">
      <c r="A102" s="412">
        <f>ROW()</f>
        <v>102</v>
      </c>
      <c r="B102" s="124" t="s">
        <v>1419</v>
      </c>
      <c r="C102" s="125">
        <v>2029</v>
      </c>
      <c r="D102" s="133">
        <v>59511</v>
      </c>
      <c r="E102" s="1128"/>
      <c r="F102" s="1128"/>
      <c r="G102" s="602">
        <f t="shared" si="21"/>
        <v>0</v>
      </c>
      <c r="H102" s="602">
        <f t="shared" si="21"/>
        <v>0</v>
      </c>
      <c r="I102" s="602">
        <f t="shared" si="21"/>
        <v>0</v>
      </c>
      <c r="J102" s="602">
        <f t="shared" si="21"/>
        <v>1</v>
      </c>
      <c r="K102" s="602">
        <f t="shared" si="21"/>
        <v>1</v>
      </c>
      <c r="L102" s="602">
        <f t="shared" si="21"/>
        <v>1</v>
      </c>
      <c r="M102" s="602">
        <f t="shared" si="21"/>
        <v>1</v>
      </c>
      <c r="N102" s="51"/>
      <c r="O102" s="287"/>
      <c r="Q102" s="48"/>
      <c r="R102" s="48"/>
      <c r="S102" s="48"/>
      <c r="T102" s="48"/>
      <c r="U102" s="48"/>
      <c r="V102" s="48"/>
      <c r="W102" s="48"/>
      <c r="X102" s="48"/>
      <c r="Y102" s="48"/>
      <c r="Z102" s="48"/>
      <c r="AA102" s="48"/>
      <c r="AB102" s="48"/>
      <c r="AC102" s="48"/>
      <c r="AD102" s="48"/>
      <c r="AE102" s="48"/>
    </row>
    <row r="103" spans="1:31" outlineLevel="1">
      <c r="A103" s="412">
        <f>ROW()</f>
        <v>103</v>
      </c>
      <c r="B103" s="124"/>
      <c r="C103" s="125" t="s">
        <v>483</v>
      </c>
      <c r="D103" s="133">
        <v>0</v>
      </c>
      <c r="E103" s="1128"/>
      <c r="F103" s="1128"/>
      <c r="G103" s="602">
        <f t="shared" si="21"/>
        <v>0</v>
      </c>
      <c r="H103" s="602">
        <f t="shared" si="21"/>
        <v>0</v>
      </c>
      <c r="I103" s="602">
        <f t="shared" si="21"/>
        <v>0</v>
      </c>
      <c r="J103" s="602">
        <f t="shared" si="21"/>
        <v>0</v>
      </c>
      <c r="K103" s="602">
        <f t="shared" si="21"/>
        <v>0</v>
      </c>
      <c r="L103" s="602">
        <f t="shared" si="21"/>
        <v>0</v>
      </c>
      <c r="M103" s="602">
        <f t="shared" si="21"/>
        <v>0</v>
      </c>
      <c r="N103" s="51"/>
      <c r="O103" s="287"/>
      <c r="Q103" s="48"/>
      <c r="R103" s="48"/>
      <c r="S103" s="48"/>
      <c r="T103" s="48"/>
      <c r="U103" s="48"/>
      <c r="V103" s="48"/>
      <c r="W103" s="48"/>
      <c r="X103" s="48"/>
      <c r="Y103" s="48"/>
      <c r="Z103" s="48"/>
      <c r="AA103" s="48"/>
      <c r="AB103" s="48"/>
      <c r="AC103" s="48"/>
      <c r="AD103" s="48"/>
      <c r="AE103" s="48"/>
    </row>
    <row r="104" spans="1:31" outlineLevel="1">
      <c r="A104" s="412">
        <f>ROW()</f>
        <v>104</v>
      </c>
      <c r="B104" s="124"/>
      <c r="C104" s="125" t="s">
        <v>483</v>
      </c>
      <c r="D104" s="133">
        <v>0</v>
      </c>
      <c r="E104" s="1128"/>
      <c r="F104" s="1128"/>
      <c r="G104" s="602">
        <f t="shared" si="21"/>
        <v>0</v>
      </c>
      <c r="H104" s="602">
        <f t="shared" si="21"/>
        <v>0</v>
      </c>
      <c r="I104" s="602">
        <f t="shared" si="21"/>
        <v>0</v>
      </c>
      <c r="J104" s="602">
        <f t="shared" si="21"/>
        <v>0</v>
      </c>
      <c r="K104" s="602">
        <f t="shared" si="21"/>
        <v>0</v>
      </c>
      <c r="L104" s="602">
        <f t="shared" si="21"/>
        <v>0</v>
      </c>
      <c r="M104" s="602">
        <f t="shared" si="21"/>
        <v>0</v>
      </c>
      <c r="N104" s="51"/>
      <c r="O104" s="287"/>
      <c r="Q104" s="48"/>
      <c r="R104" s="48"/>
      <c r="S104" s="48"/>
      <c r="T104" s="48"/>
      <c r="U104" s="48"/>
      <c r="V104" s="48"/>
      <c r="W104" s="48"/>
      <c r="X104" s="48"/>
      <c r="Y104" s="48"/>
      <c r="Z104" s="48"/>
      <c r="AA104" s="48"/>
      <c r="AB104" s="48"/>
      <c r="AC104" s="48"/>
      <c r="AD104" s="48"/>
      <c r="AE104" s="48"/>
    </row>
    <row r="105" spans="1:31" outlineLevel="1">
      <c r="A105" s="412">
        <f>ROW()</f>
        <v>105</v>
      </c>
      <c r="B105" s="124" t="s">
        <v>1135</v>
      </c>
      <c r="C105" s="125" t="s">
        <v>483</v>
      </c>
      <c r="D105" s="133">
        <v>0</v>
      </c>
      <c r="E105" s="1128"/>
      <c r="F105" s="1128"/>
      <c r="G105" s="602">
        <f t="shared" si="21"/>
        <v>0</v>
      </c>
      <c r="H105" s="602">
        <f t="shared" si="21"/>
        <v>0</v>
      </c>
      <c r="I105" s="602">
        <f t="shared" si="21"/>
        <v>0</v>
      </c>
      <c r="J105" s="602">
        <f t="shared" si="21"/>
        <v>0</v>
      </c>
      <c r="K105" s="602">
        <f t="shared" si="21"/>
        <v>0</v>
      </c>
      <c r="L105" s="602">
        <f t="shared" si="21"/>
        <v>0</v>
      </c>
      <c r="M105" s="602">
        <f t="shared" si="21"/>
        <v>0</v>
      </c>
      <c r="N105" s="51"/>
      <c r="O105" s="287"/>
      <c r="Q105" s="48"/>
      <c r="R105" s="48"/>
      <c r="S105" s="48"/>
      <c r="T105" s="48"/>
      <c r="U105" s="48"/>
      <c r="V105" s="48"/>
      <c r="W105" s="48"/>
      <c r="X105" s="48"/>
      <c r="Y105" s="48"/>
      <c r="Z105" s="48"/>
      <c r="AA105" s="48"/>
      <c r="AB105" s="48"/>
      <c r="AC105" s="48"/>
      <c r="AD105" s="48"/>
      <c r="AE105" s="48"/>
    </row>
    <row r="106" spans="1:31" outlineLevel="1">
      <c r="A106" s="412">
        <f>ROW()</f>
        <v>106</v>
      </c>
      <c r="B106" s="124"/>
      <c r="C106" s="125" t="s">
        <v>483</v>
      </c>
      <c r="D106" s="133">
        <v>0</v>
      </c>
      <c r="E106" s="1128"/>
      <c r="F106" s="1128"/>
      <c r="G106" s="602">
        <f t="shared" si="21"/>
        <v>0</v>
      </c>
      <c r="H106" s="602">
        <f t="shared" si="21"/>
        <v>0</v>
      </c>
      <c r="I106" s="602">
        <f t="shared" si="21"/>
        <v>0</v>
      </c>
      <c r="J106" s="602">
        <f t="shared" si="21"/>
        <v>0</v>
      </c>
      <c r="K106" s="602">
        <f t="shared" si="21"/>
        <v>0</v>
      </c>
      <c r="L106" s="602">
        <f t="shared" si="21"/>
        <v>0</v>
      </c>
      <c r="M106" s="602">
        <f t="shared" si="21"/>
        <v>0</v>
      </c>
      <c r="N106" s="51"/>
      <c r="O106" s="287"/>
      <c r="Q106" s="48"/>
      <c r="R106" s="48"/>
      <c r="S106" s="48"/>
      <c r="T106" s="48"/>
      <c r="U106" s="48"/>
      <c r="V106" s="48"/>
      <c r="W106" s="48"/>
      <c r="X106" s="48"/>
      <c r="Y106" s="48"/>
      <c r="Z106" s="48"/>
      <c r="AA106" s="48"/>
      <c r="AB106" s="48"/>
      <c r="AC106" s="48"/>
      <c r="AD106" s="48"/>
      <c r="AE106" s="48"/>
    </row>
    <row r="107" spans="1:31" outlineLevel="1">
      <c r="A107" s="412">
        <f>ROW()</f>
        <v>107</v>
      </c>
      <c r="B107" s="124"/>
      <c r="C107" s="125" t="s">
        <v>483</v>
      </c>
      <c r="D107" s="133">
        <v>0</v>
      </c>
      <c r="E107" s="1128"/>
      <c r="F107" s="1128"/>
      <c r="G107" s="602">
        <f t="shared" si="21"/>
        <v>0</v>
      </c>
      <c r="H107" s="602">
        <f t="shared" si="21"/>
        <v>0</v>
      </c>
      <c r="I107" s="602">
        <f t="shared" si="21"/>
        <v>0</v>
      </c>
      <c r="J107" s="602">
        <f t="shared" si="21"/>
        <v>0</v>
      </c>
      <c r="K107" s="602">
        <f t="shared" si="21"/>
        <v>0</v>
      </c>
      <c r="L107" s="602">
        <f t="shared" si="21"/>
        <v>0</v>
      </c>
      <c r="M107" s="602">
        <f t="shared" si="21"/>
        <v>0</v>
      </c>
      <c r="N107" s="51"/>
      <c r="O107" s="287"/>
      <c r="Q107" s="48"/>
      <c r="R107" s="48"/>
      <c r="S107" s="48"/>
      <c r="T107" s="48"/>
      <c r="U107" s="48"/>
      <c r="V107" s="48"/>
      <c r="W107" s="48"/>
      <c r="X107" s="48"/>
      <c r="Y107" s="48"/>
      <c r="Z107" s="48"/>
      <c r="AA107" s="48"/>
      <c r="AB107" s="48"/>
      <c r="AC107" s="48"/>
      <c r="AD107" s="48"/>
      <c r="AE107" s="48"/>
    </row>
    <row r="108" spans="1:31" outlineLevel="1">
      <c r="A108" s="412">
        <f>ROW()</f>
        <v>108</v>
      </c>
      <c r="B108" s="124"/>
      <c r="C108" s="125" t="s">
        <v>483</v>
      </c>
      <c r="D108" s="133">
        <v>0</v>
      </c>
      <c r="E108" s="1128"/>
      <c r="F108" s="1128"/>
      <c r="G108" s="604">
        <f t="shared" si="21"/>
        <v>0</v>
      </c>
      <c r="H108" s="604">
        <f t="shared" si="21"/>
        <v>0</v>
      </c>
      <c r="I108" s="604">
        <f t="shared" si="21"/>
        <v>0</v>
      </c>
      <c r="J108" s="604">
        <f t="shared" si="21"/>
        <v>0</v>
      </c>
      <c r="K108" s="604">
        <f t="shared" si="21"/>
        <v>0</v>
      </c>
      <c r="L108" s="604">
        <f t="shared" si="21"/>
        <v>0</v>
      </c>
      <c r="M108" s="604">
        <f t="shared" si="21"/>
        <v>0</v>
      </c>
      <c r="N108" s="51"/>
      <c r="O108" s="287"/>
      <c r="Q108" s="48"/>
      <c r="R108" s="48"/>
      <c r="S108" s="48"/>
      <c r="T108" s="48"/>
      <c r="U108" s="48"/>
      <c r="V108" s="48"/>
      <c r="W108" s="48"/>
      <c r="X108" s="48"/>
      <c r="Y108" s="48"/>
      <c r="Z108" s="48"/>
      <c r="AA108" s="48"/>
      <c r="AB108" s="48"/>
      <c r="AC108" s="48"/>
      <c r="AD108" s="48"/>
      <c r="AE108" s="48"/>
    </row>
    <row r="109" spans="1:31" outlineLevel="1">
      <c r="A109" s="412">
        <f>ROW()</f>
        <v>109</v>
      </c>
      <c r="B109" s="1133" t="s">
        <v>1366</v>
      </c>
      <c r="C109" s="1133"/>
      <c r="D109" s="1133"/>
      <c r="E109" s="1133"/>
      <c r="F109" s="1133"/>
      <c r="G109" s="1143">
        <f t="shared" ref="G109:M109" si="22">SUM(G100:G108)</f>
        <v>0</v>
      </c>
      <c r="H109" s="1144">
        <f t="shared" si="22"/>
        <v>2</v>
      </c>
      <c r="I109" s="1145">
        <f t="shared" si="22"/>
        <v>2</v>
      </c>
      <c r="J109" s="1145">
        <f t="shared" si="22"/>
        <v>3</v>
      </c>
      <c r="K109" s="1145">
        <f t="shared" si="22"/>
        <v>3</v>
      </c>
      <c r="L109" s="1145">
        <f t="shared" si="22"/>
        <v>3</v>
      </c>
      <c r="M109" s="1145">
        <f t="shared" si="22"/>
        <v>3</v>
      </c>
      <c r="N109" s="51"/>
      <c r="O109" s="287"/>
      <c r="Q109" s="48"/>
      <c r="R109" s="48"/>
      <c r="S109" s="48"/>
      <c r="T109" s="48"/>
      <c r="U109" s="48"/>
      <c r="V109" s="48"/>
      <c r="W109" s="48"/>
      <c r="X109" s="48"/>
      <c r="Y109" s="48"/>
      <c r="Z109" s="48"/>
      <c r="AA109" s="48"/>
      <c r="AB109" s="48"/>
      <c r="AC109" s="48"/>
      <c r="AD109" s="48"/>
      <c r="AE109" s="48"/>
    </row>
    <row r="110" spans="1:31" outlineLevel="1">
      <c r="A110" s="412"/>
      <c r="C110" s="1033"/>
      <c r="E110" s="257" t="s">
        <v>488</v>
      </c>
      <c r="F110" s="1033"/>
      <c r="G110" s="1272">
        <f>+' Enrol &amp; Rev'!F51</f>
        <v>0</v>
      </c>
      <c r="H110" s="1272">
        <f>+' Enrol &amp; Rev'!G51</f>
        <v>34.65</v>
      </c>
      <c r="I110" s="1272">
        <f>+' Enrol &amp; Rev'!H51</f>
        <v>44.1</v>
      </c>
      <c r="J110" s="1272">
        <f>+' Enrol &amp; Rev'!I51</f>
        <v>50.4</v>
      </c>
      <c r="K110" s="1272">
        <f>+' Enrol &amp; Rev'!J51</f>
        <v>56.7</v>
      </c>
      <c r="L110" s="1272">
        <f>+' Enrol &amp; Rev'!K51</f>
        <v>56.7</v>
      </c>
      <c r="M110" s="1272">
        <f>+' Enrol &amp; Rev'!L51</f>
        <v>56.7</v>
      </c>
      <c r="N110" s="51"/>
      <c r="O110" s="287"/>
      <c r="Q110" s="48"/>
      <c r="R110" s="48"/>
      <c r="S110" s="48"/>
      <c r="T110" s="48"/>
      <c r="U110" s="48"/>
      <c r="V110" s="48"/>
      <c r="W110" s="48"/>
      <c r="X110" s="48"/>
      <c r="Y110" s="48"/>
      <c r="Z110" s="48"/>
      <c r="AA110" s="48"/>
      <c r="AB110" s="48"/>
      <c r="AC110" s="48"/>
      <c r="AD110" s="48"/>
      <c r="AE110" s="48"/>
    </row>
    <row r="111" spans="1:31" outlineLevel="1">
      <c r="A111" s="412"/>
      <c r="C111" s="1033"/>
      <c r="E111" s="257" t="s">
        <v>489</v>
      </c>
      <c r="F111" s="1033"/>
      <c r="G111" s="1033"/>
      <c r="H111" s="1272">
        <f>IFERROR(H110/H109,0)</f>
        <v>17.324999999999999</v>
      </c>
      <c r="I111" s="1272">
        <f t="shared" ref="I111:M111" si="23">IFERROR(I110/I109,0)</f>
        <v>22.05</v>
      </c>
      <c r="J111" s="1272">
        <f t="shared" si="23"/>
        <v>16.8</v>
      </c>
      <c r="K111" s="1272">
        <f t="shared" si="23"/>
        <v>18.900000000000002</v>
      </c>
      <c r="L111" s="1272">
        <f t="shared" si="23"/>
        <v>18.900000000000002</v>
      </c>
      <c r="M111" s="1272">
        <f t="shared" si="23"/>
        <v>18.900000000000002</v>
      </c>
      <c r="N111" s="51"/>
      <c r="O111" s="287"/>
      <c r="Q111" s="48"/>
      <c r="R111" s="48"/>
      <c r="S111" s="48"/>
      <c r="T111" s="48"/>
      <c r="U111" s="48"/>
      <c r="V111" s="48"/>
      <c r="W111" s="48"/>
      <c r="X111" s="48"/>
      <c r="Y111" s="48"/>
      <c r="Z111" s="48"/>
      <c r="AA111" s="48"/>
      <c r="AB111" s="48"/>
      <c r="AC111" s="48"/>
      <c r="AD111" s="48"/>
      <c r="AE111" s="48"/>
    </row>
    <row r="112" spans="1:31" outlineLevel="1">
      <c r="A112" s="412">
        <f>ROW()</f>
        <v>112</v>
      </c>
      <c r="B112" s="1033"/>
      <c r="C112" s="1033"/>
      <c r="D112" s="1033"/>
      <c r="E112" s="1033"/>
      <c r="F112" s="1033"/>
      <c r="G112" s="1647"/>
      <c r="H112" s="1647"/>
      <c r="I112" s="1653"/>
      <c r="J112" s="1653"/>
      <c r="K112" s="1653"/>
      <c r="L112" s="1653"/>
      <c r="M112" s="1653"/>
      <c r="N112" s="51"/>
      <c r="O112" s="287"/>
      <c r="Q112" s="48"/>
      <c r="R112" s="48"/>
      <c r="S112" s="48"/>
      <c r="T112" s="48"/>
      <c r="U112" s="48"/>
      <c r="V112" s="48"/>
      <c r="W112" s="48"/>
      <c r="X112" s="48"/>
      <c r="Y112" s="48"/>
      <c r="Z112" s="48"/>
      <c r="AA112" s="48"/>
      <c r="AB112" s="48"/>
      <c r="AC112" s="48"/>
      <c r="AD112" s="48"/>
      <c r="AE112" s="48"/>
    </row>
    <row r="113" spans="1:31" ht="15.6" outlineLevel="1">
      <c r="A113" s="412">
        <f>ROW()</f>
        <v>113</v>
      </c>
      <c r="B113" s="1146" t="s">
        <v>490</v>
      </c>
      <c r="C113" s="1137"/>
      <c r="D113" s="1138"/>
      <c r="E113" s="1138"/>
      <c r="F113" s="1138"/>
      <c r="G113" s="1137"/>
      <c r="H113" s="1137"/>
      <c r="I113" s="1137"/>
      <c r="J113" s="1140"/>
      <c r="K113" s="1140"/>
      <c r="L113" s="1140"/>
      <c r="M113" s="1140"/>
      <c r="N113" s="51"/>
      <c r="O113" s="287"/>
      <c r="Q113" s="48"/>
      <c r="R113" s="48"/>
      <c r="S113" s="48"/>
      <c r="T113" s="48"/>
      <c r="U113" s="48"/>
      <c r="V113" s="48"/>
      <c r="W113" s="48"/>
      <c r="X113" s="48"/>
      <c r="Y113" s="48"/>
      <c r="Z113" s="48"/>
      <c r="AA113" s="48"/>
      <c r="AB113" s="48"/>
      <c r="AC113" s="48"/>
      <c r="AD113" s="48"/>
      <c r="AE113" s="48"/>
    </row>
    <row r="114" spans="1:31" outlineLevel="1">
      <c r="A114" s="412">
        <f>ROW()</f>
        <v>114</v>
      </c>
      <c r="B114" s="158" t="s">
        <v>1434</v>
      </c>
      <c r="C114" s="159">
        <v>2027</v>
      </c>
      <c r="D114" s="160">
        <v>59511</v>
      </c>
      <c r="E114" s="1129"/>
      <c r="F114" s="1129"/>
      <c r="G114" s="603">
        <f t="shared" ref="G114:M122" si="24">IF($C114&lt;=G$10,1,0)</f>
        <v>0</v>
      </c>
      <c r="H114" s="603">
        <f t="shared" si="24"/>
        <v>1</v>
      </c>
      <c r="I114" s="603">
        <f t="shared" si="24"/>
        <v>1</v>
      </c>
      <c r="J114" s="603">
        <f t="shared" si="24"/>
        <v>1</v>
      </c>
      <c r="K114" s="603">
        <f t="shared" si="24"/>
        <v>1</v>
      </c>
      <c r="L114" s="603">
        <f t="shared" si="24"/>
        <v>1</v>
      </c>
      <c r="M114" s="603">
        <f t="shared" si="24"/>
        <v>1</v>
      </c>
      <c r="N114" s="51"/>
      <c r="O114" s="287"/>
      <c r="Q114" s="48"/>
      <c r="R114" s="48"/>
      <c r="S114" s="48"/>
      <c r="T114" s="48"/>
      <c r="U114" s="48"/>
      <c r="V114" s="48"/>
      <c r="W114" s="48"/>
      <c r="X114" s="48"/>
      <c r="Y114" s="48"/>
      <c r="Z114" s="48"/>
      <c r="AA114" s="48"/>
      <c r="AB114" s="48"/>
      <c r="AC114" s="48"/>
      <c r="AD114" s="48"/>
      <c r="AE114" s="48"/>
    </row>
    <row r="115" spans="1:31" outlineLevel="1">
      <c r="A115" s="412">
        <f>ROW()</f>
        <v>115</v>
      </c>
      <c r="B115" s="158" t="s">
        <v>1434</v>
      </c>
      <c r="C115" s="125">
        <v>2027</v>
      </c>
      <c r="D115" s="133">
        <v>59511</v>
      </c>
      <c r="E115" s="1128"/>
      <c r="F115" s="1128"/>
      <c r="G115" s="602">
        <f t="shared" si="24"/>
        <v>0</v>
      </c>
      <c r="H115" s="602">
        <f t="shared" si="24"/>
        <v>1</v>
      </c>
      <c r="I115" s="602">
        <f t="shared" si="24"/>
        <v>1</v>
      </c>
      <c r="J115" s="602">
        <f t="shared" si="24"/>
        <v>1</v>
      </c>
      <c r="K115" s="602">
        <f t="shared" si="24"/>
        <v>1</v>
      </c>
      <c r="L115" s="602">
        <f t="shared" si="24"/>
        <v>1</v>
      </c>
      <c r="M115" s="602">
        <f t="shared" si="24"/>
        <v>1</v>
      </c>
      <c r="N115" s="51"/>
      <c r="O115" s="287" t="s">
        <v>1441</v>
      </c>
      <c r="Q115" s="48"/>
      <c r="R115" s="48"/>
      <c r="S115" s="48"/>
      <c r="T115" s="48"/>
      <c r="U115" s="48"/>
      <c r="V115" s="48"/>
      <c r="W115" s="48"/>
      <c r="X115" s="48"/>
      <c r="Y115" s="48"/>
      <c r="Z115" s="48"/>
      <c r="AA115" s="48"/>
      <c r="AB115" s="48"/>
      <c r="AC115" s="48"/>
      <c r="AD115" s="48"/>
      <c r="AE115" s="48"/>
    </row>
    <row r="116" spans="1:31" outlineLevel="1">
      <c r="A116" s="412">
        <f>ROW()</f>
        <v>116</v>
      </c>
      <c r="B116" s="158"/>
      <c r="C116" s="125" t="s">
        <v>483</v>
      </c>
      <c r="D116" s="133">
        <v>0</v>
      </c>
      <c r="E116" s="1128"/>
      <c r="F116" s="1128"/>
      <c r="G116" s="602">
        <f t="shared" si="24"/>
        <v>0</v>
      </c>
      <c r="H116" s="602">
        <f t="shared" si="24"/>
        <v>0</v>
      </c>
      <c r="I116" s="602">
        <f t="shared" si="24"/>
        <v>0</v>
      </c>
      <c r="J116" s="602">
        <f t="shared" si="24"/>
        <v>0</v>
      </c>
      <c r="K116" s="602">
        <f t="shared" si="24"/>
        <v>0</v>
      </c>
      <c r="L116" s="602">
        <f t="shared" si="24"/>
        <v>0</v>
      </c>
      <c r="M116" s="602">
        <f t="shared" si="24"/>
        <v>0</v>
      </c>
      <c r="N116" s="51"/>
      <c r="O116" s="287"/>
      <c r="Q116" s="48"/>
      <c r="R116" s="48"/>
      <c r="S116" s="48"/>
      <c r="T116" s="48"/>
      <c r="U116" s="48"/>
      <c r="V116" s="48"/>
      <c r="W116" s="48"/>
      <c r="X116" s="48"/>
      <c r="Y116" s="48"/>
      <c r="Z116" s="48"/>
      <c r="AA116" s="48"/>
      <c r="AB116" s="48"/>
      <c r="AC116" s="48"/>
      <c r="AD116" s="48"/>
      <c r="AE116" s="48"/>
    </row>
    <row r="117" spans="1:31" outlineLevel="1">
      <c r="A117" s="412">
        <f>ROW()</f>
        <v>117</v>
      </c>
      <c r="B117" s="124"/>
      <c r="C117" s="125" t="s">
        <v>483</v>
      </c>
      <c r="D117" s="133">
        <v>0</v>
      </c>
      <c r="E117" s="1128"/>
      <c r="F117" s="1128"/>
      <c r="G117" s="602">
        <f t="shared" si="24"/>
        <v>0</v>
      </c>
      <c r="H117" s="602">
        <f t="shared" si="24"/>
        <v>0</v>
      </c>
      <c r="I117" s="602">
        <f t="shared" si="24"/>
        <v>0</v>
      </c>
      <c r="J117" s="602">
        <f t="shared" si="24"/>
        <v>0</v>
      </c>
      <c r="K117" s="602">
        <f t="shared" si="24"/>
        <v>0</v>
      </c>
      <c r="L117" s="602">
        <f t="shared" si="24"/>
        <v>0</v>
      </c>
      <c r="M117" s="602">
        <f t="shared" si="24"/>
        <v>0</v>
      </c>
      <c r="N117" s="51"/>
      <c r="O117" s="287"/>
      <c r="Q117" s="48"/>
      <c r="R117" s="48"/>
      <c r="S117" s="48"/>
      <c r="T117" s="48"/>
      <c r="U117" s="48"/>
      <c r="V117" s="48"/>
      <c r="W117" s="48"/>
      <c r="X117" s="48"/>
      <c r="Y117" s="48"/>
      <c r="Z117" s="48"/>
      <c r="AA117" s="48"/>
      <c r="AB117" s="48"/>
      <c r="AC117" s="48"/>
      <c r="AD117" s="48"/>
      <c r="AE117" s="48"/>
    </row>
    <row r="118" spans="1:31" outlineLevel="1">
      <c r="A118" s="412">
        <f>ROW()</f>
        <v>118</v>
      </c>
      <c r="B118" s="124"/>
      <c r="C118" s="125" t="s">
        <v>483</v>
      </c>
      <c r="D118" s="133">
        <v>0</v>
      </c>
      <c r="E118" s="1128"/>
      <c r="F118" s="1128"/>
      <c r="G118" s="602">
        <f t="shared" si="24"/>
        <v>0</v>
      </c>
      <c r="H118" s="602">
        <f t="shared" si="24"/>
        <v>0</v>
      </c>
      <c r="I118" s="602">
        <f t="shared" si="24"/>
        <v>0</v>
      </c>
      <c r="J118" s="602">
        <f t="shared" si="24"/>
        <v>0</v>
      </c>
      <c r="K118" s="602">
        <f t="shared" si="24"/>
        <v>0</v>
      </c>
      <c r="L118" s="602">
        <f t="shared" si="24"/>
        <v>0</v>
      </c>
      <c r="M118" s="602">
        <f t="shared" si="24"/>
        <v>0</v>
      </c>
      <c r="N118" s="51"/>
      <c r="O118" s="287"/>
      <c r="Q118" s="48"/>
      <c r="R118" s="48"/>
      <c r="S118" s="48"/>
      <c r="T118" s="48"/>
      <c r="U118" s="48"/>
      <c r="V118" s="48"/>
      <c r="W118" s="48"/>
      <c r="X118" s="48"/>
      <c r="Y118" s="48"/>
      <c r="Z118" s="48"/>
      <c r="AA118" s="48"/>
      <c r="AB118" s="48"/>
      <c r="AC118" s="48"/>
      <c r="AD118" s="48"/>
      <c r="AE118" s="48"/>
    </row>
    <row r="119" spans="1:31" outlineLevel="1">
      <c r="A119" s="412">
        <f>ROW()</f>
        <v>119</v>
      </c>
      <c r="B119" s="124"/>
      <c r="C119" s="125" t="s">
        <v>483</v>
      </c>
      <c r="D119" s="133">
        <v>0</v>
      </c>
      <c r="E119" s="1128"/>
      <c r="F119" s="1128"/>
      <c r="G119" s="602">
        <f t="shared" si="24"/>
        <v>0</v>
      </c>
      <c r="H119" s="602">
        <f t="shared" si="24"/>
        <v>0</v>
      </c>
      <c r="I119" s="602">
        <f t="shared" si="24"/>
        <v>0</v>
      </c>
      <c r="J119" s="602">
        <f t="shared" si="24"/>
        <v>0</v>
      </c>
      <c r="K119" s="602">
        <f t="shared" si="24"/>
        <v>0</v>
      </c>
      <c r="L119" s="602">
        <f t="shared" si="24"/>
        <v>0</v>
      </c>
      <c r="M119" s="602">
        <f t="shared" si="24"/>
        <v>0</v>
      </c>
      <c r="N119" s="51"/>
      <c r="O119" s="287"/>
      <c r="Q119" s="48"/>
      <c r="R119" s="48"/>
      <c r="S119" s="48"/>
      <c r="T119" s="48"/>
      <c r="U119" s="48"/>
      <c r="V119" s="48"/>
      <c r="W119" s="48"/>
      <c r="X119" s="48"/>
      <c r="Y119" s="48"/>
      <c r="Z119" s="48"/>
      <c r="AA119" s="48"/>
      <c r="AB119" s="48"/>
      <c r="AC119" s="48"/>
      <c r="AD119" s="48"/>
      <c r="AE119" s="48"/>
    </row>
    <row r="120" spans="1:31" outlineLevel="1">
      <c r="A120" s="412">
        <f>ROW()</f>
        <v>120</v>
      </c>
      <c r="B120" s="124"/>
      <c r="C120" s="125" t="s">
        <v>483</v>
      </c>
      <c r="D120" s="133">
        <v>0</v>
      </c>
      <c r="E120" s="1128"/>
      <c r="F120" s="1128"/>
      <c r="G120" s="602">
        <f t="shared" si="24"/>
        <v>0</v>
      </c>
      <c r="H120" s="602">
        <f t="shared" si="24"/>
        <v>0</v>
      </c>
      <c r="I120" s="602">
        <f t="shared" si="24"/>
        <v>0</v>
      </c>
      <c r="J120" s="602">
        <f t="shared" si="24"/>
        <v>0</v>
      </c>
      <c r="K120" s="602">
        <f t="shared" si="24"/>
        <v>0</v>
      </c>
      <c r="L120" s="602">
        <f t="shared" si="24"/>
        <v>0</v>
      </c>
      <c r="M120" s="602">
        <f t="shared" si="24"/>
        <v>0</v>
      </c>
      <c r="N120" s="51"/>
      <c r="O120" s="287"/>
      <c r="Q120" s="48"/>
      <c r="R120" s="48"/>
      <c r="S120" s="48"/>
      <c r="T120" s="48"/>
      <c r="U120" s="48"/>
      <c r="V120" s="48"/>
      <c r="W120" s="48"/>
      <c r="X120" s="48"/>
      <c r="Y120" s="48"/>
      <c r="Z120" s="48"/>
      <c r="AA120" s="48"/>
      <c r="AB120" s="48"/>
      <c r="AC120" s="48"/>
      <c r="AD120" s="48"/>
      <c r="AE120" s="48"/>
    </row>
    <row r="121" spans="1:31" outlineLevel="1">
      <c r="A121" s="412">
        <f>ROW()</f>
        <v>121</v>
      </c>
      <c r="B121" s="124"/>
      <c r="C121" s="125" t="s">
        <v>483</v>
      </c>
      <c r="D121" s="133">
        <v>0</v>
      </c>
      <c r="E121" s="1128"/>
      <c r="F121" s="1128"/>
      <c r="G121" s="602">
        <f t="shared" si="24"/>
        <v>0</v>
      </c>
      <c r="H121" s="602">
        <f t="shared" si="24"/>
        <v>0</v>
      </c>
      <c r="I121" s="602">
        <f t="shared" si="24"/>
        <v>0</v>
      </c>
      <c r="J121" s="602">
        <f t="shared" si="24"/>
        <v>0</v>
      </c>
      <c r="K121" s="602">
        <f t="shared" si="24"/>
        <v>0</v>
      </c>
      <c r="L121" s="602">
        <f t="shared" si="24"/>
        <v>0</v>
      </c>
      <c r="M121" s="602">
        <f t="shared" si="24"/>
        <v>0</v>
      </c>
      <c r="N121" s="51"/>
      <c r="O121" s="287"/>
      <c r="Q121" s="48"/>
      <c r="R121" s="48"/>
      <c r="S121" s="48"/>
      <c r="T121" s="48"/>
      <c r="U121" s="48"/>
      <c r="V121" s="48"/>
      <c r="W121" s="48"/>
      <c r="X121" s="48"/>
      <c r="Y121" s="48"/>
      <c r="Z121" s="48"/>
      <c r="AA121" s="48"/>
      <c r="AB121" s="48"/>
      <c r="AC121" s="48"/>
      <c r="AD121" s="48"/>
      <c r="AE121" s="48"/>
    </row>
    <row r="122" spans="1:31" outlineLevel="1">
      <c r="A122" s="412">
        <f>ROW()</f>
        <v>122</v>
      </c>
      <c r="B122" s="124"/>
      <c r="C122" s="125" t="s">
        <v>483</v>
      </c>
      <c r="D122" s="133"/>
      <c r="E122" s="1128"/>
      <c r="F122" s="1128"/>
      <c r="G122" s="604">
        <f t="shared" si="24"/>
        <v>0</v>
      </c>
      <c r="H122" s="604">
        <f t="shared" si="24"/>
        <v>0</v>
      </c>
      <c r="I122" s="604">
        <f t="shared" si="24"/>
        <v>0</v>
      </c>
      <c r="J122" s="604">
        <f t="shared" si="24"/>
        <v>0</v>
      </c>
      <c r="K122" s="604">
        <f t="shared" si="24"/>
        <v>0</v>
      </c>
      <c r="L122" s="604">
        <f t="shared" si="24"/>
        <v>0</v>
      </c>
      <c r="M122" s="604">
        <f t="shared" si="24"/>
        <v>0</v>
      </c>
      <c r="N122" s="51"/>
      <c r="O122" s="287"/>
      <c r="Q122" s="48"/>
      <c r="R122" s="48"/>
      <c r="S122" s="48"/>
      <c r="T122" s="48"/>
      <c r="U122" s="48"/>
      <c r="V122" s="48"/>
      <c r="W122" s="48"/>
      <c r="X122" s="48"/>
      <c r="Y122" s="48"/>
      <c r="Z122" s="48"/>
      <c r="AA122" s="48"/>
      <c r="AB122" s="48"/>
      <c r="AC122" s="48"/>
      <c r="AD122" s="48"/>
      <c r="AE122" s="48"/>
    </row>
    <row r="123" spans="1:31" outlineLevel="1">
      <c r="A123" s="412">
        <f>ROW()</f>
        <v>123</v>
      </c>
      <c r="B123" s="1133" t="s">
        <v>491</v>
      </c>
      <c r="C123" s="1133"/>
      <c r="D123" s="1133"/>
      <c r="E123" s="1133"/>
      <c r="F123" s="1133"/>
      <c r="G123" s="1143">
        <f t="shared" ref="G123:M123" si="25">SUM(G114:G122)</f>
        <v>0</v>
      </c>
      <c r="H123" s="1143">
        <f t="shared" si="25"/>
        <v>2</v>
      </c>
      <c r="I123" s="1136">
        <f t="shared" si="25"/>
        <v>2</v>
      </c>
      <c r="J123" s="1136">
        <f t="shared" si="25"/>
        <v>2</v>
      </c>
      <c r="K123" s="1136">
        <f t="shared" si="25"/>
        <v>2</v>
      </c>
      <c r="L123" s="1136">
        <f t="shared" si="25"/>
        <v>2</v>
      </c>
      <c r="M123" s="1136">
        <f t="shared" si="25"/>
        <v>2</v>
      </c>
      <c r="N123" s="51"/>
      <c r="O123" s="287"/>
      <c r="Q123" s="48"/>
      <c r="R123" s="48"/>
      <c r="S123" s="48"/>
      <c r="T123" s="48"/>
      <c r="U123" s="48"/>
      <c r="V123" s="48"/>
      <c r="W123" s="48"/>
      <c r="X123" s="48"/>
      <c r="Y123" s="48"/>
      <c r="Z123" s="48"/>
      <c r="AA123" s="48"/>
      <c r="AB123" s="48"/>
      <c r="AC123" s="48"/>
      <c r="AD123" s="48"/>
      <c r="AE123" s="48"/>
    </row>
    <row r="124" spans="1:31" outlineLevel="1">
      <c r="A124" s="412">
        <f>ROW()</f>
        <v>124</v>
      </c>
      <c r="B124" s="1033"/>
      <c r="C124" s="1033"/>
      <c r="D124" s="1033"/>
      <c r="E124" s="1033"/>
      <c r="F124" s="1033"/>
      <c r="G124" s="1647"/>
      <c r="H124" s="1647"/>
      <c r="I124" s="1647"/>
      <c r="J124" s="1647"/>
      <c r="K124" s="1647"/>
      <c r="L124" s="1647"/>
      <c r="M124" s="1647"/>
      <c r="N124" s="51"/>
      <c r="O124" s="287"/>
      <c r="Q124" s="48"/>
      <c r="R124" s="48"/>
      <c r="S124" s="48"/>
      <c r="T124" s="48"/>
      <c r="U124" s="48"/>
      <c r="V124" s="48"/>
      <c r="W124" s="48"/>
      <c r="X124" s="48"/>
      <c r="Y124" s="48"/>
      <c r="Z124" s="48"/>
      <c r="AA124" s="48"/>
      <c r="AB124" s="48"/>
      <c r="AC124" s="48"/>
      <c r="AD124" s="48"/>
      <c r="AE124" s="48"/>
    </row>
    <row r="125" spans="1:31" ht="15.6" outlineLevel="1">
      <c r="A125" s="412">
        <f>ROW()</f>
        <v>125</v>
      </c>
      <c r="B125" s="1146" t="s">
        <v>1268</v>
      </c>
      <c r="C125" s="1137"/>
      <c r="D125" s="1138"/>
      <c r="E125" s="1138"/>
      <c r="F125" s="1138"/>
      <c r="G125" s="1139"/>
      <c r="H125" s="1139"/>
      <c r="I125" s="1139"/>
      <c r="J125" s="1139"/>
      <c r="K125" s="1139"/>
      <c r="L125" s="1139"/>
      <c r="M125" s="1139"/>
      <c r="N125" s="51"/>
      <c r="O125" s="287"/>
      <c r="Q125" s="48"/>
      <c r="R125" s="48"/>
      <c r="S125" s="48"/>
      <c r="T125" s="48"/>
      <c r="U125" s="48"/>
      <c r="V125" s="48"/>
      <c r="W125" s="48"/>
      <c r="X125" s="48"/>
      <c r="Y125" s="48"/>
      <c r="Z125" s="48"/>
      <c r="AA125" s="48"/>
      <c r="AB125" s="48"/>
      <c r="AC125" s="48"/>
      <c r="AD125" s="48"/>
      <c r="AE125" s="48"/>
    </row>
    <row r="126" spans="1:31" outlineLevel="1">
      <c r="A126" s="412">
        <f>ROW()</f>
        <v>126</v>
      </c>
      <c r="B126" s="158" t="s">
        <v>1424</v>
      </c>
      <c r="C126" s="159">
        <v>2027</v>
      </c>
      <c r="D126" s="160">
        <v>59511</v>
      </c>
      <c r="E126" s="1128"/>
      <c r="F126" s="1128"/>
      <c r="G126" s="603">
        <f t="shared" ref="G126:M136" si="26">IF($C126&lt;=G$10,1,0)</f>
        <v>0</v>
      </c>
      <c r="H126" s="603">
        <f t="shared" si="26"/>
        <v>1</v>
      </c>
      <c r="I126" s="603">
        <f t="shared" si="26"/>
        <v>1</v>
      </c>
      <c r="J126" s="603">
        <f t="shared" si="26"/>
        <v>1</v>
      </c>
      <c r="K126" s="603">
        <f t="shared" si="26"/>
        <v>1</v>
      </c>
      <c r="L126" s="603">
        <f t="shared" si="26"/>
        <v>1</v>
      </c>
      <c r="M126" s="603">
        <f t="shared" si="26"/>
        <v>1</v>
      </c>
      <c r="N126" s="51"/>
      <c r="O126" s="287"/>
      <c r="Q126" s="48"/>
      <c r="R126" s="48"/>
      <c r="S126" s="48"/>
      <c r="T126" s="48"/>
      <c r="U126" s="48"/>
      <c r="V126" s="48"/>
      <c r="W126" s="48"/>
      <c r="X126" s="48"/>
      <c r="Y126" s="48"/>
      <c r="Z126" s="48"/>
      <c r="AA126" s="48"/>
      <c r="AB126" s="48"/>
      <c r="AC126" s="48"/>
      <c r="AD126" s="48"/>
      <c r="AE126" s="48"/>
    </row>
    <row r="127" spans="1:31" outlineLevel="1">
      <c r="A127" s="412">
        <f>ROW()</f>
        <v>127</v>
      </c>
      <c r="B127" s="124" t="s">
        <v>1426</v>
      </c>
      <c r="C127" s="125">
        <v>2027</v>
      </c>
      <c r="D127" s="133">
        <v>59511</v>
      </c>
      <c r="E127" s="1128"/>
      <c r="F127" s="1128"/>
      <c r="G127" s="602">
        <f t="shared" si="26"/>
        <v>0</v>
      </c>
      <c r="H127" s="602">
        <f t="shared" si="26"/>
        <v>1</v>
      </c>
      <c r="I127" s="602">
        <f t="shared" si="26"/>
        <v>1</v>
      </c>
      <c r="J127" s="602">
        <f t="shared" si="26"/>
        <v>1</v>
      </c>
      <c r="K127" s="602">
        <f t="shared" si="26"/>
        <v>1</v>
      </c>
      <c r="L127" s="602">
        <f t="shared" si="26"/>
        <v>1</v>
      </c>
      <c r="M127" s="602">
        <f t="shared" si="26"/>
        <v>1</v>
      </c>
      <c r="N127" s="51"/>
      <c r="O127" s="287"/>
      <c r="Q127" s="48"/>
      <c r="R127" s="48"/>
      <c r="S127" s="48"/>
      <c r="T127" s="48"/>
      <c r="U127" s="48"/>
      <c r="V127" s="48"/>
      <c r="W127" s="48"/>
      <c r="X127" s="48"/>
      <c r="Y127" s="48"/>
      <c r="Z127" s="48"/>
      <c r="AA127" s="48"/>
      <c r="AB127" s="48"/>
      <c r="AC127" s="48"/>
      <c r="AD127" s="48"/>
      <c r="AE127" s="48"/>
    </row>
    <row r="128" spans="1:31" outlineLevel="1">
      <c r="A128" s="412">
        <f>ROW()</f>
        <v>128</v>
      </c>
      <c r="B128" s="124" t="s">
        <v>1427</v>
      </c>
      <c r="C128" s="125">
        <v>2028</v>
      </c>
      <c r="D128" s="133">
        <v>59511</v>
      </c>
      <c r="E128" s="1128"/>
      <c r="F128" s="1128"/>
      <c r="G128" s="602">
        <f t="shared" si="26"/>
        <v>0</v>
      </c>
      <c r="H128" s="602">
        <f t="shared" si="26"/>
        <v>0</v>
      </c>
      <c r="I128" s="602">
        <f t="shared" si="26"/>
        <v>1</v>
      </c>
      <c r="J128" s="602">
        <f t="shared" si="26"/>
        <v>1</v>
      </c>
      <c r="K128" s="602">
        <f t="shared" si="26"/>
        <v>1</v>
      </c>
      <c r="L128" s="602">
        <f t="shared" si="26"/>
        <v>1</v>
      </c>
      <c r="M128" s="602">
        <f t="shared" si="26"/>
        <v>1</v>
      </c>
      <c r="N128" s="51"/>
      <c r="O128" s="287"/>
      <c r="Q128" s="48"/>
      <c r="R128" s="48"/>
      <c r="S128" s="48"/>
      <c r="T128" s="48"/>
      <c r="U128" s="48"/>
      <c r="V128" s="48"/>
      <c r="W128" s="48"/>
      <c r="X128" s="48"/>
      <c r="Y128" s="48"/>
      <c r="Z128" s="48"/>
      <c r="AA128" s="48"/>
      <c r="AB128" s="48"/>
      <c r="AC128" s="48"/>
      <c r="AD128" s="48"/>
      <c r="AE128" s="48"/>
    </row>
    <row r="129" spans="1:31" outlineLevel="1">
      <c r="A129" s="412">
        <f>ROW()</f>
        <v>129</v>
      </c>
      <c r="B129" s="124" t="s">
        <v>1427</v>
      </c>
      <c r="C129" s="125">
        <v>2028</v>
      </c>
      <c r="D129" s="133">
        <v>59511</v>
      </c>
      <c r="E129" s="1128"/>
      <c r="F129" s="1128"/>
      <c r="G129" s="602">
        <f t="shared" si="26"/>
        <v>0</v>
      </c>
      <c r="H129" s="602">
        <f t="shared" si="26"/>
        <v>0</v>
      </c>
      <c r="I129" s="602">
        <f t="shared" si="26"/>
        <v>1</v>
      </c>
      <c r="J129" s="602">
        <f t="shared" si="26"/>
        <v>1</v>
      </c>
      <c r="K129" s="602">
        <f t="shared" si="26"/>
        <v>1</v>
      </c>
      <c r="L129" s="602">
        <f t="shared" si="26"/>
        <v>1</v>
      </c>
      <c r="M129" s="602">
        <f t="shared" si="26"/>
        <v>1</v>
      </c>
      <c r="N129" s="51"/>
      <c r="O129" s="287"/>
      <c r="Q129" s="48"/>
      <c r="R129" s="48"/>
      <c r="S129" s="48"/>
      <c r="T129" s="48"/>
      <c r="U129" s="48"/>
      <c r="V129" s="48"/>
      <c r="W129" s="48"/>
      <c r="X129" s="48"/>
      <c r="Y129" s="48"/>
      <c r="Z129" s="48"/>
      <c r="AA129" s="48"/>
      <c r="AB129" s="48"/>
      <c r="AC129" s="48"/>
      <c r="AD129" s="48"/>
      <c r="AE129" s="48"/>
    </row>
    <row r="130" spans="1:31" outlineLevel="1">
      <c r="A130" s="412">
        <f>ROW()</f>
        <v>130</v>
      </c>
      <c r="B130" s="124" t="s">
        <v>1428</v>
      </c>
      <c r="C130" s="125">
        <v>2028</v>
      </c>
      <c r="D130" s="133">
        <f>18*8*220</f>
        <v>31680</v>
      </c>
      <c r="E130" s="1128"/>
      <c r="F130" s="1128"/>
      <c r="G130" s="602">
        <f t="shared" si="26"/>
        <v>0</v>
      </c>
      <c r="H130" s="602">
        <f t="shared" si="26"/>
        <v>0</v>
      </c>
      <c r="I130" s="602">
        <f t="shared" si="26"/>
        <v>1</v>
      </c>
      <c r="J130" s="602">
        <f t="shared" si="26"/>
        <v>1</v>
      </c>
      <c r="K130" s="602">
        <f t="shared" si="26"/>
        <v>1</v>
      </c>
      <c r="L130" s="602">
        <f t="shared" si="26"/>
        <v>1</v>
      </c>
      <c r="M130" s="602">
        <f t="shared" si="26"/>
        <v>1</v>
      </c>
      <c r="N130" s="51"/>
      <c r="O130" s="287"/>
      <c r="Q130" s="48"/>
      <c r="R130" s="48"/>
      <c r="S130" s="48"/>
      <c r="T130" s="48"/>
      <c r="U130" s="48"/>
      <c r="V130" s="48"/>
      <c r="W130" s="48"/>
      <c r="X130" s="48"/>
      <c r="Y130" s="48"/>
      <c r="Z130" s="48"/>
      <c r="AA130" s="48"/>
      <c r="AB130" s="48"/>
      <c r="AC130" s="48"/>
      <c r="AD130" s="48"/>
      <c r="AE130" s="48"/>
    </row>
    <row r="131" spans="1:31" outlineLevel="1">
      <c r="A131" s="412">
        <f>ROW()</f>
        <v>131</v>
      </c>
      <c r="B131" s="124" t="s">
        <v>1429</v>
      </c>
      <c r="C131" s="125">
        <v>2028</v>
      </c>
      <c r="D131" s="133">
        <f>20.64*8*220</f>
        <v>36326.400000000001</v>
      </c>
      <c r="E131" s="1128"/>
      <c r="F131" s="1128"/>
      <c r="G131" s="602">
        <f t="shared" si="26"/>
        <v>0</v>
      </c>
      <c r="H131" s="602">
        <f t="shared" si="26"/>
        <v>0</v>
      </c>
      <c r="I131" s="602">
        <f t="shared" si="26"/>
        <v>1</v>
      </c>
      <c r="J131" s="602">
        <f t="shared" si="26"/>
        <v>1</v>
      </c>
      <c r="K131" s="602">
        <f t="shared" si="26"/>
        <v>1</v>
      </c>
      <c r="L131" s="602">
        <f t="shared" si="26"/>
        <v>1</v>
      </c>
      <c r="M131" s="602">
        <f t="shared" si="26"/>
        <v>1</v>
      </c>
      <c r="N131" s="51"/>
      <c r="O131" s="287"/>
      <c r="Q131" s="48"/>
      <c r="R131" s="48"/>
      <c r="S131" s="48"/>
      <c r="T131" s="48"/>
      <c r="U131" s="48"/>
      <c r="V131" s="48"/>
      <c r="W131" s="48"/>
      <c r="X131" s="48"/>
      <c r="Y131" s="48"/>
      <c r="Z131" s="48"/>
      <c r="AA131" s="48"/>
      <c r="AB131" s="48"/>
      <c r="AC131" s="48"/>
      <c r="AD131" s="48"/>
      <c r="AE131" s="48"/>
    </row>
    <row r="132" spans="1:31" outlineLevel="1">
      <c r="A132" s="412">
        <f>ROW()</f>
        <v>132</v>
      </c>
      <c r="B132" s="124" t="s">
        <v>1430</v>
      </c>
      <c r="C132" s="125">
        <v>2027</v>
      </c>
      <c r="D132" s="133">
        <f>18*8*220</f>
        <v>31680</v>
      </c>
      <c r="E132" s="1128"/>
      <c r="F132" s="1128"/>
      <c r="G132" s="602">
        <f t="shared" si="26"/>
        <v>0</v>
      </c>
      <c r="H132" s="602">
        <f>IF($C132&lt;=H$10,1,0)*2</f>
        <v>2</v>
      </c>
      <c r="I132" s="602">
        <f>IF($C132&lt;=I$10,1,0)*5</f>
        <v>5</v>
      </c>
      <c r="J132" s="602">
        <f>IF($C132&lt;=J$10,1,0)*6</f>
        <v>6</v>
      </c>
      <c r="K132" s="602">
        <f t="shared" ref="K132:M132" si="27">IF($C132&lt;=K$10,1,0)*7</f>
        <v>7</v>
      </c>
      <c r="L132" s="602">
        <f t="shared" si="27"/>
        <v>7</v>
      </c>
      <c r="M132" s="602">
        <f t="shared" si="27"/>
        <v>7</v>
      </c>
      <c r="N132" s="51"/>
      <c r="O132" s="287" t="s">
        <v>1442</v>
      </c>
      <c r="Q132" s="48"/>
      <c r="R132" s="48"/>
      <c r="S132" s="48"/>
      <c r="T132" s="48"/>
      <c r="U132" s="48"/>
      <c r="V132" s="48"/>
      <c r="W132" s="48"/>
      <c r="X132" s="48"/>
      <c r="Y132" s="48"/>
      <c r="Z132" s="48"/>
      <c r="AA132" s="48"/>
      <c r="AB132" s="48"/>
      <c r="AC132" s="48"/>
      <c r="AD132" s="48"/>
      <c r="AE132" s="48"/>
    </row>
    <row r="133" spans="1:31" outlineLevel="1">
      <c r="A133" s="412">
        <f>ROW()</f>
        <v>133</v>
      </c>
      <c r="B133" s="124"/>
      <c r="C133" s="125" t="s">
        <v>483</v>
      </c>
      <c r="D133" s="133">
        <v>0</v>
      </c>
      <c r="E133" s="1128"/>
      <c r="F133" s="1128"/>
      <c r="G133" s="602">
        <f t="shared" si="26"/>
        <v>0</v>
      </c>
      <c r="H133" s="602">
        <f t="shared" si="26"/>
        <v>0</v>
      </c>
      <c r="I133" s="602">
        <f t="shared" si="26"/>
        <v>0</v>
      </c>
      <c r="J133" s="602">
        <f t="shared" si="26"/>
        <v>0</v>
      </c>
      <c r="K133" s="602">
        <f t="shared" si="26"/>
        <v>0</v>
      </c>
      <c r="L133" s="602">
        <f t="shared" si="26"/>
        <v>0</v>
      </c>
      <c r="M133" s="602">
        <f t="shared" si="26"/>
        <v>0</v>
      </c>
      <c r="N133" s="51"/>
      <c r="O133" s="287"/>
      <c r="Q133" s="48"/>
      <c r="R133" s="48"/>
      <c r="S133" s="48"/>
      <c r="T133" s="48"/>
      <c r="U133" s="48"/>
      <c r="V133" s="48"/>
      <c r="W133" s="48"/>
      <c r="X133" s="48"/>
      <c r="Y133" s="48"/>
      <c r="Z133" s="48"/>
      <c r="AA133" s="48"/>
      <c r="AB133" s="48"/>
      <c r="AC133" s="48"/>
      <c r="AD133" s="48"/>
      <c r="AE133" s="48"/>
    </row>
    <row r="134" spans="1:31" outlineLevel="1">
      <c r="A134" s="412">
        <f>ROW()</f>
        <v>134</v>
      </c>
      <c r="B134" s="124"/>
      <c r="C134" s="125" t="s">
        <v>483</v>
      </c>
      <c r="D134" s="133">
        <v>0</v>
      </c>
      <c r="E134" s="1128"/>
      <c r="F134" s="1128"/>
      <c r="G134" s="602">
        <f t="shared" si="26"/>
        <v>0</v>
      </c>
      <c r="H134" s="602">
        <f>IF($C134&lt;=H$10,1,0)*2</f>
        <v>0</v>
      </c>
      <c r="I134" s="602">
        <f>IF($C134&lt;=I$10,1,0)*5</f>
        <v>0</v>
      </c>
      <c r="J134" s="602">
        <f t="shared" ref="J134" si="28">IF($C134&lt;=J$10,1,0)*7</f>
        <v>0</v>
      </c>
      <c r="K134" s="602">
        <f>IF($C134&lt;=K$10,1,0)*7</f>
        <v>0</v>
      </c>
      <c r="L134" s="602">
        <f t="shared" ref="L134:M134" si="29">IF($C134&lt;=L$10,1,0)*7</f>
        <v>0</v>
      </c>
      <c r="M134" s="602">
        <f t="shared" si="29"/>
        <v>0</v>
      </c>
      <c r="N134" s="51"/>
      <c r="O134" s="287"/>
      <c r="Q134" s="48"/>
      <c r="R134" s="48"/>
      <c r="S134" s="48"/>
      <c r="T134" s="48"/>
      <c r="U134" s="48"/>
      <c r="V134" s="48"/>
      <c r="W134" s="48"/>
      <c r="X134" s="48"/>
      <c r="Y134" s="48"/>
      <c r="Z134" s="48"/>
      <c r="AA134" s="48"/>
      <c r="AB134" s="48"/>
      <c r="AC134" s="48"/>
      <c r="AD134" s="48"/>
      <c r="AE134" s="48"/>
    </row>
    <row r="135" spans="1:31" outlineLevel="1">
      <c r="A135" s="412">
        <f>ROW()</f>
        <v>135</v>
      </c>
      <c r="B135" s="124"/>
      <c r="C135" s="125" t="s">
        <v>483</v>
      </c>
      <c r="D135" s="133">
        <v>0</v>
      </c>
      <c r="E135" s="1128"/>
      <c r="F135" s="1128"/>
      <c r="G135" s="602">
        <f t="shared" si="26"/>
        <v>0</v>
      </c>
      <c r="H135" s="602">
        <f t="shared" si="26"/>
        <v>0</v>
      </c>
      <c r="I135" s="602">
        <f t="shared" si="26"/>
        <v>0</v>
      </c>
      <c r="J135" s="602">
        <f t="shared" si="26"/>
        <v>0</v>
      </c>
      <c r="K135" s="602">
        <f t="shared" si="26"/>
        <v>0</v>
      </c>
      <c r="L135" s="602">
        <f t="shared" si="26"/>
        <v>0</v>
      </c>
      <c r="M135" s="602">
        <f t="shared" si="26"/>
        <v>0</v>
      </c>
      <c r="N135" s="51"/>
      <c r="O135" s="287"/>
      <c r="Q135" s="48"/>
      <c r="R135" s="48"/>
      <c r="S135" s="48"/>
      <c r="T135" s="48"/>
      <c r="U135" s="48"/>
      <c r="V135" s="48"/>
      <c r="W135" s="48"/>
      <c r="X135" s="48"/>
      <c r="Y135" s="48"/>
      <c r="Z135" s="48"/>
      <c r="AA135" s="48"/>
      <c r="AB135" s="48"/>
      <c r="AC135" s="48"/>
      <c r="AD135" s="48"/>
      <c r="AE135" s="48"/>
    </row>
    <row r="136" spans="1:31" outlineLevel="1">
      <c r="A136" s="412">
        <f>ROW()</f>
        <v>136</v>
      </c>
      <c r="B136" s="124"/>
      <c r="C136" s="125" t="s">
        <v>483</v>
      </c>
      <c r="D136" s="133"/>
      <c r="E136" s="1128"/>
      <c r="F136" s="1128"/>
      <c r="G136" s="604">
        <f t="shared" si="26"/>
        <v>0</v>
      </c>
      <c r="H136" s="604">
        <f t="shared" si="26"/>
        <v>0</v>
      </c>
      <c r="I136" s="604">
        <f t="shared" si="26"/>
        <v>0</v>
      </c>
      <c r="J136" s="604">
        <f t="shared" si="26"/>
        <v>0</v>
      </c>
      <c r="K136" s="604">
        <f t="shared" si="26"/>
        <v>0</v>
      </c>
      <c r="L136" s="604">
        <f t="shared" si="26"/>
        <v>0</v>
      </c>
      <c r="M136" s="604">
        <f t="shared" si="26"/>
        <v>0</v>
      </c>
      <c r="N136" s="51"/>
      <c r="O136" s="287"/>
      <c r="Q136" s="48"/>
      <c r="R136" s="48"/>
      <c r="S136" s="48"/>
      <c r="T136" s="48"/>
      <c r="U136" s="48"/>
      <c r="V136" s="48"/>
      <c r="W136" s="48"/>
      <c r="X136" s="48"/>
      <c r="Y136" s="48"/>
      <c r="Z136" s="48"/>
      <c r="AA136" s="48"/>
      <c r="AB136" s="48"/>
      <c r="AC136" s="48"/>
      <c r="AD136" s="48"/>
      <c r="AE136" s="48"/>
    </row>
    <row r="137" spans="1:31" outlineLevel="1">
      <c r="A137" s="412">
        <f>ROW()</f>
        <v>137</v>
      </c>
      <c r="B137" s="106" t="s">
        <v>1269</v>
      </c>
      <c r="C137" s="106"/>
      <c r="D137" s="106"/>
      <c r="E137" s="106"/>
      <c r="F137" s="106"/>
      <c r="G137" s="968">
        <f t="shared" ref="G137:M137" si="30">SUM(G126:G136)</f>
        <v>0</v>
      </c>
      <c r="H137" s="968">
        <f t="shared" si="30"/>
        <v>4</v>
      </c>
      <c r="I137" s="288">
        <f t="shared" si="30"/>
        <v>11</v>
      </c>
      <c r="J137" s="288">
        <f t="shared" si="30"/>
        <v>12</v>
      </c>
      <c r="K137" s="288">
        <f t="shared" si="30"/>
        <v>13</v>
      </c>
      <c r="L137" s="288">
        <f t="shared" si="30"/>
        <v>13</v>
      </c>
      <c r="M137" s="288">
        <f t="shared" si="30"/>
        <v>13</v>
      </c>
      <c r="N137" s="51"/>
      <c r="O137" s="287"/>
      <c r="Q137" s="48"/>
      <c r="R137" s="48"/>
      <c r="S137" s="48"/>
      <c r="T137" s="48"/>
      <c r="U137" s="48"/>
      <c r="V137" s="48"/>
      <c r="W137" s="48"/>
      <c r="X137" s="48"/>
      <c r="Y137" s="48"/>
      <c r="Z137" s="48"/>
      <c r="AA137" s="48"/>
      <c r="AB137" s="48"/>
      <c r="AC137" s="48"/>
      <c r="AD137" s="48"/>
      <c r="AE137" s="48"/>
    </row>
    <row r="138" spans="1:31" outlineLevel="1">
      <c r="A138" s="412">
        <f>ROW()</f>
        <v>138</v>
      </c>
      <c r="G138" s="51"/>
      <c r="H138" s="51"/>
      <c r="I138" s="51"/>
      <c r="J138" s="51"/>
      <c r="K138" s="51"/>
      <c r="L138" s="51"/>
      <c r="M138" s="51"/>
      <c r="N138" s="51"/>
      <c r="O138" s="287"/>
      <c r="Q138" s="48"/>
      <c r="R138" s="48"/>
      <c r="S138" s="48"/>
      <c r="T138" s="48"/>
      <c r="U138" s="48"/>
      <c r="V138" s="48"/>
      <c r="W138" s="48"/>
      <c r="X138" s="48"/>
      <c r="Y138" s="48"/>
      <c r="Z138" s="48"/>
      <c r="AA138" s="48"/>
      <c r="AB138" s="48"/>
      <c r="AC138" s="48"/>
      <c r="AD138" s="48"/>
      <c r="AE138" s="48"/>
    </row>
    <row r="139" spans="1:31" outlineLevel="1">
      <c r="A139" s="412">
        <f>ROW()</f>
        <v>139</v>
      </c>
      <c r="B139" s="106" t="s">
        <v>492</v>
      </c>
      <c r="C139" s="106"/>
      <c r="D139" s="106"/>
      <c r="E139" s="106"/>
      <c r="F139" s="106"/>
      <c r="G139" s="968">
        <f t="shared" ref="G139:M139" si="31">+G109+G123+G137</f>
        <v>0</v>
      </c>
      <c r="H139" s="968">
        <f t="shared" si="31"/>
        <v>8</v>
      </c>
      <c r="I139" s="288">
        <f t="shared" si="31"/>
        <v>15</v>
      </c>
      <c r="J139" s="288">
        <f t="shared" si="31"/>
        <v>17</v>
      </c>
      <c r="K139" s="288">
        <f t="shared" si="31"/>
        <v>18</v>
      </c>
      <c r="L139" s="288">
        <f t="shared" si="31"/>
        <v>18</v>
      </c>
      <c r="M139" s="288">
        <f t="shared" si="31"/>
        <v>18</v>
      </c>
      <c r="N139" s="51"/>
      <c r="O139" s="287"/>
      <c r="Q139" s="48"/>
      <c r="R139" s="48"/>
      <c r="S139" s="48"/>
      <c r="T139" s="48"/>
      <c r="U139" s="48"/>
      <c r="V139" s="48"/>
      <c r="W139" s="48"/>
      <c r="X139" s="48"/>
      <c r="Y139" s="48"/>
      <c r="Z139" s="48"/>
      <c r="AA139" s="48"/>
      <c r="AB139" s="48"/>
      <c r="AC139" s="48"/>
      <c r="AD139" s="48"/>
      <c r="AE139" s="48"/>
    </row>
    <row r="140" spans="1:31" outlineLevel="1">
      <c r="A140" s="412">
        <f>ROW()</f>
        <v>140</v>
      </c>
      <c r="B140" s="106" t="s">
        <v>493</v>
      </c>
      <c r="C140" s="106"/>
      <c r="D140" s="106"/>
      <c r="E140" s="106"/>
      <c r="F140" s="106"/>
      <c r="G140" s="288">
        <f t="shared" ref="G140:M140" si="32">+G139+G97</f>
        <v>0</v>
      </c>
      <c r="H140" s="288">
        <f t="shared" si="32"/>
        <v>12</v>
      </c>
      <c r="I140" s="288">
        <f t="shared" si="32"/>
        <v>21</v>
      </c>
      <c r="J140" s="288">
        <f t="shared" si="32"/>
        <v>24</v>
      </c>
      <c r="K140" s="288">
        <f t="shared" si="32"/>
        <v>25</v>
      </c>
      <c r="L140" s="288">
        <f t="shared" si="32"/>
        <v>25</v>
      </c>
      <c r="M140" s="288">
        <f t="shared" si="32"/>
        <v>25</v>
      </c>
      <c r="N140" s="51"/>
      <c r="O140" s="287"/>
      <c r="Q140" s="48"/>
      <c r="R140" s="48"/>
      <c r="S140" s="48"/>
      <c r="T140" s="48"/>
      <c r="U140" s="48"/>
      <c r="V140" s="48"/>
      <c r="W140" s="48"/>
      <c r="X140" s="48"/>
      <c r="Y140" s="48"/>
      <c r="Z140" s="48"/>
      <c r="AA140" s="48"/>
      <c r="AB140" s="48"/>
      <c r="AC140" s="48"/>
      <c r="AD140" s="48"/>
      <c r="AE140" s="48"/>
    </row>
    <row r="141" spans="1:31" outlineLevel="1">
      <c r="A141" s="412">
        <f>ROW()</f>
        <v>141</v>
      </c>
      <c r="G141" s="30"/>
      <c r="M141" s="51"/>
      <c r="N141" s="51"/>
      <c r="O141" s="287"/>
      <c r="Q141" s="48"/>
      <c r="R141" s="48"/>
      <c r="S141" s="48"/>
      <c r="T141" s="48"/>
      <c r="U141" s="48"/>
      <c r="V141" s="48"/>
      <c r="W141" s="48"/>
      <c r="X141" s="48"/>
      <c r="Y141" s="48"/>
      <c r="Z141" s="48"/>
      <c r="AA141" s="48"/>
      <c r="AB141" s="48"/>
      <c r="AC141" s="48"/>
      <c r="AD141" s="48"/>
      <c r="AE141" s="48"/>
    </row>
    <row r="142" spans="1:31" ht="15.6" outlineLevel="1">
      <c r="A142" s="412">
        <f>ROW()</f>
        <v>142</v>
      </c>
      <c r="B142" s="145" t="s">
        <v>1270</v>
      </c>
      <c r="C142" s="58"/>
      <c r="D142" s="58"/>
      <c r="E142" s="58"/>
      <c r="F142" s="58"/>
      <c r="G142" s="1308"/>
      <c r="H142" s="58"/>
      <c r="I142" s="58"/>
      <c r="J142" s="58"/>
      <c r="K142" s="58"/>
      <c r="L142" s="58"/>
      <c r="M142" s="146"/>
      <c r="N142" s="51"/>
      <c r="O142" s="287"/>
      <c r="Q142" s="48"/>
      <c r="R142" s="48"/>
      <c r="S142" s="48"/>
      <c r="T142" s="48"/>
      <c r="U142" s="48"/>
      <c r="V142" s="48"/>
      <c r="W142" s="48"/>
      <c r="X142" s="48"/>
      <c r="Y142" s="48"/>
      <c r="Z142" s="48"/>
      <c r="AA142" s="48"/>
      <c r="AB142" s="48"/>
      <c r="AC142" s="48"/>
      <c r="AD142" s="48"/>
      <c r="AE142" s="48"/>
    </row>
    <row r="143" spans="1:31" outlineLevel="1">
      <c r="A143" s="412">
        <f>ROW()</f>
        <v>143</v>
      </c>
      <c r="B143" s="81" t="s">
        <v>494</v>
      </c>
      <c r="C143" s="31"/>
      <c r="D143" s="31" t="s">
        <v>495</v>
      </c>
      <c r="E143" s="31" t="s">
        <v>479</v>
      </c>
      <c r="F143" s="81" t="s">
        <v>1271</v>
      </c>
      <c r="G143" s="81" t="s">
        <v>496</v>
      </c>
      <c r="H143" s="99"/>
      <c r="I143" s="81"/>
      <c r="J143" s="81"/>
      <c r="L143" s="51"/>
      <c r="N143" s="51"/>
      <c r="O143" s="287"/>
      <c r="Q143" s="48"/>
      <c r="R143" s="48"/>
      <c r="S143" s="48"/>
      <c r="T143" s="48"/>
      <c r="U143" s="48"/>
      <c r="V143" s="48"/>
      <c r="W143" s="48"/>
      <c r="X143" s="48"/>
      <c r="Y143" s="48"/>
      <c r="Z143" s="48"/>
      <c r="AA143" s="48"/>
      <c r="AB143" s="48"/>
      <c r="AC143" s="48"/>
      <c r="AD143" s="48"/>
      <c r="AE143" s="48"/>
    </row>
    <row r="144" spans="1:31" outlineLevel="1">
      <c r="A144" s="412">
        <f>ROW()</f>
        <v>144</v>
      </c>
      <c r="B144" s="69" t="s">
        <v>480</v>
      </c>
      <c r="C144" s="53"/>
      <c r="D144" s="53">
        <f>' Enrol &amp; Rev'!$G$10</f>
        <v>2026</v>
      </c>
      <c r="E144" s="1308"/>
      <c r="F144" s="1308"/>
      <c r="G144" s="58"/>
      <c r="H144" s="58"/>
      <c r="I144" s="131"/>
      <c r="J144" s="131"/>
      <c r="K144" s="131"/>
      <c r="L144" s="146"/>
      <c r="M144" s="58"/>
      <c r="N144" s="51"/>
      <c r="O144" s="287"/>
      <c r="Q144" s="48"/>
      <c r="R144" s="48"/>
      <c r="S144" s="48"/>
      <c r="T144" s="48"/>
      <c r="U144" s="48"/>
      <c r="V144" s="48"/>
      <c r="W144" s="48"/>
      <c r="X144" s="48"/>
      <c r="Y144" s="48"/>
      <c r="Z144" s="48"/>
      <c r="AA144" s="48"/>
      <c r="AB144" s="48"/>
      <c r="AC144" s="48"/>
      <c r="AD144" s="48"/>
      <c r="AE144" s="48"/>
    </row>
    <row r="145" spans="1:31" outlineLevel="1">
      <c r="A145" s="412">
        <f>ROW()</f>
        <v>145</v>
      </c>
      <c r="C145" s="40"/>
      <c r="D145" s="40"/>
      <c r="E145" s="30"/>
      <c r="F145" s="30"/>
      <c r="L145" s="51"/>
      <c r="N145" s="51"/>
      <c r="O145" s="287"/>
      <c r="Q145" s="48"/>
      <c r="R145" s="48"/>
      <c r="S145" s="48"/>
      <c r="T145" s="48"/>
      <c r="U145" s="48"/>
      <c r="V145" s="48"/>
      <c r="W145" s="48"/>
      <c r="X145" s="48"/>
      <c r="Y145" s="48"/>
      <c r="Z145" s="48"/>
      <c r="AA145" s="48"/>
      <c r="AB145" s="48"/>
      <c r="AC145" s="48"/>
      <c r="AD145" s="48"/>
      <c r="AE145" s="48"/>
    </row>
    <row r="146" spans="1:31" outlineLevel="1">
      <c r="A146" s="412">
        <f>ROW()</f>
        <v>146</v>
      </c>
      <c r="B146" s="161" t="s">
        <v>1389</v>
      </c>
      <c r="C146" s="130">
        <v>2027</v>
      </c>
      <c r="D146" s="130">
        <v>2027</v>
      </c>
      <c r="E146" s="269">
        <v>59511</v>
      </c>
      <c r="F146" s="162"/>
      <c r="G146" s="602">
        <f>IF($D146&lt;=G$10,1,0)</f>
        <v>0</v>
      </c>
      <c r="H146" s="602">
        <f t="shared" ref="H146:M148" si="33">IF($D146&lt;=H$10,1,0)</f>
        <v>1</v>
      </c>
      <c r="I146" s="602">
        <f t="shared" si="33"/>
        <v>1</v>
      </c>
      <c r="J146" s="602">
        <f t="shared" si="33"/>
        <v>1</v>
      </c>
      <c r="K146" s="602">
        <f t="shared" si="33"/>
        <v>1</v>
      </c>
      <c r="L146" s="602">
        <f t="shared" si="33"/>
        <v>1</v>
      </c>
      <c r="M146" s="602">
        <f t="shared" si="33"/>
        <v>1</v>
      </c>
      <c r="O146" s="287"/>
      <c r="Q146" s="48"/>
      <c r="R146" s="48"/>
      <c r="S146" s="48"/>
      <c r="T146" s="48"/>
      <c r="U146" s="48"/>
      <c r="V146" s="48"/>
      <c r="W146" s="48"/>
      <c r="X146" s="48"/>
      <c r="Y146" s="48"/>
      <c r="Z146" s="48"/>
      <c r="AA146" s="48"/>
      <c r="AB146" s="48"/>
      <c r="AC146" s="48"/>
      <c r="AD146" s="48"/>
      <c r="AE146" s="48"/>
    </row>
    <row r="147" spans="1:31" outlineLevel="1">
      <c r="A147" s="412">
        <f>ROW()</f>
        <v>147</v>
      </c>
      <c r="B147" s="161" t="s">
        <v>1389</v>
      </c>
      <c r="C147" s="130">
        <v>2027</v>
      </c>
      <c r="D147" s="130">
        <v>2027</v>
      </c>
      <c r="E147" s="132">
        <v>59511</v>
      </c>
      <c r="F147" s="162"/>
      <c r="G147" s="602">
        <f>IF($D147&lt;=G$10,1,0)</f>
        <v>0</v>
      </c>
      <c r="H147" s="602">
        <f t="shared" si="33"/>
        <v>1</v>
      </c>
      <c r="I147" s="602">
        <f t="shared" si="33"/>
        <v>1</v>
      </c>
      <c r="J147" s="602">
        <f t="shared" si="33"/>
        <v>1</v>
      </c>
      <c r="K147" s="602">
        <f t="shared" si="33"/>
        <v>1</v>
      </c>
      <c r="L147" s="602">
        <f t="shared" si="33"/>
        <v>1</v>
      </c>
      <c r="M147" s="602">
        <f t="shared" si="33"/>
        <v>1</v>
      </c>
      <c r="O147" s="287"/>
      <c r="Q147" s="48"/>
      <c r="R147" s="48"/>
      <c r="S147" s="48"/>
      <c r="T147" s="48"/>
      <c r="U147" s="48"/>
      <c r="V147" s="48"/>
      <c r="W147" s="48"/>
      <c r="X147" s="48"/>
      <c r="Y147" s="48"/>
      <c r="Z147" s="48"/>
      <c r="AA147" s="48"/>
      <c r="AB147" s="48"/>
      <c r="AC147" s="48"/>
      <c r="AD147" s="48"/>
      <c r="AE147" s="48"/>
    </row>
    <row r="148" spans="1:31" outlineLevel="1">
      <c r="A148" s="412">
        <f>ROW()</f>
        <v>148</v>
      </c>
      <c r="B148" s="161"/>
      <c r="C148" s="130" t="s">
        <v>483</v>
      </c>
      <c r="D148" s="130" t="s">
        <v>497</v>
      </c>
      <c r="E148" s="132">
        <v>0</v>
      </c>
      <c r="F148" s="162"/>
      <c r="G148" s="602">
        <f>IF($D148&lt;=G$10,1,0)</f>
        <v>0</v>
      </c>
      <c r="H148" s="602">
        <f t="shared" si="33"/>
        <v>0</v>
      </c>
      <c r="I148" s="602">
        <f t="shared" si="33"/>
        <v>0</v>
      </c>
      <c r="J148" s="602">
        <f t="shared" si="33"/>
        <v>0</v>
      </c>
      <c r="K148" s="602">
        <f t="shared" si="33"/>
        <v>0</v>
      </c>
      <c r="L148" s="602">
        <f t="shared" si="33"/>
        <v>0</v>
      </c>
      <c r="M148" s="602">
        <f t="shared" si="33"/>
        <v>0</v>
      </c>
      <c r="O148" s="287"/>
      <c r="Q148" s="48"/>
      <c r="R148" s="48"/>
      <c r="S148" s="48"/>
      <c r="T148" s="48"/>
      <c r="U148" s="48"/>
      <c r="V148" s="48"/>
      <c r="W148" s="48"/>
      <c r="X148" s="48"/>
      <c r="Y148" s="48"/>
      <c r="Z148" s="48"/>
      <c r="AA148" s="48"/>
      <c r="AB148" s="48"/>
      <c r="AC148" s="48"/>
      <c r="AD148" s="48"/>
      <c r="AE148" s="48"/>
    </row>
    <row r="149" spans="1:31" outlineLevel="1">
      <c r="A149" s="412">
        <f>ROW()</f>
        <v>149</v>
      </c>
      <c r="B149" s="1119"/>
      <c r="C149" s="1120"/>
      <c r="D149" s="1120"/>
      <c r="E149" s="1121"/>
      <c r="F149" s="1122"/>
      <c r="G149" s="119"/>
      <c r="H149" s="119"/>
      <c r="I149" s="119"/>
      <c r="J149" s="119"/>
      <c r="K149" s="119"/>
      <c r="L149" s="119"/>
      <c r="M149" s="119"/>
      <c r="O149" s="287"/>
      <c r="Q149" s="48"/>
      <c r="R149" s="48"/>
      <c r="S149" s="48"/>
      <c r="T149" s="48"/>
      <c r="U149" s="48"/>
      <c r="V149" s="48"/>
      <c r="W149" s="48"/>
      <c r="X149" s="48"/>
      <c r="Y149" s="48"/>
      <c r="Z149" s="48"/>
      <c r="AA149" s="48"/>
      <c r="AB149" s="48"/>
      <c r="AC149" s="48"/>
      <c r="AD149" s="48"/>
      <c r="AE149" s="48"/>
    </row>
    <row r="150" spans="1:31" outlineLevel="1">
      <c r="A150" s="412">
        <f>ROW()</f>
        <v>150</v>
      </c>
      <c r="B150" s="161" t="s">
        <v>1390</v>
      </c>
      <c r="C150" s="130">
        <v>2027</v>
      </c>
      <c r="D150" s="130">
        <v>2027</v>
      </c>
      <c r="E150" s="269">
        <v>59511</v>
      </c>
      <c r="F150" s="162"/>
      <c r="G150" s="602">
        <f t="shared" ref="G150:M154" si="34">IF($D150&lt;=G$10,1,0)</f>
        <v>0</v>
      </c>
      <c r="H150" s="602">
        <f t="shared" si="34"/>
        <v>1</v>
      </c>
      <c r="I150" s="602">
        <f t="shared" si="34"/>
        <v>1</v>
      </c>
      <c r="J150" s="602">
        <f t="shared" si="34"/>
        <v>1</v>
      </c>
      <c r="K150" s="602">
        <f t="shared" si="34"/>
        <v>1</v>
      </c>
      <c r="L150" s="602">
        <f t="shared" si="34"/>
        <v>1</v>
      </c>
      <c r="M150" s="602">
        <f t="shared" si="34"/>
        <v>1</v>
      </c>
      <c r="O150" s="287"/>
      <c r="Q150" s="48"/>
      <c r="R150" s="48"/>
      <c r="S150" s="48"/>
      <c r="T150" s="48"/>
      <c r="U150" s="48"/>
      <c r="V150" s="48"/>
      <c r="W150" s="48"/>
      <c r="X150" s="48"/>
      <c r="Y150" s="48"/>
      <c r="Z150" s="48"/>
      <c r="AA150" s="48"/>
      <c r="AB150" s="48"/>
      <c r="AC150" s="48"/>
      <c r="AD150" s="48"/>
      <c r="AE150" s="48"/>
    </row>
    <row r="151" spans="1:31" outlineLevel="1">
      <c r="A151" s="412">
        <f>ROW()</f>
        <v>151</v>
      </c>
      <c r="B151" s="161" t="s">
        <v>1390</v>
      </c>
      <c r="C151" s="130">
        <v>2027</v>
      </c>
      <c r="D151" s="130">
        <v>2027</v>
      </c>
      <c r="E151" s="132">
        <v>59511</v>
      </c>
      <c r="F151" s="162"/>
      <c r="G151" s="602">
        <f t="shared" si="34"/>
        <v>0</v>
      </c>
      <c r="H151" s="602">
        <f t="shared" si="34"/>
        <v>1</v>
      </c>
      <c r="I151" s="602">
        <f t="shared" si="34"/>
        <v>1</v>
      </c>
      <c r="J151" s="602">
        <f t="shared" si="34"/>
        <v>1</v>
      </c>
      <c r="K151" s="602">
        <f t="shared" si="34"/>
        <v>1</v>
      </c>
      <c r="L151" s="602">
        <f t="shared" si="34"/>
        <v>1</v>
      </c>
      <c r="M151" s="602">
        <f t="shared" si="34"/>
        <v>1</v>
      </c>
      <c r="O151" s="287"/>
      <c r="Q151" s="48"/>
      <c r="R151" s="48"/>
      <c r="S151" s="48"/>
      <c r="T151" s="48"/>
      <c r="U151" s="48"/>
      <c r="V151" s="48"/>
      <c r="W151" s="48"/>
      <c r="X151" s="48"/>
      <c r="Y151" s="48"/>
      <c r="Z151" s="48"/>
      <c r="AA151" s="48"/>
      <c r="AB151" s="48"/>
      <c r="AC151" s="48"/>
      <c r="AD151" s="48"/>
      <c r="AE151" s="48"/>
    </row>
    <row r="152" spans="1:31" outlineLevel="1">
      <c r="A152" s="412">
        <f>ROW()</f>
        <v>152</v>
      </c>
      <c r="B152" s="161"/>
      <c r="C152" s="130" t="s">
        <v>483</v>
      </c>
      <c r="D152" s="130" t="s">
        <v>497</v>
      </c>
      <c r="E152" s="132">
        <v>0</v>
      </c>
      <c r="F152" s="162"/>
      <c r="G152" s="602">
        <f t="shared" si="34"/>
        <v>0</v>
      </c>
      <c r="H152" s="602">
        <f t="shared" si="34"/>
        <v>0</v>
      </c>
      <c r="I152" s="602">
        <f t="shared" si="34"/>
        <v>0</v>
      </c>
      <c r="J152" s="602">
        <f t="shared" si="34"/>
        <v>0</v>
      </c>
      <c r="K152" s="602">
        <f t="shared" si="34"/>
        <v>0</v>
      </c>
      <c r="L152" s="602">
        <f t="shared" si="34"/>
        <v>0</v>
      </c>
      <c r="M152" s="602">
        <f t="shared" si="34"/>
        <v>0</v>
      </c>
      <c r="O152" s="287"/>
      <c r="Q152" s="48"/>
      <c r="R152" s="48"/>
      <c r="S152" s="48"/>
      <c r="T152" s="48"/>
      <c r="U152" s="48"/>
      <c r="V152" s="48"/>
      <c r="W152" s="48"/>
      <c r="X152" s="48"/>
      <c r="Y152" s="48"/>
      <c r="Z152" s="48"/>
      <c r="AA152" s="48"/>
      <c r="AB152" s="48"/>
      <c r="AC152" s="48"/>
      <c r="AD152" s="48"/>
      <c r="AE152" s="48"/>
    </row>
    <row r="153" spans="1:31" outlineLevel="1">
      <c r="A153" s="412">
        <f>ROW()</f>
        <v>153</v>
      </c>
      <c r="B153" s="161"/>
      <c r="C153" s="130" t="s">
        <v>483</v>
      </c>
      <c r="D153" s="130" t="s">
        <v>497</v>
      </c>
      <c r="E153" s="132">
        <v>0</v>
      </c>
      <c r="F153" s="162"/>
      <c r="G153" s="602">
        <f t="shared" si="34"/>
        <v>0</v>
      </c>
      <c r="H153" s="602">
        <f t="shared" si="34"/>
        <v>0</v>
      </c>
      <c r="I153" s="602">
        <f t="shared" si="34"/>
        <v>0</v>
      </c>
      <c r="J153" s="602">
        <f t="shared" si="34"/>
        <v>0</v>
      </c>
      <c r="K153" s="602">
        <f t="shared" si="34"/>
        <v>0</v>
      </c>
      <c r="L153" s="602">
        <f t="shared" si="34"/>
        <v>0</v>
      </c>
      <c r="M153" s="602">
        <f t="shared" si="34"/>
        <v>0</v>
      </c>
      <c r="O153" s="287"/>
      <c r="Q153" s="48"/>
      <c r="R153" s="48"/>
      <c r="S153" s="48"/>
      <c r="T153" s="48"/>
      <c r="U153" s="48"/>
      <c r="V153" s="48"/>
      <c r="W153" s="48"/>
      <c r="X153" s="48"/>
      <c r="Y153" s="48"/>
      <c r="Z153" s="48"/>
      <c r="AA153" s="48"/>
      <c r="AB153" s="48"/>
      <c r="AC153" s="48"/>
      <c r="AD153" s="48"/>
      <c r="AE153" s="48"/>
    </row>
    <row r="154" spans="1:31" outlineLevel="1">
      <c r="A154" s="412">
        <f>ROW()</f>
        <v>154</v>
      </c>
      <c r="B154" s="161"/>
      <c r="C154" s="130" t="s">
        <v>483</v>
      </c>
      <c r="D154" s="130" t="s">
        <v>497</v>
      </c>
      <c r="E154" s="132">
        <v>0</v>
      </c>
      <c r="F154" s="162"/>
      <c r="G154" s="602">
        <f t="shared" si="34"/>
        <v>0</v>
      </c>
      <c r="H154" s="602">
        <f t="shared" si="34"/>
        <v>0</v>
      </c>
      <c r="I154" s="602">
        <f t="shared" si="34"/>
        <v>0</v>
      </c>
      <c r="J154" s="602">
        <f t="shared" si="34"/>
        <v>0</v>
      </c>
      <c r="K154" s="602">
        <f t="shared" si="34"/>
        <v>0</v>
      </c>
      <c r="L154" s="602">
        <f t="shared" si="34"/>
        <v>0</v>
      </c>
      <c r="M154" s="602">
        <f t="shared" si="34"/>
        <v>0</v>
      </c>
      <c r="O154" s="287"/>
      <c r="Q154" s="48"/>
      <c r="R154" s="48"/>
      <c r="S154" s="48"/>
      <c r="T154" s="48"/>
      <c r="U154" s="48"/>
      <c r="V154" s="48"/>
      <c r="W154" s="48"/>
      <c r="X154" s="48"/>
      <c r="Y154" s="48"/>
      <c r="Z154" s="48"/>
      <c r="AA154" s="48"/>
      <c r="AB154" s="48"/>
      <c r="AC154" s="48"/>
      <c r="AD154" s="48"/>
      <c r="AE154" s="48"/>
    </row>
    <row r="155" spans="1:31" outlineLevel="1">
      <c r="A155" s="412">
        <f>ROW()</f>
        <v>155</v>
      </c>
      <c r="B155" s="1119"/>
      <c r="C155" s="1120"/>
      <c r="D155" s="1120"/>
      <c r="E155" s="1123"/>
      <c r="F155" s="1123"/>
      <c r="G155" s="119"/>
      <c r="H155" s="119"/>
      <c r="I155" s="119"/>
      <c r="J155" s="119"/>
      <c r="K155" s="119"/>
      <c r="L155" s="119"/>
      <c r="M155" s="119"/>
      <c r="O155" s="287"/>
      <c r="Q155" s="48"/>
      <c r="R155" s="48"/>
      <c r="S155" s="48"/>
      <c r="T155" s="48"/>
      <c r="U155" s="48"/>
      <c r="V155" s="48"/>
      <c r="W155" s="48"/>
      <c r="X155" s="48"/>
      <c r="Y155" s="48"/>
      <c r="Z155" s="48"/>
      <c r="AA155" s="48"/>
      <c r="AB155" s="48"/>
      <c r="AC155" s="48"/>
      <c r="AD155" s="48"/>
      <c r="AE155" s="48"/>
    </row>
    <row r="156" spans="1:31" outlineLevel="1">
      <c r="A156" s="412">
        <f>ROW()</f>
        <v>156</v>
      </c>
      <c r="B156" s="161" t="s">
        <v>1391</v>
      </c>
      <c r="C156" s="130">
        <v>2027</v>
      </c>
      <c r="D156" s="130">
        <v>2027</v>
      </c>
      <c r="E156" s="269">
        <v>59511</v>
      </c>
      <c r="F156" s="162"/>
      <c r="G156" s="602">
        <f t="shared" ref="G156:M160" si="35">IF($D156&lt;=G$10,1,0)</f>
        <v>0</v>
      </c>
      <c r="H156" s="602">
        <f t="shared" si="35"/>
        <v>1</v>
      </c>
      <c r="I156" s="602">
        <f t="shared" si="35"/>
        <v>1</v>
      </c>
      <c r="J156" s="602">
        <f t="shared" si="35"/>
        <v>1</v>
      </c>
      <c r="K156" s="602">
        <f t="shared" si="35"/>
        <v>1</v>
      </c>
      <c r="L156" s="602">
        <f t="shared" si="35"/>
        <v>1</v>
      </c>
      <c r="M156" s="602">
        <f t="shared" si="35"/>
        <v>1</v>
      </c>
      <c r="O156" s="287"/>
      <c r="Q156" s="48"/>
      <c r="R156" s="48"/>
      <c r="S156" s="48"/>
      <c r="T156" s="48"/>
      <c r="U156" s="48"/>
      <c r="V156" s="48"/>
      <c r="W156" s="48"/>
      <c r="X156" s="48"/>
      <c r="Y156" s="48"/>
      <c r="Z156" s="48"/>
      <c r="AA156" s="48"/>
      <c r="AB156" s="48"/>
      <c r="AC156" s="48"/>
      <c r="AD156" s="48"/>
      <c r="AE156" s="48"/>
    </row>
    <row r="157" spans="1:31" outlineLevel="1">
      <c r="A157" s="412">
        <f>ROW()</f>
        <v>157</v>
      </c>
      <c r="B157" s="161" t="s">
        <v>1391</v>
      </c>
      <c r="C157" s="130">
        <v>2027</v>
      </c>
      <c r="D157" s="130">
        <v>2027</v>
      </c>
      <c r="E157" s="132">
        <v>59511</v>
      </c>
      <c r="F157" s="162"/>
      <c r="G157" s="602">
        <f t="shared" si="35"/>
        <v>0</v>
      </c>
      <c r="H157" s="602">
        <f t="shared" si="35"/>
        <v>1</v>
      </c>
      <c r="I157" s="602">
        <f t="shared" si="35"/>
        <v>1</v>
      </c>
      <c r="J157" s="602">
        <f t="shared" si="35"/>
        <v>1</v>
      </c>
      <c r="K157" s="602">
        <f t="shared" si="35"/>
        <v>1</v>
      </c>
      <c r="L157" s="602">
        <f t="shared" si="35"/>
        <v>1</v>
      </c>
      <c r="M157" s="602">
        <f t="shared" si="35"/>
        <v>1</v>
      </c>
      <c r="O157" s="287"/>
      <c r="Q157" s="48"/>
      <c r="R157" s="48"/>
      <c r="S157" s="48"/>
      <c r="T157" s="48"/>
      <c r="U157" s="48"/>
      <c r="V157" s="48"/>
      <c r="W157" s="48"/>
      <c r="X157" s="48"/>
      <c r="Y157" s="48"/>
      <c r="Z157" s="48"/>
      <c r="AA157" s="48"/>
      <c r="AB157" s="48"/>
      <c r="AC157" s="48"/>
      <c r="AD157" s="48"/>
      <c r="AE157" s="48"/>
    </row>
    <row r="158" spans="1:31" outlineLevel="1">
      <c r="A158" s="412">
        <f>ROW()</f>
        <v>158</v>
      </c>
      <c r="B158" s="161"/>
      <c r="C158" s="130" t="s">
        <v>483</v>
      </c>
      <c r="D158" s="130" t="s">
        <v>497</v>
      </c>
      <c r="E158" s="132">
        <v>0</v>
      </c>
      <c r="F158" s="162"/>
      <c r="G158" s="602">
        <f t="shared" si="35"/>
        <v>0</v>
      </c>
      <c r="H158" s="602">
        <f t="shared" si="35"/>
        <v>0</v>
      </c>
      <c r="I158" s="602">
        <f t="shared" si="35"/>
        <v>0</v>
      </c>
      <c r="J158" s="602">
        <f t="shared" si="35"/>
        <v>0</v>
      </c>
      <c r="K158" s="602">
        <f t="shared" si="35"/>
        <v>0</v>
      </c>
      <c r="L158" s="602">
        <f t="shared" si="35"/>
        <v>0</v>
      </c>
      <c r="M158" s="602">
        <f t="shared" si="35"/>
        <v>0</v>
      </c>
      <c r="O158" s="287"/>
      <c r="Q158" s="48"/>
      <c r="R158" s="48"/>
      <c r="S158" s="48"/>
      <c r="T158" s="48"/>
      <c r="U158" s="48"/>
      <c r="V158" s="48"/>
      <c r="W158" s="48"/>
      <c r="X158" s="48"/>
      <c r="Y158" s="48"/>
      <c r="Z158" s="48"/>
      <c r="AA158" s="48"/>
      <c r="AB158" s="48"/>
      <c r="AC158" s="48"/>
      <c r="AD158" s="48"/>
      <c r="AE158" s="48"/>
    </row>
    <row r="159" spans="1:31" outlineLevel="1">
      <c r="A159" s="412">
        <f>ROW()</f>
        <v>159</v>
      </c>
      <c r="B159" s="161"/>
      <c r="C159" s="130" t="s">
        <v>483</v>
      </c>
      <c r="D159" s="130" t="s">
        <v>497</v>
      </c>
      <c r="E159" s="132">
        <v>0</v>
      </c>
      <c r="F159" s="162"/>
      <c r="G159" s="602">
        <f t="shared" si="35"/>
        <v>0</v>
      </c>
      <c r="H159" s="602">
        <f t="shared" si="35"/>
        <v>0</v>
      </c>
      <c r="I159" s="602">
        <f t="shared" si="35"/>
        <v>0</v>
      </c>
      <c r="J159" s="602">
        <f t="shared" si="35"/>
        <v>0</v>
      </c>
      <c r="K159" s="602">
        <f t="shared" si="35"/>
        <v>0</v>
      </c>
      <c r="L159" s="602">
        <f t="shared" si="35"/>
        <v>0</v>
      </c>
      <c r="M159" s="602">
        <f t="shared" si="35"/>
        <v>0</v>
      </c>
      <c r="O159" s="287"/>
      <c r="Q159" s="48"/>
      <c r="R159" s="48"/>
      <c r="S159" s="48"/>
      <c r="T159" s="48"/>
      <c r="U159" s="48"/>
      <c r="V159" s="48"/>
      <c r="W159" s="48"/>
      <c r="X159" s="48"/>
      <c r="Y159" s="48"/>
      <c r="Z159" s="48"/>
      <c r="AA159" s="48"/>
      <c r="AB159" s="48"/>
      <c r="AC159" s="48"/>
      <c r="AD159" s="48"/>
      <c r="AE159" s="48"/>
    </row>
    <row r="160" spans="1:31" outlineLevel="1">
      <c r="A160" s="412">
        <f>ROW()</f>
        <v>160</v>
      </c>
      <c r="B160" s="161"/>
      <c r="C160" s="130" t="s">
        <v>483</v>
      </c>
      <c r="D160" s="130" t="s">
        <v>497</v>
      </c>
      <c r="E160" s="132">
        <v>0</v>
      </c>
      <c r="F160" s="162"/>
      <c r="G160" s="602">
        <f t="shared" si="35"/>
        <v>0</v>
      </c>
      <c r="H160" s="602">
        <f t="shared" si="35"/>
        <v>0</v>
      </c>
      <c r="I160" s="602">
        <f t="shared" si="35"/>
        <v>0</v>
      </c>
      <c r="J160" s="602">
        <f t="shared" si="35"/>
        <v>0</v>
      </c>
      <c r="K160" s="602">
        <f t="shared" si="35"/>
        <v>0</v>
      </c>
      <c r="L160" s="602">
        <f t="shared" si="35"/>
        <v>0</v>
      </c>
      <c r="M160" s="602">
        <f t="shared" si="35"/>
        <v>0</v>
      </c>
      <c r="O160" s="287"/>
      <c r="Q160" s="48"/>
      <c r="R160" s="48"/>
      <c r="S160" s="48"/>
      <c r="T160" s="48"/>
      <c r="U160" s="48"/>
      <c r="V160" s="48"/>
      <c r="W160" s="48"/>
      <c r="X160" s="48"/>
      <c r="Y160" s="48"/>
      <c r="Z160" s="48"/>
      <c r="AA160" s="48"/>
      <c r="AB160" s="48"/>
      <c r="AC160" s="48"/>
      <c r="AD160" s="48"/>
      <c r="AE160" s="48"/>
    </row>
    <row r="161" spans="1:31" outlineLevel="1">
      <c r="A161" s="412">
        <f>ROW()</f>
        <v>161</v>
      </c>
      <c r="B161" s="1119"/>
      <c r="C161" s="1120"/>
      <c r="D161" s="1122"/>
      <c r="E161" s="1123"/>
      <c r="F161" s="1123"/>
      <c r="G161" s="119"/>
      <c r="H161" s="119"/>
      <c r="I161" s="119"/>
      <c r="J161" s="119"/>
      <c r="K161" s="119"/>
      <c r="L161" s="119"/>
      <c r="M161" s="119"/>
      <c r="O161" s="287"/>
      <c r="Q161" s="48"/>
      <c r="R161" s="48"/>
      <c r="S161" s="48"/>
      <c r="T161" s="48"/>
      <c r="U161" s="48"/>
      <c r="V161" s="48"/>
      <c r="W161" s="48"/>
      <c r="X161" s="48"/>
      <c r="Y161" s="48"/>
      <c r="Z161" s="48"/>
      <c r="AA161" s="48"/>
      <c r="AB161" s="48"/>
      <c r="AC161" s="48"/>
      <c r="AD161" s="48"/>
      <c r="AE161" s="48"/>
    </row>
    <row r="162" spans="1:31" outlineLevel="1">
      <c r="A162" s="412">
        <f>ROW()</f>
        <v>162</v>
      </c>
      <c r="B162" s="161" t="s">
        <v>1392</v>
      </c>
      <c r="C162" s="130">
        <v>2027</v>
      </c>
      <c r="D162" s="130">
        <v>2027</v>
      </c>
      <c r="E162" s="269">
        <v>59511</v>
      </c>
      <c r="F162" s="162"/>
      <c r="G162" s="602">
        <f t="shared" ref="G162:M166" si="36">IF($D162&lt;=G$10,1,0)</f>
        <v>0</v>
      </c>
      <c r="H162" s="602">
        <f t="shared" si="36"/>
        <v>1</v>
      </c>
      <c r="I162" s="602">
        <f t="shared" si="36"/>
        <v>1</v>
      </c>
      <c r="J162" s="602">
        <f t="shared" si="36"/>
        <v>1</v>
      </c>
      <c r="K162" s="602">
        <f t="shared" si="36"/>
        <v>1</v>
      </c>
      <c r="L162" s="602">
        <f t="shared" si="36"/>
        <v>1</v>
      </c>
      <c r="M162" s="602">
        <f t="shared" si="36"/>
        <v>1</v>
      </c>
      <c r="O162" s="287"/>
      <c r="Q162" s="48"/>
      <c r="R162" s="48"/>
      <c r="S162" s="48"/>
      <c r="T162" s="48"/>
      <c r="U162" s="48"/>
      <c r="V162" s="48"/>
      <c r="W162" s="48"/>
      <c r="X162" s="48"/>
      <c r="Y162" s="48"/>
      <c r="Z162" s="48"/>
      <c r="AA162" s="48"/>
      <c r="AB162" s="48"/>
      <c r="AC162" s="48"/>
      <c r="AD162" s="48"/>
      <c r="AE162" s="48"/>
    </row>
    <row r="163" spans="1:31" outlineLevel="1">
      <c r="A163" s="412">
        <f>ROW()</f>
        <v>163</v>
      </c>
      <c r="B163" s="161" t="s">
        <v>1392</v>
      </c>
      <c r="C163" s="130">
        <v>2027</v>
      </c>
      <c r="D163" s="130">
        <v>2027</v>
      </c>
      <c r="E163" s="132">
        <v>59511</v>
      </c>
      <c r="F163" s="162"/>
      <c r="G163" s="602">
        <f t="shared" si="36"/>
        <v>0</v>
      </c>
      <c r="H163" s="602">
        <f t="shared" si="36"/>
        <v>1</v>
      </c>
      <c r="I163" s="602">
        <f t="shared" si="36"/>
        <v>1</v>
      </c>
      <c r="J163" s="602">
        <f t="shared" si="36"/>
        <v>1</v>
      </c>
      <c r="K163" s="602">
        <f t="shared" si="36"/>
        <v>1</v>
      </c>
      <c r="L163" s="602">
        <f t="shared" si="36"/>
        <v>1</v>
      </c>
      <c r="M163" s="602">
        <f t="shared" si="36"/>
        <v>1</v>
      </c>
      <c r="O163" s="287"/>
      <c r="Q163" s="48"/>
      <c r="R163" s="48"/>
      <c r="S163" s="48"/>
      <c r="T163" s="48"/>
      <c r="U163" s="48"/>
      <c r="V163" s="48"/>
      <c r="W163" s="48"/>
      <c r="X163" s="48"/>
      <c r="Y163" s="48"/>
      <c r="Z163" s="48"/>
      <c r="AA163" s="48"/>
      <c r="AB163" s="48"/>
      <c r="AC163" s="48"/>
      <c r="AD163" s="48"/>
      <c r="AE163" s="48"/>
    </row>
    <row r="164" spans="1:31" outlineLevel="1">
      <c r="A164" s="412">
        <f>ROW()</f>
        <v>164</v>
      </c>
      <c r="B164" s="161"/>
      <c r="C164" s="130" t="s">
        <v>483</v>
      </c>
      <c r="D164" s="130" t="s">
        <v>497</v>
      </c>
      <c r="E164" s="132">
        <v>0</v>
      </c>
      <c r="F164" s="162"/>
      <c r="G164" s="602">
        <f t="shared" si="36"/>
        <v>0</v>
      </c>
      <c r="H164" s="602">
        <f t="shared" si="36"/>
        <v>0</v>
      </c>
      <c r="I164" s="602">
        <f t="shared" si="36"/>
        <v>0</v>
      </c>
      <c r="J164" s="602">
        <f t="shared" si="36"/>
        <v>0</v>
      </c>
      <c r="K164" s="602">
        <f t="shared" si="36"/>
        <v>0</v>
      </c>
      <c r="L164" s="602">
        <f t="shared" si="36"/>
        <v>0</v>
      </c>
      <c r="M164" s="602">
        <f t="shared" si="36"/>
        <v>0</v>
      </c>
      <c r="O164" s="287"/>
      <c r="Q164" s="48"/>
      <c r="R164" s="48"/>
      <c r="S164" s="48"/>
      <c r="T164" s="48"/>
      <c r="U164" s="48"/>
      <c r="V164" s="48"/>
      <c r="W164" s="48"/>
      <c r="X164" s="48"/>
      <c r="Y164" s="48"/>
      <c r="Z164" s="48"/>
      <c r="AA164" s="48"/>
      <c r="AB164" s="48"/>
      <c r="AC164" s="48"/>
      <c r="AD164" s="48"/>
      <c r="AE164" s="48"/>
    </row>
    <row r="165" spans="1:31" outlineLevel="1">
      <c r="A165" s="412">
        <f>ROW()</f>
        <v>165</v>
      </c>
      <c r="B165" s="161"/>
      <c r="C165" s="130" t="s">
        <v>483</v>
      </c>
      <c r="D165" s="130" t="s">
        <v>497</v>
      </c>
      <c r="E165" s="132">
        <v>0</v>
      </c>
      <c r="F165" s="162"/>
      <c r="G165" s="602">
        <f t="shared" si="36"/>
        <v>0</v>
      </c>
      <c r="H165" s="602">
        <f t="shared" si="36"/>
        <v>0</v>
      </c>
      <c r="I165" s="602">
        <f t="shared" si="36"/>
        <v>0</v>
      </c>
      <c r="J165" s="602">
        <f t="shared" si="36"/>
        <v>0</v>
      </c>
      <c r="K165" s="602">
        <f t="shared" si="36"/>
        <v>0</v>
      </c>
      <c r="L165" s="602">
        <f t="shared" si="36"/>
        <v>0</v>
      </c>
      <c r="M165" s="602">
        <f t="shared" si="36"/>
        <v>0</v>
      </c>
      <c r="O165" s="287"/>
      <c r="Q165" s="48"/>
      <c r="R165" s="48"/>
      <c r="S165" s="48"/>
      <c r="T165" s="48"/>
      <c r="U165" s="48"/>
      <c r="V165" s="48"/>
      <c r="W165" s="48"/>
      <c r="X165" s="48"/>
      <c r="Y165" s="48"/>
      <c r="Z165" s="48"/>
      <c r="AA165" s="48"/>
      <c r="AB165" s="48"/>
      <c r="AC165" s="48"/>
      <c r="AD165" s="48"/>
      <c r="AE165" s="48"/>
    </row>
    <row r="166" spans="1:31" outlineLevel="1">
      <c r="A166" s="412">
        <f>ROW()</f>
        <v>166</v>
      </c>
      <c r="B166" s="161"/>
      <c r="C166" s="130" t="s">
        <v>483</v>
      </c>
      <c r="D166" s="130" t="s">
        <v>497</v>
      </c>
      <c r="E166" s="132">
        <v>0</v>
      </c>
      <c r="F166" s="162"/>
      <c r="G166" s="602">
        <f t="shared" si="36"/>
        <v>0</v>
      </c>
      <c r="H166" s="602">
        <f t="shared" si="36"/>
        <v>0</v>
      </c>
      <c r="I166" s="602">
        <f t="shared" si="36"/>
        <v>0</v>
      </c>
      <c r="J166" s="602">
        <f t="shared" si="36"/>
        <v>0</v>
      </c>
      <c r="K166" s="602">
        <f t="shared" si="36"/>
        <v>0</v>
      </c>
      <c r="L166" s="602">
        <f t="shared" si="36"/>
        <v>0</v>
      </c>
      <c r="M166" s="602">
        <f t="shared" si="36"/>
        <v>0</v>
      </c>
      <c r="O166" s="287"/>
      <c r="Q166" s="48"/>
      <c r="R166" s="48"/>
      <c r="S166" s="48"/>
      <c r="T166" s="48"/>
      <c r="U166" s="48"/>
      <c r="V166" s="48"/>
      <c r="W166" s="48"/>
      <c r="X166" s="48"/>
      <c r="Y166" s="48"/>
      <c r="Z166" s="48"/>
      <c r="AA166" s="48"/>
      <c r="AB166" s="48"/>
      <c r="AC166" s="48"/>
      <c r="AD166" s="48"/>
      <c r="AE166" s="48"/>
    </row>
    <row r="167" spans="1:31" outlineLevel="1">
      <c r="A167" s="412">
        <f>ROW()</f>
        <v>167</v>
      </c>
      <c r="B167" s="1119"/>
      <c r="C167" s="1120"/>
      <c r="D167" s="1120"/>
      <c r="E167" s="1124"/>
      <c r="F167" s="1124"/>
      <c r="G167" s="119"/>
      <c r="H167" s="119"/>
      <c r="I167" s="119"/>
      <c r="J167" s="119"/>
      <c r="K167" s="119"/>
      <c r="L167" s="119"/>
      <c r="M167" s="119"/>
      <c r="O167" s="287"/>
      <c r="Q167" s="48"/>
      <c r="R167" s="48"/>
      <c r="S167" s="48"/>
      <c r="T167" s="48"/>
      <c r="U167" s="48"/>
      <c r="V167" s="48"/>
      <c r="W167" s="48"/>
      <c r="X167" s="48"/>
      <c r="Y167" s="48"/>
      <c r="Z167" s="48"/>
      <c r="AA167" s="48"/>
      <c r="AB167" s="48"/>
      <c r="AC167" s="48"/>
      <c r="AD167" s="48"/>
      <c r="AE167" s="48"/>
    </row>
    <row r="168" spans="1:31" outlineLevel="1">
      <c r="A168" s="412">
        <f>ROW()</f>
        <v>168</v>
      </c>
      <c r="B168" s="161" t="s">
        <v>1393</v>
      </c>
      <c r="C168" s="130">
        <v>2027</v>
      </c>
      <c r="D168" s="130">
        <v>2027</v>
      </c>
      <c r="E168" s="269">
        <v>59511</v>
      </c>
      <c r="F168" s="162"/>
      <c r="G168" s="602">
        <f t="shared" ref="G168:M172" si="37">IF($D168&lt;=G$10,1,0)</f>
        <v>0</v>
      </c>
      <c r="H168" s="602">
        <f t="shared" si="37"/>
        <v>1</v>
      </c>
      <c r="I168" s="602">
        <f t="shared" si="37"/>
        <v>1</v>
      </c>
      <c r="J168" s="602">
        <f t="shared" si="37"/>
        <v>1</v>
      </c>
      <c r="K168" s="602">
        <f t="shared" si="37"/>
        <v>1</v>
      </c>
      <c r="L168" s="602">
        <f t="shared" si="37"/>
        <v>1</v>
      </c>
      <c r="M168" s="602">
        <f t="shared" si="37"/>
        <v>1</v>
      </c>
      <c r="O168" s="287"/>
      <c r="Q168" s="48"/>
      <c r="R168" s="48"/>
      <c r="S168" s="48"/>
      <c r="T168" s="48"/>
      <c r="U168" s="48"/>
      <c r="V168" s="48"/>
      <c r="W168" s="48"/>
      <c r="X168" s="48"/>
      <c r="Y168" s="48"/>
      <c r="Z168" s="48"/>
      <c r="AA168" s="48"/>
      <c r="AB168" s="48"/>
      <c r="AC168" s="48"/>
      <c r="AD168" s="48"/>
      <c r="AE168" s="48"/>
    </row>
    <row r="169" spans="1:31" outlineLevel="1">
      <c r="A169" s="412">
        <f>ROW()</f>
        <v>169</v>
      </c>
      <c r="B169" s="161" t="s">
        <v>1393</v>
      </c>
      <c r="C169" s="130">
        <v>2027</v>
      </c>
      <c r="D169" s="130">
        <v>2027</v>
      </c>
      <c r="E169" s="132">
        <v>59511</v>
      </c>
      <c r="F169" s="162"/>
      <c r="G169" s="602">
        <f t="shared" si="37"/>
        <v>0</v>
      </c>
      <c r="H169" s="602">
        <f t="shared" si="37"/>
        <v>1</v>
      </c>
      <c r="I169" s="602">
        <f t="shared" si="37"/>
        <v>1</v>
      </c>
      <c r="J169" s="602">
        <f t="shared" si="37"/>
        <v>1</v>
      </c>
      <c r="K169" s="602">
        <f t="shared" si="37"/>
        <v>1</v>
      </c>
      <c r="L169" s="602">
        <f t="shared" si="37"/>
        <v>1</v>
      </c>
      <c r="M169" s="602">
        <f t="shared" si="37"/>
        <v>1</v>
      </c>
      <c r="O169" s="287"/>
      <c r="Q169" s="48"/>
      <c r="R169" s="48"/>
      <c r="S169" s="48"/>
      <c r="T169" s="48"/>
      <c r="U169" s="48"/>
      <c r="V169" s="48"/>
      <c r="W169" s="48"/>
      <c r="X169" s="48"/>
      <c r="Y169" s="48"/>
      <c r="Z169" s="48"/>
      <c r="AA169" s="48"/>
      <c r="AB169" s="48"/>
      <c r="AC169" s="48"/>
      <c r="AD169" s="48"/>
      <c r="AE169" s="48"/>
    </row>
    <row r="170" spans="1:31" outlineLevel="1">
      <c r="A170" s="412">
        <f>ROW()</f>
        <v>170</v>
      </c>
      <c r="B170" s="161"/>
      <c r="C170" s="130" t="s">
        <v>483</v>
      </c>
      <c r="D170" s="130" t="s">
        <v>497</v>
      </c>
      <c r="E170" s="132">
        <v>0</v>
      </c>
      <c r="F170" s="162"/>
      <c r="G170" s="602">
        <f t="shared" si="37"/>
        <v>0</v>
      </c>
      <c r="H170" s="602">
        <f t="shared" si="37"/>
        <v>0</v>
      </c>
      <c r="I170" s="602">
        <f t="shared" si="37"/>
        <v>0</v>
      </c>
      <c r="J170" s="602">
        <f t="shared" si="37"/>
        <v>0</v>
      </c>
      <c r="K170" s="602">
        <f t="shared" si="37"/>
        <v>0</v>
      </c>
      <c r="L170" s="602">
        <f t="shared" si="37"/>
        <v>0</v>
      </c>
      <c r="M170" s="602">
        <f t="shared" si="37"/>
        <v>0</v>
      </c>
      <c r="O170" s="287"/>
      <c r="Q170" s="48"/>
      <c r="R170" s="48"/>
      <c r="S170" s="48"/>
      <c r="T170" s="48"/>
      <c r="U170" s="48"/>
      <c r="V170" s="48"/>
      <c r="W170" s="48"/>
      <c r="X170" s="48"/>
      <c r="Y170" s="48"/>
      <c r="Z170" s="48"/>
      <c r="AA170" s="48"/>
      <c r="AB170" s="48"/>
      <c r="AC170" s="48"/>
      <c r="AD170" s="48"/>
      <c r="AE170" s="48"/>
    </row>
    <row r="171" spans="1:31" outlineLevel="1">
      <c r="A171" s="412">
        <f>ROW()</f>
        <v>171</v>
      </c>
      <c r="B171" s="161"/>
      <c r="C171" s="130" t="s">
        <v>483</v>
      </c>
      <c r="D171" s="130" t="s">
        <v>497</v>
      </c>
      <c r="E171" s="132">
        <v>0</v>
      </c>
      <c r="F171" s="162"/>
      <c r="G171" s="602">
        <f t="shared" si="37"/>
        <v>0</v>
      </c>
      <c r="H171" s="602">
        <f t="shared" si="37"/>
        <v>0</v>
      </c>
      <c r="I171" s="602">
        <f t="shared" si="37"/>
        <v>0</v>
      </c>
      <c r="J171" s="602">
        <f t="shared" si="37"/>
        <v>0</v>
      </c>
      <c r="K171" s="602">
        <f t="shared" si="37"/>
        <v>0</v>
      </c>
      <c r="L171" s="602">
        <f t="shared" si="37"/>
        <v>0</v>
      </c>
      <c r="M171" s="602">
        <f t="shared" si="37"/>
        <v>0</v>
      </c>
      <c r="O171" s="287"/>
      <c r="Q171" s="48"/>
      <c r="R171" s="48"/>
      <c r="S171" s="48"/>
      <c r="T171" s="48"/>
      <c r="U171" s="48"/>
      <c r="V171" s="48"/>
      <c r="W171" s="48"/>
      <c r="X171" s="48"/>
      <c r="Y171" s="48"/>
      <c r="Z171" s="48"/>
      <c r="AA171" s="48"/>
      <c r="AB171" s="48"/>
      <c r="AC171" s="48"/>
      <c r="AD171" s="48"/>
      <c r="AE171" s="48"/>
    </row>
    <row r="172" spans="1:31" outlineLevel="1">
      <c r="A172" s="412">
        <f>ROW()</f>
        <v>172</v>
      </c>
      <c r="B172" s="161"/>
      <c r="C172" s="130" t="s">
        <v>483</v>
      </c>
      <c r="D172" s="130" t="s">
        <v>497</v>
      </c>
      <c r="E172" s="132">
        <v>0</v>
      </c>
      <c r="F172" s="162"/>
      <c r="G172" s="602">
        <f t="shared" si="37"/>
        <v>0</v>
      </c>
      <c r="H172" s="602">
        <f t="shared" si="37"/>
        <v>0</v>
      </c>
      <c r="I172" s="602">
        <f t="shared" si="37"/>
        <v>0</v>
      </c>
      <c r="J172" s="602">
        <f t="shared" si="37"/>
        <v>0</v>
      </c>
      <c r="K172" s="602">
        <f t="shared" si="37"/>
        <v>0</v>
      </c>
      <c r="L172" s="602">
        <f t="shared" si="37"/>
        <v>0</v>
      </c>
      <c r="M172" s="602">
        <f t="shared" si="37"/>
        <v>0</v>
      </c>
      <c r="O172" s="287"/>
      <c r="Q172" s="48"/>
      <c r="R172" s="48"/>
      <c r="S172" s="48"/>
      <c r="T172" s="48"/>
      <c r="U172" s="48"/>
      <c r="V172" s="48"/>
      <c r="W172" s="48"/>
      <c r="X172" s="48"/>
      <c r="Y172" s="48"/>
      <c r="Z172" s="48"/>
      <c r="AA172" s="48"/>
      <c r="AB172" s="48"/>
      <c r="AC172" s="48"/>
      <c r="AD172" s="48"/>
      <c r="AE172" s="48"/>
    </row>
    <row r="173" spans="1:31" outlineLevel="1">
      <c r="A173" s="412">
        <f>ROW()</f>
        <v>173</v>
      </c>
      <c r="B173" s="1119"/>
      <c r="C173" s="1120"/>
      <c r="D173" s="1122"/>
      <c r="E173" s="1123"/>
      <c r="F173" s="1124"/>
      <c r="G173" s="119"/>
      <c r="H173" s="119"/>
      <c r="I173" s="119"/>
      <c r="J173" s="119"/>
      <c r="K173" s="119"/>
      <c r="L173" s="119"/>
      <c r="M173" s="119"/>
      <c r="O173" s="287"/>
      <c r="Q173" s="48"/>
      <c r="R173" s="48"/>
      <c r="S173" s="48"/>
      <c r="T173" s="48"/>
      <c r="U173" s="48"/>
      <c r="V173" s="48"/>
      <c r="W173" s="48"/>
      <c r="X173" s="48"/>
      <c r="Y173" s="48"/>
      <c r="Z173" s="48"/>
      <c r="AA173" s="48"/>
      <c r="AB173" s="48"/>
      <c r="AC173" s="48"/>
      <c r="AD173" s="48"/>
      <c r="AE173" s="48"/>
    </row>
    <row r="174" spans="1:31" outlineLevel="1">
      <c r="A174" s="412">
        <f>ROW()</f>
        <v>174</v>
      </c>
      <c r="B174" s="161" t="s">
        <v>1394</v>
      </c>
      <c r="C174" s="130">
        <v>2027</v>
      </c>
      <c r="D174" s="130">
        <v>2027</v>
      </c>
      <c r="E174" s="269">
        <v>59511</v>
      </c>
      <c r="F174" s="162"/>
      <c r="G174" s="602">
        <f t="shared" ref="G174:M178" si="38">IF($D174&lt;=G$10,1,0)</f>
        <v>0</v>
      </c>
      <c r="H174" s="602">
        <f t="shared" si="38"/>
        <v>1</v>
      </c>
      <c r="I174" s="602">
        <f t="shared" si="38"/>
        <v>1</v>
      </c>
      <c r="J174" s="602">
        <f t="shared" si="38"/>
        <v>1</v>
      </c>
      <c r="K174" s="602">
        <f t="shared" si="38"/>
        <v>1</v>
      </c>
      <c r="L174" s="602">
        <f t="shared" si="38"/>
        <v>1</v>
      </c>
      <c r="M174" s="602">
        <f t="shared" si="38"/>
        <v>1</v>
      </c>
      <c r="O174" s="287"/>
      <c r="Q174" s="48"/>
      <c r="R174" s="48"/>
      <c r="S174" s="48"/>
      <c r="T174" s="48"/>
      <c r="U174" s="48"/>
      <c r="V174" s="48"/>
      <c r="W174" s="48"/>
      <c r="X174" s="48"/>
      <c r="Y174" s="48"/>
      <c r="Z174" s="48"/>
      <c r="AA174" s="48"/>
      <c r="AB174" s="48"/>
      <c r="AC174" s="48"/>
      <c r="AD174" s="48"/>
      <c r="AE174" s="48"/>
    </row>
    <row r="175" spans="1:31" outlineLevel="1">
      <c r="A175" s="412">
        <f>ROW()</f>
        <v>175</v>
      </c>
      <c r="B175" s="161" t="s">
        <v>1394</v>
      </c>
      <c r="C175" s="130">
        <v>2028</v>
      </c>
      <c r="D175" s="130">
        <v>2028</v>
      </c>
      <c r="E175" s="132">
        <v>59511</v>
      </c>
      <c r="F175" s="162"/>
      <c r="G175" s="602">
        <f t="shared" si="38"/>
        <v>0</v>
      </c>
      <c r="H175" s="602">
        <f t="shared" si="38"/>
        <v>0</v>
      </c>
      <c r="I175" s="602">
        <f t="shared" si="38"/>
        <v>1</v>
      </c>
      <c r="J175" s="602">
        <f t="shared" si="38"/>
        <v>1</v>
      </c>
      <c r="K175" s="602">
        <f t="shared" si="38"/>
        <v>1</v>
      </c>
      <c r="L175" s="602">
        <f t="shared" si="38"/>
        <v>1</v>
      </c>
      <c r="M175" s="602">
        <f t="shared" si="38"/>
        <v>1</v>
      </c>
      <c r="O175" s="287"/>
      <c r="Q175" s="48"/>
      <c r="R175" s="48"/>
      <c r="S175" s="48"/>
      <c r="T175" s="48"/>
      <c r="U175" s="48"/>
      <c r="V175" s="48"/>
      <c r="W175" s="48"/>
      <c r="X175" s="48"/>
      <c r="Y175" s="48"/>
      <c r="Z175" s="48"/>
      <c r="AA175" s="48"/>
      <c r="AB175" s="48"/>
      <c r="AC175" s="48"/>
      <c r="AD175" s="48"/>
      <c r="AE175" s="48"/>
    </row>
    <row r="176" spans="1:31" outlineLevel="1">
      <c r="A176" s="412">
        <f>ROW()</f>
        <v>176</v>
      </c>
      <c r="B176" s="161"/>
      <c r="C176" s="130" t="s">
        <v>483</v>
      </c>
      <c r="D176" s="130" t="s">
        <v>497</v>
      </c>
      <c r="E176" s="132">
        <v>0</v>
      </c>
      <c r="F176" s="162"/>
      <c r="G176" s="602">
        <f t="shared" si="38"/>
        <v>0</v>
      </c>
      <c r="H176" s="602">
        <f t="shared" si="38"/>
        <v>0</v>
      </c>
      <c r="I176" s="602">
        <f t="shared" si="38"/>
        <v>0</v>
      </c>
      <c r="J176" s="602">
        <f t="shared" si="38"/>
        <v>0</v>
      </c>
      <c r="K176" s="602">
        <f t="shared" si="38"/>
        <v>0</v>
      </c>
      <c r="L176" s="602">
        <f t="shared" si="38"/>
        <v>0</v>
      </c>
      <c r="M176" s="602">
        <f t="shared" si="38"/>
        <v>0</v>
      </c>
      <c r="O176" s="287"/>
      <c r="Q176" s="48"/>
      <c r="R176" s="48"/>
      <c r="S176" s="48"/>
      <c r="T176" s="48"/>
      <c r="U176" s="48"/>
      <c r="V176" s="48"/>
      <c r="W176" s="48"/>
      <c r="X176" s="48"/>
      <c r="Y176" s="48"/>
      <c r="Z176" s="48"/>
      <c r="AA176" s="48"/>
      <c r="AB176" s="48"/>
      <c r="AC176" s="48"/>
      <c r="AD176" s="48"/>
      <c r="AE176" s="48"/>
    </row>
    <row r="177" spans="1:31" outlineLevel="1">
      <c r="A177" s="412">
        <f>ROW()</f>
        <v>177</v>
      </c>
      <c r="B177" s="161"/>
      <c r="C177" s="130" t="s">
        <v>483</v>
      </c>
      <c r="D177" s="130" t="s">
        <v>497</v>
      </c>
      <c r="E177" s="132">
        <v>0</v>
      </c>
      <c r="F177" s="162"/>
      <c r="G177" s="602">
        <f t="shared" si="38"/>
        <v>0</v>
      </c>
      <c r="H177" s="602">
        <f t="shared" si="38"/>
        <v>0</v>
      </c>
      <c r="I177" s="602">
        <f t="shared" si="38"/>
        <v>0</v>
      </c>
      <c r="J177" s="602">
        <f t="shared" si="38"/>
        <v>0</v>
      </c>
      <c r="K177" s="602">
        <f t="shared" si="38"/>
        <v>0</v>
      </c>
      <c r="L177" s="602">
        <f t="shared" si="38"/>
        <v>0</v>
      </c>
      <c r="M177" s="602">
        <f t="shared" si="38"/>
        <v>0</v>
      </c>
      <c r="O177" s="287"/>
      <c r="Q177" s="48"/>
      <c r="R177" s="48"/>
      <c r="S177" s="48"/>
      <c r="T177" s="48"/>
      <c r="U177" s="48"/>
      <c r="V177" s="48"/>
      <c r="W177" s="48"/>
      <c r="X177" s="48"/>
      <c r="Y177" s="48"/>
      <c r="Z177" s="48"/>
      <c r="AA177" s="48"/>
      <c r="AB177" s="48"/>
      <c r="AC177" s="48"/>
      <c r="AD177" s="48"/>
      <c r="AE177" s="48"/>
    </row>
    <row r="178" spans="1:31" outlineLevel="1">
      <c r="A178" s="412">
        <f>ROW()</f>
        <v>178</v>
      </c>
      <c r="B178" s="161"/>
      <c r="C178" s="130" t="s">
        <v>483</v>
      </c>
      <c r="D178" s="130" t="s">
        <v>497</v>
      </c>
      <c r="E178" s="132">
        <v>0</v>
      </c>
      <c r="F178" s="162"/>
      <c r="G178" s="602">
        <f t="shared" si="38"/>
        <v>0</v>
      </c>
      <c r="H178" s="602">
        <f t="shared" si="38"/>
        <v>0</v>
      </c>
      <c r="I178" s="602">
        <f t="shared" si="38"/>
        <v>0</v>
      </c>
      <c r="J178" s="602">
        <f t="shared" si="38"/>
        <v>0</v>
      </c>
      <c r="K178" s="602">
        <f t="shared" si="38"/>
        <v>0</v>
      </c>
      <c r="L178" s="602">
        <f t="shared" si="38"/>
        <v>0</v>
      </c>
      <c r="M178" s="602">
        <f t="shared" si="38"/>
        <v>0</v>
      </c>
      <c r="O178" s="287"/>
      <c r="Q178" s="48"/>
      <c r="R178" s="48"/>
      <c r="S178" s="48"/>
      <c r="T178" s="48"/>
      <c r="U178" s="48"/>
      <c r="V178" s="48"/>
      <c r="W178" s="48"/>
      <c r="X178" s="48"/>
      <c r="Y178" s="48"/>
      <c r="Z178" s="48"/>
      <c r="AA178" s="48"/>
      <c r="AB178" s="48"/>
      <c r="AC178" s="48"/>
      <c r="AD178" s="48"/>
      <c r="AE178" s="48"/>
    </row>
    <row r="179" spans="1:31" outlineLevel="1">
      <c r="A179" s="412">
        <f>ROW()</f>
        <v>179</v>
      </c>
      <c r="B179" s="1119"/>
      <c r="C179" s="1120"/>
      <c r="D179" s="1120"/>
      <c r="E179" s="1123"/>
      <c r="F179" s="1124"/>
      <c r="G179" s="119"/>
      <c r="H179" s="119"/>
      <c r="I179" s="119"/>
      <c r="J179" s="119"/>
      <c r="K179" s="119"/>
      <c r="L179" s="119"/>
      <c r="M179" s="119"/>
      <c r="O179" s="287"/>
      <c r="Q179" s="48"/>
      <c r="R179" s="48"/>
      <c r="S179" s="48"/>
      <c r="T179" s="48"/>
      <c r="U179" s="48"/>
      <c r="V179" s="48"/>
      <c r="W179" s="48"/>
      <c r="X179" s="48"/>
      <c r="Y179" s="48"/>
      <c r="Z179" s="48"/>
      <c r="AA179" s="48"/>
      <c r="AB179" s="48"/>
      <c r="AC179" s="48"/>
      <c r="AD179" s="48"/>
      <c r="AE179" s="48"/>
    </row>
    <row r="180" spans="1:31" outlineLevel="1">
      <c r="A180" s="412">
        <f>ROW()</f>
        <v>180</v>
      </c>
      <c r="B180" s="161" t="s">
        <v>1395</v>
      </c>
      <c r="C180" s="130">
        <v>2028</v>
      </c>
      <c r="D180" s="130">
        <v>2028</v>
      </c>
      <c r="E180" s="269">
        <v>59511</v>
      </c>
      <c r="F180" s="162"/>
      <c r="G180" s="602">
        <f t="shared" ref="G180:M184" si="39">IF($D180&lt;=G$10,1,0)</f>
        <v>0</v>
      </c>
      <c r="H180" s="602">
        <f t="shared" si="39"/>
        <v>0</v>
      </c>
      <c r="I180" s="602">
        <f t="shared" si="39"/>
        <v>1</v>
      </c>
      <c r="J180" s="602">
        <f t="shared" si="39"/>
        <v>1</v>
      </c>
      <c r="K180" s="602">
        <f t="shared" si="39"/>
        <v>1</v>
      </c>
      <c r="L180" s="602">
        <f t="shared" si="39"/>
        <v>1</v>
      </c>
      <c r="M180" s="602">
        <f t="shared" si="39"/>
        <v>1</v>
      </c>
      <c r="O180" s="287"/>
      <c r="Q180" s="48"/>
      <c r="R180" s="48"/>
      <c r="S180" s="48"/>
      <c r="T180" s="48"/>
      <c r="U180" s="48"/>
      <c r="V180" s="48"/>
      <c r="W180" s="48"/>
      <c r="X180" s="48"/>
      <c r="Y180" s="48"/>
      <c r="Z180" s="48"/>
      <c r="AA180" s="48"/>
      <c r="AB180" s="48"/>
      <c r="AC180" s="48"/>
      <c r="AD180" s="48"/>
      <c r="AE180" s="48"/>
    </row>
    <row r="181" spans="1:31" outlineLevel="1">
      <c r="A181" s="412">
        <f>ROW()</f>
        <v>181</v>
      </c>
      <c r="B181" s="161" t="s">
        <v>1395</v>
      </c>
      <c r="C181" s="130">
        <v>2028</v>
      </c>
      <c r="D181" s="130">
        <v>2028</v>
      </c>
      <c r="E181" s="132">
        <v>59511</v>
      </c>
      <c r="F181" s="162"/>
      <c r="G181" s="602">
        <f t="shared" si="39"/>
        <v>0</v>
      </c>
      <c r="H181" s="602">
        <f t="shared" si="39"/>
        <v>0</v>
      </c>
      <c r="I181" s="602">
        <f t="shared" si="39"/>
        <v>1</v>
      </c>
      <c r="J181" s="602">
        <f t="shared" si="39"/>
        <v>1</v>
      </c>
      <c r="K181" s="602">
        <f t="shared" si="39"/>
        <v>1</v>
      </c>
      <c r="L181" s="602">
        <f t="shared" si="39"/>
        <v>1</v>
      </c>
      <c r="M181" s="602">
        <f t="shared" si="39"/>
        <v>1</v>
      </c>
      <c r="O181" s="287"/>
      <c r="Q181" s="48"/>
      <c r="R181" s="48"/>
      <c r="S181" s="48"/>
      <c r="T181" s="48"/>
      <c r="U181" s="48"/>
      <c r="V181" s="48"/>
      <c r="W181" s="48"/>
      <c r="X181" s="48"/>
      <c r="Y181" s="48"/>
      <c r="Z181" s="48"/>
      <c r="AA181" s="48"/>
      <c r="AB181" s="48"/>
      <c r="AC181" s="48"/>
      <c r="AD181" s="48"/>
      <c r="AE181" s="48"/>
    </row>
    <row r="182" spans="1:31" outlineLevel="1">
      <c r="A182" s="412">
        <f>ROW()</f>
        <v>182</v>
      </c>
      <c r="B182" s="161"/>
      <c r="C182" s="130" t="s">
        <v>483</v>
      </c>
      <c r="D182" s="130" t="s">
        <v>497</v>
      </c>
      <c r="E182" s="132">
        <v>0</v>
      </c>
      <c r="F182" s="162"/>
      <c r="G182" s="602">
        <f t="shared" si="39"/>
        <v>0</v>
      </c>
      <c r="H182" s="602">
        <f t="shared" si="39"/>
        <v>0</v>
      </c>
      <c r="I182" s="602">
        <f t="shared" si="39"/>
        <v>0</v>
      </c>
      <c r="J182" s="602">
        <f t="shared" si="39"/>
        <v>0</v>
      </c>
      <c r="K182" s="602">
        <f t="shared" si="39"/>
        <v>0</v>
      </c>
      <c r="L182" s="602">
        <f t="shared" si="39"/>
        <v>0</v>
      </c>
      <c r="M182" s="602">
        <f t="shared" si="39"/>
        <v>0</v>
      </c>
      <c r="O182" s="287"/>
      <c r="Q182" s="48"/>
      <c r="R182" s="48"/>
      <c r="S182" s="48"/>
      <c r="T182" s="48"/>
      <c r="U182" s="48"/>
      <c r="V182" s="48"/>
      <c r="W182" s="48"/>
      <c r="X182" s="48"/>
      <c r="Y182" s="48"/>
      <c r="Z182" s="48"/>
      <c r="AA182" s="48"/>
      <c r="AB182" s="48"/>
      <c r="AC182" s="48"/>
      <c r="AD182" s="48"/>
      <c r="AE182" s="48"/>
    </row>
    <row r="183" spans="1:31" outlineLevel="1">
      <c r="A183" s="412">
        <f>ROW()</f>
        <v>183</v>
      </c>
      <c r="B183" s="161"/>
      <c r="C183" s="130" t="s">
        <v>483</v>
      </c>
      <c r="D183" s="130" t="s">
        <v>497</v>
      </c>
      <c r="E183" s="132">
        <v>0</v>
      </c>
      <c r="F183" s="162"/>
      <c r="G183" s="602">
        <f t="shared" si="39"/>
        <v>0</v>
      </c>
      <c r="H183" s="602">
        <f t="shared" si="39"/>
        <v>0</v>
      </c>
      <c r="I183" s="602">
        <f t="shared" si="39"/>
        <v>0</v>
      </c>
      <c r="J183" s="602">
        <f t="shared" si="39"/>
        <v>0</v>
      </c>
      <c r="K183" s="602">
        <f t="shared" si="39"/>
        <v>0</v>
      </c>
      <c r="L183" s="602">
        <f t="shared" si="39"/>
        <v>0</v>
      </c>
      <c r="M183" s="602">
        <f t="shared" si="39"/>
        <v>0</v>
      </c>
      <c r="O183" s="287"/>
      <c r="Q183" s="48"/>
      <c r="R183" s="48"/>
      <c r="S183" s="48"/>
      <c r="T183" s="48"/>
      <c r="U183" s="48"/>
      <c r="V183" s="48"/>
      <c r="W183" s="48"/>
      <c r="X183" s="48"/>
      <c r="Y183" s="48"/>
      <c r="Z183" s="48"/>
      <c r="AA183" s="48"/>
      <c r="AB183" s="48"/>
      <c r="AC183" s="48"/>
      <c r="AD183" s="48"/>
      <c r="AE183" s="48"/>
    </row>
    <row r="184" spans="1:31" outlineLevel="1">
      <c r="A184" s="412">
        <f>ROW()</f>
        <v>184</v>
      </c>
      <c r="B184" s="161"/>
      <c r="C184" s="130" t="s">
        <v>483</v>
      </c>
      <c r="D184" s="130" t="s">
        <v>497</v>
      </c>
      <c r="E184" s="132">
        <v>0</v>
      </c>
      <c r="F184" s="162"/>
      <c r="G184" s="602">
        <f t="shared" si="39"/>
        <v>0</v>
      </c>
      <c r="H184" s="602">
        <f t="shared" si="39"/>
        <v>0</v>
      </c>
      <c r="I184" s="602">
        <f t="shared" si="39"/>
        <v>0</v>
      </c>
      <c r="J184" s="602">
        <f t="shared" si="39"/>
        <v>0</v>
      </c>
      <c r="K184" s="602">
        <f t="shared" si="39"/>
        <v>0</v>
      </c>
      <c r="L184" s="602">
        <f t="shared" si="39"/>
        <v>0</v>
      </c>
      <c r="M184" s="602">
        <f t="shared" si="39"/>
        <v>0</v>
      </c>
      <c r="O184" s="287"/>
      <c r="Q184" s="48"/>
      <c r="R184" s="48"/>
      <c r="S184" s="48"/>
      <c r="T184" s="48"/>
      <c r="U184" s="48"/>
      <c r="V184" s="48"/>
      <c r="W184" s="48"/>
      <c r="X184" s="48"/>
      <c r="Y184" s="48"/>
      <c r="Z184" s="48"/>
      <c r="AA184" s="48"/>
      <c r="AB184" s="48"/>
      <c r="AC184" s="48"/>
      <c r="AD184" s="48"/>
      <c r="AE184" s="48"/>
    </row>
    <row r="185" spans="1:31" outlineLevel="1">
      <c r="A185" s="412">
        <f>ROW()</f>
        <v>185</v>
      </c>
      <c r="B185" s="1119"/>
      <c r="C185" s="1124"/>
      <c r="D185" s="1122"/>
      <c r="E185" s="1123"/>
      <c r="F185" s="1124"/>
      <c r="G185" s="119"/>
      <c r="H185" s="119"/>
      <c r="I185" s="119"/>
      <c r="J185" s="119"/>
      <c r="K185" s="119"/>
      <c r="L185" s="119"/>
      <c r="M185" s="119"/>
      <c r="O185" s="287"/>
      <c r="Q185" s="48"/>
      <c r="R185" s="48"/>
      <c r="S185" s="48"/>
      <c r="T185" s="48"/>
      <c r="U185" s="48"/>
      <c r="V185" s="48"/>
      <c r="W185" s="48"/>
      <c r="X185" s="48"/>
      <c r="Y185" s="48"/>
      <c r="Z185" s="48"/>
      <c r="AA185" s="48"/>
      <c r="AB185" s="48"/>
      <c r="AC185" s="48"/>
      <c r="AD185" s="48"/>
      <c r="AE185" s="48"/>
    </row>
    <row r="186" spans="1:31" outlineLevel="1">
      <c r="A186" s="412">
        <f>ROW()</f>
        <v>186</v>
      </c>
      <c r="B186" s="161" t="s">
        <v>1396</v>
      </c>
      <c r="C186" s="130">
        <v>2029</v>
      </c>
      <c r="D186" s="130">
        <v>2029</v>
      </c>
      <c r="E186" s="269">
        <v>59511</v>
      </c>
      <c r="F186" s="162"/>
      <c r="G186" s="602">
        <f t="shared" ref="G186:M190" si="40">IF($D186&lt;=G$10,1,0)</f>
        <v>0</v>
      </c>
      <c r="H186" s="602">
        <f t="shared" si="40"/>
        <v>0</v>
      </c>
      <c r="I186" s="602">
        <f t="shared" si="40"/>
        <v>0</v>
      </c>
      <c r="J186" s="602">
        <f t="shared" si="40"/>
        <v>1</v>
      </c>
      <c r="K186" s="602">
        <f t="shared" si="40"/>
        <v>1</v>
      </c>
      <c r="L186" s="602">
        <f t="shared" si="40"/>
        <v>1</v>
      </c>
      <c r="M186" s="602">
        <f t="shared" si="40"/>
        <v>1</v>
      </c>
      <c r="O186" s="287"/>
      <c r="Q186" s="48"/>
      <c r="R186" s="48"/>
      <c r="S186" s="48"/>
      <c r="T186" s="48"/>
      <c r="U186" s="48"/>
      <c r="V186" s="48"/>
      <c r="W186" s="48"/>
      <c r="X186" s="48"/>
      <c r="Y186" s="48"/>
      <c r="Z186" s="48"/>
      <c r="AA186" s="48"/>
      <c r="AB186" s="48"/>
      <c r="AC186" s="48"/>
      <c r="AD186" s="48"/>
      <c r="AE186" s="48"/>
    </row>
    <row r="187" spans="1:31" outlineLevel="1">
      <c r="A187" s="412">
        <f>ROW()</f>
        <v>187</v>
      </c>
      <c r="B187" s="161" t="s">
        <v>1396</v>
      </c>
      <c r="C187" s="130">
        <v>2029</v>
      </c>
      <c r="D187" s="130">
        <v>2029</v>
      </c>
      <c r="E187" s="132">
        <v>59511</v>
      </c>
      <c r="F187" s="162"/>
      <c r="G187" s="602">
        <f t="shared" si="40"/>
        <v>0</v>
      </c>
      <c r="H187" s="602">
        <f t="shared" si="40"/>
        <v>0</v>
      </c>
      <c r="I187" s="602">
        <f t="shared" si="40"/>
        <v>0</v>
      </c>
      <c r="J187" s="602">
        <f t="shared" si="40"/>
        <v>1</v>
      </c>
      <c r="K187" s="602">
        <f t="shared" si="40"/>
        <v>1</v>
      </c>
      <c r="L187" s="602">
        <f t="shared" si="40"/>
        <v>1</v>
      </c>
      <c r="M187" s="602">
        <f t="shared" si="40"/>
        <v>1</v>
      </c>
      <c r="O187" s="287"/>
      <c r="Q187" s="48"/>
      <c r="R187" s="48"/>
      <c r="S187" s="48"/>
      <c r="T187" s="48"/>
      <c r="U187" s="48"/>
      <c r="V187" s="48"/>
      <c r="W187" s="48"/>
      <c r="X187" s="48"/>
      <c r="Y187" s="48"/>
      <c r="Z187" s="48"/>
      <c r="AA187" s="48"/>
      <c r="AB187" s="48"/>
      <c r="AC187" s="48"/>
      <c r="AD187" s="48"/>
      <c r="AE187" s="48"/>
    </row>
    <row r="188" spans="1:31" outlineLevel="1">
      <c r="A188" s="412">
        <f>ROW()</f>
        <v>188</v>
      </c>
      <c r="B188" s="161"/>
      <c r="C188" s="130" t="s">
        <v>483</v>
      </c>
      <c r="D188" s="130" t="s">
        <v>497</v>
      </c>
      <c r="E188" s="132">
        <v>0</v>
      </c>
      <c r="F188" s="162"/>
      <c r="G188" s="602">
        <f t="shared" si="40"/>
        <v>0</v>
      </c>
      <c r="H188" s="602">
        <f t="shared" si="40"/>
        <v>0</v>
      </c>
      <c r="I188" s="602">
        <f t="shared" si="40"/>
        <v>0</v>
      </c>
      <c r="J188" s="602">
        <f t="shared" si="40"/>
        <v>0</v>
      </c>
      <c r="K188" s="602">
        <f t="shared" si="40"/>
        <v>0</v>
      </c>
      <c r="L188" s="602">
        <f t="shared" si="40"/>
        <v>0</v>
      </c>
      <c r="M188" s="602">
        <f t="shared" si="40"/>
        <v>0</v>
      </c>
      <c r="O188" s="287"/>
      <c r="Q188" s="48"/>
      <c r="R188" s="48"/>
      <c r="S188" s="48"/>
      <c r="T188" s="48"/>
      <c r="U188" s="48"/>
      <c r="V188" s="48"/>
      <c r="W188" s="48"/>
      <c r="X188" s="48"/>
      <c r="Y188" s="48"/>
      <c r="Z188" s="48"/>
      <c r="AA188" s="48"/>
      <c r="AB188" s="48"/>
      <c r="AC188" s="48"/>
      <c r="AD188" s="48"/>
      <c r="AE188" s="48"/>
    </row>
    <row r="189" spans="1:31" outlineLevel="1">
      <c r="A189" s="412">
        <f>ROW()</f>
        <v>189</v>
      </c>
      <c r="B189" s="161"/>
      <c r="C189" s="130" t="s">
        <v>483</v>
      </c>
      <c r="D189" s="130" t="s">
        <v>497</v>
      </c>
      <c r="E189" s="132">
        <v>0</v>
      </c>
      <c r="F189" s="162"/>
      <c r="G189" s="602">
        <f t="shared" si="40"/>
        <v>0</v>
      </c>
      <c r="H189" s="602">
        <f t="shared" si="40"/>
        <v>0</v>
      </c>
      <c r="I189" s="602">
        <f t="shared" si="40"/>
        <v>0</v>
      </c>
      <c r="J189" s="602">
        <f t="shared" si="40"/>
        <v>0</v>
      </c>
      <c r="K189" s="602">
        <f t="shared" si="40"/>
        <v>0</v>
      </c>
      <c r="L189" s="602">
        <f t="shared" si="40"/>
        <v>0</v>
      </c>
      <c r="M189" s="602">
        <f t="shared" si="40"/>
        <v>0</v>
      </c>
      <c r="O189" s="287"/>
      <c r="Q189" s="48"/>
      <c r="R189" s="48"/>
      <c r="S189" s="48"/>
      <c r="T189" s="48"/>
      <c r="U189" s="48"/>
      <c r="V189" s="48"/>
      <c r="W189" s="48"/>
      <c r="X189" s="48"/>
      <c r="Y189" s="48"/>
      <c r="Z189" s="48"/>
      <c r="AA189" s="48"/>
      <c r="AB189" s="48"/>
      <c r="AC189" s="48"/>
      <c r="AD189" s="48"/>
      <c r="AE189" s="48"/>
    </row>
    <row r="190" spans="1:31" outlineLevel="1">
      <c r="A190" s="412">
        <f>ROW()</f>
        <v>190</v>
      </c>
      <c r="B190" s="161"/>
      <c r="C190" s="130" t="s">
        <v>483</v>
      </c>
      <c r="D190" s="130" t="s">
        <v>497</v>
      </c>
      <c r="E190" s="132">
        <v>0</v>
      </c>
      <c r="F190" s="162"/>
      <c r="G190" s="602">
        <f t="shared" si="40"/>
        <v>0</v>
      </c>
      <c r="H190" s="602">
        <f t="shared" si="40"/>
        <v>0</v>
      </c>
      <c r="I190" s="602">
        <f t="shared" si="40"/>
        <v>0</v>
      </c>
      <c r="J190" s="602">
        <f t="shared" si="40"/>
        <v>0</v>
      </c>
      <c r="K190" s="602">
        <f t="shared" si="40"/>
        <v>0</v>
      </c>
      <c r="L190" s="602">
        <f t="shared" si="40"/>
        <v>0</v>
      </c>
      <c r="M190" s="602">
        <f t="shared" si="40"/>
        <v>0</v>
      </c>
      <c r="O190" s="287"/>
      <c r="Q190" s="48"/>
      <c r="R190" s="48"/>
      <c r="S190" s="48"/>
      <c r="T190" s="48"/>
      <c r="U190" s="48"/>
      <c r="V190" s="48"/>
      <c r="W190" s="48"/>
      <c r="X190" s="48"/>
      <c r="Y190" s="48"/>
      <c r="Z190" s="48"/>
      <c r="AA190" s="48"/>
      <c r="AB190" s="48"/>
      <c r="AC190" s="48"/>
      <c r="AD190" s="48"/>
      <c r="AE190" s="48"/>
    </row>
    <row r="191" spans="1:31" outlineLevel="1">
      <c r="A191" s="412">
        <f>ROW()</f>
        <v>191</v>
      </c>
      <c r="B191" s="1119"/>
      <c r="C191" s="1120"/>
      <c r="D191" s="1120"/>
      <c r="E191" s="1123"/>
      <c r="F191" s="1124"/>
      <c r="G191" s="119"/>
      <c r="H191" s="119"/>
      <c r="I191" s="119"/>
      <c r="J191" s="119"/>
      <c r="K191" s="119"/>
      <c r="L191" s="119"/>
      <c r="M191" s="119"/>
      <c r="O191" s="287"/>
      <c r="Q191" s="48"/>
      <c r="R191" s="48"/>
      <c r="S191" s="48"/>
      <c r="T191" s="48"/>
      <c r="U191" s="48"/>
      <c r="V191" s="48"/>
      <c r="W191" s="48"/>
      <c r="X191" s="48"/>
      <c r="Y191" s="48"/>
      <c r="Z191" s="48"/>
      <c r="AA191" s="48"/>
      <c r="AB191" s="48"/>
      <c r="AC191" s="48"/>
      <c r="AD191" s="48"/>
      <c r="AE191" s="48"/>
    </row>
    <row r="192" spans="1:31" outlineLevel="1">
      <c r="A192" s="412">
        <f>ROW()</f>
        <v>192</v>
      </c>
      <c r="B192" s="161" t="s">
        <v>1397</v>
      </c>
      <c r="C192" s="130">
        <v>2030</v>
      </c>
      <c r="D192" s="130">
        <v>2030</v>
      </c>
      <c r="E192" s="269">
        <v>59511</v>
      </c>
      <c r="F192" s="162"/>
      <c r="G192" s="602">
        <f t="shared" ref="G192:M197" si="41">IF($D192&lt;=G$10,1,0)</f>
        <v>0</v>
      </c>
      <c r="H192" s="602">
        <f t="shared" si="41"/>
        <v>0</v>
      </c>
      <c r="I192" s="602">
        <f t="shared" si="41"/>
        <v>0</v>
      </c>
      <c r="J192" s="602">
        <f t="shared" si="41"/>
        <v>0</v>
      </c>
      <c r="K192" s="602">
        <f t="shared" si="41"/>
        <v>1</v>
      </c>
      <c r="L192" s="602">
        <f t="shared" si="41"/>
        <v>1</v>
      </c>
      <c r="M192" s="602">
        <f t="shared" si="41"/>
        <v>1</v>
      </c>
      <c r="O192" s="287"/>
      <c r="Q192" s="48"/>
      <c r="R192" s="48"/>
      <c r="S192" s="48"/>
      <c r="T192" s="48"/>
      <c r="U192" s="48"/>
      <c r="V192" s="48"/>
      <c r="W192" s="48"/>
      <c r="X192" s="48"/>
      <c r="Y192" s="48"/>
      <c r="Z192" s="48"/>
      <c r="AA192" s="48"/>
      <c r="AB192" s="48"/>
      <c r="AC192" s="48"/>
      <c r="AD192" s="48"/>
      <c r="AE192" s="48"/>
    </row>
    <row r="193" spans="1:31" outlineLevel="1">
      <c r="A193" s="412">
        <f>ROW()</f>
        <v>193</v>
      </c>
      <c r="B193" s="161" t="s">
        <v>1397</v>
      </c>
      <c r="C193" s="130">
        <v>2030</v>
      </c>
      <c r="D193" s="130">
        <v>2030</v>
      </c>
      <c r="E193" s="132">
        <v>59511</v>
      </c>
      <c r="F193" s="162"/>
      <c r="G193" s="602">
        <f t="shared" si="41"/>
        <v>0</v>
      </c>
      <c r="H193" s="602">
        <f t="shared" si="41"/>
        <v>0</v>
      </c>
      <c r="I193" s="602">
        <f t="shared" si="41"/>
        <v>0</v>
      </c>
      <c r="J193" s="602">
        <f t="shared" si="41"/>
        <v>0</v>
      </c>
      <c r="K193" s="602">
        <f t="shared" si="41"/>
        <v>1</v>
      </c>
      <c r="L193" s="602">
        <f t="shared" si="41"/>
        <v>1</v>
      </c>
      <c r="M193" s="602">
        <f t="shared" si="41"/>
        <v>1</v>
      </c>
      <c r="O193" s="287"/>
      <c r="Q193" s="48"/>
      <c r="R193" s="48"/>
      <c r="S193" s="48"/>
      <c r="T193" s="48"/>
      <c r="U193" s="48"/>
      <c r="V193" s="48"/>
      <c r="W193" s="48"/>
      <c r="X193" s="48"/>
      <c r="Y193" s="48"/>
      <c r="Z193" s="48"/>
      <c r="AA193" s="48"/>
      <c r="AB193" s="48"/>
      <c r="AC193" s="48"/>
      <c r="AD193" s="48"/>
      <c r="AE193" s="48"/>
    </row>
    <row r="194" spans="1:31" outlineLevel="1">
      <c r="A194" s="412">
        <f>ROW()</f>
        <v>194</v>
      </c>
      <c r="B194" s="161"/>
      <c r="C194" s="130" t="s">
        <v>483</v>
      </c>
      <c r="D194" s="130" t="s">
        <v>497</v>
      </c>
      <c r="E194" s="132">
        <v>0</v>
      </c>
      <c r="F194" s="162"/>
      <c r="G194" s="602">
        <f t="shared" si="41"/>
        <v>0</v>
      </c>
      <c r="H194" s="602">
        <f t="shared" si="41"/>
        <v>0</v>
      </c>
      <c r="I194" s="602">
        <f t="shared" si="41"/>
        <v>0</v>
      </c>
      <c r="J194" s="602">
        <f t="shared" si="41"/>
        <v>0</v>
      </c>
      <c r="K194" s="602">
        <f t="shared" si="41"/>
        <v>0</v>
      </c>
      <c r="L194" s="602">
        <f t="shared" si="41"/>
        <v>0</v>
      </c>
      <c r="M194" s="602">
        <f t="shared" si="41"/>
        <v>0</v>
      </c>
      <c r="O194" s="287"/>
      <c r="Q194" s="48"/>
      <c r="R194" s="48"/>
      <c r="S194" s="48"/>
      <c r="T194" s="48"/>
      <c r="U194" s="48"/>
      <c r="V194" s="48"/>
      <c r="W194" s="48"/>
      <c r="X194" s="48"/>
      <c r="Y194" s="48"/>
      <c r="Z194" s="48"/>
      <c r="AA194" s="48"/>
      <c r="AB194" s="48"/>
      <c r="AC194" s="48"/>
      <c r="AD194" s="48"/>
      <c r="AE194" s="48"/>
    </row>
    <row r="195" spans="1:31" outlineLevel="1">
      <c r="A195" s="412">
        <f>ROW()</f>
        <v>195</v>
      </c>
      <c r="B195" s="161"/>
      <c r="C195" s="130" t="s">
        <v>483</v>
      </c>
      <c r="D195" s="130" t="s">
        <v>497</v>
      </c>
      <c r="E195" s="132">
        <v>0</v>
      </c>
      <c r="F195" s="162"/>
      <c r="G195" s="602">
        <f t="shared" si="41"/>
        <v>0</v>
      </c>
      <c r="H195" s="602">
        <f t="shared" si="41"/>
        <v>0</v>
      </c>
      <c r="I195" s="602">
        <f t="shared" si="41"/>
        <v>0</v>
      </c>
      <c r="J195" s="602">
        <f t="shared" si="41"/>
        <v>0</v>
      </c>
      <c r="K195" s="602">
        <f t="shared" si="41"/>
        <v>0</v>
      </c>
      <c r="L195" s="602">
        <f t="shared" si="41"/>
        <v>0</v>
      </c>
      <c r="M195" s="602">
        <f t="shared" si="41"/>
        <v>0</v>
      </c>
      <c r="O195" s="287"/>
      <c r="Q195" s="48"/>
      <c r="R195" s="48"/>
      <c r="S195" s="48"/>
      <c r="T195" s="48"/>
      <c r="U195" s="48"/>
      <c r="V195" s="48"/>
      <c r="W195" s="48"/>
      <c r="X195" s="48"/>
      <c r="Y195" s="48"/>
      <c r="Z195" s="48"/>
      <c r="AA195" s="48"/>
      <c r="AB195" s="48"/>
      <c r="AC195" s="48"/>
      <c r="AD195" s="48"/>
      <c r="AE195" s="48"/>
    </row>
    <row r="196" spans="1:31" outlineLevel="1">
      <c r="A196" s="412">
        <f>ROW()</f>
        <v>196</v>
      </c>
      <c r="B196" s="161"/>
      <c r="C196" s="130" t="s">
        <v>483</v>
      </c>
      <c r="D196" s="130" t="s">
        <v>497</v>
      </c>
      <c r="E196" s="132">
        <v>0</v>
      </c>
      <c r="F196" s="162"/>
      <c r="G196" s="602">
        <f t="shared" si="41"/>
        <v>0</v>
      </c>
      <c r="H196" s="602">
        <f t="shared" si="41"/>
        <v>0</v>
      </c>
      <c r="I196" s="602">
        <f t="shared" si="41"/>
        <v>0</v>
      </c>
      <c r="J196" s="602">
        <f t="shared" si="41"/>
        <v>0</v>
      </c>
      <c r="K196" s="602">
        <f t="shared" si="41"/>
        <v>0</v>
      </c>
      <c r="L196" s="602">
        <f t="shared" si="41"/>
        <v>0</v>
      </c>
      <c r="M196" s="602">
        <f t="shared" si="41"/>
        <v>0</v>
      </c>
      <c r="O196" s="287"/>
      <c r="Q196" s="48"/>
      <c r="R196" s="48"/>
      <c r="S196" s="48"/>
      <c r="T196" s="48"/>
      <c r="U196" s="48"/>
      <c r="V196" s="48"/>
      <c r="W196" s="48"/>
      <c r="X196" s="48"/>
      <c r="Y196" s="48"/>
      <c r="Z196" s="48"/>
      <c r="AA196" s="48"/>
      <c r="AB196" s="48"/>
      <c r="AC196" s="48"/>
      <c r="AD196" s="48"/>
      <c r="AE196" s="48"/>
    </row>
    <row r="197" spans="1:31" outlineLevel="1">
      <c r="A197" s="412">
        <f>ROW()</f>
        <v>197</v>
      </c>
      <c r="B197" s="161"/>
      <c r="C197" s="130" t="s">
        <v>483</v>
      </c>
      <c r="D197" s="130" t="s">
        <v>497</v>
      </c>
      <c r="E197" s="162"/>
      <c r="F197" s="162"/>
      <c r="G197" s="602">
        <f t="shared" si="41"/>
        <v>0</v>
      </c>
      <c r="H197" s="602">
        <f t="shared" si="41"/>
        <v>0</v>
      </c>
      <c r="I197" s="602">
        <f t="shared" si="41"/>
        <v>0</v>
      </c>
      <c r="J197" s="602">
        <f t="shared" si="41"/>
        <v>0</v>
      </c>
      <c r="K197" s="602">
        <f t="shared" si="41"/>
        <v>0</v>
      </c>
      <c r="L197" s="602">
        <f t="shared" si="41"/>
        <v>0</v>
      </c>
      <c r="M197" s="602">
        <f t="shared" si="41"/>
        <v>0</v>
      </c>
      <c r="O197" s="287"/>
      <c r="Q197" s="48"/>
      <c r="R197" s="48"/>
      <c r="S197" s="48"/>
      <c r="T197" s="48"/>
      <c r="U197" s="48"/>
      <c r="V197" s="48"/>
      <c r="W197" s="48"/>
      <c r="X197" s="48"/>
      <c r="Y197" s="48"/>
      <c r="Z197" s="48"/>
      <c r="AA197" s="48"/>
      <c r="AB197" s="48"/>
      <c r="AC197" s="48"/>
      <c r="AD197" s="48"/>
      <c r="AE197" s="48"/>
    </row>
    <row r="198" spans="1:31" outlineLevel="1">
      <c r="A198" s="412">
        <f>ROW()</f>
        <v>198</v>
      </c>
      <c r="B198" s="1110"/>
      <c r="C198" s="1125"/>
      <c r="D198" s="1125"/>
      <c r="E198" s="1126"/>
      <c r="F198" s="1124"/>
      <c r="G198" s="119"/>
      <c r="H198" s="119"/>
      <c r="I198" s="119"/>
      <c r="J198" s="119"/>
      <c r="K198" s="119"/>
      <c r="L198" s="119"/>
      <c r="M198" s="119"/>
      <c r="O198" s="287"/>
      <c r="Q198" s="48"/>
      <c r="R198" s="48"/>
      <c r="S198" s="48"/>
      <c r="T198" s="48"/>
      <c r="U198" s="48"/>
      <c r="V198" s="48"/>
      <c r="W198" s="48"/>
      <c r="X198" s="48"/>
      <c r="Y198" s="48"/>
      <c r="Z198" s="48"/>
      <c r="AA198" s="48"/>
      <c r="AB198" s="48"/>
      <c r="AC198" s="48"/>
      <c r="AD198" s="48"/>
      <c r="AE198" s="48"/>
    </row>
    <row r="199" spans="1:31" outlineLevel="1">
      <c r="A199" s="412">
        <f>ROW()</f>
        <v>199</v>
      </c>
      <c r="B199" s="161" t="s">
        <v>1398</v>
      </c>
      <c r="C199" s="130">
        <v>2027</v>
      </c>
      <c r="D199" s="130">
        <v>2027</v>
      </c>
      <c r="E199" s="269">
        <v>59511</v>
      </c>
      <c r="F199" s="162"/>
      <c r="G199" s="602">
        <f t="shared" ref="G199:M203" si="42">IF($D199&lt;=G$10,1,0)</f>
        <v>0</v>
      </c>
      <c r="H199" s="602">
        <f t="shared" si="42"/>
        <v>1</v>
      </c>
      <c r="I199" s="602">
        <f t="shared" si="42"/>
        <v>1</v>
      </c>
      <c r="J199" s="602">
        <f t="shared" si="42"/>
        <v>1</v>
      </c>
      <c r="K199" s="602">
        <f t="shared" si="42"/>
        <v>1</v>
      </c>
      <c r="L199" s="602">
        <f t="shared" si="42"/>
        <v>1</v>
      </c>
      <c r="M199" s="602">
        <f t="shared" si="42"/>
        <v>1</v>
      </c>
      <c r="O199" s="287"/>
      <c r="Q199" s="48"/>
      <c r="R199" s="48"/>
      <c r="S199" s="48"/>
      <c r="T199" s="48"/>
      <c r="U199" s="48"/>
      <c r="V199" s="48"/>
      <c r="W199" s="48"/>
      <c r="X199" s="48"/>
      <c r="Y199" s="48"/>
      <c r="Z199" s="48"/>
      <c r="AA199" s="48"/>
      <c r="AB199" s="48"/>
      <c r="AC199" s="48"/>
      <c r="AD199" s="48"/>
      <c r="AE199" s="48"/>
    </row>
    <row r="200" spans="1:31" outlineLevel="1">
      <c r="A200" s="412">
        <f>ROW()</f>
        <v>200</v>
      </c>
      <c r="B200" s="161" t="s">
        <v>1399</v>
      </c>
      <c r="C200" s="130">
        <v>2027</v>
      </c>
      <c r="D200" s="130">
        <v>2027</v>
      </c>
      <c r="E200" s="132">
        <v>59511</v>
      </c>
      <c r="F200" s="162"/>
      <c r="G200" s="602">
        <f t="shared" si="42"/>
        <v>0</v>
      </c>
      <c r="H200" s="602">
        <f t="shared" si="42"/>
        <v>1</v>
      </c>
      <c r="I200" s="602">
        <f t="shared" si="42"/>
        <v>1</v>
      </c>
      <c r="J200" s="602">
        <f t="shared" si="42"/>
        <v>1</v>
      </c>
      <c r="K200" s="602">
        <f t="shared" si="42"/>
        <v>1</v>
      </c>
      <c r="L200" s="602">
        <f t="shared" si="42"/>
        <v>1</v>
      </c>
      <c r="M200" s="602">
        <f t="shared" si="42"/>
        <v>1</v>
      </c>
      <c r="O200" s="287"/>
      <c r="Q200" s="48"/>
      <c r="R200" s="48"/>
      <c r="S200" s="48"/>
      <c r="T200" s="48"/>
      <c r="U200" s="48"/>
      <c r="V200" s="48"/>
      <c r="W200" s="48"/>
      <c r="X200" s="48"/>
      <c r="Y200" s="48"/>
      <c r="Z200" s="48"/>
      <c r="AA200" s="48"/>
      <c r="AB200" s="48"/>
      <c r="AC200" s="48"/>
      <c r="AD200" s="48"/>
      <c r="AE200" s="48"/>
    </row>
    <row r="201" spans="1:31" outlineLevel="1">
      <c r="A201" s="412">
        <f>ROW()</f>
        <v>201</v>
      </c>
      <c r="B201" s="161" t="s">
        <v>1400</v>
      </c>
      <c r="C201" s="130">
        <v>2027</v>
      </c>
      <c r="D201" s="130">
        <v>2027</v>
      </c>
      <c r="E201" s="132">
        <v>59511</v>
      </c>
      <c r="F201" s="162"/>
      <c r="G201" s="602">
        <f t="shared" si="42"/>
        <v>0</v>
      </c>
      <c r="H201" s="602">
        <f t="shared" si="42"/>
        <v>1</v>
      </c>
      <c r="I201" s="602">
        <f t="shared" si="42"/>
        <v>1</v>
      </c>
      <c r="J201" s="602">
        <f t="shared" si="42"/>
        <v>1</v>
      </c>
      <c r="K201" s="602">
        <f t="shared" si="42"/>
        <v>1</v>
      </c>
      <c r="L201" s="602">
        <f t="shared" si="42"/>
        <v>1</v>
      </c>
      <c r="M201" s="602">
        <f t="shared" si="42"/>
        <v>1</v>
      </c>
      <c r="O201" s="287"/>
      <c r="Q201" s="48"/>
      <c r="R201" s="48"/>
      <c r="S201" s="48"/>
      <c r="T201" s="48"/>
      <c r="U201" s="48"/>
      <c r="V201" s="48"/>
      <c r="W201" s="48"/>
      <c r="X201" s="48"/>
      <c r="Y201" s="48"/>
      <c r="Z201" s="48"/>
      <c r="AA201" s="48"/>
      <c r="AB201" s="48"/>
      <c r="AC201" s="48"/>
      <c r="AD201" s="48"/>
      <c r="AE201" s="48"/>
    </row>
    <row r="202" spans="1:31" outlineLevel="1">
      <c r="A202" s="412">
        <f>ROW()</f>
        <v>202</v>
      </c>
      <c r="B202" s="161" t="s">
        <v>1401</v>
      </c>
      <c r="C202" s="130">
        <v>2027</v>
      </c>
      <c r="D202" s="130">
        <v>2027</v>
      </c>
      <c r="E202" s="132">
        <v>59511</v>
      </c>
      <c r="F202" s="162"/>
      <c r="G202" s="602">
        <f t="shared" si="42"/>
        <v>0</v>
      </c>
      <c r="H202" s="602">
        <f t="shared" si="42"/>
        <v>1</v>
      </c>
      <c r="I202" s="602">
        <f t="shared" si="42"/>
        <v>1</v>
      </c>
      <c r="J202" s="602">
        <f t="shared" si="42"/>
        <v>1</v>
      </c>
      <c r="K202" s="602">
        <f t="shared" si="42"/>
        <v>1</v>
      </c>
      <c r="L202" s="602">
        <f t="shared" si="42"/>
        <v>1</v>
      </c>
      <c r="M202" s="602">
        <f t="shared" si="42"/>
        <v>1</v>
      </c>
      <c r="O202" s="287"/>
      <c r="Q202" s="48"/>
      <c r="R202" s="48"/>
      <c r="S202" s="48"/>
      <c r="T202" s="48"/>
      <c r="U202" s="48"/>
      <c r="V202" s="48"/>
      <c r="W202" s="48"/>
      <c r="X202" s="48"/>
      <c r="Y202" s="48"/>
      <c r="Z202" s="48"/>
      <c r="AA202" s="48"/>
      <c r="AB202" s="48"/>
      <c r="AC202" s="48"/>
      <c r="AD202" s="48"/>
      <c r="AE202" s="48"/>
    </row>
    <row r="203" spans="1:31" outlineLevel="1">
      <c r="A203" s="412">
        <f>ROW()</f>
        <v>203</v>
      </c>
      <c r="B203" s="161"/>
      <c r="C203" s="130" t="s">
        <v>483</v>
      </c>
      <c r="D203" s="130" t="s">
        <v>497</v>
      </c>
      <c r="E203" s="132">
        <v>0</v>
      </c>
      <c r="F203" s="162"/>
      <c r="G203" s="602">
        <f t="shared" si="42"/>
        <v>0</v>
      </c>
      <c r="H203" s="602">
        <f t="shared" si="42"/>
        <v>0</v>
      </c>
      <c r="I203" s="602">
        <f t="shared" si="42"/>
        <v>0</v>
      </c>
      <c r="J203" s="602">
        <f t="shared" si="42"/>
        <v>0</v>
      </c>
      <c r="K203" s="602">
        <f t="shared" si="42"/>
        <v>0</v>
      </c>
      <c r="L203" s="602">
        <f t="shared" si="42"/>
        <v>0</v>
      </c>
      <c r="M203" s="602">
        <f t="shared" si="42"/>
        <v>0</v>
      </c>
      <c r="O203" s="287"/>
      <c r="Q203" s="48"/>
      <c r="R203" s="48"/>
      <c r="S203" s="48"/>
      <c r="T203" s="48"/>
      <c r="U203" s="48"/>
      <c r="V203" s="48"/>
      <c r="W203" s="48"/>
      <c r="X203" s="48"/>
      <c r="Y203" s="48"/>
      <c r="Z203" s="48"/>
      <c r="AA203" s="48"/>
      <c r="AB203" s="48"/>
      <c r="AC203" s="48"/>
      <c r="AD203" s="48"/>
      <c r="AE203" s="48"/>
    </row>
    <row r="204" spans="1:31" outlineLevel="1">
      <c r="A204" s="412">
        <f>ROW()</f>
        <v>204</v>
      </c>
      <c r="B204" s="257"/>
      <c r="C204" s="1122"/>
      <c r="D204" s="1122"/>
      <c r="E204" s="1123"/>
      <c r="F204" s="1124"/>
      <c r="G204" s="119"/>
      <c r="H204" s="119"/>
      <c r="I204" s="119"/>
      <c r="J204" s="119"/>
      <c r="K204" s="119"/>
      <c r="L204" s="119"/>
      <c r="M204" s="119"/>
      <c r="O204" s="287"/>
      <c r="Q204" s="48"/>
      <c r="R204" s="48"/>
      <c r="S204" s="48"/>
      <c r="T204" s="48"/>
      <c r="U204" s="48"/>
      <c r="V204" s="48"/>
      <c r="W204" s="48"/>
      <c r="X204" s="48"/>
      <c r="Y204" s="48"/>
      <c r="Z204" s="48"/>
      <c r="AA204" s="48"/>
      <c r="AB204" s="48"/>
      <c r="AC204" s="48"/>
      <c r="AD204" s="48"/>
      <c r="AE204" s="48"/>
    </row>
    <row r="205" spans="1:31" outlineLevel="1">
      <c r="A205" s="412">
        <f>ROW()</f>
        <v>205</v>
      </c>
      <c r="B205" s="161" t="s">
        <v>1398</v>
      </c>
      <c r="C205" s="130">
        <v>2030</v>
      </c>
      <c r="D205" s="130">
        <v>2030</v>
      </c>
      <c r="E205" s="269">
        <v>59511</v>
      </c>
      <c r="F205" s="162"/>
      <c r="G205" s="602">
        <f t="shared" ref="G205:M209" si="43">IF($D205&lt;=G$10,1,0)</f>
        <v>0</v>
      </c>
      <c r="H205" s="602">
        <f t="shared" si="43"/>
        <v>0</v>
      </c>
      <c r="I205" s="602">
        <f t="shared" si="43"/>
        <v>0</v>
      </c>
      <c r="J205" s="602">
        <f t="shared" si="43"/>
        <v>0</v>
      </c>
      <c r="K205" s="602">
        <f t="shared" si="43"/>
        <v>1</v>
      </c>
      <c r="L205" s="602">
        <f t="shared" si="43"/>
        <v>1</v>
      </c>
      <c r="M205" s="602">
        <f t="shared" si="43"/>
        <v>1</v>
      </c>
      <c r="O205" s="287"/>
      <c r="Q205" s="48"/>
      <c r="R205" s="48"/>
      <c r="S205" s="48"/>
      <c r="T205" s="48"/>
      <c r="U205" s="48"/>
      <c r="V205" s="48"/>
      <c r="W205" s="48"/>
      <c r="X205" s="48"/>
      <c r="Y205" s="48"/>
      <c r="Z205" s="48"/>
      <c r="AA205" s="48"/>
      <c r="AB205" s="48"/>
      <c r="AC205" s="48"/>
      <c r="AD205" s="48"/>
      <c r="AE205" s="48"/>
    </row>
    <row r="206" spans="1:31" outlineLevel="1">
      <c r="A206" s="412">
        <f>ROW()</f>
        <v>206</v>
      </c>
      <c r="B206" s="161" t="s">
        <v>1399</v>
      </c>
      <c r="C206" s="130">
        <v>2030</v>
      </c>
      <c r="D206" s="130">
        <v>2030</v>
      </c>
      <c r="E206" s="132">
        <v>59511</v>
      </c>
      <c r="F206" s="162"/>
      <c r="G206" s="602">
        <f t="shared" si="43"/>
        <v>0</v>
      </c>
      <c r="H206" s="602">
        <f t="shared" si="43"/>
        <v>0</v>
      </c>
      <c r="I206" s="602">
        <f t="shared" si="43"/>
        <v>0</v>
      </c>
      <c r="J206" s="602">
        <f t="shared" si="43"/>
        <v>0</v>
      </c>
      <c r="K206" s="602">
        <f t="shared" si="43"/>
        <v>1</v>
      </c>
      <c r="L206" s="602">
        <f t="shared" si="43"/>
        <v>1</v>
      </c>
      <c r="M206" s="602">
        <f t="shared" si="43"/>
        <v>1</v>
      </c>
      <c r="O206" s="287"/>
      <c r="Q206" s="48"/>
      <c r="R206" s="48"/>
      <c r="S206" s="48"/>
      <c r="T206" s="48"/>
      <c r="U206" s="48"/>
      <c r="V206" s="48"/>
      <c r="W206" s="48"/>
      <c r="X206" s="48"/>
      <c r="Y206" s="48"/>
      <c r="Z206" s="48"/>
      <c r="AA206" s="48"/>
      <c r="AB206" s="48"/>
      <c r="AC206" s="48"/>
      <c r="AD206" s="48"/>
      <c r="AE206" s="48"/>
    </row>
    <row r="207" spans="1:31" outlineLevel="1">
      <c r="A207" s="412">
        <f>ROW()</f>
        <v>207</v>
      </c>
      <c r="B207" s="161" t="s">
        <v>1400</v>
      </c>
      <c r="C207" s="130">
        <v>2030</v>
      </c>
      <c r="D207" s="130">
        <v>2030</v>
      </c>
      <c r="E207" s="132">
        <v>59511</v>
      </c>
      <c r="F207" s="162"/>
      <c r="G207" s="602">
        <f t="shared" si="43"/>
        <v>0</v>
      </c>
      <c r="H207" s="602">
        <f t="shared" si="43"/>
        <v>0</v>
      </c>
      <c r="I207" s="602">
        <f t="shared" si="43"/>
        <v>0</v>
      </c>
      <c r="J207" s="602">
        <f t="shared" si="43"/>
        <v>0</v>
      </c>
      <c r="K207" s="602">
        <f t="shared" si="43"/>
        <v>1</v>
      </c>
      <c r="L207" s="602">
        <f t="shared" si="43"/>
        <v>1</v>
      </c>
      <c r="M207" s="602">
        <f t="shared" si="43"/>
        <v>1</v>
      </c>
      <c r="O207" s="287"/>
      <c r="Q207" s="48"/>
      <c r="R207" s="48"/>
      <c r="S207" s="48"/>
      <c r="T207" s="48"/>
      <c r="U207" s="48"/>
      <c r="V207" s="48"/>
      <c r="W207" s="48"/>
      <c r="X207" s="48"/>
      <c r="Y207" s="48"/>
      <c r="Z207" s="48"/>
      <c r="AA207" s="48"/>
      <c r="AB207" s="48"/>
      <c r="AC207" s="48"/>
      <c r="AD207" s="48"/>
      <c r="AE207" s="48"/>
    </row>
    <row r="208" spans="1:31" outlineLevel="1">
      <c r="A208" s="412">
        <f>ROW()</f>
        <v>208</v>
      </c>
      <c r="B208" s="161" t="s">
        <v>1401</v>
      </c>
      <c r="C208" s="130">
        <v>2030</v>
      </c>
      <c r="D208" s="130">
        <v>2030</v>
      </c>
      <c r="E208" s="132">
        <v>59511</v>
      </c>
      <c r="F208" s="162"/>
      <c r="G208" s="602">
        <f t="shared" si="43"/>
        <v>0</v>
      </c>
      <c r="H208" s="602">
        <f t="shared" si="43"/>
        <v>0</v>
      </c>
      <c r="I208" s="602">
        <f t="shared" si="43"/>
        <v>0</v>
      </c>
      <c r="J208" s="602">
        <f t="shared" si="43"/>
        <v>0</v>
      </c>
      <c r="K208" s="602">
        <f t="shared" si="43"/>
        <v>1</v>
      </c>
      <c r="L208" s="602">
        <f t="shared" si="43"/>
        <v>1</v>
      </c>
      <c r="M208" s="602">
        <f t="shared" si="43"/>
        <v>1</v>
      </c>
      <c r="O208" s="287"/>
      <c r="Q208" s="48"/>
      <c r="R208" s="48"/>
      <c r="S208" s="48"/>
      <c r="T208" s="48"/>
      <c r="U208" s="48"/>
      <c r="V208" s="48"/>
      <c r="W208" s="48"/>
      <c r="X208" s="48"/>
      <c r="Y208" s="48"/>
      <c r="Z208" s="48"/>
      <c r="AA208" s="48"/>
      <c r="AB208" s="48"/>
      <c r="AC208" s="48"/>
      <c r="AD208" s="48"/>
      <c r="AE208" s="48"/>
    </row>
    <row r="209" spans="1:31" outlineLevel="1">
      <c r="A209" s="412">
        <f>ROW()</f>
        <v>209</v>
      </c>
      <c r="B209" s="161"/>
      <c r="C209" s="130" t="s">
        <v>483</v>
      </c>
      <c r="D209" s="130" t="s">
        <v>497</v>
      </c>
      <c r="E209" s="132">
        <v>0</v>
      </c>
      <c r="F209" s="162"/>
      <c r="G209" s="602">
        <f t="shared" si="43"/>
        <v>0</v>
      </c>
      <c r="H209" s="602">
        <f t="shared" si="43"/>
        <v>0</v>
      </c>
      <c r="I209" s="602">
        <f t="shared" si="43"/>
        <v>0</v>
      </c>
      <c r="J209" s="602">
        <f t="shared" si="43"/>
        <v>0</v>
      </c>
      <c r="K209" s="602">
        <f t="shared" si="43"/>
        <v>0</v>
      </c>
      <c r="L209" s="602">
        <f t="shared" si="43"/>
        <v>0</v>
      </c>
      <c r="M209" s="602">
        <f t="shared" si="43"/>
        <v>0</v>
      </c>
      <c r="O209" s="287"/>
      <c r="Q209" s="48"/>
      <c r="R209" s="48"/>
      <c r="S209" s="48"/>
      <c r="T209" s="48"/>
      <c r="U209" s="48"/>
      <c r="V209" s="48"/>
      <c r="W209" s="48"/>
      <c r="X209" s="48"/>
      <c r="Y209" s="48"/>
      <c r="Z209" s="48"/>
      <c r="AA209" s="48"/>
      <c r="AB209" s="48"/>
      <c r="AC209" s="48"/>
      <c r="AD209" s="48"/>
      <c r="AE209" s="48"/>
    </row>
    <row r="210" spans="1:31" outlineLevel="1">
      <c r="A210" s="412">
        <f>ROW()</f>
        <v>210</v>
      </c>
      <c r="B210" s="257"/>
      <c r="C210" s="1122"/>
      <c r="D210" s="1122"/>
      <c r="E210" s="1123"/>
      <c r="F210" s="1124"/>
      <c r="G210" s="119"/>
      <c r="H210" s="119"/>
      <c r="I210" s="119"/>
      <c r="J210" s="119"/>
      <c r="K210" s="119"/>
      <c r="L210" s="119"/>
      <c r="M210" s="119"/>
      <c r="O210" s="287"/>
      <c r="Q210" s="48"/>
      <c r="R210" s="48"/>
      <c r="S210" s="48"/>
      <c r="T210" s="48"/>
      <c r="U210" s="48"/>
      <c r="V210" s="48"/>
      <c r="W210" s="48"/>
      <c r="X210" s="48"/>
      <c r="Y210" s="48"/>
      <c r="Z210" s="48"/>
      <c r="AA210" s="48"/>
      <c r="AB210" s="48"/>
      <c r="AC210" s="48"/>
      <c r="AD210" s="48"/>
      <c r="AE210" s="48"/>
    </row>
    <row r="211" spans="1:31" outlineLevel="1">
      <c r="A211" s="412">
        <f>ROW()</f>
        <v>211</v>
      </c>
      <c r="B211" s="161"/>
      <c r="C211" s="130" t="s">
        <v>483</v>
      </c>
      <c r="D211" s="130" t="s">
        <v>497</v>
      </c>
      <c r="E211" s="269">
        <v>0</v>
      </c>
      <c r="F211" s="162"/>
      <c r="G211" s="602">
        <f t="shared" ref="G211:M215" si="44">IF($D211&lt;=G$10,1,0)</f>
        <v>0</v>
      </c>
      <c r="H211" s="602">
        <f t="shared" si="44"/>
        <v>0</v>
      </c>
      <c r="I211" s="602">
        <f t="shared" si="44"/>
        <v>0</v>
      </c>
      <c r="J211" s="602">
        <f t="shared" si="44"/>
        <v>0</v>
      </c>
      <c r="K211" s="602">
        <f t="shared" si="44"/>
        <v>0</v>
      </c>
      <c r="L211" s="602">
        <f t="shared" si="44"/>
        <v>0</v>
      </c>
      <c r="M211" s="602">
        <f t="shared" si="44"/>
        <v>0</v>
      </c>
      <c r="O211" s="287"/>
      <c r="Q211" s="48"/>
      <c r="R211" s="48"/>
      <c r="S211" s="48"/>
      <c r="T211" s="48"/>
      <c r="U211" s="48"/>
      <c r="V211" s="48"/>
      <c r="W211" s="48"/>
      <c r="X211" s="48"/>
      <c r="Y211" s="48"/>
      <c r="Z211" s="48"/>
      <c r="AA211" s="48"/>
      <c r="AB211" s="48"/>
      <c r="AC211" s="48"/>
      <c r="AD211" s="48"/>
      <c r="AE211" s="48"/>
    </row>
    <row r="212" spans="1:31" outlineLevel="1">
      <c r="A212" s="412">
        <f>ROW()</f>
        <v>212</v>
      </c>
      <c r="B212" s="161"/>
      <c r="C212" s="130" t="s">
        <v>483</v>
      </c>
      <c r="D212" s="130" t="s">
        <v>497</v>
      </c>
      <c r="E212" s="132">
        <v>0</v>
      </c>
      <c r="F212" s="162"/>
      <c r="G212" s="602">
        <f t="shared" si="44"/>
        <v>0</v>
      </c>
      <c r="H212" s="602">
        <f t="shared" si="44"/>
        <v>0</v>
      </c>
      <c r="I212" s="602">
        <f t="shared" si="44"/>
        <v>0</v>
      </c>
      <c r="J212" s="602">
        <f t="shared" si="44"/>
        <v>0</v>
      </c>
      <c r="K212" s="602">
        <f t="shared" si="44"/>
        <v>0</v>
      </c>
      <c r="L212" s="602">
        <f t="shared" si="44"/>
        <v>0</v>
      </c>
      <c r="M212" s="602">
        <f t="shared" si="44"/>
        <v>0</v>
      </c>
      <c r="O212" s="287"/>
      <c r="Q212" s="48"/>
      <c r="R212" s="48"/>
      <c r="S212" s="48"/>
      <c r="T212" s="48"/>
      <c r="U212" s="48"/>
      <c r="V212" s="48"/>
      <c r="W212" s="48"/>
      <c r="X212" s="48"/>
      <c r="Y212" s="48"/>
      <c r="Z212" s="48"/>
      <c r="AA212" s="48"/>
      <c r="AB212" s="48"/>
      <c r="AC212" s="48"/>
      <c r="AD212" s="48"/>
      <c r="AE212" s="48"/>
    </row>
    <row r="213" spans="1:31" outlineLevel="1">
      <c r="A213" s="412">
        <f>ROW()</f>
        <v>213</v>
      </c>
      <c r="B213" s="161"/>
      <c r="C213" s="130" t="s">
        <v>483</v>
      </c>
      <c r="D213" s="130" t="s">
        <v>497</v>
      </c>
      <c r="E213" s="132">
        <v>0</v>
      </c>
      <c r="F213" s="162"/>
      <c r="G213" s="602">
        <f t="shared" si="44"/>
        <v>0</v>
      </c>
      <c r="H213" s="602">
        <f t="shared" si="44"/>
        <v>0</v>
      </c>
      <c r="I213" s="602">
        <f t="shared" si="44"/>
        <v>0</v>
      </c>
      <c r="J213" s="602">
        <f t="shared" si="44"/>
        <v>0</v>
      </c>
      <c r="K213" s="602">
        <f t="shared" si="44"/>
        <v>0</v>
      </c>
      <c r="L213" s="602">
        <f t="shared" si="44"/>
        <v>0</v>
      </c>
      <c r="M213" s="602">
        <f t="shared" si="44"/>
        <v>0</v>
      </c>
      <c r="O213" s="287"/>
      <c r="Q213" s="48"/>
      <c r="R213" s="48"/>
      <c r="S213" s="48"/>
      <c r="T213" s="48"/>
      <c r="U213" s="48"/>
      <c r="V213" s="48"/>
      <c r="W213" s="48"/>
      <c r="X213" s="48"/>
      <c r="Y213" s="48"/>
      <c r="Z213" s="48"/>
      <c r="AA213" s="48"/>
      <c r="AB213" s="48"/>
      <c r="AC213" s="48"/>
      <c r="AD213" s="48"/>
      <c r="AE213" s="48"/>
    </row>
    <row r="214" spans="1:31" outlineLevel="1">
      <c r="A214" s="412">
        <f>ROW()</f>
        <v>214</v>
      </c>
      <c r="B214" s="161"/>
      <c r="C214" s="130" t="s">
        <v>483</v>
      </c>
      <c r="D214" s="130" t="s">
        <v>497</v>
      </c>
      <c r="E214" s="132">
        <v>0</v>
      </c>
      <c r="F214" s="162"/>
      <c r="G214" s="602">
        <f t="shared" si="44"/>
        <v>0</v>
      </c>
      <c r="H214" s="602">
        <f t="shared" si="44"/>
        <v>0</v>
      </c>
      <c r="I214" s="602">
        <f t="shared" si="44"/>
        <v>0</v>
      </c>
      <c r="J214" s="602">
        <f t="shared" si="44"/>
        <v>0</v>
      </c>
      <c r="K214" s="602">
        <f t="shared" si="44"/>
        <v>0</v>
      </c>
      <c r="L214" s="602">
        <f t="shared" si="44"/>
        <v>0</v>
      </c>
      <c r="M214" s="602">
        <f t="shared" si="44"/>
        <v>0</v>
      </c>
      <c r="O214" s="287"/>
      <c r="Q214" s="48"/>
      <c r="R214" s="48"/>
      <c r="S214" s="48"/>
      <c r="T214" s="48"/>
      <c r="U214" s="48"/>
      <c r="V214" s="48"/>
      <c r="W214" s="48"/>
      <c r="X214" s="48"/>
      <c r="Y214" s="48"/>
      <c r="Z214" s="48"/>
      <c r="AA214" s="48"/>
      <c r="AB214" s="48"/>
      <c r="AC214" s="48"/>
      <c r="AD214" s="48"/>
      <c r="AE214" s="48"/>
    </row>
    <row r="215" spans="1:31" outlineLevel="1">
      <c r="A215" s="412">
        <f>ROW()</f>
        <v>215</v>
      </c>
      <c r="B215" s="161"/>
      <c r="C215" s="130" t="s">
        <v>483</v>
      </c>
      <c r="D215" s="130" t="s">
        <v>497</v>
      </c>
      <c r="E215" s="132">
        <v>0</v>
      </c>
      <c r="F215" s="162"/>
      <c r="G215" s="602">
        <f t="shared" si="44"/>
        <v>0</v>
      </c>
      <c r="H215" s="602">
        <f t="shared" si="44"/>
        <v>0</v>
      </c>
      <c r="I215" s="602">
        <f t="shared" si="44"/>
        <v>0</v>
      </c>
      <c r="J215" s="602">
        <f t="shared" si="44"/>
        <v>0</v>
      </c>
      <c r="K215" s="602">
        <f t="shared" si="44"/>
        <v>0</v>
      </c>
      <c r="L215" s="602">
        <f t="shared" si="44"/>
        <v>0</v>
      </c>
      <c r="M215" s="602">
        <f t="shared" si="44"/>
        <v>0</v>
      </c>
      <c r="O215" s="287"/>
      <c r="Q215" s="48"/>
      <c r="R215" s="48"/>
      <c r="S215" s="48"/>
      <c r="T215" s="48"/>
      <c r="U215" s="48"/>
      <c r="V215" s="48"/>
      <c r="W215" s="48"/>
      <c r="X215" s="48"/>
      <c r="Y215" s="48"/>
      <c r="Z215" s="48"/>
      <c r="AA215" s="48"/>
      <c r="AB215" s="48"/>
      <c r="AC215" s="48"/>
      <c r="AD215" s="48"/>
      <c r="AE215" s="48"/>
    </row>
    <row r="216" spans="1:31" outlineLevel="1">
      <c r="A216" s="412">
        <f>ROW()</f>
        <v>216</v>
      </c>
      <c r="B216" s="257"/>
      <c r="C216" s="1124"/>
      <c r="D216" s="1124"/>
      <c r="E216" s="1127"/>
      <c r="F216" s="1124"/>
      <c r="G216" s="119"/>
      <c r="H216" s="119"/>
      <c r="I216" s="119"/>
      <c r="J216" s="119"/>
      <c r="K216" s="119"/>
      <c r="L216" s="119"/>
      <c r="M216" s="119"/>
      <c r="O216" s="287"/>
      <c r="Q216" s="48"/>
      <c r="R216" s="48"/>
      <c r="S216" s="48"/>
      <c r="T216" s="48"/>
      <c r="U216" s="48"/>
      <c r="V216" s="48"/>
      <c r="W216" s="48"/>
      <c r="X216" s="48"/>
      <c r="Y216" s="48"/>
      <c r="Z216" s="48"/>
      <c r="AA216" s="48"/>
      <c r="AB216" s="48"/>
      <c r="AC216" s="48"/>
      <c r="AD216" s="48"/>
      <c r="AE216" s="48"/>
    </row>
    <row r="217" spans="1:31" outlineLevel="1">
      <c r="A217" s="412">
        <f>ROW()</f>
        <v>217</v>
      </c>
      <c r="B217" s="161"/>
      <c r="C217" s="130" t="s">
        <v>483</v>
      </c>
      <c r="D217" s="130" t="s">
        <v>497</v>
      </c>
      <c r="E217" s="269">
        <v>0</v>
      </c>
      <c r="F217" s="162"/>
      <c r="G217" s="602">
        <f t="shared" ref="G217:M221" si="45">IF($D217&lt;=G$10,1,0)</f>
        <v>0</v>
      </c>
      <c r="H217" s="602">
        <f t="shared" si="45"/>
        <v>0</v>
      </c>
      <c r="I217" s="602">
        <f t="shared" si="45"/>
        <v>0</v>
      </c>
      <c r="J217" s="602">
        <f t="shared" si="45"/>
        <v>0</v>
      </c>
      <c r="K217" s="602">
        <f t="shared" si="45"/>
        <v>0</v>
      </c>
      <c r="L217" s="602">
        <f t="shared" si="45"/>
        <v>0</v>
      </c>
      <c r="M217" s="602">
        <f t="shared" si="45"/>
        <v>0</v>
      </c>
      <c r="O217" s="287"/>
      <c r="Q217" s="48"/>
      <c r="R217" s="48"/>
      <c r="S217" s="48"/>
      <c r="T217" s="48"/>
      <c r="U217" s="48"/>
      <c r="V217" s="48"/>
      <c r="W217" s="48"/>
      <c r="X217" s="48"/>
      <c r="Y217" s="48"/>
      <c r="Z217" s="48"/>
      <c r="AA217" s="48"/>
      <c r="AB217" s="48"/>
      <c r="AC217" s="48"/>
      <c r="AD217" s="48"/>
      <c r="AE217" s="48"/>
    </row>
    <row r="218" spans="1:31" outlineLevel="1">
      <c r="A218" s="412">
        <f>ROW()</f>
        <v>218</v>
      </c>
      <c r="B218" s="161"/>
      <c r="C218" s="130" t="s">
        <v>483</v>
      </c>
      <c r="D218" s="130" t="s">
        <v>497</v>
      </c>
      <c r="E218" s="132">
        <v>0</v>
      </c>
      <c r="F218" s="162"/>
      <c r="G218" s="602">
        <f t="shared" si="45"/>
        <v>0</v>
      </c>
      <c r="H218" s="602">
        <f t="shared" si="45"/>
        <v>0</v>
      </c>
      <c r="I218" s="602">
        <f t="shared" si="45"/>
        <v>0</v>
      </c>
      <c r="J218" s="602">
        <f t="shared" si="45"/>
        <v>0</v>
      </c>
      <c r="K218" s="602">
        <f t="shared" si="45"/>
        <v>0</v>
      </c>
      <c r="L218" s="602">
        <f t="shared" si="45"/>
        <v>0</v>
      </c>
      <c r="M218" s="602">
        <f t="shared" si="45"/>
        <v>0</v>
      </c>
      <c r="O218" s="287"/>
      <c r="Q218" s="48"/>
      <c r="R218" s="48"/>
      <c r="S218" s="48"/>
      <c r="T218" s="48"/>
      <c r="U218" s="48"/>
      <c r="V218" s="48"/>
      <c r="W218" s="48"/>
      <c r="X218" s="48"/>
      <c r="Y218" s="48"/>
      <c r="Z218" s="48"/>
      <c r="AA218" s="48"/>
      <c r="AB218" s="48"/>
      <c r="AC218" s="48"/>
      <c r="AD218" s="48"/>
      <c r="AE218" s="48"/>
    </row>
    <row r="219" spans="1:31" outlineLevel="1">
      <c r="A219" s="412">
        <f>ROW()</f>
        <v>219</v>
      </c>
      <c r="B219" s="161"/>
      <c r="C219" s="130" t="s">
        <v>483</v>
      </c>
      <c r="D219" s="130" t="s">
        <v>497</v>
      </c>
      <c r="E219" s="132">
        <v>0</v>
      </c>
      <c r="F219" s="162"/>
      <c r="G219" s="602">
        <f t="shared" si="45"/>
        <v>0</v>
      </c>
      <c r="H219" s="602">
        <f t="shared" si="45"/>
        <v>0</v>
      </c>
      <c r="I219" s="602">
        <f t="shared" si="45"/>
        <v>0</v>
      </c>
      <c r="J219" s="602">
        <f t="shared" si="45"/>
        <v>0</v>
      </c>
      <c r="K219" s="602">
        <f t="shared" si="45"/>
        <v>0</v>
      </c>
      <c r="L219" s="602">
        <f t="shared" si="45"/>
        <v>0</v>
      </c>
      <c r="M219" s="602">
        <f t="shared" si="45"/>
        <v>0</v>
      </c>
      <c r="O219" s="287"/>
      <c r="Q219" s="48"/>
      <c r="R219" s="48"/>
      <c r="S219" s="48"/>
      <c r="T219" s="48"/>
      <c r="U219" s="48"/>
      <c r="V219" s="48"/>
      <c r="W219" s="48"/>
      <c r="X219" s="48"/>
      <c r="Y219" s="48"/>
      <c r="Z219" s="48"/>
      <c r="AA219" s="48"/>
      <c r="AB219" s="48"/>
      <c r="AC219" s="48"/>
      <c r="AD219" s="48"/>
      <c r="AE219" s="48"/>
    </row>
    <row r="220" spans="1:31" outlineLevel="1">
      <c r="A220" s="412">
        <f>ROW()</f>
        <v>220</v>
      </c>
      <c r="B220" s="161"/>
      <c r="C220" s="130" t="s">
        <v>483</v>
      </c>
      <c r="D220" s="130" t="s">
        <v>497</v>
      </c>
      <c r="E220" s="132">
        <v>0</v>
      </c>
      <c r="F220" s="162"/>
      <c r="G220" s="602">
        <f t="shared" si="45"/>
        <v>0</v>
      </c>
      <c r="H220" s="602">
        <f t="shared" si="45"/>
        <v>0</v>
      </c>
      <c r="I220" s="602">
        <f t="shared" si="45"/>
        <v>0</v>
      </c>
      <c r="J220" s="602">
        <f t="shared" si="45"/>
        <v>0</v>
      </c>
      <c r="K220" s="602">
        <f t="shared" si="45"/>
        <v>0</v>
      </c>
      <c r="L220" s="602">
        <f t="shared" si="45"/>
        <v>0</v>
      </c>
      <c r="M220" s="602">
        <f t="shared" si="45"/>
        <v>0</v>
      </c>
      <c r="O220" s="287"/>
      <c r="Q220" s="48"/>
      <c r="R220" s="48"/>
      <c r="S220" s="48"/>
      <c r="T220" s="48"/>
      <c r="U220" s="48"/>
      <c r="V220" s="48"/>
      <c r="W220" s="48"/>
      <c r="X220" s="48"/>
      <c r="Y220" s="48"/>
      <c r="Z220" s="48"/>
      <c r="AA220" s="48"/>
      <c r="AB220" s="48"/>
      <c r="AC220" s="48"/>
      <c r="AD220" s="48"/>
      <c r="AE220" s="48"/>
    </row>
    <row r="221" spans="1:31" outlineLevel="1">
      <c r="A221" s="412">
        <f>ROW()</f>
        <v>221</v>
      </c>
      <c r="B221" s="161"/>
      <c r="C221" s="130" t="s">
        <v>483</v>
      </c>
      <c r="D221" s="130" t="s">
        <v>497</v>
      </c>
      <c r="E221" s="132">
        <v>0</v>
      </c>
      <c r="F221" s="162"/>
      <c r="G221" s="602">
        <f t="shared" si="45"/>
        <v>0</v>
      </c>
      <c r="H221" s="602">
        <f t="shared" si="45"/>
        <v>0</v>
      </c>
      <c r="I221" s="602">
        <f t="shared" si="45"/>
        <v>0</v>
      </c>
      <c r="J221" s="602">
        <f t="shared" si="45"/>
        <v>0</v>
      </c>
      <c r="K221" s="602">
        <f t="shared" si="45"/>
        <v>0</v>
      </c>
      <c r="L221" s="602">
        <f t="shared" si="45"/>
        <v>0</v>
      </c>
      <c r="M221" s="602">
        <f t="shared" si="45"/>
        <v>0</v>
      </c>
      <c r="O221" s="287"/>
      <c r="Q221" s="48"/>
      <c r="R221" s="48"/>
      <c r="S221" s="48"/>
      <c r="T221" s="48"/>
      <c r="U221" s="48"/>
      <c r="V221" s="48"/>
      <c r="W221" s="48"/>
      <c r="X221" s="48"/>
      <c r="Y221" s="48"/>
      <c r="Z221" s="48"/>
      <c r="AA221" s="48"/>
      <c r="AB221" s="48"/>
      <c r="AC221" s="48"/>
      <c r="AD221" s="48"/>
      <c r="AE221" s="48"/>
    </row>
    <row r="222" spans="1:31" outlineLevel="1">
      <c r="A222" s="412">
        <f>ROW()</f>
        <v>222</v>
      </c>
      <c r="B222" s="257"/>
      <c r="C222" s="1124"/>
      <c r="D222" s="1124"/>
      <c r="E222" s="1123"/>
      <c r="F222" s="1124"/>
      <c r="G222" s="119"/>
      <c r="H222" s="119"/>
      <c r="I222" s="119"/>
      <c r="J222" s="119"/>
      <c r="K222" s="119"/>
      <c r="L222" s="119"/>
      <c r="M222" s="119"/>
      <c r="O222" s="287"/>
      <c r="Q222" s="48"/>
      <c r="R222" s="48"/>
      <c r="S222" s="48"/>
      <c r="T222" s="48"/>
      <c r="U222" s="48"/>
      <c r="V222" s="48"/>
      <c r="W222" s="48"/>
      <c r="X222" s="48"/>
      <c r="Y222" s="48"/>
      <c r="Z222" s="48"/>
      <c r="AA222" s="48"/>
      <c r="AB222" s="48"/>
      <c r="AC222" s="48"/>
      <c r="AD222" s="48"/>
      <c r="AE222" s="48"/>
    </row>
    <row r="223" spans="1:31" outlineLevel="1">
      <c r="A223" s="412">
        <f>ROW()</f>
        <v>223</v>
      </c>
      <c r="B223" s="161"/>
      <c r="C223" s="130" t="s">
        <v>483</v>
      </c>
      <c r="D223" s="130" t="s">
        <v>497</v>
      </c>
      <c r="E223" s="269">
        <v>0</v>
      </c>
      <c r="F223" s="162"/>
      <c r="G223" s="602">
        <f t="shared" ref="G223:M227" si="46">IF($D223&lt;=G$10,1,0)</f>
        <v>0</v>
      </c>
      <c r="H223" s="602">
        <f t="shared" si="46"/>
        <v>0</v>
      </c>
      <c r="I223" s="602">
        <f t="shared" si="46"/>
        <v>0</v>
      </c>
      <c r="J223" s="602">
        <f t="shared" si="46"/>
        <v>0</v>
      </c>
      <c r="K223" s="602">
        <f t="shared" si="46"/>
        <v>0</v>
      </c>
      <c r="L223" s="602">
        <f t="shared" si="46"/>
        <v>0</v>
      </c>
      <c r="M223" s="602">
        <f t="shared" si="46"/>
        <v>0</v>
      </c>
      <c r="O223" s="287"/>
      <c r="Q223" s="48"/>
      <c r="R223" s="48"/>
      <c r="S223" s="48"/>
      <c r="T223" s="48"/>
      <c r="U223" s="48"/>
      <c r="V223" s="48"/>
      <c r="W223" s="48"/>
      <c r="X223" s="48"/>
      <c r="Y223" s="48"/>
      <c r="Z223" s="48"/>
      <c r="AA223" s="48"/>
      <c r="AB223" s="48"/>
      <c r="AC223" s="48"/>
      <c r="AD223" s="48"/>
      <c r="AE223" s="48"/>
    </row>
    <row r="224" spans="1:31" outlineLevel="1">
      <c r="A224" s="412">
        <f>ROW()</f>
        <v>224</v>
      </c>
      <c r="B224" s="161"/>
      <c r="C224" s="130" t="s">
        <v>483</v>
      </c>
      <c r="D224" s="130" t="s">
        <v>497</v>
      </c>
      <c r="E224" s="132">
        <v>0</v>
      </c>
      <c r="F224" s="162"/>
      <c r="G224" s="602">
        <f t="shared" si="46"/>
        <v>0</v>
      </c>
      <c r="H224" s="602">
        <f t="shared" si="46"/>
        <v>0</v>
      </c>
      <c r="I224" s="602">
        <f t="shared" si="46"/>
        <v>0</v>
      </c>
      <c r="J224" s="602">
        <f t="shared" si="46"/>
        <v>0</v>
      </c>
      <c r="K224" s="602">
        <f t="shared" si="46"/>
        <v>0</v>
      </c>
      <c r="L224" s="602">
        <f t="shared" si="46"/>
        <v>0</v>
      </c>
      <c r="M224" s="602">
        <f t="shared" si="46"/>
        <v>0</v>
      </c>
      <c r="O224" s="287"/>
      <c r="Q224" s="48"/>
      <c r="R224" s="48"/>
      <c r="S224" s="48"/>
      <c r="T224" s="48"/>
      <c r="U224" s="48"/>
      <c r="V224" s="48"/>
      <c r="W224" s="48"/>
      <c r="X224" s="48"/>
      <c r="Y224" s="48"/>
      <c r="Z224" s="48"/>
      <c r="AA224" s="48"/>
      <c r="AB224" s="48"/>
      <c r="AC224" s="48"/>
      <c r="AD224" s="48"/>
      <c r="AE224" s="48"/>
    </row>
    <row r="225" spans="1:31" outlineLevel="1">
      <c r="A225" s="412">
        <f>ROW()</f>
        <v>225</v>
      </c>
      <c r="B225" s="161"/>
      <c r="C225" s="130" t="s">
        <v>483</v>
      </c>
      <c r="D225" s="130" t="s">
        <v>497</v>
      </c>
      <c r="E225" s="132">
        <v>0</v>
      </c>
      <c r="F225" s="162"/>
      <c r="G225" s="602">
        <f t="shared" si="46"/>
        <v>0</v>
      </c>
      <c r="H225" s="602">
        <f t="shared" si="46"/>
        <v>0</v>
      </c>
      <c r="I225" s="602">
        <f t="shared" si="46"/>
        <v>0</v>
      </c>
      <c r="J225" s="602">
        <f t="shared" si="46"/>
        <v>0</v>
      </c>
      <c r="K225" s="602">
        <f t="shared" si="46"/>
        <v>0</v>
      </c>
      <c r="L225" s="602">
        <f t="shared" si="46"/>
        <v>0</v>
      </c>
      <c r="M225" s="602">
        <f t="shared" si="46"/>
        <v>0</v>
      </c>
      <c r="O225" s="287"/>
      <c r="Q225" s="48"/>
      <c r="R225" s="48"/>
      <c r="S225" s="48"/>
      <c r="T225" s="48"/>
      <c r="U225" s="48"/>
      <c r="V225" s="48"/>
      <c r="W225" s="48"/>
      <c r="X225" s="48"/>
      <c r="Y225" s="48"/>
      <c r="Z225" s="48"/>
      <c r="AA225" s="48"/>
      <c r="AB225" s="48"/>
      <c r="AC225" s="48"/>
      <c r="AD225" s="48"/>
      <c r="AE225" s="48"/>
    </row>
    <row r="226" spans="1:31" outlineLevel="1">
      <c r="A226" s="412">
        <f>ROW()</f>
        <v>226</v>
      </c>
      <c r="B226" s="161"/>
      <c r="C226" s="130" t="s">
        <v>483</v>
      </c>
      <c r="D226" s="130" t="s">
        <v>497</v>
      </c>
      <c r="E226" s="132">
        <v>0</v>
      </c>
      <c r="F226" s="162"/>
      <c r="G226" s="602">
        <f t="shared" si="46"/>
        <v>0</v>
      </c>
      <c r="H226" s="602">
        <f t="shared" si="46"/>
        <v>0</v>
      </c>
      <c r="I226" s="602">
        <f t="shared" si="46"/>
        <v>0</v>
      </c>
      <c r="J226" s="602">
        <f t="shared" si="46"/>
        <v>0</v>
      </c>
      <c r="K226" s="602">
        <f t="shared" si="46"/>
        <v>0</v>
      </c>
      <c r="L226" s="602">
        <f t="shared" si="46"/>
        <v>0</v>
      </c>
      <c r="M226" s="602">
        <f t="shared" si="46"/>
        <v>0</v>
      </c>
      <c r="O226" s="287"/>
      <c r="Q226" s="48"/>
      <c r="R226" s="48"/>
      <c r="S226" s="48"/>
      <c r="T226" s="48"/>
      <c r="U226" s="48"/>
      <c r="V226" s="48"/>
      <c r="W226" s="48"/>
      <c r="X226" s="48"/>
      <c r="Y226" s="48"/>
      <c r="Z226" s="48"/>
      <c r="AA226" s="48"/>
      <c r="AB226" s="48"/>
      <c r="AC226" s="48"/>
      <c r="AD226" s="48"/>
      <c r="AE226" s="48"/>
    </row>
    <row r="227" spans="1:31" outlineLevel="1">
      <c r="A227" s="412">
        <f>ROW()</f>
        <v>227</v>
      </c>
      <c r="B227" s="161"/>
      <c r="C227" s="130" t="s">
        <v>483</v>
      </c>
      <c r="D227" s="130" t="s">
        <v>497</v>
      </c>
      <c r="E227" s="132">
        <v>0</v>
      </c>
      <c r="F227" s="162"/>
      <c r="G227" s="602">
        <f t="shared" si="46"/>
        <v>0</v>
      </c>
      <c r="H227" s="602">
        <f t="shared" si="46"/>
        <v>0</v>
      </c>
      <c r="I227" s="602">
        <f t="shared" si="46"/>
        <v>0</v>
      </c>
      <c r="J227" s="602">
        <f t="shared" si="46"/>
        <v>0</v>
      </c>
      <c r="K227" s="602">
        <f t="shared" si="46"/>
        <v>0</v>
      </c>
      <c r="L227" s="602">
        <f t="shared" si="46"/>
        <v>0</v>
      </c>
      <c r="M227" s="602">
        <f t="shared" si="46"/>
        <v>0</v>
      </c>
      <c r="O227" s="287"/>
      <c r="Q227" s="48"/>
      <c r="R227" s="48"/>
      <c r="S227" s="48"/>
      <c r="T227" s="48"/>
      <c r="U227" s="48"/>
      <c r="V227" s="48"/>
      <c r="W227" s="48"/>
      <c r="X227" s="48"/>
      <c r="Y227" s="48"/>
      <c r="Z227" s="48"/>
      <c r="AA227" s="48"/>
      <c r="AB227" s="48"/>
      <c r="AC227" s="48"/>
      <c r="AD227" s="48"/>
      <c r="AE227" s="48"/>
    </row>
    <row r="228" spans="1:31" outlineLevel="1">
      <c r="A228" s="412">
        <f>ROW()</f>
        <v>228</v>
      </c>
      <c r="B228" s="257"/>
      <c r="C228" s="1122"/>
      <c r="D228" s="1122"/>
      <c r="E228" s="1123"/>
      <c r="F228" s="1124"/>
      <c r="G228" s="119"/>
      <c r="H228" s="119"/>
      <c r="I228" s="119"/>
      <c r="J228" s="119"/>
      <c r="K228" s="119"/>
      <c r="L228" s="119"/>
      <c r="M228" s="119"/>
      <c r="O228" s="287"/>
      <c r="Q228" s="48"/>
      <c r="R228" s="48"/>
      <c r="S228" s="48"/>
      <c r="T228" s="48"/>
      <c r="U228" s="48"/>
      <c r="V228" s="48"/>
      <c r="W228" s="48"/>
      <c r="X228" s="48"/>
      <c r="Y228" s="48"/>
      <c r="Z228" s="48"/>
      <c r="AA228" s="48"/>
      <c r="AB228" s="48"/>
      <c r="AC228" s="48"/>
      <c r="AD228" s="48"/>
      <c r="AE228" s="48"/>
    </row>
    <row r="229" spans="1:31" outlineLevel="1">
      <c r="A229" s="412">
        <f>ROW()</f>
        <v>229</v>
      </c>
      <c r="B229" s="161"/>
      <c r="C229" s="130" t="s">
        <v>483</v>
      </c>
      <c r="D229" s="130" t="s">
        <v>497</v>
      </c>
      <c r="E229" s="269">
        <v>0</v>
      </c>
      <c r="F229" s="162"/>
      <c r="G229" s="602">
        <f t="shared" ref="G229:M233" si="47">IF($D229&lt;=G$10,1,0)</f>
        <v>0</v>
      </c>
      <c r="H229" s="602">
        <f t="shared" si="47"/>
        <v>0</v>
      </c>
      <c r="I229" s="602">
        <f t="shared" si="47"/>
        <v>0</v>
      </c>
      <c r="J229" s="602">
        <f t="shared" si="47"/>
        <v>0</v>
      </c>
      <c r="K229" s="602">
        <f t="shared" si="47"/>
        <v>0</v>
      </c>
      <c r="L229" s="602">
        <f t="shared" si="47"/>
        <v>0</v>
      </c>
      <c r="M229" s="602">
        <f t="shared" si="47"/>
        <v>0</v>
      </c>
      <c r="O229" s="287"/>
      <c r="Q229" s="48"/>
      <c r="R229" s="48"/>
      <c r="S229" s="48"/>
      <c r="T229" s="48"/>
      <c r="U229" s="48"/>
      <c r="V229" s="48"/>
      <c r="W229" s="48"/>
      <c r="X229" s="48"/>
      <c r="Y229" s="48"/>
      <c r="Z229" s="48"/>
      <c r="AA229" s="48"/>
      <c r="AB229" s="48"/>
      <c r="AC229" s="48"/>
      <c r="AD229" s="48"/>
      <c r="AE229" s="48"/>
    </row>
    <row r="230" spans="1:31" outlineLevel="1">
      <c r="A230" s="412">
        <f>ROW()</f>
        <v>230</v>
      </c>
      <c r="B230" s="161"/>
      <c r="C230" s="130" t="s">
        <v>483</v>
      </c>
      <c r="D230" s="130" t="s">
        <v>497</v>
      </c>
      <c r="E230" s="132">
        <v>0</v>
      </c>
      <c r="F230" s="162"/>
      <c r="G230" s="602">
        <f t="shared" si="47"/>
        <v>0</v>
      </c>
      <c r="H230" s="602">
        <f t="shared" si="47"/>
        <v>0</v>
      </c>
      <c r="I230" s="602">
        <f t="shared" si="47"/>
        <v>0</v>
      </c>
      <c r="J230" s="602">
        <f t="shared" si="47"/>
        <v>0</v>
      </c>
      <c r="K230" s="602">
        <f t="shared" si="47"/>
        <v>0</v>
      </c>
      <c r="L230" s="602">
        <f t="shared" si="47"/>
        <v>0</v>
      </c>
      <c r="M230" s="602">
        <f t="shared" si="47"/>
        <v>0</v>
      </c>
      <c r="O230" s="287"/>
      <c r="Q230" s="48"/>
      <c r="R230" s="48"/>
      <c r="S230" s="48"/>
      <c r="T230" s="48"/>
      <c r="U230" s="48"/>
      <c r="V230" s="48"/>
      <c r="W230" s="48"/>
      <c r="X230" s="48"/>
      <c r="Y230" s="48"/>
      <c r="Z230" s="48"/>
      <c r="AA230" s="48"/>
      <c r="AB230" s="48"/>
      <c r="AC230" s="48"/>
      <c r="AD230" s="48"/>
      <c r="AE230" s="48"/>
    </row>
    <row r="231" spans="1:31" outlineLevel="1">
      <c r="A231" s="412">
        <f>ROW()</f>
        <v>231</v>
      </c>
      <c r="B231" s="161"/>
      <c r="C231" s="130" t="s">
        <v>483</v>
      </c>
      <c r="D231" s="130" t="s">
        <v>497</v>
      </c>
      <c r="E231" s="132">
        <v>0</v>
      </c>
      <c r="F231" s="162"/>
      <c r="G231" s="602">
        <f t="shared" si="47"/>
        <v>0</v>
      </c>
      <c r="H231" s="602">
        <f t="shared" si="47"/>
        <v>0</v>
      </c>
      <c r="I231" s="602">
        <f t="shared" si="47"/>
        <v>0</v>
      </c>
      <c r="J231" s="602">
        <f t="shared" si="47"/>
        <v>0</v>
      </c>
      <c r="K231" s="602">
        <f t="shared" si="47"/>
        <v>0</v>
      </c>
      <c r="L231" s="602">
        <f t="shared" si="47"/>
        <v>0</v>
      </c>
      <c r="M231" s="602">
        <f t="shared" si="47"/>
        <v>0</v>
      </c>
      <c r="O231" s="287"/>
      <c r="Q231" s="48"/>
      <c r="R231" s="48"/>
      <c r="S231" s="48"/>
      <c r="T231" s="48"/>
      <c r="U231" s="48"/>
      <c r="V231" s="48"/>
      <c r="W231" s="48"/>
      <c r="X231" s="48"/>
      <c r="Y231" s="48"/>
      <c r="Z231" s="48"/>
      <c r="AA231" s="48"/>
      <c r="AB231" s="48"/>
      <c r="AC231" s="48"/>
      <c r="AD231" s="48"/>
      <c r="AE231" s="48"/>
    </row>
    <row r="232" spans="1:31" outlineLevel="1">
      <c r="A232" s="412">
        <f>ROW()</f>
        <v>232</v>
      </c>
      <c r="B232" s="161"/>
      <c r="C232" s="130" t="s">
        <v>483</v>
      </c>
      <c r="D232" s="130" t="s">
        <v>497</v>
      </c>
      <c r="E232" s="132">
        <v>0</v>
      </c>
      <c r="F232" s="162"/>
      <c r="G232" s="602">
        <f t="shared" si="47"/>
        <v>0</v>
      </c>
      <c r="H232" s="602">
        <f t="shared" si="47"/>
        <v>0</v>
      </c>
      <c r="I232" s="602">
        <f t="shared" si="47"/>
        <v>0</v>
      </c>
      <c r="J232" s="602">
        <f t="shared" si="47"/>
        <v>0</v>
      </c>
      <c r="K232" s="602">
        <f t="shared" si="47"/>
        <v>0</v>
      </c>
      <c r="L232" s="602">
        <f t="shared" si="47"/>
        <v>0</v>
      </c>
      <c r="M232" s="602">
        <f t="shared" si="47"/>
        <v>0</v>
      </c>
      <c r="O232" s="287"/>
      <c r="Q232" s="48"/>
      <c r="R232" s="48"/>
      <c r="S232" s="48"/>
      <c r="T232" s="48"/>
      <c r="U232" s="48"/>
      <c r="V232" s="48"/>
      <c r="W232" s="48"/>
      <c r="X232" s="48"/>
      <c r="Y232" s="48"/>
      <c r="Z232" s="48"/>
      <c r="AA232" s="48"/>
      <c r="AB232" s="48"/>
      <c r="AC232" s="48"/>
      <c r="AD232" s="48"/>
      <c r="AE232" s="48"/>
    </row>
    <row r="233" spans="1:31" outlineLevel="1">
      <c r="A233" s="412">
        <f>ROW()</f>
        <v>233</v>
      </c>
      <c r="B233" s="161"/>
      <c r="C233" s="130" t="s">
        <v>483</v>
      </c>
      <c r="D233" s="130" t="s">
        <v>497</v>
      </c>
      <c r="E233" s="132">
        <v>0</v>
      </c>
      <c r="F233" s="162"/>
      <c r="G233" s="602">
        <f t="shared" si="47"/>
        <v>0</v>
      </c>
      <c r="H233" s="602">
        <f t="shared" si="47"/>
        <v>0</v>
      </c>
      <c r="I233" s="602">
        <f t="shared" si="47"/>
        <v>0</v>
      </c>
      <c r="J233" s="602">
        <f t="shared" si="47"/>
        <v>0</v>
      </c>
      <c r="K233" s="602">
        <f t="shared" si="47"/>
        <v>0</v>
      </c>
      <c r="L233" s="602">
        <f t="shared" si="47"/>
        <v>0</v>
      </c>
      <c r="M233" s="602">
        <f t="shared" si="47"/>
        <v>0</v>
      </c>
      <c r="O233" s="287"/>
      <c r="Q233" s="48"/>
      <c r="R233" s="48"/>
      <c r="S233" s="48"/>
      <c r="T233" s="48"/>
      <c r="U233" s="48"/>
      <c r="V233" s="48"/>
      <c r="W233" s="48"/>
      <c r="X233" s="48"/>
      <c r="Y233" s="48"/>
      <c r="Z233" s="48"/>
      <c r="AA233" s="48"/>
      <c r="AB233" s="48"/>
      <c r="AC233" s="48"/>
      <c r="AD233" s="48"/>
      <c r="AE233" s="48"/>
    </row>
    <row r="234" spans="1:31" outlineLevel="1">
      <c r="A234" s="412">
        <f>ROW()</f>
        <v>234</v>
      </c>
      <c r="B234" s="257"/>
      <c r="C234" s="1122"/>
      <c r="D234" s="1122"/>
      <c r="E234" s="1123"/>
      <c r="F234" s="1124"/>
      <c r="G234" s="119"/>
      <c r="H234" s="119"/>
      <c r="I234" s="119"/>
      <c r="J234" s="119"/>
      <c r="K234" s="119"/>
      <c r="L234" s="119"/>
      <c r="M234" s="119"/>
      <c r="O234" s="287"/>
      <c r="Q234" s="48"/>
      <c r="R234" s="48"/>
      <c r="S234" s="48"/>
      <c r="T234" s="48"/>
      <c r="U234" s="48"/>
      <c r="V234" s="48"/>
      <c r="W234" s="48"/>
      <c r="X234" s="48"/>
      <c r="Y234" s="48"/>
      <c r="Z234" s="48"/>
      <c r="AA234" s="48"/>
      <c r="AB234" s="48"/>
      <c r="AC234" s="48"/>
      <c r="AD234" s="48"/>
      <c r="AE234" s="48"/>
    </row>
    <row r="235" spans="1:31" outlineLevel="1">
      <c r="A235" s="412">
        <f>ROW()</f>
        <v>235</v>
      </c>
      <c r="B235" s="161"/>
      <c r="C235" s="130" t="s">
        <v>483</v>
      </c>
      <c r="D235" s="130" t="s">
        <v>497</v>
      </c>
      <c r="E235" s="269">
        <v>0</v>
      </c>
      <c r="F235" s="162"/>
      <c r="G235" s="602">
        <f t="shared" ref="G235:M239" si="48">IF($D235&lt;=G$10,1,0)</f>
        <v>0</v>
      </c>
      <c r="H235" s="602">
        <f t="shared" si="48"/>
        <v>0</v>
      </c>
      <c r="I235" s="602">
        <f t="shared" si="48"/>
        <v>0</v>
      </c>
      <c r="J235" s="602">
        <f t="shared" si="48"/>
        <v>0</v>
      </c>
      <c r="K235" s="602">
        <f t="shared" si="48"/>
        <v>0</v>
      </c>
      <c r="L235" s="602">
        <f t="shared" si="48"/>
        <v>0</v>
      </c>
      <c r="M235" s="602">
        <f t="shared" si="48"/>
        <v>0</v>
      </c>
      <c r="O235" s="287"/>
      <c r="Q235" s="48"/>
      <c r="R235" s="48"/>
      <c r="S235" s="48"/>
      <c r="T235" s="48"/>
      <c r="U235" s="48"/>
      <c r="V235" s="48"/>
      <c r="W235" s="48"/>
      <c r="X235" s="48"/>
      <c r="Y235" s="48"/>
      <c r="Z235" s="48"/>
      <c r="AA235" s="48"/>
      <c r="AB235" s="48"/>
      <c r="AC235" s="48"/>
      <c r="AD235" s="48"/>
      <c r="AE235" s="48"/>
    </row>
    <row r="236" spans="1:31" outlineLevel="1">
      <c r="A236" s="412">
        <f>ROW()</f>
        <v>236</v>
      </c>
      <c r="B236" s="161"/>
      <c r="C236" s="130" t="s">
        <v>483</v>
      </c>
      <c r="D236" s="130" t="s">
        <v>497</v>
      </c>
      <c r="E236" s="132">
        <v>0</v>
      </c>
      <c r="F236" s="162"/>
      <c r="G236" s="602">
        <f t="shared" si="48"/>
        <v>0</v>
      </c>
      <c r="H236" s="602">
        <f t="shared" si="48"/>
        <v>0</v>
      </c>
      <c r="I236" s="602">
        <f t="shared" si="48"/>
        <v>0</v>
      </c>
      <c r="J236" s="602">
        <f t="shared" si="48"/>
        <v>0</v>
      </c>
      <c r="K236" s="602">
        <f t="shared" si="48"/>
        <v>0</v>
      </c>
      <c r="L236" s="602">
        <f t="shared" si="48"/>
        <v>0</v>
      </c>
      <c r="M236" s="602">
        <f t="shared" si="48"/>
        <v>0</v>
      </c>
      <c r="O236" s="287"/>
      <c r="Q236" s="48"/>
      <c r="R236" s="48"/>
      <c r="S236" s="48"/>
      <c r="T236" s="48"/>
      <c r="U236" s="48"/>
      <c r="V236" s="48"/>
      <c r="W236" s="48"/>
      <c r="X236" s="48"/>
      <c r="Y236" s="48"/>
      <c r="Z236" s="48"/>
      <c r="AA236" s="48"/>
      <c r="AB236" s="48"/>
      <c r="AC236" s="48"/>
      <c r="AD236" s="48"/>
      <c r="AE236" s="48"/>
    </row>
    <row r="237" spans="1:31" outlineLevel="1">
      <c r="A237" s="412">
        <f>ROW()</f>
        <v>237</v>
      </c>
      <c r="B237" s="161"/>
      <c r="C237" s="130" t="s">
        <v>483</v>
      </c>
      <c r="D237" s="130" t="s">
        <v>497</v>
      </c>
      <c r="E237" s="132">
        <v>0</v>
      </c>
      <c r="F237" s="162"/>
      <c r="G237" s="602">
        <f t="shared" si="48"/>
        <v>0</v>
      </c>
      <c r="H237" s="602">
        <f t="shared" si="48"/>
        <v>0</v>
      </c>
      <c r="I237" s="602">
        <f t="shared" si="48"/>
        <v>0</v>
      </c>
      <c r="J237" s="602">
        <f t="shared" si="48"/>
        <v>0</v>
      </c>
      <c r="K237" s="602">
        <f t="shared" si="48"/>
        <v>0</v>
      </c>
      <c r="L237" s="602">
        <f t="shared" si="48"/>
        <v>0</v>
      </c>
      <c r="M237" s="602">
        <f t="shared" si="48"/>
        <v>0</v>
      </c>
      <c r="O237" s="287"/>
      <c r="Q237" s="48"/>
      <c r="R237" s="48"/>
      <c r="S237" s="48"/>
      <c r="T237" s="48"/>
      <c r="U237" s="48"/>
      <c r="V237" s="48"/>
      <c r="W237" s="48"/>
      <c r="X237" s="48"/>
      <c r="Y237" s="48"/>
      <c r="Z237" s="48"/>
      <c r="AA237" s="48"/>
      <c r="AB237" s="48"/>
      <c r="AC237" s="48"/>
      <c r="AD237" s="48"/>
      <c r="AE237" s="48"/>
    </row>
    <row r="238" spans="1:31" outlineLevel="1">
      <c r="A238" s="412">
        <f>ROW()</f>
        <v>238</v>
      </c>
      <c r="B238" s="161"/>
      <c r="C238" s="130" t="s">
        <v>483</v>
      </c>
      <c r="D238" s="130" t="s">
        <v>497</v>
      </c>
      <c r="E238" s="132">
        <v>0</v>
      </c>
      <c r="F238" s="162"/>
      <c r="G238" s="602">
        <f t="shared" si="48"/>
        <v>0</v>
      </c>
      <c r="H238" s="602">
        <f t="shared" si="48"/>
        <v>0</v>
      </c>
      <c r="I238" s="602">
        <f t="shared" si="48"/>
        <v>0</v>
      </c>
      <c r="J238" s="602">
        <f t="shared" si="48"/>
        <v>0</v>
      </c>
      <c r="K238" s="602">
        <f t="shared" si="48"/>
        <v>0</v>
      </c>
      <c r="L238" s="602">
        <f t="shared" si="48"/>
        <v>0</v>
      </c>
      <c r="M238" s="602">
        <f t="shared" si="48"/>
        <v>0</v>
      </c>
      <c r="O238" s="287"/>
      <c r="Q238" s="48"/>
      <c r="R238" s="48"/>
      <c r="S238" s="48"/>
      <c r="T238" s="48"/>
      <c r="U238" s="48"/>
      <c r="V238" s="48"/>
      <c r="W238" s="48"/>
      <c r="X238" s="48"/>
      <c r="Y238" s="48"/>
      <c r="Z238" s="48"/>
      <c r="AA238" s="48"/>
      <c r="AB238" s="48"/>
      <c r="AC238" s="48"/>
      <c r="AD238" s="48"/>
      <c r="AE238" s="48"/>
    </row>
    <row r="239" spans="1:31" outlineLevel="1">
      <c r="A239" s="412">
        <f>ROW()</f>
        <v>239</v>
      </c>
      <c r="B239" s="161"/>
      <c r="C239" s="130" t="s">
        <v>483</v>
      </c>
      <c r="D239" s="130" t="s">
        <v>497</v>
      </c>
      <c r="E239" s="132">
        <v>0</v>
      </c>
      <c r="F239" s="162"/>
      <c r="G239" s="602">
        <f t="shared" si="48"/>
        <v>0</v>
      </c>
      <c r="H239" s="602">
        <f t="shared" si="48"/>
        <v>0</v>
      </c>
      <c r="I239" s="602">
        <f t="shared" si="48"/>
        <v>0</v>
      </c>
      <c r="J239" s="602">
        <f t="shared" si="48"/>
        <v>0</v>
      </c>
      <c r="K239" s="602">
        <f t="shared" si="48"/>
        <v>0</v>
      </c>
      <c r="L239" s="602">
        <f t="shared" si="48"/>
        <v>0</v>
      </c>
      <c r="M239" s="602">
        <f t="shared" si="48"/>
        <v>0</v>
      </c>
      <c r="O239" s="287"/>
      <c r="Q239" s="48"/>
      <c r="R239" s="48"/>
      <c r="S239" s="48"/>
      <c r="T239" s="48"/>
      <c r="U239" s="48"/>
      <c r="V239" s="48"/>
      <c r="W239" s="48"/>
      <c r="X239" s="48"/>
      <c r="Y239" s="48"/>
      <c r="Z239" s="48"/>
      <c r="AA239" s="48"/>
      <c r="AB239" s="48"/>
      <c r="AC239" s="48"/>
      <c r="AD239" s="48"/>
      <c r="AE239" s="48"/>
    </row>
    <row r="240" spans="1:31">
      <c r="A240" s="412">
        <f>ROW()</f>
        <v>240</v>
      </c>
      <c r="C240" s="90"/>
      <c r="D240" s="90"/>
      <c r="E240" s="82"/>
      <c r="F240" s="82"/>
      <c r="G240" s="89"/>
      <c r="H240" s="89"/>
      <c r="I240" s="89"/>
      <c r="J240" s="89"/>
      <c r="K240" s="51"/>
      <c r="L240" s="51"/>
      <c r="M240" s="51"/>
      <c r="O240" s="287"/>
      <c r="Q240" s="48"/>
      <c r="R240" s="48"/>
      <c r="S240" s="48"/>
      <c r="T240" s="48"/>
      <c r="U240" s="48"/>
      <c r="V240" s="48"/>
      <c r="W240" s="48"/>
      <c r="X240" s="48"/>
      <c r="Y240" s="48"/>
      <c r="Z240" s="48"/>
      <c r="AA240" s="48"/>
      <c r="AB240" s="48"/>
      <c r="AC240" s="48"/>
      <c r="AD240" s="48"/>
      <c r="AE240" s="48"/>
    </row>
    <row r="241" spans="1:31">
      <c r="A241" s="412">
        <f>ROW()</f>
        <v>241</v>
      </c>
      <c r="B241" s="106" t="s">
        <v>1272</v>
      </c>
      <c r="C241" s="107"/>
      <c r="D241" s="107"/>
      <c r="E241" s="106"/>
      <c r="F241" s="106"/>
      <c r="G241" s="968">
        <f t="shared" ref="G241:M241" si="49">SUM(G146:G239)</f>
        <v>0</v>
      </c>
      <c r="H241" s="288">
        <f t="shared" si="49"/>
        <v>15</v>
      </c>
      <c r="I241" s="288">
        <f t="shared" si="49"/>
        <v>18</v>
      </c>
      <c r="J241" s="288">
        <f t="shared" si="49"/>
        <v>20</v>
      </c>
      <c r="K241" s="288">
        <f t="shared" si="49"/>
        <v>26</v>
      </c>
      <c r="L241" s="288">
        <f t="shared" si="49"/>
        <v>26</v>
      </c>
      <c r="M241" s="288">
        <f t="shared" si="49"/>
        <v>26</v>
      </c>
      <c r="N241" s="30"/>
      <c r="O241" s="287"/>
      <c r="Q241" s="48"/>
      <c r="R241" s="48"/>
      <c r="S241" s="48"/>
      <c r="T241" s="48"/>
      <c r="U241" s="48"/>
      <c r="V241" s="48"/>
      <c r="W241" s="48"/>
      <c r="X241" s="48"/>
      <c r="Y241" s="48"/>
      <c r="Z241" s="48"/>
      <c r="AA241" s="48"/>
      <c r="AB241" s="48"/>
      <c r="AC241" s="48"/>
      <c r="AD241" s="48"/>
      <c r="AE241" s="48"/>
    </row>
    <row r="242" spans="1:31">
      <c r="A242" s="412">
        <f>ROW()</f>
        <v>242</v>
      </c>
      <c r="B242" s="32" t="s">
        <v>499</v>
      </c>
      <c r="G242" s="259">
        <f t="shared" ref="G242:M242" si="50">+G241+G139</f>
        <v>0</v>
      </c>
      <c r="H242" s="259">
        <f t="shared" si="50"/>
        <v>23</v>
      </c>
      <c r="I242" s="259">
        <f t="shared" si="50"/>
        <v>33</v>
      </c>
      <c r="J242" s="259">
        <f t="shared" si="50"/>
        <v>37</v>
      </c>
      <c r="K242" s="259">
        <f t="shared" si="50"/>
        <v>44</v>
      </c>
      <c r="L242" s="259">
        <f t="shared" si="50"/>
        <v>44</v>
      </c>
      <c r="M242" s="259">
        <f t="shared" si="50"/>
        <v>44</v>
      </c>
      <c r="O242" s="287"/>
      <c r="Q242" s="48"/>
      <c r="R242" s="48"/>
      <c r="S242" s="48"/>
      <c r="T242" s="48"/>
      <c r="U242" s="48"/>
      <c r="V242" s="48"/>
      <c r="W242" s="48"/>
      <c r="X242" s="48"/>
      <c r="Y242" s="48"/>
      <c r="Z242" s="48"/>
      <c r="AA242" s="48"/>
      <c r="AB242" s="48"/>
      <c r="AC242" s="48"/>
      <c r="AD242" s="48"/>
      <c r="AE242" s="48"/>
    </row>
    <row r="243" spans="1:31">
      <c r="A243" s="412">
        <f>ROW()</f>
        <v>243</v>
      </c>
      <c r="G243" s="89"/>
      <c r="H243" s="89"/>
      <c r="I243" s="89"/>
      <c r="J243" s="89"/>
      <c r="K243" s="89"/>
      <c r="L243" s="49"/>
      <c r="M243" s="49"/>
      <c r="O243" s="287"/>
      <c r="Q243" s="48"/>
      <c r="R243" s="48"/>
      <c r="S243" s="48"/>
      <c r="T243" s="48"/>
      <c r="U243" s="48"/>
      <c r="V243" s="48"/>
      <c r="W243" s="48"/>
      <c r="X243" s="48"/>
      <c r="Y243" s="48"/>
      <c r="Z243" s="48"/>
      <c r="AA243" s="48"/>
      <c r="AB243" s="48"/>
      <c r="AC243" s="48"/>
      <c r="AD243" s="48"/>
      <c r="AE243" s="48"/>
    </row>
    <row r="244" spans="1:31" ht="15.6">
      <c r="A244" s="412">
        <f>ROW()</f>
        <v>244</v>
      </c>
      <c r="B244" s="1654" t="s">
        <v>500</v>
      </c>
      <c r="C244" s="1654"/>
      <c r="D244" s="1654"/>
      <c r="E244" s="1654"/>
      <c r="F244" s="1654"/>
      <c r="G244" s="1655"/>
      <c r="H244" s="1655"/>
      <c r="I244" s="1655"/>
      <c r="J244" s="1655"/>
      <c r="K244" s="1655"/>
      <c r="L244" s="1656"/>
      <c r="M244" s="1656"/>
      <c r="O244" s="287"/>
      <c r="Q244" s="48"/>
      <c r="R244" s="48"/>
      <c r="S244" s="48"/>
      <c r="T244" s="48"/>
      <c r="U244" s="48"/>
      <c r="V244" s="48"/>
      <c r="W244" s="48"/>
      <c r="X244" s="48"/>
      <c r="Y244" s="48"/>
      <c r="Z244" s="48"/>
      <c r="AA244" s="48"/>
      <c r="AB244" s="48"/>
      <c r="AC244" s="48"/>
      <c r="AD244" s="48"/>
      <c r="AE244" s="48"/>
    </row>
    <row r="245" spans="1:31" outlineLevel="1">
      <c r="A245" s="412">
        <f>ROW()</f>
        <v>245</v>
      </c>
      <c r="B245" s="91"/>
      <c r="G245" s="89"/>
      <c r="H245" s="89"/>
      <c r="I245" s="89"/>
      <c r="J245" s="89"/>
      <c r="K245" s="89"/>
      <c r="L245" s="49"/>
      <c r="N245" s="49"/>
      <c r="O245" s="287"/>
      <c r="Q245" s="48"/>
      <c r="R245" s="48"/>
      <c r="S245" s="48"/>
      <c r="T245" s="48"/>
      <c r="U245" s="48"/>
      <c r="V245" s="48"/>
      <c r="W245" s="48"/>
      <c r="X245" s="48"/>
      <c r="Y245" s="48"/>
      <c r="Z245" s="48"/>
      <c r="AA245" s="48"/>
      <c r="AB245" s="48"/>
      <c r="AC245" s="48"/>
      <c r="AD245" s="48"/>
      <c r="AE245" s="48"/>
    </row>
    <row r="246" spans="1:31" outlineLevel="1">
      <c r="A246" s="412">
        <f>ROW()</f>
        <v>246</v>
      </c>
      <c r="B246" s="1308" t="str">
        <f>$B$82</f>
        <v>Administrators (Full-time &amp; Part-Time w/benefits)</v>
      </c>
      <c r="C246" s="58"/>
      <c r="D246" s="58"/>
      <c r="E246" s="58"/>
      <c r="F246" s="58"/>
      <c r="G246" s="89"/>
      <c r="H246" s="89"/>
      <c r="I246" s="89"/>
      <c r="J246" s="89"/>
      <c r="K246" s="89"/>
      <c r="L246" s="49"/>
      <c r="N246" s="49"/>
      <c r="O246" s="287"/>
      <c r="Q246" s="48"/>
      <c r="R246" s="48"/>
      <c r="S246" s="48"/>
      <c r="T246" s="48"/>
      <c r="U246" s="48"/>
      <c r="V246" s="48"/>
      <c r="W246" s="48"/>
      <c r="X246" s="48"/>
      <c r="Y246" s="48"/>
      <c r="Z246" s="48"/>
      <c r="AA246" s="48"/>
      <c r="AB246" s="48"/>
      <c r="AC246" s="48"/>
      <c r="AD246" s="48"/>
      <c r="AE246" s="48"/>
    </row>
    <row r="247" spans="1:31" outlineLevel="1">
      <c r="A247" s="412">
        <f>ROW()</f>
        <v>247</v>
      </c>
      <c r="B247" s="32" t="str">
        <f>$B83</f>
        <v>Executive Director</v>
      </c>
      <c r="C247" s="109">
        <f t="shared" ref="C247:C252" si="51">SUM(G247:M247)</f>
        <v>609582</v>
      </c>
      <c r="D247" s="92"/>
      <c r="E247" s="92"/>
      <c r="F247" s="92"/>
      <c r="G247" s="1680">
        <f>G83*$D83</f>
        <v>0</v>
      </c>
      <c r="H247" s="1680">
        <f t="shared" ref="H247:M251" si="52">(H83*$D83)</f>
        <v>101597</v>
      </c>
      <c r="I247" s="1680">
        <f t="shared" si="52"/>
        <v>101597</v>
      </c>
      <c r="J247" s="1680">
        <f t="shared" si="52"/>
        <v>101597</v>
      </c>
      <c r="K247" s="1680">
        <f t="shared" si="52"/>
        <v>101597</v>
      </c>
      <c r="L247" s="1680">
        <f t="shared" si="52"/>
        <v>101597</v>
      </c>
      <c r="M247" s="1680">
        <f t="shared" si="52"/>
        <v>101597</v>
      </c>
      <c r="O247" s="287"/>
      <c r="Q247" s="48"/>
      <c r="R247" s="48"/>
      <c r="S247" s="48"/>
      <c r="T247" s="48"/>
      <c r="U247" s="48"/>
      <c r="V247" s="48"/>
      <c r="W247" s="48"/>
      <c r="X247" s="48"/>
      <c r="Y247" s="48"/>
      <c r="Z247" s="48"/>
      <c r="AA247" s="48"/>
      <c r="AB247" s="48"/>
      <c r="AC247" s="48"/>
      <c r="AD247" s="48"/>
      <c r="AE247" s="48"/>
    </row>
    <row r="248" spans="1:31" outlineLevel="1">
      <c r="A248" s="412">
        <f>ROW()</f>
        <v>248</v>
      </c>
      <c r="B248" s="32" t="str">
        <f>$B84</f>
        <v>Principal</v>
      </c>
      <c r="C248" s="117">
        <f t="shared" si="51"/>
        <v>581682</v>
      </c>
      <c r="D248" s="49"/>
      <c r="E248" s="49"/>
      <c r="F248" s="92"/>
      <c r="G248" s="1681">
        <f>G84*$D84</f>
        <v>0</v>
      </c>
      <c r="H248" s="1681">
        <f t="shared" si="52"/>
        <v>96947</v>
      </c>
      <c r="I248" s="1681">
        <f t="shared" si="52"/>
        <v>96947</v>
      </c>
      <c r="J248" s="1681">
        <f t="shared" si="52"/>
        <v>96947</v>
      </c>
      <c r="K248" s="1681">
        <f t="shared" si="52"/>
        <v>96947</v>
      </c>
      <c r="L248" s="1681">
        <f t="shared" si="52"/>
        <v>96947</v>
      </c>
      <c r="M248" s="1681">
        <f t="shared" si="52"/>
        <v>96947</v>
      </c>
      <c r="O248" s="287"/>
      <c r="Q248" s="48"/>
      <c r="R248" s="48"/>
      <c r="S248" s="48"/>
      <c r="T248" s="48"/>
      <c r="U248" s="48"/>
      <c r="V248" s="48"/>
      <c r="W248" s="48"/>
      <c r="X248" s="48"/>
      <c r="Y248" s="48"/>
      <c r="Z248" s="48"/>
      <c r="AA248" s="48"/>
      <c r="AB248" s="48"/>
      <c r="AC248" s="48"/>
      <c r="AD248" s="48"/>
      <c r="AE248" s="48"/>
    </row>
    <row r="249" spans="1:31" outlineLevel="1">
      <c r="A249" s="412">
        <f>ROW()</f>
        <v>249</v>
      </c>
      <c r="B249" s="32" t="str">
        <f>$B85</f>
        <v>Dean of Students</v>
      </c>
      <c r="C249" s="117">
        <f t="shared" si="51"/>
        <v>238044</v>
      </c>
      <c r="D249" s="49"/>
      <c r="E249" s="49"/>
      <c r="F249" s="92"/>
      <c r="G249" s="1681">
        <f>G85*$D85</f>
        <v>0</v>
      </c>
      <c r="H249" s="1681">
        <f t="shared" si="52"/>
        <v>0</v>
      </c>
      <c r="I249" s="1681">
        <f t="shared" si="52"/>
        <v>0</v>
      </c>
      <c r="J249" s="1681">
        <f t="shared" si="52"/>
        <v>59511</v>
      </c>
      <c r="K249" s="1681">
        <f t="shared" si="52"/>
        <v>59511</v>
      </c>
      <c r="L249" s="1681">
        <f t="shared" si="52"/>
        <v>59511</v>
      </c>
      <c r="M249" s="1681">
        <f t="shared" si="52"/>
        <v>59511</v>
      </c>
      <c r="O249" s="287"/>
      <c r="Q249" s="48"/>
      <c r="R249" s="48"/>
      <c r="S249" s="48"/>
      <c r="T249" s="48"/>
      <c r="U249" s="48"/>
      <c r="V249" s="48"/>
      <c r="W249" s="48"/>
      <c r="X249" s="48"/>
      <c r="Y249" s="48"/>
      <c r="Z249" s="48"/>
      <c r="AA249" s="48"/>
      <c r="AB249" s="48"/>
      <c r="AC249" s="48"/>
      <c r="AD249" s="48"/>
      <c r="AE249" s="48"/>
    </row>
    <row r="250" spans="1:31" outlineLevel="1">
      <c r="A250" s="412">
        <f>ROW()</f>
        <v>250</v>
      </c>
      <c r="B250" s="32">
        <f>$B86</f>
        <v>0</v>
      </c>
      <c r="C250" s="117">
        <f t="shared" si="51"/>
        <v>0</v>
      </c>
      <c r="D250" s="49"/>
      <c r="E250" s="49"/>
      <c r="F250" s="92"/>
      <c r="G250" s="1681">
        <f>G86*$D86</f>
        <v>0</v>
      </c>
      <c r="H250" s="1681">
        <f t="shared" si="52"/>
        <v>0</v>
      </c>
      <c r="I250" s="1681">
        <f t="shared" si="52"/>
        <v>0</v>
      </c>
      <c r="J250" s="1681">
        <f t="shared" si="52"/>
        <v>0</v>
      </c>
      <c r="K250" s="1681">
        <f t="shared" si="52"/>
        <v>0</v>
      </c>
      <c r="L250" s="1681">
        <f t="shared" si="52"/>
        <v>0</v>
      </c>
      <c r="M250" s="1681">
        <f t="shared" si="52"/>
        <v>0</v>
      </c>
      <c r="O250" s="287"/>
      <c r="Q250" s="48"/>
      <c r="R250" s="48"/>
      <c r="S250" s="48"/>
      <c r="T250" s="48"/>
      <c r="U250" s="48"/>
      <c r="V250" s="48"/>
      <c r="W250" s="48"/>
      <c r="X250" s="48"/>
      <c r="Y250" s="48"/>
      <c r="Z250" s="48"/>
      <c r="AA250" s="48"/>
      <c r="AB250" s="48"/>
      <c r="AC250" s="48"/>
      <c r="AD250" s="48"/>
      <c r="AE250" s="48"/>
    </row>
    <row r="251" spans="1:31" outlineLevel="1">
      <c r="A251" s="412">
        <f>ROW()</f>
        <v>251</v>
      </c>
      <c r="B251" s="58">
        <f>$B87</f>
        <v>0</v>
      </c>
      <c r="C251" s="118">
        <f t="shared" si="51"/>
        <v>0</v>
      </c>
      <c r="D251" s="93"/>
      <c r="E251" s="93"/>
      <c r="F251" s="93"/>
      <c r="G251" s="1682">
        <f>G87*$D87</f>
        <v>0</v>
      </c>
      <c r="H251" s="1682">
        <f t="shared" si="52"/>
        <v>0</v>
      </c>
      <c r="I251" s="1682">
        <f t="shared" si="52"/>
        <v>0</v>
      </c>
      <c r="J251" s="1682">
        <f t="shared" si="52"/>
        <v>0</v>
      </c>
      <c r="K251" s="1682">
        <f t="shared" si="52"/>
        <v>0</v>
      </c>
      <c r="L251" s="1682">
        <f t="shared" si="52"/>
        <v>0</v>
      </c>
      <c r="M251" s="1682">
        <f t="shared" si="52"/>
        <v>0</v>
      </c>
      <c r="O251" s="287"/>
      <c r="Q251" s="48"/>
      <c r="R251" s="48"/>
      <c r="S251" s="48"/>
      <c r="T251" s="48"/>
      <c r="U251" s="48"/>
      <c r="V251" s="48"/>
      <c r="W251" s="48"/>
      <c r="X251" s="48"/>
      <c r="Y251" s="48"/>
      <c r="Z251" s="48"/>
      <c r="AA251" s="48"/>
      <c r="AB251" s="48"/>
      <c r="AC251" s="48"/>
      <c r="AD251" s="48"/>
      <c r="AE251" s="48"/>
    </row>
    <row r="252" spans="1:31" outlineLevel="1">
      <c r="A252" s="412">
        <f>ROW()</f>
        <v>252</v>
      </c>
      <c r="B252" s="30" t="s">
        <v>501</v>
      </c>
      <c r="C252" s="117">
        <f t="shared" si="51"/>
        <v>1429308</v>
      </c>
      <c r="D252" s="49"/>
      <c r="E252" s="49"/>
      <c r="F252" s="49"/>
      <c r="G252" s="295">
        <f t="shared" ref="G252:M252" si="53">SUM(G247:G251)</f>
        <v>0</v>
      </c>
      <c r="H252" s="295">
        <f t="shared" si="53"/>
        <v>198544</v>
      </c>
      <c r="I252" s="295">
        <f t="shared" si="53"/>
        <v>198544</v>
      </c>
      <c r="J252" s="295">
        <f t="shared" si="53"/>
        <v>258055</v>
      </c>
      <c r="K252" s="295">
        <f t="shared" si="53"/>
        <v>258055</v>
      </c>
      <c r="L252" s="295">
        <f t="shared" si="53"/>
        <v>258055</v>
      </c>
      <c r="M252" s="295">
        <f t="shared" si="53"/>
        <v>258055</v>
      </c>
      <c r="O252" s="287"/>
      <c r="Q252" s="48"/>
      <c r="R252" s="48"/>
      <c r="S252" s="48"/>
      <c r="T252" s="48"/>
      <c r="U252" s="48"/>
      <c r="V252" s="48"/>
      <c r="W252" s="48"/>
      <c r="X252" s="48"/>
      <c r="Y252" s="48"/>
      <c r="Z252" s="48"/>
      <c r="AA252" s="48"/>
      <c r="AB252" s="48"/>
      <c r="AC252" s="48"/>
      <c r="AD252" s="48"/>
      <c r="AE252" s="48"/>
    </row>
    <row r="253" spans="1:31" outlineLevel="1">
      <c r="A253" s="412">
        <f>ROW()</f>
        <v>253</v>
      </c>
      <c r="B253" s="30"/>
      <c r="C253" s="117"/>
      <c r="D253" s="49"/>
      <c r="E253" s="49"/>
      <c r="F253" s="49"/>
      <c r="G253" s="117"/>
      <c r="H253" s="117"/>
      <c r="I253" s="117"/>
      <c r="J253" s="117"/>
      <c r="K253" s="117"/>
      <c r="L253" s="117"/>
      <c r="M253" s="117"/>
      <c r="O253" s="287"/>
      <c r="Q253" s="48"/>
      <c r="R253" s="48"/>
      <c r="S253" s="48"/>
      <c r="T253" s="48"/>
      <c r="U253" s="48"/>
      <c r="V253" s="48"/>
      <c r="W253" s="48"/>
      <c r="X253" s="48"/>
      <c r="Y253" s="48"/>
      <c r="Z253" s="48"/>
      <c r="AA253" s="48"/>
      <c r="AB253" s="48"/>
      <c r="AC253" s="48"/>
      <c r="AD253" s="48"/>
      <c r="AE253" s="48"/>
    </row>
    <row r="254" spans="1:31" outlineLevel="1">
      <c r="A254" s="412">
        <f>ROW()</f>
        <v>254</v>
      </c>
      <c r="B254" s="1308" t="str">
        <f>$B$91</f>
        <v>Office Staff (Full-time &amp; Part-Time w/benefits)</v>
      </c>
      <c r="C254" s="118"/>
      <c r="D254" s="93"/>
      <c r="E254" s="93"/>
      <c r="F254" s="93"/>
      <c r="G254" s="118"/>
      <c r="H254" s="118"/>
      <c r="I254" s="118"/>
      <c r="J254" s="118"/>
      <c r="K254" s="118"/>
      <c r="L254" s="118"/>
      <c r="M254" s="118"/>
      <c r="O254" s="287"/>
      <c r="Q254" s="48"/>
      <c r="R254" s="48"/>
      <c r="S254" s="48"/>
      <c r="T254" s="48"/>
      <c r="U254" s="48"/>
      <c r="V254" s="48"/>
      <c r="W254" s="48"/>
      <c r="X254" s="48"/>
      <c r="Y254" s="48"/>
      <c r="Z254" s="48"/>
      <c r="AA254" s="48"/>
      <c r="AB254" s="48"/>
      <c r="AC254" s="48"/>
      <c r="AD254" s="48"/>
      <c r="AE254" s="48"/>
    </row>
    <row r="255" spans="1:31" outlineLevel="1">
      <c r="A255" s="412">
        <f>ROW()</f>
        <v>255</v>
      </c>
      <c r="B255" s="32" t="str">
        <f>$B92</f>
        <v>Office Manager</v>
      </c>
      <c r="C255" s="117">
        <f>SUM(G255:M255)</f>
        <v>295680</v>
      </c>
      <c r="D255" s="49"/>
      <c r="E255" s="49"/>
      <c r="F255" s="49"/>
      <c r="G255" s="1681">
        <f>G92*$D92</f>
        <v>0</v>
      </c>
      <c r="H255" s="1681">
        <f t="shared" ref="H255:M255" si="54">(H92*$D92)</f>
        <v>49280</v>
      </c>
      <c r="I255" s="1681">
        <f t="shared" si="54"/>
        <v>49280</v>
      </c>
      <c r="J255" s="1681">
        <f t="shared" si="54"/>
        <v>49280</v>
      </c>
      <c r="K255" s="1681">
        <f t="shared" si="54"/>
        <v>49280</v>
      </c>
      <c r="L255" s="1681">
        <f t="shared" si="54"/>
        <v>49280</v>
      </c>
      <c r="M255" s="1681">
        <f t="shared" si="54"/>
        <v>49280</v>
      </c>
      <c r="O255" s="287"/>
      <c r="Q255" s="48"/>
      <c r="R255" s="48"/>
      <c r="S255" s="48"/>
      <c r="T255" s="48"/>
      <c r="U255" s="48"/>
      <c r="V255" s="48"/>
      <c r="W255" s="48"/>
      <c r="X255" s="48"/>
      <c r="Y255" s="48"/>
      <c r="Z255" s="48"/>
      <c r="AA255" s="48"/>
      <c r="AB255" s="48"/>
      <c r="AC255" s="48"/>
      <c r="AD255" s="48"/>
      <c r="AE255" s="48"/>
    </row>
    <row r="256" spans="1:31" outlineLevel="1">
      <c r="A256" s="412">
        <f>ROW()</f>
        <v>256</v>
      </c>
      <c r="B256" s="32" t="str">
        <f>$B93</f>
        <v>Registrar/Receptionist</v>
      </c>
      <c r="C256" s="117">
        <f>SUM(G256:M256)</f>
        <v>206659.20000000001</v>
      </c>
      <c r="D256" s="49"/>
      <c r="E256" s="49"/>
      <c r="F256" s="49"/>
      <c r="G256" s="1681">
        <f>G93*$D93</f>
        <v>0</v>
      </c>
      <c r="H256" s="1681">
        <f>(H93*$D93)</f>
        <v>34443.199999999997</v>
      </c>
      <c r="I256" s="1681">
        <f t="shared" ref="I256:M256" si="55">(I93*$D93)</f>
        <v>34443.199999999997</v>
      </c>
      <c r="J256" s="1681">
        <f t="shared" si="55"/>
        <v>34443.199999999997</v>
      </c>
      <c r="K256" s="1681">
        <f t="shared" si="55"/>
        <v>34443.199999999997</v>
      </c>
      <c r="L256" s="1681">
        <f t="shared" si="55"/>
        <v>34443.199999999997</v>
      </c>
      <c r="M256" s="1681">
        <f t="shared" si="55"/>
        <v>34443.199999999997</v>
      </c>
      <c r="O256" s="287"/>
      <c r="Q256" s="48"/>
      <c r="R256" s="48"/>
      <c r="S256" s="48"/>
      <c r="T256" s="48"/>
      <c r="U256" s="48"/>
      <c r="V256" s="48"/>
      <c r="W256" s="48"/>
      <c r="X256" s="48"/>
      <c r="Y256" s="48"/>
      <c r="Z256" s="48"/>
      <c r="AA256" s="48"/>
      <c r="AB256" s="48"/>
      <c r="AC256" s="48"/>
      <c r="AD256" s="48"/>
      <c r="AE256" s="48"/>
    </row>
    <row r="257" spans="1:31" outlineLevel="1">
      <c r="A257" s="412"/>
      <c r="B257" s="32" t="str">
        <f>$B94</f>
        <v xml:space="preserve">Attendance and Compliance Manager </v>
      </c>
      <c r="C257" s="117">
        <f>SUM(G257:M257)</f>
        <v>190432</v>
      </c>
      <c r="D257" s="49"/>
      <c r="E257" s="49"/>
      <c r="F257" s="49"/>
      <c r="G257" s="1681">
        <f>G94*$D94</f>
        <v>0</v>
      </c>
      <c r="H257" s="1681">
        <f>(H94*$D94)</f>
        <v>0</v>
      </c>
      <c r="I257" s="1681">
        <f t="shared" ref="I257:M258" si="56">(I94*$D94)</f>
        <v>38086.400000000001</v>
      </c>
      <c r="J257" s="1681">
        <f t="shared" si="56"/>
        <v>38086.400000000001</v>
      </c>
      <c r="K257" s="1681">
        <f t="shared" si="56"/>
        <v>38086.400000000001</v>
      </c>
      <c r="L257" s="1681">
        <f t="shared" si="56"/>
        <v>38086.400000000001</v>
      </c>
      <c r="M257" s="1681">
        <f t="shared" si="56"/>
        <v>38086.400000000001</v>
      </c>
      <c r="O257" s="287"/>
      <c r="Q257" s="48"/>
      <c r="R257" s="48"/>
      <c r="S257" s="48"/>
      <c r="T257" s="48"/>
      <c r="U257" s="48"/>
      <c r="V257" s="48"/>
      <c r="W257" s="48"/>
      <c r="X257" s="48"/>
      <c r="Y257" s="48"/>
      <c r="Z257" s="48"/>
      <c r="AA257" s="48"/>
      <c r="AB257" s="48"/>
      <c r="AC257" s="48"/>
      <c r="AD257" s="48"/>
      <c r="AE257" s="48"/>
    </row>
    <row r="258" spans="1:31" outlineLevel="1">
      <c r="A258" s="412">
        <f>ROW()</f>
        <v>258</v>
      </c>
      <c r="B258" s="58" t="str">
        <f>$B95</f>
        <v>Student Enrollment and Recruitment Manager</v>
      </c>
      <c r="C258" s="118">
        <f>SUM(G258:M258)</f>
        <v>190432</v>
      </c>
      <c r="D258" s="93"/>
      <c r="E258" s="93"/>
      <c r="F258" s="93"/>
      <c r="G258" s="1681">
        <f>G95*$D95</f>
        <v>0</v>
      </c>
      <c r="H258" s="1681">
        <f>(H95*$D95)</f>
        <v>0</v>
      </c>
      <c r="I258" s="1681">
        <f t="shared" si="56"/>
        <v>38086.400000000001</v>
      </c>
      <c r="J258" s="1681">
        <f t="shared" si="56"/>
        <v>38086.400000000001</v>
      </c>
      <c r="K258" s="1681">
        <f t="shared" si="56"/>
        <v>38086.400000000001</v>
      </c>
      <c r="L258" s="1681">
        <f t="shared" si="56"/>
        <v>38086.400000000001</v>
      </c>
      <c r="M258" s="1681">
        <f t="shared" si="56"/>
        <v>38086.400000000001</v>
      </c>
      <c r="O258" s="287"/>
      <c r="Q258" s="48"/>
      <c r="R258" s="48"/>
      <c r="S258" s="48"/>
      <c r="T258" s="48"/>
      <c r="U258" s="48"/>
      <c r="V258" s="48"/>
      <c r="W258" s="48"/>
      <c r="X258" s="48"/>
      <c r="Y258" s="48"/>
      <c r="Z258" s="48"/>
      <c r="AA258" s="48"/>
      <c r="AB258" s="48"/>
      <c r="AC258" s="48"/>
      <c r="AD258" s="48"/>
      <c r="AE258" s="48"/>
    </row>
    <row r="259" spans="1:31" outlineLevel="1">
      <c r="A259" s="412">
        <f>ROW()</f>
        <v>259</v>
      </c>
      <c r="B259" s="30" t="s">
        <v>502</v>
      </c>
      <c r="C259" s="117">
        <f>SUM(G259:M259)</f>
        <v>883203.2</v>
      </c>
      <c r="D259" s="49"/>
      <c r="E259" s="49"/>
      <c r="F259" s="49"/>
      <c r="G259" s="295">
        <f t="shared" ref="G259:M259" si="57">SUM(G255:G258)</f>
        <v>0</v>
      </c>
      <c r="H259" s="295">
        <f t="shared" si="57"/>
        <v>83723.199999999997</v>
      </c>
      <c r="I259" s="295">
        <f t="shared" si="57"/>
        <v>159896</v>
      </c>
      <c r="J259" s="295">
        <f t="shared" si="57"/>
        <v>159896</v>
      </c>
      <c r="K259" s="295">
        <f t="shared" si="57"/>
        <v>159896</v>
      </c>
      <c r="L259" s="295">
        <f t="shared" si="57"/>
        <v>159896</v>
      </c>
      <c r="M259" s="295">
        <f t="shared" si="57"/>
        <v>159896</v>
      </c>
      <c r="O259" s="287"/>
      <c r="Q259" s="48"/>
      <c r="R259" s="48"/>
      <c r="S259" s="48"/>
      <c r="T259" s="48"/>
      <c r="U259" s="48"/>
      <c r="V259" s="48"/>
      <c r="W259" s="48"/>
      <c r="X259" s="48"/>
      <c r="Y259" s="48"/>
      <c r="Z259" s="48"/>
      <c r="AA259" s="48"/>
      <c r="AB259" s="48"/>
      <c r="AC259" s="48"/>
      <c r="AD259" s="48"/>
      <c r="AE259" s="48"/>
    </row>
    <row r="260" spans="1:31" outlineLevel="1">
      <c r="A260" s="412">
        <f>ROW()</f>
        <v>260</v>
      </c>
      <c r="C260" s="117"/>
      <c r="D260" s="49"/>
      <c r="E260" s="49"/>
      <c r="F260" s="49"/>
      <c r="G260" s="117"/>
      <c r="H260" s="117"/>
      <c r="I260" s="117"/>
      <c r="J260" s="117"/>
      <c r="K260" s="117"/>
      <c r="L260" s="117"/>
      <c r="M260" s="117"/>
      <c r="O260" s="287"/>
      <c r="Q260" s="48"/>
      <c r="R260" s="48"/>
      <c r="S260" s="48"/>
      <c r="T260" s="48"/>
      <c r="U260" s="48"/>
      <c r="V260" s="48"/>
      <c r="W260" s="48"/>
      <c r="X260" s="48"/>
      <c r="Y260" s="48"/>
      <c r="Z260" s="48"/>
      <c r="AA260" s="48"/>
      <c r="AB260" s="48"/>
      <c r="AC260" s="48"/>
      <c r="AD260" s="48"/>
      <c r="AE260" s="48"/>
    </row>
    <row r="261" spans="1:31" outlineLevel="1">
      <c r="A261" s="412">
        <f>ROW()</f>
        <v>261</v>
      </c>
      <c r="B261" s="106" t="str">
        <f>$B$97</f>
        <v>Total Administrators and Office Staff</v>
      </c>
      <c r="C261" s="295">
        <f>SUM(G261:M261)</f>
        <v>2312511.2000000002</v>
      </c>
      <c r="D261" s="259"/>
      <c r="E261" s="259"/>
      <c r="F261" s="259"/>
      <c r="G261" s="547">
        <f t="shared" ref="G261:M261" si="58">+G252+G259</f>
        <v>0</v>
      </c>
      <c r="H261" s="547">
        <f t="shared" si="58"/>
        <v>282267.2</v>
      </c>
      <c r="I261" s="547">
        <f t="shared" si="58"/>
        <v>358440</v>
      </c>
      <c r="J261" s="547">
        <f t="shared" si="58"/>
        <v>417951</v>
      </c>
      <c r="K261" s="547">
        <f t="shared" si="58"/>
        <v>417951</v>
      </c>
      <c r="L261" s="547">
        <f t="shared" si="58"/>
        <v>417951</v>
      </c>
      <c r="M261" s="547">
        <f t="shared" si="58"/>
        <v>417951</v>
      </c>
      <c r="O261" s="287"/>
      <c r="Q261" s="48"/>
      <c r="R261" s="48"/>
      <c r="S261" s="48"/>
      <c r="T261" s="48"/>
      <c r="U261" s="48"/>
      <c r="V261" s="48"/>
      <c r="W261" s="48"/>
      <c r="X261" s="48"/>
      <c r="Y261" s="48"/>
      <c r="Z261" s="48"/>
      <c r="AA261" s="48"/>
      <c r="AB261" s="48"/>
      <c r="AC261" s="48"/>
      <c r="AD261" s="48"/>
      <c r="AE261" s="48"/>
    </row>
    <row r="262" spans="1:31" outlineLevel="1">
      <c r="A262" s="412">
        <f>ROW()</f>
        <v>262</v>
      </c>
      <c r="G262" s="429"/>
      <c r="H262" s="429"/>
      <c r="I262" s="429"/>
      <c r="J262" s="429"/>
      <c r="K262" s="429"/>
      <c r="L262" s="429"/>
      <c r="M262" s="429"/>
      <c r="O262" s="287"/>
      <c r="Q262" s="48"/>
      <c r="R262" s="48"/>
      <c r="S262" s="48"/>
      <c r="T262" s="48"/>
      <c r="U262" s="48"/>
      <c r="V262" s="48"/>
      <c r="W262" s="48"/>
      <c r="X262" s="48"/>
      <c r="Y262" s="48"/>
      <c r="Z262" s="48"/>
      <c r="AA262" s="48"/>
      <c r="AB262" s="48"/>
      <c r="AC262" s="48"/>
      <c r="AD262" s="48"/>
      <c r="AE262" s="48"/>
    </row>
    <row r="263" spans="1:31" outlineLevel="1">
      <c r="A263" s="412">
        <f>ROW()</f>
        <v>263</v>
      </c>
      <c r="B263" s="30"/>
      <c r="C263" s="117"/>
      <c r="D263" s="49"/>
      <c r="E263" s="49"/>
      <c r="F263" s="49"/>
      <c r="G263" s="117"/>
      <c r="H263" s="117"/>
      <c r="I263" s="117"/>
      <c r="J263" s="117"/>
      <c r="K263" s="117"/>
      <c r="L263" s="117"/>
      <c r="M263" s="117"/>
      <c r="O263" s="287"/>
      <c r="Q263" s="48"/>
      <c r="R263" s="48"/>
      <c r="S263" s="48"/>
      <c r="T263" s="48"/>
      <c r="U263" s="48"/>
      <c r="V263" s="48"/>
      <c r="W263" s="48"/>
      <c r="X263" s="48"/>
      <c r="Y263" s="48"/>
      <c r="Z263" s="48"/>
      <c r="AA263" s="48"/>
      <c r="AB263" s="48"/>
      <c r="AC263" s="48"/>
      <c r="AD263" s="48"/>
      <c r="AE263" s="48"/>
    </row>
    <row r="264" spans="1:31" outlineLevel="1">
      <c r="A264" s="412">
        <f>ROW()</f>
        <v>264</v>
      </c>
      <c r="B264" s="1308" t="str">
        <f>$B$99</f>
        <v>Special Education (SPED) Teachers (Full-time &amp; Part-Time w/benefits)</v>
      </c>
      <c r="C264" s="118"/>
      <c r="D264" s="93"/>
      <c r="E264" s="93"/>
      <c r="F264" s="93"/>
      <c r="G264" s="118"/>
      <c r="H264" s="118"/>
      <c r="I264" s="118"/>
      <c r="J264" s="118"/>
      <c r="K264" s="118"/>
      <c r="L264" s="118"/>
      <c r="M264" s="118"/>
      <c r="O264" s="287"/>
      <c r="Q264" s="48"/>
      <c r="R264" s="48"/>
      <c r="S264" s="48"/>
      <c r="T264" s="48"/>
      <c r="U264" s="48"/>
      <c r="V264" s="48"/>
      <c r="W264" s="48"/>
      <c r="X264" s="48"/>
      <c r="Y264" s="48"/>
      <c r="Z264" s="48"/>
      <c r="AA264" s="48"/>
      <c r="AB264" s="48"/>
      <c r="AC264" s="48"/>
      <c r="AD264" s="48"/>
      <c r="AE264" s="48"/>
    </row>
    <row r="265" spans="1:31" outlineLevel="1">
      <c r="A265" s="412">
        <f>ROW()</f>
        <v>265</v>
      </c>
      <c r="B265" s="142" t="str">
        <f>$B$100</f>
        <v>Special Education (SPED) Director</v>
      </c>
      <c r="C265" s="117">
        <f t="shared" ref="C265:C274" si="59">SUM(G265:M265)</f>
        <v>387066</v>
      </c>
      <c r="D265" s="49"/>
      <c r="E265" s="49"/>
      <c r="F265" s="49"/>
      <c r="G265" s="1681">
        <f t="shared" ref="G265:G273" si="60">G100*$D100</f>
        <v>0</v>
      </c>
      <c r="H265" s="1681">
        <f t="shared" ref="H265:M273" si="61">(H100*$D100)</f>
        <v>64511</v>
      </c>
      <c r="I265" s="1681">
        <f t="shared" si="61"/>
        <v>64511</v>
      </c>
      <c r="J265" s="1681">
        <f t="shared" si="61"/>
        <v>64511</v>
      </c>
      <c r="K265" s="1681">
        <f t="shared" si="61"/>
        <v>64511</v>
      </c>
      <c r="L265" s="1681">
        <f t="shared" si="61"/>
        <v>64511</v>
      </c>
      <c r="M265" s="1681">
        <f t="shared" si="61"/>
        <v>64511</v>
      </c>
      <c r="O265" s="287"/>
      <c r="Q265" s="48"/>
      <c r="R265" s="48"/>
      <c r="S265" s="48"/>
      <c r="T265" s="48"/>
      <c r="U265" s="48"/>
      <c r="V265" s="48"/>
      <c r="W265" s="48"/>
      <c r="X265" s="48"/>
      <c r="Y265" s="48"/>
      <c r="Z265" s="48"/>
      <c r="AA265" s="48"/>
      <c r="AB265" s="48"/>
      <c r="AC265" s="48"/>
      <c r="AD265" s="48"/>
      <c r="AE265" s="48"/>
    </row>
    <row r="266" spans="1:31" outlineLevel="1">
      <c r="A266" s="412">
        <f>ROW()</f>
        <v>266</v>
      </c>
      <c r="B266" s="142" t="str">
        <f>$B$101</f>
        <v>Special Education (SPED) Teachers</v>
      </c>
      <c r="C266" s="117">
        <f t="shared" si="59"/>
        <v>357066</v>
      </c>
      <c r="D266" s="49"/>
      <c r="E266" s="49"/>
      <c r="F266" s="49"/>
      <c r="G266" s="1681">
        <f t="shared" si="60"/>
        <v>0</v>
      </c>
      <c r="H266" s="1681">
        <f t="shared" si="61"/>
        <v>59511</v>
      </c>
      <c r="I266" s="1681">
        <f t="shared" si="61"/>
        <v>59511</v>
      </c>
      <c r="J266" s="1681">
        <f t="shared" si="61"/>
        <v>59511</v>
      </c>
      <c r="K266" s="1681">
        <f t="shared" si="61"/>
        <v>59511</v>
      </c>
      <c r="L266" s="1681">
        <f t="shared" si="61"/>
        <v>59511</v>
      </c>
      <c r="M266" s="1681">
        <f t="shared" si="61"/>
        <v>59511</v>
      </c>
      <c r="O266" s="287"/>
      <c r="Q266" s="48"/>
      <c r="R266" s="48"/>
      <c r="S266" s="48"/>
      <c r="T266" s="48"/>
      <c r="U266" s="48"/>
      <c r="V266" s="48"/>
      <c r="W266" s="48"/>
      <c r="X266" s="48"/>
      <c r="Y266" s="48"/>
      <c r="Z266" s="48"/>
      <c r="AA266" s="48"/>
      <c r="AB266" s="48"/>
      <c r="AC266" s="48"/>
      <c r="AD266" s="48"/>
      <c r="AE266" s="48"/>
    </row>
    <row r="267" spans="1:31" outlineLevel="1">
      <c r="A267" s="412">
        <f>ROW()</f>
        <v>267</v>
      </c>
      <c r="B267" s="142" t="str">
        <f>$B$102</f>
        <v>Special Education (SPED) Teachers</v>
      </c>
      <c r="C267" s="117">
        <f t="shared" si="59"/>
        <v>238044</v>
      </c>
      <c r="D267" s="49"/>
      <c r="E267" s="49"/>
      <c r="F267" s="49"/>
      <c r="G267" s="1681">
        <f t="shared" si="60"/>
        <v>0</v>
      </c>
      <c r="H267" s="1681">
        <f t="shared" si="61"/>
        <v>0</v>
      </c>
      <c r="I267" s="1681">
        <f t="shared" si="61"/>
        <v>0</v>
      </c>
      <c r="J267" s="1681">
        <f t="shared" si="61"/>
        <v>59511</v>
      </c>
      <c r="K267" s="1681">
        <f t="shared" si="61"/>
        <v>59511</v>
      </c>
      <c r="L267" s="1681">
        <f t="shared" si="61"/>
        <v>59511</v>
      </c>
      <c r="M267" s="1681">
        <f t="shared" si="61"/>
        <v>59511</v>
      </c>
      <c r="O267" s="287"/>
      <c r="Q267" s="48"/>
      <c r="R267" s="48"/>
      <c r="S267" s="48"/>
      <c r="T267" s="48"/>
      <c r="U267" s="48"/>
      <c r="V267" s="48"/>
      <c r="W267" s="48"/>
      <c r="X267" s="48"/>
      <c r="Y267" s="48"/>
      <c r="Z267" s="48"/>
      <c r="AA267" s="48"/>
      <c r="AB267" s="48"/>
      <c r="AC267" s="48"/>
      <c r="AD267" s="48"/>
      <c r="AE267" s="48"/>
    </row>
    <row r="268" spans="1:31" outlineLevel="1">
      <c r="A268" s="412">
        <f>ROW()</f>
        <v>268</v>
      </c>
      <c r="B268" s="142">
        <f>$B$103</f>
        <v>0</v>
      </c>
      <c r="C268" s="117">
        <f t="shared" si="59"/>
        <v>0</v>
      </c>
      <c r="D268" s="49"/>
      <c r="E268" s="49"/>
      <c r="F268" s="49"/>
      <c r="G268" s="1681">
        <f t="shared" si="60"/>
        <v>0</v>
      </c>
      <c r="H268" s="1681">
        <f t="shared" si="61"/>
        <v>0</v>
      </c>
      <c r="I268" s="1681">
        <f t="shared" si="61"/>
        <v>0</v>
      </c>
      <c r="J268" s="1681">
        <f t="shared" si="61"/>
        <v>0</v>
      </c>
      <c r="K268" s="1681">
        <f t="shared" si="61"/>
        <v>0</v>
      </c>
      <c r="L268" s="1681">
        <f t="shared" si="61"/>
        <v>0</v>
      </c>
      <c r="M268" s="1681">
        <f t="shared" si="61"/>
        <v>0</v>
      </c>
      <c r="O268" s="287"/>
      <c r="Q268" s="48"/>
      <c r="R268" s="48"/>
      <c r="S268" s="48"/>
      <c r="T268" s="48"/>
      <c r="U268" s="48"/>
      <c r="V268" s="48"/>
      <c r="W268" s="48"/>
      <c r="X268" s="48"/>
      <c r="Y268" s="48"/>
      <c r="Z268" s="48"/>
      <c r="AA268" s="48"/>
      <c r="AB268" s="48"/>
      <c r="AC268" s="48"/>
      <c r="AD268" s="48"/>
      <c r="AE268" s="48"/>
    </row>
    <row r="269" spans="1:31" outlineLevel="1">
      <c r="A269" s="412">
        <f>ROW()</f>
        <v>269</v>
      </c>
      <c r="B269" s="142">
        <f>$B$104</f>
        <v>0</v>
      </c>
      <c r="C269" s="117">
        <f t="shared" si="59"/>
        <v>0</v>
      </c>
      <c r="D269" s="49"/>
      <c r="E269" s="49"/>
      <c r="F269" s="49"/>
      <c r="G269" s="1681">
        <f t="shared" si="60"/>
        <v>0</v>
      </c>
      <c r="H269" s="1681">
        <f t="shared" si="61"/>
        <v>0</v>
      </c>
      <c r="I269" s="1681">
        <f t="shared" si="61"/>
        <v>0</v>
      </c>
      <c r="J269" s="1681">
        <f t="shared" si="61"/>
        <v>0</v>
      </c>
      <c r="K269" s="1681">
        <f t="shared" si="61"/>
        <v>0</v>
      </c>
      <c r="L269" s="1681">
        <f t="shared" si="61"/>
        <v>0</v>
      </c>
      <c r="M269" s="1681">
        <f t="shared" si="61"/>
        <v>0</v>
      </c>
      <c r="O269" s="287"/>
      <c r="Q269" s="48"/>
      <c r="R269" s="48"/>
      <c r="S269" s="48"/>
      <c r="T269" s="48"/>
      <c r="U269" s="48"/>
      <c r="V269" s="48"/>
      <c r="W269" s="48"/>
      <c r="X269" s="48"/>
      <c r="Y269" s="48"/>
      <c r="Z269" s="48"/>
      <c r="AA269" s="48"/>
      <c r="AB269" s="48"/>
      <c r="AC269" s="48"/>
      <c r="AD269" s="48"/>
      <c r="AE269" s="48"/>
    </row>
    <row r="270" spans="1:31" outlineLevel="1">
      <c r="A270" s="412">
        <f>ROW()</f>
        <v>270</v>
      </c>
      <c r="B270" s="142" t="str">
        <f>$B105</f>
        <v xml:space="preserve"> </v>
      </c>
      <c r="C270" s="117">
        <f t="shared" si="59"/>
        <v>0</v>
      </c>
      <c r="D270" s="49"/>
      <c r="E270" s="49"/>
      <c r="F270" s="49"/>
      <c r="G270" s="1681">
        <f t="shared" si="60"/>
        <v>0</v>
      </c>
      <c r="H270" s="1681">
        <f t="shared" si="61"/>
        <v>0</v>
      </c>
      <c r="I270" s="1681">
        <f t="shared" si="61"/>
        <v>0</v>
      </c>
      <c r="J270" s="1681">
        <f t="shared" si="61"/>
        <v>0</v>
      </c>
      <c r="K270" s="1681">
        <f t="shared" si="61"/>
        <v>0</v>
      </c>
      <c r="L270" s="1681">
        <f t="shared" si="61"/>
        <v>0</v>
      </c>
      <c r="M270" s="1681">
        <f t="shared" si="61"/>
        <v>0</v>
      </c>
      <c r="O270" s="287"/>
      <c r="Q270" s="48"/>
      <c r="R270" s="48"/>
      <c r="S270" s="48"/>
      <c r="T270" s="48"/>
      <c r="U270" s="48"/>
      <c r="V270" s="48"/>
      <c r="W270" s="48"/>
      <c r="X270" s="48"/>
      <c r="Y270" s="48"/>
      <c r="Z270" s="48"/>
      <c r="AA270" s="48"/>
      <c r="AB270" s="48"/>
      <c r="AC270" s="48"/>
      <c r="AD270" s="48"/>
      <c r="AE270" s="48"/>
    </row>
    <row r="271" spans="1:31" outlineLevel="1">
      <c r="A271" s="412">
        <f>ROW()</f>
        <v>271</v>
      </c>
      <c r="B271" s="142">
        <f>$B106</f>
        <v>0</v>
      </c>
      <c r="C271" s="117">
        <f t="shared" si="59"/>
        <v>0</v>
      </c>
      <c r="D271" s="49"/>
      <c r="E271" s="49"/>
      <c r="F271" s="49"/>
      <c r="G271" s="1681">
        <f t="shared" si="60"/>
        <v>0</v>
      </c>
      <c r="H271" s="1681">
        <f t="shared" si="61"/>
        <v>0</v>
      </c>
      <c r="I271" s="1681">
        <f t="shared" si="61"/>
        <v>0</v>
      </c>
      <c r="J271" s="1681">
        <f t="shared" si="61"/>
        <v>0</v>
      </c>
      <c r="K271" s="1681">
        <f t="shared" si="61"/>
        <v>0</v>
      </c>
      <c r="L271" s="1681">
        <f t="shared" si="61"/>
        <v>0</v>
      </c>
      <c r="M271" s="1681">
        <f t="shared" si="61"/>
        <v>0</v>
      </c>
      <c r="O271" s="287"/>
      <c r="Q271" s="48"/>
      <c r="R271" s="48"/>
      <c r="S271" s="48"/>
      <c r="T271" s="48"/>
      <c r="U271" s="48"/>
      <c r="V271" s="48"/>
      <c r="W271" s="48"/>
      <c r="X271" s="48"/>
      <c r="Y271" s="48"/>
      <c r="Z271" s="48"/>
      <c r="AA271" s="48"/>
      <c r="AB271" s="48"/>
      <c r="AC271" s="48"/>
      <c r="AD271" s="48"/>
      <c r="AE271" s="48"/>
    </row>
    <row r="272" spans="1:31" outlineLevel="1">
      <c r="A272" s="412">
        <f>ROW()</f>
        <v>272</v>
      </c>
      <c r="B272" s="142">
        <f>$B107</f>
        <v>0</v>
      </c>
      <c r="C272" s="117">
        <f t="shared" si="59"/>
        <v>0</v>
      </c>
      <c r="D272" s="49"/>
      <c r="E272" s="49"/>
      <c r="F272" s="49"/>
      <c r="G272" s="1681">
        <f t="shared" si="60"/>
        <v>0</v>
      </c>
      <c r="H272" s="1681">
        <f t="shared" si="61"/>
        <v>0</v>
      </c>
      <c r="I272" s="1681">
        <f t="shared" si="61"/>
        <v>0</v>
      </c>
      <c r="J272" s="1681">
        <f t="shared" si="61"/>
        <v>0</v>
      </c>
      <c r="K272" s="1681">
        <f t="shared" si="61"/>
        <v>0</v>
      </c>
      <c r="L272" s="1681">
        <f t="shared" si="61"/>
        <v>0</v>
      </c>
      <c r="M272" s="1681">
        <f t="shared" si="61"/>
        <v>0</v>
      </c>
      <c r="O272" s="287"/>
      <c r="Q272" s="48"/>
      <c r="R272" s="48"/>
      <c r="S272" s="48"/>
      <c r="T272" s="48"/>
      <c r="U272" s="48"/>
      <c r="V272" s="48"/>
      <c r="W272" s="48"/>
      <c r="X272" s="48"/>
      <c r="Y272" s="48"/>
      <c r="Z272" s="48"/>
      <c r="AA272" s="48"/>
      <c r="AB272" s="48"/>
      <c r="AC272" s="48"/>
      <c r="AD272" s="48"/>
      <c r="AE272" s="48"/>
    </row>
    <row r="273" spans="1:31" outlineLevel="1">
      <c r="A273" s="412">
        <f>ROW()</f>
        <v>273</v>
      </c>
      <c r="B273" s="142">
        <f>$B108</f>
        <v>0</v>
      </c>
      <c r="C273" s="117">
        <f t="shared" si="59"/>
        <v>0</v>
      </c>
      <c r="D273" s="49"/>
      <c r="E273" s="49"/>
      <c r="F273" s="49"/>
      <c r="G273" s="1681">
        <f t="shared" si="60"/>
        <v>0</v>
      </c>
      <c r="H273" s="1681">
        <f t="shared" si="61"/>
        <v>0</v>
      </c>
      <c r="I273" s="1681">
        <f t="shared" si="61"/>
        <v>0</v>
      </c>
      <c r="J273" s="1681">
        <f t="shared" si="61"/>
        <v>0</v>
      </c>
      <c r="K273" s="1681">
        <f t="shared" si="61"/>
        <v>0</v>
      </c>
      <c r="L273" s="1681">
        <f t="shared" si="61"/>
        <v>0</v>
      </c>
      <c r="M273" s="1681">
        <f t="shared" si="61"/>
        <v>0</v>
      </c>
      <c r="O273" s="287"/>
      <c r="Q273" s="48"/>
      <c r="R273" s="48"/>
      <c r="S273" s="48"/>
      <c r="T273" s="48"/>
      <c r="U273" s="48"/>
      <c r="V273" s="48"/>
      <c r="W273" s="48"/>
      <c r="X273" s="48"/>
      <c r="Y273" s="48"/>
      <c r="Z273" s="48"/>
      <c r="AA273" s="48"/>
      <c r="AB273" s="48"/>
      <c r="AC273" s="48"/>
      <c r="AD273" s="48"/>
      <c r="AE273" s="48"/>
    </row>
    <row r="274" spans="1:31" outlineLevel="1">
      <c r="A274" s="412">
        <f>ROW()</f>
        <v>274</v>
      </c>
      <c r="B274" s="1683" t="str">
        <f>$B109</f>
        <v>Total Special Education Teachers</v>
      </c>
      <c r="C274" s="1684">
        <f t="shared" si="59"/>
        <v>982176</v>
      </c>
      <c r="D274" s="1685"/>
      <c r="E274" s="1685"/>
      <c r="F274" s="1685"/>
      <c r="G274" s="1686">
        <f t="shared" ref="G274:M274" si="62">SUM(G265:G273)</f>
        <v>0</v>
      </c>
      <c r="H274" s="1686">
        <f t="shared" si="62"/>
        <v>124022</v>
      </c>
      <c r="I274" s="1686">
        <f t="shared" si="62"/>
        <v>124022</v>
      </c>
      <c r="J274" s="1686">
        <f t="shared" si="62"/>
        <v>183533</v>
      </c>
      <c r="K274" s="1686">
        <f t="shared" si="62"/>
        <v>183533</v>
      </c>
      <c r="L274" s="1686">
        <f t="shared" si="62"/>
        <v>183533</v>
      </c>
      <c r="M274" s="1686">
        <f t="shared" si="62"/>
        <v>183533</v>
      </c>
      <c r="O274" s="287"/>
      <c r="Q274" s="48"/>
      <c r="R274" s="48"/>
      <c r="S274" s="48"/>
      <c r="T274" s="48"/>
      <c r="U274" s="48"/>
      <c r="V274" s="48"/>
      <c r="W274" s="48"/>
      <c r="X274" s="48"/>
      <c r="Y274" s="48"/>
      <c r="Z274" s="48"/>
      <c r="AA274" s="48"/>
      <c r="AB274" s="48"/>
      <c r="AC274" s="48"/>
      <c r="AD274" s="48"/>
      <c r="AE274" s="48"/>
    </row>
    <row r="275" spans="1:31" outlineLevel="1">
      <c r="A275" s="412">
        <f>ROW()</f>
        <v>275</v>
      </c>
      <c r="C275" s="117"/>
      <c r="D275" s="49"/>
      <c r="E275" s="49"/>
      <c r="F275" s="49"/>
      <c r="G275" s="117"/>
      <c r="H275" s="117"/>
      <c r="I275" s="117"/>
      <c r="J275" s="117"/>
      <c r="K275" s="117"/>
      <c r="L275" s="117"/>
      <c r="M275" s="117"/>
      <c r="O275" s="287"/>
      <c r="Q275" s="48"/>
      <c r="R275" s="48"/>
      <c r="S275" s="48"/>
      <c r="T275" s="48"/>
      <c r="U275" s="48"/>
      <c r="V275" s="48"/>
      <c r="W275" s="48"/>
      <c r="X275" s="48"/>
      <c r="Y275" s="48"/>
      <c r="Z275" s="48"/>
      <c r="AA275" s="48"/>
      <c r="AB275" s="48"/>
      <c r="AC275" s="48"/>
      <c r="AD275" s="48"/>
      <c r="AE275" s="48"/>
    </row>
    <row r="276" spans="1:31" outlineLevel="1">
      <c r="A276" s="412">
        <f>ROW()</f>
        <v>276</v>
      </c>
      <c r="B276" s="1308" t="str">
        <f t="shared" ref="B276:B286" si="63">$B113</f>
        <v>English Language Learner (ELL) Teachers (Full-time &amp; Part-Time w/benefits)</v>
      </c>
      <c r="C276" s="118"/>
      <c r="D276" s="93"/>
      <c r="E276" s="93"/>
      <c r="F276" s="93"/>
      <c r="G276" s="118"/>
      <c r="H276" s="118"/>
      <c r="I276" s="118"/>
      <c r="J276" s="118"/>
      <c r="K276" s="118"/>
      <c r="L276" s="118"/>
      <c r="M276" s="118"/>
      <c r="O276" s="287"/>
      <c r="Q276" s="48"/>
      <c r="R276" s="48"/>
      <c r="S276" s="48"/>
      <c r="T276" s="48"/>
      <c r="U276" s="48"/>
      <c r="V276" s="48"/>
      <c r="W276" s="48"/>
      <c r="X276" s="48"/>
      <c r="Y276" s="48"/>
      <c r="Z276" s="48"/>
      <c r="AA276" s="48"/>
      <c r="AB276" s="48"/>
      <c r="AC276" s="48"/>
      <c r="AD276" s="48"/>
      <c r="AE276" s="48"/>
    </row>
    <row r="277" spans="1:31" outlineLevel="1">
      <c r="A277" s="412">
        <f>ROW()</f>
        <v>277</v>
      </c>
      <c r="B277" s="142" t="str">
        <f t="shared" si="63"/>
        <v>English Language Learner (ELL)/Reading Specialist</v>
      </c>
      <c r="C277" s="117">
        <f t="shared" ref="C277:C286" si="64">SUM(G277:M277)</f>
        <v>357066</v>
      </c>
      <c r="D277" s="49"/>
      <c r="E277" s="49"/>
      <c r="F277" s="49"/>
      <c r="G277" s="1681">
        <f t="shared" ref="G277:G285" si="65">G114*$D114</f>
        <v>0</v>
      </c>
      <c r="H277" s="1681">
        <f t="shared" ref="H277:M285" si="66">(H114*$D114)</f>
        <v>59511</v>
      </c>
      <c r="I277" s="1681">
        <f t="shared" si="66"/>
        <v>59511</v>
      </c>
      <c r="J277" s="1681">
        <f t="shared" si="66"/>
        <v>59511</v>
      </c>
      <c r="K277" s="1681">
        <f t="shared" si="66"/>
        <v>59511</v>
      </c>
      <c r="L277" s="1681">
        <f t="shared" si="66"/>
        <v>59511</v>
      </c>
      <c r="M277" s="1681">
        <f t="shared" si="66"/>
        <v>59511</v>
      </c>
      <c r="O277" s="287"/>
      <c r="Q277" s="48"/>
      <c r="R277" s="48"/>
      <c r="S277" s="48"/>
      <c r="T277" s="48"/>
      <c r="U277" s="48"/>
      <c r="V277" s="48"/>
      <c r="W277" s="48"/>
      <c r="X277" s="48"/>
      <c r="Y277" s="48"/>
      <c r="Z277" s="48"/>
      <c r="AA277" s="48"/>
      <c r="AB277" s="48"/>
      <c r="AC277" s="48"/>
      <c r="AD277" s="48"/>
      <c r="AE277" s="48"/>
    </row>
    <row r="278" spans="1:31" outlineLevel="1">
      <c r="A278" s="412">
        <f>ROW()</f>
        <v>278</v>
      </c>
      <c r="B278" s="142" t="str">
        <f t="shared" si="63"/>
        <v>English Language Learner (ELL)/Reading Specialist</v>
      </c>
      <c r="C278" s="117">
        <f t="shared" si="64"/>
        <v>357066</v>
      </c>
      <c r="D278" s="49"/>
      <c r="E278" s="49"/>
      <c r="F278" s="49"/>
      <c r="G278" s="1681">
        <f t="shared" si="65"/>
        <v>0</v>
      </c>
      <c r="H278" s="1681">
        <f t="shared" si="66"/>
        <v>59511</v>
      </c>
      <c r="I278" s="1681">
        <f t="shared" si="66"/>
        <v>59511</v>
      </c>
      <c r="J278" s="1681">
        <f t="shared" si="66"/>
        <v>59511</v>
      </c>
      <c r="K278" s="1681">
        <f t="shared" si="66"/>
        <v>59511</v>
      </c>
      <c r="L278" s="1681">
        <f t="shared" si="66"/>
        <v>59511</v>
      </c>
      <c r="M278" s="1681">
        <f t="shared" si="66"/>
        <v>59511</v>
      </c>
      <c r="O278" s="287"/>
      <c r="Q278" s="48"/>
      <c r="R278" s="48"/>
      <c r="S278" s="48"/>
      <c r="T278" s="48"/>
      <c r="U278" s="48"/>
      <c r="V278" s="48"/>
      <c r="W278" s="48"/>
      <c r="X278" s="48"/>
      <c r="Y278" s="48"/>
      <c r="Z278" s="48"/>
      <c r="AA278" s="48"/>
      <c r="AB278" s="48"/>
      <c r="AC278" s="48"/>
      <c r="AD278" s="48"/>
      <c r="AE278" s="48"/>
    </row>
    <row r="279" spans="1:31" outlineLevel="1">
      <c r="A279" s="412">
        <f>ROW()</f>
        <v>279</v>
      </c>
      <c r="B279" s="142">
        <f t="shared" si="63"/>
        <v>0</v>
      </c>
      <c r="C279" s="117">
        <f t="shared" si="64"/>
        <v>0</v>
      </c>
      <c r="D279" s="49"/>
      <c r="E279" s="49"/>
      <c r="F279" s="49"/>
      <c r="G279" s="1681">
        <f t="shared" si="65"/>
        <v>0</v>
      </c>
      <c r="H279" s="1681">
        <f t="shared" si="66"/>
        <v>0</v>
      </c>
      <c r="I279" s="1681">
        <f t="shared" si="66"/>
        <v>0</v>
      </c>
      <c r="J279" s="1681">
        <f t="shared" si="66"/>
        <v>0</v>
      </c>
      <c r="K279" s="1681">
        <f t="shared" si="66"/>
        <v>0</v>
      </c>
      <c r="L279" s="1681">
        <f t="shared" si="66"/>
        <v>0</v>
      </c>
      <c r="M279" s="1681">
        <f t="shared" si="66"/>
        <v>0</v>
      </c>
      <c r="O279" s="287"/>
      <c r="Q279" s="48"/>
      <c r="R279" s="48"/>
      <c r="S279" s="48"/>
      <c r="T279" s="48"/>
      <c r="U279" s="48"/>
      <c r="V279" s="48"/>
      <c r="W279" s="48"/>
      <c r="X279" s="48"/>
      <c r="Y279" s="48"/>
      <c r="Z279" s="48"/>
      <c r="AA279" s="48"/>
      <c r="AB279" s="48"/>
      <c r="AC279" s="48"/>
      <c r="AD279" s="48"/>
      <c r="AE279" s="48"/>
    </row>
    <row r="280" spans="1:31" outlineLevel="1">
      <c r="A280" s="412">
        <f>ROW()</f>
        <v>280</v>
      </c>
      <c r="B280" s="142">
        <f t="shared" si="63"/>
        <v>0</v>
      </c>
      <c r="C280" s="117">
        <f t="shared" si="64"/>
        <v>0</v>
      </c>
      <c r="D280" s="49"/>
      <c r="E280" s="49"/>
      <c r="F280" s="49"/>
      <c r="G280" s="1681">
        <f t="shared" si="65"/>
        <v>0</v>
      </c>
      <c r="H280" s="1681">
        <f t="shared" si="66"/>
        <v>0</v>
      </c>
      <c r="I280" s="1681">
        <f t="shared" si="66"/>
        <v>0</v>
      </c>
      <c r="J280" s="1681">
        <f t="shared" si="66"/>
        <v>0</v>
      </c>
      <c r="K280" s="1681">
        <f t="shared" si="66"/>
        <v>0</v>
      </c>
      <c r="L280" s="1681">
        <f t="shared" si="66"/>
        <v>0</v>
      </c>
      <c r="M280" s="1681">
        <f t="shared" si="66"/>
        <v>0</v>
      </c>
      <c r="O280" s="287"/>
      <c r="Q280" s="48"/>
      <c r="R280" s="48"/>
      <c r="S280" s="48"/>
      <c r="T280" s="48"/>
      <c r="U280" s="48"/>
      <c r="V280" s="48"/>
      <c r="W280" s="48"/>
      <c r="X280" s="48"/>
      <c r="Y280" s="48"/>
      <c r="Z280" s="48"/>
      <c r="AA280" s="48"/>
      <c r="AB280" s="48"/>
      <c r="AC280" s="48"/>
      <c r="AD280" s="48"/>
      <c r="AE280" s="48"/>
    </row>
    <row r="281" spans="1:31" outlineLevel="1">
      <c r="A281" s="412">
        <f>ROW()</f>
        <v>281</v>
      </c>
      <c r="B281" s="142">
        <f t="shared" si="63"/>
        <v>0</v>
      </c>
      <c r="C281" s="117">
        <f t="shared" si="64"/>
        <v>0</v>
      </c>
      <c r="D281" s="49"/>
      <c r="E281" s="49"/>
      <c r="F281" s="49"/>
      <c r="G281" s="1681">
        <f t="shared" si="65"/>
        <v>0</v>
      </c>
      <c r="H281" s="1681">
        <f t="shared" si="66"/>
        <v>0</v>
      </c>
      <c r="I281" s="1681">
        <f t="shared" si="66"/>
        <v>0</v>
      </c>
      <c r="J281" s="1681">
        <f t="shared" si="66"/>
        <v>0</v>
      </c>
      <c r="K281" s="1681">
        <f t="shared" si="66"/>
        <v>0</v>
      </c>
      <c r="L281" s="1681">
        <f t="shared" si="66"/>
        <v>0</v>
      </c>
      <c r="M281" s="1681">
        <f t="shared" si="66"/>
        <v>0</v>
      </c>
      <c r="O281" s="287"/>
      <c r="Q281" s="48"/>
      <c r="R281" s="48"/>
      <c r="S281" s="48"/>
      <c r="T281" s="48"/>
      <c r="U281" s="48"/>
      <c r="V281" s="48"/>
      <c r="W281" s="48"/>
      <c r="X281" s="48"/>
      <c r="Y281" s="48"/>
      <c r="Z281" s="48"/>
      <c r="AA281" s="48"/>
      <c r="AB281" s="48"/>
      <c r="AC281" s="48"/>
      <c r="AD281" s="48"/>
      <c r="AE281" s="48"/>
    </row>
    <row r="282" spans="1:31" outlineLevel="1">
      <c r="A282" s="412">
        <f>ROW()</f>
        <v>282</v>
      </c>
      <c r="B282" s="142">
        <f t="shared" si="63"/>
        <v>0</v>
      </c>
      <c r="C282" s="117">
        <f t="shared" si="64"/>
        <v>0</v>
      </c>
      <c r="D282" s="49"/>
      <c r="E282" s="49"/>
      <c r="F282" s="49"/>
      <c r="G282" s="1681">
        <f t="shared" si="65"/>
        <v>0</v>
      </c>
      <c r="H282" s="1681">
        <f t="shared" si="66"/>
        <v>0</v>
      </c>
      <c r="I282" s="1681">
        <f t="shared" si="66"/>
        <v>0</v>
      </c>
      <c r="J282" s="1681">
        <f t="shared" si="66"/>
        <v>0</v>
      </c>
      <c r="K282" s="1681">
        <f t="shared" si="66"/>
        <v>0</v>
      </c>
      <c r="L282" s="1681">
        <f t="shared" si="66"/>
        <v>0</v>
      </c>
      <c r="M282" s="1681">
        <f t="shared" si="66"/>
        <v>0</v>
      </c>
      <c r="O282" s="287"/>
      <c r="Q282" s="48"/>
      <c r="R282" s="48"/>
      <c r="S282" s="48"/>
      <c r="T282" s="48"/>
      <c r="U282" s="48"/>
      <c r="V282" s="48"/>
      <c r="W282" s="48"/>
      <c r="X282" s="48"/>
      <c r="Y282" s="48"/>
      <c r="Z282" s="48"/>
      <c r="AA282" s="48"/>
      <c r="AB282" s="48"/>
      <c r="AC282" s="48"/>
      <c r="AD282" s="48"/>
      <c r="AE282" s="48"/>
    </row>
    <row r="283" spans="1:31" outlineLevel="1">
      <c r="A283" s="412">
        <f>ROW()</f>
        <v>283</v>
      </c>
      <c r="B283" s="142">
        <f t="shared" si="63"/>
        <v>0</v>
      </c>
      <c r="C283" s="117">
        <f t="shared" si="64"/>
        <v>0</v>
      </c>
      <c r="D283" s="49"/>
      <c r="E283" s="49"/>
      <c r="F283" s="49"/>
      <c r="G283" s="1681">
        <f t="shared" si="65"/>
        <v>0</v>
      </c>
      <c r="H283" s="1681">
        <f t="shared" si="66"/>
        <v>0</v>
      </c>
      <c r="I283" s="1681">
        <f t="shared" si="66"/>
        <v>0</v>
      </c>
      <c r="J283" s="1681">
        <f t="shared" si="66"/>
        <v>0</v>
      </c>
      <c r="K283" s="1681">
        <f t="shared" si="66"/>
        <v>0</v>
      </c>
      <c r="L283" s="1681">
        <f t="shared" si="66"/>
        <v>0</v>
      </c>
      <c r="M283" s="1681">
        <f t="shared" si="66"/>
        <v>0</v>
      </c>
      <c r="O283" s="287"/>
      <c r="Q283" s="48"/>
      <c r="R283" s="48"/>
      <c r="S283" s="48"/>
      <c r="T283" s="48"/>
      <c r="U283" s="48"/>
      <c r="V283" s="48"/>
      <c r="W283" s="48"/>
      <c r="X283" s="48"/>
      <c r="Y283" s="48"/>
      <c r="Z283" s="48"/>
      <c r="AA283" s="48"/>
      <c r="AB283" s="48"/>
      <c r="AC283" s="48"/>
      <c r="AD283" s="48"/>
      <c r="AE283" s="48"/>
    </row>
    <row r="284" spans="1:31" outlineLevel="1">
      <c r="A284" s="412">
        <f>ROW()</f>
        <v>284</v>
      </c>
      <c r="B284" s="142">
        <f t="shared" si="63"/>
        <v>0</v>
      </c>
      <c r="C284" s="117">
        <f t="shared" si="64"/>
        <v>0</v>
      </c>
      <c r="D284" s="49"/>
      <c r="E284" s="49"/>
      <c r="F284" s="49"/>
      <c r="G284" s="1681">
        <f t="shared" si="65"/>
        <v>0</v>
      </c>
      <c r="H284" s="1681">
        <f t="shared" si="66"/>
        <v>0</v>
      </c>
      <c r="I284" s="1681">
        <f t="shared" si="66"/>
        <v>0</v>
      </c>
      <c r="J284" s="1681">
        <f t="shared" si="66"/>
        <v>0</v>
      </c>
      <c r="K284" s="1681">
        <f t="shared" si="66"/>
        <v>0</v>
      </c>
      <c r="L284" s="1681">
        <f t="shared" si="66"/>
        <v>0</v>
      </c>
      <c r="M284" s="1681">
        <f t="shared" si="66"/>
        <v>0</v>
      </c>
      <c r="O284" s="287"/>
      <c r="Q284" s="48"/>
      <c r="R284" s="48"/>
      <c r="S284" s="48"/>
      <c r="T284" s="48"/>
      <c r="U284" s="48"/>
      <c r="V284" s="48"/>
      <c r="W284" s="48"/>
      <c r="X284" s="48"/>
      <c r="Y284" s="48"/>
      <c r="Z284" s="48"/>
      <c r="AA284" s="48"/>
      <c r="AB284" s="48"/>
      <c r="AC284" s="48"/>
      <c r="AD284" s="48"/>
      <c r="AE284" s="48"/>
    </row>
    <row r="285" spans="1:31" outlineLevel="1">
      <c r="A285" s="412">
        <f>ROW()</f>
        <v>285</v>
      </c>
      <c r="B285" s="142">
        <f t="shared" si="63"/>
        <v>0</v>
      </c>
      <c r="C285" s="117">
        <f t="shared" si="64"/>
        <v>0</v>
      </c>
      <c r="D285" s="49"/>
      <c r="E285" s="49"/>
      <c r="F285" s="49"/>
      <c r="G285" s="1681">
        <f t="shared" si="65"/>
        <v>0</v>
      </c>
      <c r="H285" s="1681">
        <f t="shared" si="66"/>
        <v>0</v>
      </c>
      <c r="I285" s="1681">
        <f t="shared" si="66"/>
        <v>0</v>
      </c>
      <c r="J285" s="1681">
        <f t="shared" si="66"/>
        <v>0</v>
      </c>
      <c r="K285" s="1681">
        <f t="shared" si="66"/>
        <v>0</v>
      </c>
      <c r="L285" s="1681">
        <f t="shared" si="66"/>
        <v>0</v>
      </c>
      <c r="M285" s="1681">
        <f t="shared" si="66"/>
        <v>0</v>
      </c>
      <c r="O285" s="287"/>
      <c r="Q285" s="48"/>
      <c r="R285" s="48"/>
      <c r="S285" s="48"/>
      <c r="T285" s="48"/>
      <c r="U285" s="48"/>
      <c r="V285" s="48"/>
      <c r="W285" s="48"/>
      <c r="X285" s="48"/>
      <c r="Y285" s="48"/>
      <c r="Z285" s="48"/>
      <c r="AA285" s="48"/>
      <c r="AB285" s="48"/>
      <c r="AC285" s="48"/>
      <c r="AD285" s="48"/>
      <c r="AE285" s="48"/>
    </row>
    <row r="286" spans="1:31" outlineLevel="1">
      <c r="A286" s="412">
        <f>ROW()</f>
        <v>286</v>
      </c>
      <c r="B286" s="1683" t="str">
        <f t="shared" si="63"/>
        <v>Total ELL Teachers</v>
      </c>
      <c r="C286" s="1684">
        <f t="shared" si="64"/>
        <v>714132</v>
      </c>
      <c r="D286" s="1687"/>
      <c r="E286" s="1687"/>
      <c r="F286" s="1687"/>
      <c r="G286" s="1686">
        <f t="shared" ref="G286:M286" si="67">SUM(G277:G285)</f>
        <v>0</v>
      </c>
      <c r="H286" s="1686">
        <f t="shared" si="67"/>
        <v>119022</v>
      </c>
      <c r="I286" s="1686">
        <f t="shared" si="67"/>
        <v>119022</v>
      </c>
      <c r="J286" s="1686">
        <f t="shared" si="67"/>
        <v>119022</v>
      </c>
      <c r="K286" s="1686">
        <f t="shared" si="67"/>
        <v>119022</v>
      </c>
      <c r="L286" s="1686">
        <f t="shared" si="67"/>
        <v>119022</v>
      </c>
      <c r="M286" s="1686">
        <f t="shared" si="67"/>
        <v>119022</v>
      </c>
      <c r="O286" s="287"/>
      <c r="Q286" s="48"/>
      <c r="R286" s="48"/>
      <c r="S286" s="48"/>
      <c r="T286" s="48"/>
      <c r="U286" s="48"/>
      <c r="V286" s="48"/>
      <c r="W286" s="48"/>
      <c r="X286" s="48"/>
      <c r="Y286" s="48"/>
      <c r="Z286" s="48"/>
      <c r="AA286" s="48"/>
      <c r="AB286" s="48"/>
      <c r="AC286" s="48"/>
      <c r="AD286" s="48"/>
      <c r="AE286" s="48"/>
    </row>
    <row r="287" spans="1:31" outlineLevel="1">
      <c r="A287" s="412">
        <f>ROW()</f>
        <v>287</v>
      </c>
      <c r="C287" s="117"/>
      <c r="D287" s="49"/>
      <c r="E287" s="49"/>
      <c r="F287" s="49"/>
      <c r="G287" s="117"/>
      <c r="H287" s="117"/>
      <c r="I287" s="117"/>
      <c r="J287" s="117"/>
      <c r="K287" s="117"/>
      <c r="L287" s="117"/>
      <c r="M287" s="117"/>
      <c r="O287" s="287"/>
      <c r="Q287" s="48"/>
      <c r="R287" s="48"/>
      <c r="S287" s="48"/>
      <c r="T287" s="48"/>
      <c r="U287" s="48"/>
      <c r="V287" s="48"/>
      <c r="W287" s="48"/>
      <c r="X287" s="48"/>
      <c r="Y287" s="48"/>
      <c r="Z287" s="48"/>
      <c r="AA287" s="48"/>
      <c r="AB287" s="48"/>
      <c r="AC287" s="48"/>
      <c r="AD287" s="48"/>
      <c r="AE287" s="48"/>
    </row>
    <row r="288" spans="1:31" outlineLevel="1">
      <c r="A288" s="412">
        <f>ROW()</f>
        <v>288</v>
      </c>
      <c r="B288" s="1308" t="str">
        <f t="shared" ref="B288:B295" si="68">$B125</f>
        <v>Other Staff (Full-time &amp; Part-Time w/benefits)</v>
      </c>
      <c r="C288" s="118"/>
      <c r="D288" s="93"/>
      <c r="E288" s="93"/>
      <c r="F288" s="93"/>
      <c r="G288" s="118"/>
      <c r="H288" s="118"/>
      <c r="I288" s="118"/>
      <c r="J288" s="118"/>
      <c r="K288" s="118"/>
      <c r="L288" s="118"/>
      <c r="M288" s="118"/>
      <c r="O288" s="287"/>
      <c r="Q288" s="48"/>
      <c r="R288" s="48"/>
      <c r="S288" s="48"/>
      <c r="T288" s="48"/>
      <c r="U288" s="48"/>
      <c r="V288" s="48"/>
      <c r="W288" s="48"/>
      <c r="X288" s="48"/>
      <c r="Y288" s="48"/>
      <c r="Z288" s="48"/>
      <c r="AA288" s="48"/>
      <c r="AB288" s="48"/>
      <c r="AC288" s="48"/>
      <c r="AD288" s="48"/>
      <c r="AE288" s="48"/>
    </row>
    <row r="289" spans="1:31" outlineLevel="1">
      <c r="A289" s="412">
        <f>ROW()</f>
        <v>289</v>
      </c>
      <c r="B289" s="142" t="str">
        <f t="shared" si="68"/>
        <v>Instructional Coach</v>
      </c>
      <c r="C289" s="117">
        <f t="shared" ref="C289:C300" si="69">SUM(G289:M289)</f>
        <v>357066</v>
      </c>
      <c r="D289" s="49"/>
      <c r="E289" s="49"/>
      <c r="F289" s="49"/>
      <c r="G289" s="1681">
        <f t="shared" ref="G289:G296" si="70">G126*$D126</f>
        <v>0</v>
      </c>
      <c r="H289" s="1681">
        <f t="shared" ref="H289:M296" si="71">(H126*$D126)</f>
        <v>59511</v>
      </c>
      <c r="I289" s="1681">
        <f t="shared" si="71"/>
        <v>59511</v>
      </c>
      <c r="J289" s="1681">
        <f t="shared" si="71"/>
        <v>59511</v>
      </c>
      <c r="K289" s="1681">
        <f t="shared" si="71"/>
        <v>59511</v>
      </c>
      <c r="L289" s="1681">
        <f t="shared" si="71"/>
        <v>59511</v>
      </c>
      <c r="M289" s="1681">
        <f t="shared" si="71"/>
        <v>59511</v>
      </c>
      <c r="O289" s="287"/>
      <c r="Q289" s="48"/>
      <c r="R289" s="48"/>
      <c r="S289" s="48"/>
      <c r="T289" s="48"/>
      <c r="U289" s="48"/>
      <c r="V289" s="48"/>
      <c r="W289" s="48"/>
      <c r="X289" s="48"/>
      <c r="Y289" s="48"/>
      <c r="Z289" s="48"/>
      <c r="AA289" s="48"/>
      <c r="AB289" s="48"/>
      <c r="AC289" s="48"/>
      <c r="AD289" s="48"/>
      <c r="AE289" s="48"/>
    </row>
    <row r="290" spans="1:31" outlineLevel="1">
      <c r="A290" s="412">
        <f>ROW()</f>
        <v>290</v>
      </c>
      <c r="B290" s="142" t="str">
        <f t="shared" si="68"/>
        <v>Nurse</v>
      </c>
      <c r="C290" s="117">
        <f t="shared" si="69"/>
        <v>357066</v>
      </c>
      <c r="D290" s="49"/>
      <c r="E290" s="49"/>
      <c r="F290" s="49"/>
      <c r="G290" s="1681">
        <f t="shared" si="70"/>
        <v>0</v>
      </c>
      <c r="H290" s="1681">
        <f t="shared" si="71"/>
        <v>59511</v>
      </c>
      <c r="I290" s="1681">
        <f t="shared" si="71"/>
        <v>59511</v>
      </c>
      <c r="J290" s="1681">
        <f t="shared" si="71"/>
        <v>59511</v>
      </c>
      <c r="K290" s="1681">
        <f t="shared" si="71"/>
        <v>59511</v>
      </c>
      <c r="L290" s="1681">
        <f t="shared" si="71"/>
        <v>59511</v>
      </c>
      <c r="M290" s="1681">
        <f t="shared" si="71"/>
        <v>59511</v>
      </c>
      <c r="O290" s="287"/>
      <c r="Q290" s="48"/>
      <c r="R290" s="48"/>
      <c r="S290" s="48"/>
      <c r="T290" s="48"/>
      <c r="U290" s="48"/>
      <c r="V290" s="48"/>
      <c r="W290" s="48"/>
      <c r="X290" s="48"/>
      <c r="Y290" s="48"/>
      <c r="Z290" s="48"/>
      <c r="AA290" s="48"/>
      <c r="AB290" s="48"/>
      <c r="AC290" s="48"/>
      <c r="AD290" s="48"/>
      <c r="AE290" s="48"/>
    </row>
    <row r="291" spans="1:31" outlineLevel="1">
      <c r="A291" s="412">
        <f>ROW()</f>
        <v>291</v>
      </c>
      <c r="B291" s="142" t="str">
        <f t="shared" si="68"/>
        <v>Social Worker</v>
      </c>
      <c r="C291" s="117">
        <f t="shared" si="69"/>
        <v>297555</v>
      </c>
      <c r="D291" s="49"/>
      <c r="E291" s="49"/>
      <c r="F291" s="49"/>
      <c r="G291" s="1681">
        <f t="shared" si="70"/>
        <v>0</v>
      </c>
      <c r="H291" s="1681">
        <f t="shared" si="71"/>
        <v>0</v>
      </c>
      <c r="I291" s="1681">
        <f t="shared" si="71"/>
        <v>59511</v>
      </c>
      <c r="J291" s="1681">
        <f t="shared" si="71"/>
        <v>59511</v>
      </c>
      <c r="K291" s="1681">
        <f t="shared" si="71"/>
        <v>59511</v>
      </c>
      <c r="L291" s="1681">
        <f t="shared" si="71"/>
        <v>59511</v>
      </c>
      <c r="M291" s="1681">
        <f t="shared" si="71"/>
        <v>59511</v>
      </c>
      <c r="O291" s="287"/>
      <c r="Q291" s="48"/>
      <c r="R291" s="48"/>
      <c r="S291" s="48"/>
      <c r="T291" s="48"/>
      <c r="U291" s="48"/>
      <c r="V291" s="48"/>
      <c r="W291" s="48"/>
      <c r="X291" s="48"/>
      <c r="Y291" s="48"/>
      <c r="Z291" s="48"/>
      <c r="AA291" s="48"/>
      <c r="AB291" s="48"/>
      <c r="AC291" s="48"/>
      <c r="AD291" s="48"/>
      <c r="AE291" s="48"/>
    </row>
    <row r="292" spans="1:31" outlineLevel="1">
      <c r="A292" s="412">
        <f>ROW()</f>
        <v>292</v>
      </c>
      <c r="B292" s="142" t="str">
        <f t="shared" si="68"/>
        <v>Social Worker</v>
      </c>
      <c r="C292" s="117">
        <f t="shared" si="69"/>
        <v>297555</v>
      </c>
      <c r="D292" s="49"/>
      <c r="E292" s="49"/>
      <c r="F292" s="49"/>
      <c r="G292" s="1681">
        <f t="shared" si="70"/>
        <v>0</v>
      </c>
      <c r="H292" s="1681">
        <f t="shared" si="71"/>
        <v>0</v>
      </c>
      <c r="I292" s="1681">
        <f t="shared" si="71"/>
        <v>59511</v>
      </c>
      <c r="J292" s="1681">
        <f t="shared" si="71"/>
        <v>59511</v>
      </c>
      <c r="K292" s="1681">
        <f t="shared" si="71"/>
        <v>59511</v>
      </c>
      <c r="L292" s="1681">
        <f t="shared" si="71"/>
        <v>59511</v>
      </c>
      <c r="M292" s="1681">
        <f t="shared" si="71"/>
        <v>59511</v>
      </c>
      <c r="O292" s="287"/>
      <c r="Q292" s="48"/>
      <c r="R292" s="48"/>
      <c r="S292" s="48"/>
      <c r="T292" s="48"/>
      <c r="U292" s="48"/>
      <c r="V292" s="48"/>
      <c r="W292" s="48"/>
      <c r="X292" s="48"/>
      <c r="Y292" s="48"/>
      <c r="Z292" s="48"/>
      <c r="AA292" s="48"/>
      <c r="AB292" s="48"/>
      <c r="AC292" s="48"/>
      <c r="AD292" s="48"/>
      <c r="AE292" s="48"/>
    </row>
    <row r="293" spans="1:31" outlineLevel="1">
      <c r="A293" s="412">
        <f>ROW()</f>
        <v>293</v>
      </c>
      <c r="B293" s="142" t="str">
        <f t="shared" si="68"/>
        <v>Campus Monitor</v>
      </c>
      <c r="C293" s="117">
        <f t="shared" si="69"/>
        <v>158400</v>
      </c>
      <c r="D293" s="49"/>
      <c r="E293" s="49"/>
      <c r="F293" s="49"/>
      <c r="G293" s="1681">
        <f t="shared" si="70"/>
        <v>0</v>
      </c>
      <c r="H293" s="1681">
        <f t="shared" si="71"/>
        <v>0</v>
      </c>
      <c r="I293" s="1681">
        <f t="shared" si="71"/>
        <v>31680</v>
      </c>
      <c r="J293" s="1681">
        <f t="shared" si="71"/>
        <v>31680</v>
      </c>
      <c r="K293" s="1681">
        <f t="shared" si="71"/>
        <v>31680</v>
      </c>
      <c r="L293" s="1681">
        <f t="shared" si="71"/>
        <v>31680</v>
      </c>
      <c r="M293" s="1681">
        <f t="shared" si="71"/>
        <v>31680</v>
      </c>
      <c r="O293" s="287"/>
      <c r="Q293" s="48"/>
      <c r="R293" s="48"/>
      <c r="S293" s="48"/>
      <c r="T293" s="48"/>
      <c r="U293" s="48"/>
      <c r="V293" s="48"/>
      <c r="W293" s="48"/>
      <c r="X293" s="48"/>
      <c r="Y293" s="48"/>
      <c r="Z293" s="48"/>
      <c r="AA293" s="48"/>
      <c r="AB293" s="48"/>
      <c r="AC293" s="48"/>
      <c r="AD293" s="48"/>
      <c r="AE293" s="48"/>
    </row>
    <row r="294" spans="1:31" outlineLevel="1">
      <c r="A294" s="412">
        <f>ROW()</f>
        <v>294</v>
      </c>
      <c r="B294" s="142" t="str">
        <f t="shared" si="68"/>
        <v>Operations Management</v>
      </c>
      <c r="C294" s="117">
        <f t="shared" si="69"/>
        <v>181632</v>
      </c>
      <c r="D294" s="49"/>
      <c r="E294" s="49"/>
      <c r="F294" s="49"/>
      <c r="G294" s="1681">
        <f t="shared" si="70"/>
        <v>0</v>
      </c>
      <c r="H294" s="1681">
        <f t="shared" si="71"/>
        <v>0</v>
      </c>
      <c r="I294" s="1681">
        <f t="shared" si="71"/>
        <v>36326.400000000001</v>
      </c>
      <c r="J294" s="1681">
        <f t="shared" si="71"/>
        <v>36326.400000000001</v>
      </c>
      <c r="K294" s="1681">
        <f t="shared" si="71"/>
        <v>36326.400000000001</v>
      </c>
      <c r="L294" s="1681">
        <f t="shared" si="71"/>
        <v>36326.400000000001</v>
      </c>
      <c r="M294" s="1681">
        <f t="shared" si="71"/>
        <v>36326.400000000001</v>
      </c>
      <c r="O294" s="287"/>
      <c r="Q294" s="48"/>
      <c r="R294" s="48"/>
      <c r="S294" s="48"/>
      <c r="T294" s="48"/>
      <c r="U294" s="48"/>
      <c r="V294" s="48"/>
      <c r="W294" s="48"/>
      <c r="X294" s="48"/>
      <c r="Y294" s="48"/>
      <c r="Z294" s="48"/>
      <c r="AA294" s="48"/>
      <c r="AB294" s="48"/>
      <c r="AC294" s="48"/>
      <c r="AD294" s="48"/>
      <c r="AE294" s="48"/>
    </row>
    <row r="295" spans="1:31" outlineLevel="1">
      <c r="A295" s="412">
        <f>ROW()</f>
        <v>295</v>
      </c>
      <c r="B295" s="142" t="str">
        <f t="shared" si="68"/>
        <v>Paraprofessional General</v>
      </c>
      <c r="C295" s="117">
        <f t="shared" si="69"/>
        <v>1077120</v>
      </c>
      <c r="D295" s="49"/>
      <c r="E295" s="49"/>
      <c r="F295" s="49"/>
      <c r="G295" s="1681">
        <f t="shared" si="70"/>
        <v>0</v>
      </c>
      <c r="H295" s="1681">
        <f t="shared" si="71"/>
        <v>63360</v>
      </c>
      <c r="I295" s="1681">
        <f t="shared" si="71"/>
        <v>158400</v>
      </c>
      <c r="J295" s="1681">
        <f t="shared" si="71"/>
        <v>190080</v>
      </c>
      <c r="K295" s="1681">
        <f t="shared" si="71"/>
        <v>221760</v>
      </c>
      <c r="L295" s="1681">
        <f t="shared" si="71"/>
        <v>221760</v>
      </c>
      <c r="M295" s="1681">
        <f t="shared" si="71"/>
        <v>221760</v>
      </c>
      <c r="O295" s="287"/>
      <c r="Q295" s="48"/>
      <c r="R295" s="48"/>
      <c r="S295" s="48"/>
      <c r="T295" s="48"/>
      <c r="U295" s="48"/>
      <c r="V295" s="48"/>
      <c r="W295" s="48"/>
      <c r="X295" s="48"/>
      <c r="Y295" s="48"/>
      <c r="Z295" s="48"/>
      <c r="AA295" s="48"/>
      <c r="AB295" s="48"/>
      <c r="AC295" s="48"/>
      <c r="AD295" s="48"/>
      <c r="AE295" s="48"/>
    </row>
    <row r="296" spans="1:31" outlineLevel="1">
      <c r="A296" s="412">
        <f>ROW()</f>
        <v>296</v>
      </c>
      <c r="B296" s="142">
        <f t="shared" ref="B296:B299" si="72">$B133</f>
        <v>0</v>
      </c>
      <c r="C296" s="117">
        <f t="shared" si="69"/>
        <v>0</v>
      </c>
      <c r="D296" s="49"/>
      <c r="E296" s="49"/>
      <c r="F296" s="49"/>
      <c r="G296" s="1681">
        <f t="shared" si="70"/>
        <v>0</v>
      </c>
      <c r="H296" s="1681">
        <f t="shared" si="71"/>
        <v>0</v>
      </c>
      <c r="I296" s="1681">
        <f t="shared" si="71"/>
        <v>0</v>
      </c>
      <c r="J296" s="1681">
        <f t="shared" si="71"/>
        <v>0</v>
      </c>
      <c r="K296" s="1681">
        <f t="shared" si="71"/>
        <v>0</v>
      </c>
      <c r="L296" s="1681">
        <f t="shared" si="71"/>
        <v>0</v>
      </c>
      <c r="M296" s="1681">
        <f t="shared" si="71"/>
        <v>0</v>
      </c>
      <c r="O296" s="287"/>
      <c r="Q296" s="48"/>
      <c r="R296" s="48"/>
      <c r="S296" s="48"/>
      <c r="T296" s="48"/>
      <c r="U296" s="48"/>
      <c r="V296" s="48"/>
      <c r="W296" s="48"/>
      <c r="X296" s="48"/>
      <c r="Y296" s="48"/>
      <c r="Z296" s="48"/>
      <c r="AA296" s="48"/>
      <c r="AB296" s="48"/>
      <c r="AC296" s="48"/>
      <c r="AD296" s="48"/>
      <c r="AE296" s="48"/>
    </row>
    <row r="297" spans="1:31" outlineLevel="1">
      <c r="A297" s="412">
        <f>ROW()</f>
        <v>297</v>
      </c>
      <c r="B297" s="142">
        <f t="shared" si="72"/>
        <v>0</v>
      </c>
      <c r="C297" s="117">
        <f t="shared" ref="C297:C299" si="73">SUM(G297:M297)</f>
        <v>0</v>
      </c>
      <c r="D297" s="49"/>
      <c r="E297" s="49"/>
      <c r="F297" s="49"/>
      <c r="G297" s="1681">
        <f t="shared" ref="G297:G299" si="74">G134*$D134</f>
        <v>0</v>
      </c>
      <c r="H297" s="1681">
        <f t="shared" ref="H297:M297" si="75">(H134*$D134)</f>
        <v>0</v>
      </c>
      <c r="I297" s="1681">
        <f t="shared" si="75"/>
        <v>0</v>
      </c>
      <c r="J297" s="1681">
        <f t="shared" si="75"/>
        <v>0</v>
      </c>
      <c r="K297" s="1681">
        <f t="shared" si="75"/>
        <v>0</v>
      </c>
      <c r="L297" s="1681">
        <f t="shared" si="75"/>
        <v>0</v>
      </c>
      <c r="M297" s="1681">
        <f t="shared" si="75"/>
        <v>0</v>
      </c>
      <c r="O297" s="287"/>
      <c r="Q297" s="48"/>
      <c r="R297" s="48"/>
      <c r="S297" s="48"/>
      <c r="T297" s="48"/>
      <c r="U297" s="48"/>
      <c r="V297" s="48"/>
      <c r="W297" s="48"/>
      <c r="X297" s="48"/>
      <c r="Y297" s="48"/>
      <c r="Z297" s="48"/>
      <c r="AA297" s="48"/>
      <c r="AB297" s="48"/>
      <c r="AC297" s="48"/>
      <c r="AD297" s="48"/>
      <c r="AE297" s="48"/>
    </row>
    <row r="298" spans="1:31" outlineLevel="1">
      <c r="A298" s="412">
        <f>ROW()</f>
        <v>298</v>
      </c>
      <c r="B298" s="142">
        <f t="shared" si="72"/>
        <v>0</v>
      </c>
      <c r="C298" s="117">
        <f t="shared" si="73"/>
        <v>0</v>
      </c>
      <c r="D298" s="49"/>
      <c r="E298" s="49"/>
      <c r="F298" s="49"/>
      <c r="G298" s="1681">
        <f t="shared" si="74"/>
        <v>0</v>
      </c>
      <c r="H298" s="1681">
        <f t="shared" ref="H298:M298" si="76">(H135*$D135)</f>
        <v>0</v>
      </c>
      <c r="I298" s="1681">
        <f t="shared" si="76"/>
        <v>0</v>
      </c>
      <c r="J298" s="1681">
        <f t="shared" si="76"/>
        <v>0</v>
      </c>
      <c r="K298" s="1681">
        <f t="shared" si="76"/>
        <v>0</v>
      </c>
      <c r="L298" s="1681">
        <f t="shared" si="76"/>
        <v>0</v>
      </c>
      <c r="M298" s="1681">
        <f t="shared" si="76"/>
        <v>0</v>
      </c>
      <c r="O298" s="287"/>
      <c r="Q298" s="48"/>
      <c r="R298" s="48"/>
      <c r="S298" s="48"/>
      <c r="T298" s="48"/>
      <c r="U298" s="48"/>
      <c r="V298" s="48"/>
      <c r="W298" s="48"/>
      <c r="X298" s="48"/>
      <c r="Y298" s="48"/>
      <c r="Z298" s="48"/>
      <c r="AA298" s="48"/>
      <c r="AB298" s="48"/>
      <c r="AC298" s="48"/>
      <c r="AD298" s="48"/>
      <c r="AE298" s="48"/>
    </row>
    <row r="299" spans="1:31" outlineLevel="1">
      <c r="A299" s="412">
        <f>ROW()</f>
        <v>299</v>
      </c>
      <c r="B299" s="142">
        <f t="shared" si="72"/>
        <v>0</v>
      </c>
      <c r="C299" s="117">
        <f t="shared" si="73"/>
        <v>0</v>
      </c>
      <c r="D299" s="49"/>
      <c r="E299" s="49"/>
      <c r="F299" s="49"/>
      <c r="G299" s="1681">
        <f t="shared" si="74"/>
        <v>0</v>
      </c>
      <c r="H299" s="1681">
        <f t="shared" ref="H299:M299" si="77">(H136*$D136)</f>
        <v>0</v>
      </c>
      <c r="I299" s="1681">
        <f t="shared" si="77"/>
        <v>0</v>
      </c>
      <c r="J299" s="1681">
        <f t="shared" si="77"/>
        <v>0</v>
      </c>
      <c r="K299" s="1681">
        <f t="shared" si="77"/>
        <v>0</v>
      </c>
      <c r="L299" s="1681">
        <f t="shared" si="77"/>
        <v>0</v>
      </c>
      <c r="M299" s="1681">
        <f t="shared" si="77"/>
        <v>0</v>
      </c>
      <c r="O299" s="287"/>
      <c r="Q299" s="48"/>
      <c r="R299" s="48"/>
      <c r="S299" s="48"/>
      <c r="T299" s="48"/>
      <c r="U299" s="48"/>
      <c r="V299" s="48"/>
      <c r="W299" s="48"/>
      <c r="X299" s="48"/>
      <c r="Y299" s="48"/>
      <c r="Z299" s="48"/>
      <c r="AA299" s="48"/>
      <c r="AB299" s="48"/>
      <c r="AC299" s="48"/>
      <c r="AD299" s="48"/>
      <c r="AE299" s="48"/>
    </row>
    <row r="300" spans="1:31" outlineLevel="1">
      <c r="A300" s="412">
        <f>ROW()</f>
        <v>300</v>
      </c>
      <c r="B300" s="1688" t="str">
        <f>$B137</f>
        <v>Total Other Staff</v>
      </c>
      <c r="C300" s="1684">
        <f t="shared" si="69"/>
        <v>2726394</v>
      </c>
      <c r="D300" s="1685"/>
      <c r="E300" s="1685"/>
      <c r="F300" s="1685"/>
      <c r="G300" s="1686">
        <f t="shared" ref="G300:H300" si="78">SUM(G289:G299)</f>
        <v>0</v>
      </c>
      <c r="H300" s="1686">
        <f t="shared" si="78"/>
        <v>182382</v>
      </c>
      <c r="I300" s="1686">
        <f t="shared" ref="I300:M300" si="79">SUM(I289:I299)</f>
        <v>464450.4</v>
      </c>
      <c r="J300" s="1686">
        <f t="shared" si="79"/>
        <v>496130.4</v>
      </c>
      <c r="K300" s="1686">
        <f t="shared" si="79"/>
        <v>527810.4</v>
      </c>
      <c r="L300" s="1686">
        <f t="shared" si="79"/>
        <v>527810.4</v>
      </c>
      <c r="M300" s="1686">
        <f t="shared" si="79"/>
        <v>527810.4</v>
      </c>
      <c r="O300" s="287"/>
      <c r="Q300" s="48"/>
      <c r="R300" s="48"/>
      <c r="S300" s="48"/>
      <c r="T300" s="48"/>
      <c r="U300" s="48"/>
      <c r="V300" s="48"/>
      <c r="W300" s="48"/>
      <c r="X300" s="48"/>
      <c r="Y300" s="48"/>
      <c r="Z300" s="48"/>
      <c r="AA300" s="48"/>
      <c r="AB300" s="48"/>
      <c r="AC300" s="48"/>
      <c r="AD300" s="48"/>
      <c r="AE300" s="48"/>
    </row>
    <row r="301" spans="1:31" outlineLevel="1">
      <c r="A301" s="412">
        <f>ROW()</f>
        <v>301</v>
      </c>
      <c r="C301" s="49"/>
      <c r="D301" s="49"/>
      <c r="E301" s="49"/>
      <c r="F301" s="49"/>
      <c r="G301" s="117"/>
      <c r="H301" s="117"/>
      <c r="I301" s="117"/>
      <c r="J301" s="117"/>
      <c r="K301" s="117"/>
      <c r="L301" s="117"/>
      <c r="M301" s="117"/>
      <c r="O301" s="287"/>
      <c r="Q301" s="48"/>
      <c r="R301" s="48"/>
      <c r="S301" s="48"/>
      <c r="T301" s="48"/>
      <c r="U301" s="48"/>
      <c r="V301" s="48"/>
      <c r="W301" s="48"/>
      <c r="X301" s="48"/>
      <c r="Y301" s="48"/>
      <c r="Z301" s="48"/>
      <c r="AA301" s="48"/>
      <c r="AB301" s="48"/>
      <c r="AC301" s="48"/>
      <c r="AD301" s="48"/>
      <c r="AE301" s="48"/>
    </row>
    <row r="302" spans="1:31" outlineLevel="1">
      <c r="A302" s="412">
        <f>ROW()</f>
        <v>302</v>
      </c>
      <c r="B302" s="149" t="str">
        <f>$B146</f>
        <v>Teacher: Kinder</v>
      </c>
      <c r="C302" s="96">
        <f t="shared" ref="C302:C333" si="80">SUM(G302:M302)</f>
        <v>357066</v>
      </c>
      <c r="D302" s="96"/>
      <c r="E302" s="96"/>
      <c r="F302" s="96"/>
      <c r="G302" s="566">
        <f>G146*$E146</f>
        <v>0</v>
      </c>
      <c r="H302" s="566">
        <f t="shared" ref="H302:M304" si="81">(H146*$E146)</f>
        <v>59511</v>
      </c>
      <c r="I302" s="566">
        <f t="shared" si="81"/>
        <v>59511</v>
      </c>
      <c r="J302" s="566">
        <f t="shared" si="81"/>
        <v>59511</v>
      </c>
      <c r="K302" s="566">
        <f t="shared" si="81"/>
        <v>59511</v>
      </c>
      <c r="L302" s="566">
        <f t="shared" si="81"/>
        <v>59511</v>
      </c>
      <c r="M302" s="566">
        <f t="shared" si="81"/>
        <v>59511</v>
      </c>
      <c r="N302" s="94"/>
      <c r="O302" s="287"/>
      <c r="Q302" s="48"/>
      <c r="R302" s="48"/>
      <c r="S302" s="48"/>
      <c r="T302" s="48"/>
      <c r="U302" s="48"/>
      <c r="V302" s="48"/>
      <c r="W302" s="48"/>
      <c r="X302" s="48"/>
      <c r="Y302" s="48"/>
      <c r="Z302" s="48"/>
      <c r="AA302" s="48"/>
      <c r="AB302" s="48"/>
      <c r="AC302" s="48"/>
      <c r="AD302" s="48"/>
      <c r="AE302" s="48"/>
    </row>
    <row r="303" spans="1:31" outlineLevel="1">
      <c r="A303" s="412">
        <f>ROW()</f>
        <v>303</v>
      </c>
      <c r="B303" s="149" t="str">
        <f>$B147</f>
        <v>Teacher: Kinder</v>
      </c>
      <c r="C303" s="96">
        <f t="shared" si="80"/>
        <v>357066</v>
      </c>
      <c r="D303" s="96"/>
      <c r="E303" s="96"/>
      <c r="F303" s="96"/>
      <c r="G303" s="566">
        <f>G147*$E147</f>
        <v>0</v>
      </c>
      <c r="H303" s="566">
        <f t="shared" si="81"/>
        <v>59511</v>
      </c>
      <c r="I303" s="566">
        <f t="shared" si="81"/>
        <v>59511</v>
      </c>
      <c r="J303" s="566">
        <f t="shared" si="81"/>
        <v>59511</v>
      </c>
      <c r="K303" s="566">
        <f t="shared" si="81"/>
        <v>59511</v>
      </c>
      <c r="L303" s="566">
        <f t="shared" si="81"/>
        <v>59511</v>
      </c>
      <c r="M303" s="566">
        <f t="shared" si="81"/>
        <v>59511</v>
      </c>
      <c r="N303" s="94"/>
      <c r="O303" s="287"/>
      <c r="Q303" s="48"/>
      <c r="R303" s="48"/>
      <c r="S303" s="48"/>
      <c r="T303" s="48"/>
      <c r="U303" s="48"/>
      <c r="V303" s="48"/>
      <c r="W303" s="48"/>
      <c r="X303" s="48"/>
      <c r="Y303" s="48"/>
      <c r="Z303" s="48"/>
      <c r="AA303" s="48"/>
      <c r="AB303" s="48"/>
      <c r="AC303" s="48"/>
      <c r="AD303" s="48"/>
      <c r="AE303" s="48"/>
    </row>
    <row r="304" spans="1:31" outlineLevel="1">
      <c r="A304" s="412">
        <f>ROW()</f>
        <v>304</v>
      </c>
      <c r="B304" s="149">
        <f>$B148</f>
        <v>0</v>
      </c>
      <c r="C304" s="96">
        <f t="shared" si="80"/>
        <v>0</v>
      </c>
      <c r="D304" s="96"/>
      <c r="E304" s="96"/>
      <c r="F304" s="96"/>
      <c r="G304" s="566">
        <f>G148*$E148</f>
        <v>0</v>
      </c>
      <c r="H304" s="566">
        <f t="shared" si="81"/>
        <v>0</v>
      </c>
      <c r="I304" s="566">
        <f t="shared" si="81"/>
        <v>0</v>
      </c>
      <c r="J304" s="566">
        <f t="shared" si="81"/>
        <v>0</v>
      </c>
      <c r="K304" s="566">
        <f t="shared" si="81"/>
        <v>0</v>
      </c>
      <c r="L304" s="566">
        <f t="shared" si="81"/>
        <v>0</v>
      </c>
      <c r="M304" s="566">
        <f t="shared" si="81"/>
        <v>0</v>
      </c>
      <c r="N304" s="94"/>
      <c r="O304" s="287"/>
      <c r="Q304" s="48"/>
      <c r="R304" s="48"/>
      <c r="S304" s="48"/>
      <c r="T304" s="48"/>
      <c r="U304" s="48"/>
      <c r="V304" s="48"/>
      <c r="W304" s="48"/>
      <c r="X304" s="48"/>
      <c r="Y304" s="48"/>
      <c r="Z304" s="48"/>
      <c r="AA304" s="48"/>
      <c r="AB304" s="48"/>
      <c r="AC304" s="48"/>
      <c r="AD304" s="48"/>
      <c r="AE304" s="48"/>
    </row>
    <row r="305" spans="1:31" outlineLevel="1">
      <c r="A305" s="412">
        <f>ROW()</f>
        <v>305</v>
      </c>
      <c r="B305" s="149"/>
      <c r="C305" s="96">
        <f t="shared" si="80"/>
        <v>0</v>
      </c>
      <c r="D305" s="96"/>
      <c r="E305" s="96"/>
      <c r="F305" s="96"/>
      <c r="G305" s="566">
        <v>0</v>
      </c>
      <c r="H305" s="566">
        <v>0</v>
      </c>
      <c r="I305" s="566">
        <v>0</v>
      </c>
      <c r="J305" s="566">
        <v>0</v>
      </c>
      <c r="K305" s="566">
        <v>0</v>
      </c>
      <c r="L305" s="566">
        <v>0</v>
      </c>
      <c r="M305" s="566">
        <v>0</v>
      </c>
      <c r="N305" s="94"/>
      <c r="O305" s="287"/>
      <c r="Q305" s="48"/>
      <c r="R305" s="48"/>
      <c r="S305" s="48"/>
      <c r="T305" s="48"/>
      <c r="U305" s="48"/>
      <c r="V305" s="48"/>
      <c r="W305" s="48"/>
      <c r="X305" s="48"/>
      <c r="Y305" s="48"/>
      <c r="Z305" s="48"/>
      <c r="AA305" s="48"/>
      <c r="AB305" s="48"/>
      <c r="AC305" s="48"/>
      <c r="AD305" s="48"/>
      <c r="AE305" s="48"/>
    </row>
    <row r="306" spans="1:31" outlineLevel="1">
      <c r="A306" s="412">
        <f>ROW()</f>
        <v>306</v>
      </c>
      <c r="B306" s="149" t="str">
        <f>$B150</f>
        <v>Teacher: Grade 1</v>
      </c>
      <c r="C306" s="96">
        <f t="shared" si="80"/>
        <v>357066</v>
      </c>
      <c r="D306" s="96"/>
      <c r="E306" s="96"/>
      <c r="F306" s="96"/>
      <c r="G306" s="566">
        <f>G150*$E150</f>
        <v>0</v>
      </c>
      <c r="H306" s="566">
        <f t="shared" ref="H306:M310" si="82">(H150*$E150)</f>
        <v>59511</v>
      </c>
      <c r="I306" s="566">
        <f t="shared" si="82"/>
        <v>59511</v>
      </c>
      <c r="J306" s="566">
        <f t="shared" si="82"/>
        <v>59511</v>
      </c>
      <c r="K306" s="566">
        <f t="shared" si="82"/>
        <v>59511</v>
      </c>
      <c r="L306" s="566">
        <f t="shared" si="82"/>
        <v>59511</v>
      </c>
      <c r="M306" s="566">
        <f t="shared" si="82"/>
        <v>59511</v>
      </c>
      <c r="N306" s="94"/>
      <c r="O306" s="287"/>
      <c r="Q306" s="48"/>
      <c r="R306" s="48"/>
      <c r="S306" s="48"/>
      <c r="T306" s="48"/>
      <c r="U306" s="48"/>
      <c r="V306" s="48"/>
      <c r="W306" s="48"/>
      <c r="X306" s="48"/>
      <c r="Y306" s="48"/>
      <c r="Z306" s="48"/>
      <c r="AA306" s="48"/>
      <c r="AB306" s="48"/>
      <c r="AC306" s="48"/>
      <c r="AD306" s="48"/>
      <c r="AE306" s="48"/>
    </row>
    <row r="307" spans="1:31" outlineLevel="1">
      <c r="A307" s="412">
        <f>ROW()</f>
        <v>307</v>
      </c>
      <c r="B307" s="149" t="str">
        <f>$B151</f>
        <v>Teacher: Grade 1</v>
      </c>
      <c r="C307" s="96">
        <f t="shared" si="80"/>
        <v>357066</v>
      </c>
      <c r="D307" s="96"/>
      <c r="E307" s="96"/>
      <c r="F307" s="96"/>
      <c r="G307" s="566">
        <f>G151*$E151</f>
        <v>0</v>
      </c>
      <c r="H307" s="566">
        <f t="shared" si="82"/>
        <v>59511</v>
      </c>
      <c r="I307" s="566">
        <f t="shared" si="82"/>
        <v>59511</v>
      </c>
      <c r="J307" s="566">
        <f t="shared" si="82"/>
        <v>59511</v>
      </c>
      <c r="K307" s="566">
        <f t="shared" si="82"/>
        <v>59511</v>
      </c>
      <c r="L307" s="566">
        <f t="shared" si="82"/>
        <v>59511</v>
      </c>
      <c r="M307" s="566">
        <f t="shared" si="82"/>
        <v>59511</v>
      </c>
      <c r="N307" s="94"/>
      <c r="O307" s="287"/>
      <c r="Q307" s="48"/>
      <c r="R307" s="48"/>
      <c r="S307" s="48"/>
      <c r="T307" s="48"/>
      <c r="U307" s="48"/>
      <c r="V307" s="48"/>
      <c r="W307" s="48"/>
      <c r="X307" s="48"/>
      <c r="Y307" s="48"/>
      <c r="Z307" s="48"/>
      <c r="AA307" s="48"/>
      <c r="AB307" s="48"/>
      <c r="AC307" s="48"/>
      <c r="AD307" s="48"/>
      <c r="AE307" s="48"/>
    </row>
    <row r="308" spans="1:31" outlineLevel="1">
      <c r="A308" s="412">
        <f>ROW()</f>
        <v>308</v>
      </c>
      <c r="B308" s="149">
        <f>$B152</f>
        <v>0</v>
      </c>
      <c r="C308" s="96">
        <f t="shared" si="80"/>
        <v>0</v>
      </c>
      <c r="D308" s="96"/>
      <c r="E308" s="96"/>
      <c r="F308" s="96"/>
      <c r="G308" s="566">
        <f>G152*$E152</f>
        <v>0</v>
      </c>
      <c r="H308" s="566">
        <f t="shared" si="82"/>
        <v>0</v>
      </c>
      <c r="I308" s="566">
        <f t="shared" si="82"/>
        <v>0</v>
      </c>
      <c r="J308" s="566">
        <f t="shared" si="82"/>
        <v>0</v>
      </c>
      <c r="K308" s="566">
        <f t="shared" si="82"/>
        <v>0</v>
      </c>
      <c r="L308" s="566">
        <f t="shared" si="82"/>
        <v>0</v>
      </c>
      <c r="M308" s="566">
        <f t="shared" si="82"/>
        <v>0</v>
      </c>
      <c r="N308" s="94"/>
      <c r="O308" s="287"/>
      <c r="Q308" s="48"/>
      <c r="R308" s="48"/>
      <c r="S308" s="48"/>
      <c r="T308" s="48"/>
      <c r="U308" s="48"/>
      <c r="V308" s="48"/>
      <c r="W308" s="48"/>
      <c r="X308" s="48"/>
      <c r="Y308" s="48"/>
      <c r="Z308" s="48"/>
      <c r="AA308" s="48"/>
      <c r="AB308" s="48"/>
      <c r="AC308" s="48"/>
      <c r="AD308" s="48"/>
      <c r="AE308" s="48"/>
    </row>
    <row r="309" spans="1:31" outlineLevel="1">
      <c r="A309" s="412">
        <f>ROW()</f>
        <v>309</v>
      </c>
      <c r="B309" s="149">
        <f>$B153</f>
        <v>0</v>
      </c>
      <c r="C309" s="96">
        <f t="shared" si="80"/>
        <v>0</v>
      </c>
      <c r="D309" s="96"/>
      <c r="E309" s="96"/>
      <c r="F309" s="96"/>
      <c r="G309" s="566">
        <f>G153*$E153</f>
        <v>0</v>
      </c>
      <c r="H309" s="566">
        <f t="shared" si="82"/>
        <v>0</v>
      </c>
      <c r="I309" s="566">
        <f t="shared" si="82"/>
        <v>0</v>
      </c>
      <c r="J309" s="566">
        <f t="shared" si="82"/>
        <v>0</v>
      </c>
      <c r="K309" s="566">
        <f t="shared" si="82"/>
        <v>0</v>
      </c>
      <c r="L309" s="566">
        <f t="shared" si="82"/>
        <v>0</v>
      </c>
      <c r="M309" s="566">
        <f t="shared" si="82"/>
        <v>0</v>
      </c>
      <c r="N309" s="94"/>
      <c r="O309" s="287"/>
      <c r="Q309" s="48"/>
      <c r="R309" s="48"/>
      <c r="S309" s="48"/>
      <c r="T309" s="48"/>
      <c r="U309" s="48"/>
      <c r="V309" s="48"/>
      <c r="W309" s="48"/>
      <c r="X309" s="48"/>
      <c r="Y309" s="48"/>
      <c r="Z309" s="48"/>
      <c r="AA309" s="48"/>
      <c r="AB309" s="48"/>
      <c r="AC309" s="48"/>
      <c r="AD309" s="48"/>
      <c r="AE309" s="48"/>
    </row>
    <row r="310" spans="1:31" outlineLevel="1">
      <c r="A310" s="412">
        <f>ROW()</f>
        <v>310</v>
      </c>
      <c r="B310" s="149">
        <f>$B154</f>
        <v>0</v>
      </c>
      <c r="C310" s="96">
        <f t="shared" si="80"/>
        <v>0</v>
      </c>
      <c r="D310" s="96"/>
      <c r="E310" s="96"/>
      <c r="F310" s="96"/>
      <c r="G310" s="566">
        <f>G154*$E154</f>
        <v>0</v>
      </c>
      <c r="H310" s="566">
        <f t="shared" si="82"/>
        <v>0</v>
      </c>
      <c r="I310" s="566">
        <f t="shared" si="82"/>
        <v>0</v>
      </c>
      <c r="J310" s="566">
        <f t="shared" si="82"/>
        <v>0</v>
      </c>
      <c r="K310" s="566">
        <f t="shared" si="82"/>
        <v>0</v>
      </c>
      <c r="L310" s="566">
        <f t="shared" si="82"/>
        <v>0</v>
      </c>
      <c r="M310" s="566">
        <f t="shared" si="82"/>
        <v>0</v>
      </c>
      <c r="N310" s="94"/>
      <c r="O310" s="287"/>
      <c r="Q310" s="48"/>
      <c r="R310" s="48"/>
      <c r="S310" s="48"/>
      <c r="T310" s="48"/>
      <c r="U310" s="48"/>
      <c r="V310" s="48"/>
      <c r="W310" s="48"/>
      <c r="X310" s="48"/>
      <c r="Y310" s="48"/>
      <c r="Z310" s="48"/>
      <c r="AA310" s="48"/>
      <c r="AB310" s="48"/>
      <c r="AC310" s="48"/>
      <c r="AD310" s="48"/>
      <c r="AE310" s="48"/>
    </row>
    <row r="311" spans="1:31" outlineLevel="1">
      <c r="A311" s="412">
        <f>ROW()</f>
        <v>311</v>
      </c>
      <c r="B311" s="149"/>
      <c r="C311" s="96">
        <f t="shared" si="80"/>
        <v>0</v>
      </c>
      <c r="D311" s="96"/>
      <c r="E311" s="96"/>
      <c r="F311" s="96"/>
      <c r="G311" s="1781"/>
      <c r="H311" s="1781"/>
      <c r="I311" s="1781"/>
      <c r="J311" s="1781"/>
      <c r="K311" s="1781"/>
      <c r="L311" s="1781"/>
      <c r="M311" s="1781"/>
      <c r="N311" s="94"/>
      <c r="O311" s="287"/>
      <c r="Q311" s="48"/>
      <c r="R311" s="48"/>
      <c r="S311" s="48"/>
      <c r="T311" s="48"/>
      <c r="U311" s="48"/>
      <c r="V311" s="48"/>
      <c r="W311" s="48"/>
      <c r="X311" s="48"/>
      <c r="Y311" s="48"/>
      <c r="Z311" s="48"/>
      <c r="AA311" s="48"/>
      <c r="AB311" s="48"/>
      <c r="AC311" s="48"/>
      <c r="AD311" s="48"/>
      <c r="AE311" s="48"/>
    </row>
    <row r="312" spans="1:31" outlineLevel="1">
      <c r="A312" s="412">
        <f>ROW()</f>
        <v>312</v>
      </c>
      <c r="B312" s="149" t="str">
        <f>$B156</f>
        <v>Teacher: Grade 2</v>
      </c>
      <c r="C312" s="96">
        <f t="shared" si="80"/>
        <v>357066</v>
      </c>
      <c r="D312" s="96"/>
      <c r="E312" s="96"/>
      <c r="F312" s="96"/>
      <c r="G312" s="566">
        <f>G156*$E156</f>
        <v>0</v>
      </c>
      <c r="H312" s="566">
        <f t="shared" ref="H312:M316" si="83">(H156*$E156)</f>
        <v>59511</v>
      </c>
      <c r="I312" s="566">
        <f t="shared" si="83"/>
        <v>59511</v>
      </c>
      <c r="J312" s="566">
        <f t="shared" si="83"/>
        <v>59511</v>
      </c>
      <c r="K312" s="566">
        <f t="shared" si="83"/>
        <v>59511</v>
      </c>
      <c r="L312" s="566">
        <f t="shared" si="83"/>
        <v>59511</v>
      </c>
      <c r="M312" s="566">
        <f t="shared" si="83"/>
        <v>59511</v>
      </c>
      <c r="N312" s="94"/>
      <c r="O312" s="287"/>
      <c r="Q312" s="48"/>
      <c r="R312" s="48"/>
      <c r="S312" s="48"/>
      <c r="T312" s="48"/>
      <c r="U312" s="48"/>
      <c r="V312" s="48"/>
      <c r="W312" s="48"/>
      <c r="X312" s="48"/>
      <c r="Y312" s="48"/>
      <c r="Z312" s="48"/>
      <c r="AA312" s="48"/>
      <c r="AB312" s="48"/>
      <c r="AC312" s="48"/>
      <c r="AD312" s="48"/>
      <c r="AE312" s="48"/>
    </row>
    <row r="313" spans="1:31" outlineLevel="1">
      <c r="A313" s="412">
        <f>ROW()</f>
        <v>313</v>
      </c>
      <c r="B313" s="149" t="str">
        <f>$B157</f>
        <v>Teacher: Grade 2</v>
      </c>
      <c r="C313" s="96">
        <f t="shared" si="80"/>
        <v>357066</v>
      </c>
      <c r="D313" s="96"/>
      <c r="E313" s="96"/>
      <c r="F313" s="96"/>
      <c r="G313" s="566">
        <f>G157*$E157</f>
        <v>0</v>
      </c>
      <c r="H313" s="566">
        <f t="shared" si="83"/>
        <v>59511</v>
      </c>
      <c r="I313" s="566">
        <f t="shared" si="83"/>
        <v>59511</v>
      </c>
      <c r="J313" s="566">
        <f t="shared" si="83"/>
        <v>59511</v>
      </c>
      <c r="K313" s="566">
        <f t="shared" si="83"/>
        <v>59511</v>
      </c>
      <c r="L313" s="566">
        <f t="shared" si="83"/>
        <v>59511</v>
      </c>
      <c r="M313" s="566">
        <f t="shared" si="83"/>
        <v>59511</v>
      </c>
      <c r="N313" s="94"/>
      <c r="O313" s="287"/>
      <c r="Q313" s="48"/>
      <c r="R313" s="48"/>
      <c r="S313" s="48"/>
      <c r="T313" s="48"/>
      <c r="U313" s="48"/>
      <c r="V313" s="48"/>
      <c r="W313" s="48"/>
      <c r="X313" s="48"/>
      <c r="Y313" s="48"/>
      <c r="Z313" s="48"/>
      <c r="AA313" s="48"/>
      <c r="AB313" s="48"/>
      <c r="AC313" s="48"/>
      <c r="AD313" s="48"/>
      <c r="AE313" s="48"/>
    </row>
    <row r="314" spans="1:31" outlineLevel="1">
      <c r="A314" s="412">
        <f>ROW()</f>
        <v>314</v>
      </c>
      <c r="B314" s="149">
        <f>$B158</f>
        <v>0</v>
      </c>
      <c r="C314" s="96">
        <f t="shared" si="80"/>
        <v>0</v>
      </c>
      <c r="D314" s="96"/>
      <c r="E314" s="96"/>
      <c r="F314" s="96"/>
      <c r="G314" s="566">
        <f>G158*$E158</f>
        <v>0</v>
      </c>
      <c r="H314" s="566">
        <f t="shared" si="83"/>
        <v>0</v>
      </c>
      <c r="I314" s="566">
        <f t="shared" si="83"/>
        <v>0</v>
      </c>
      <c r="J314" s="566">
        <f t="shared" si="83"/>
        <v>0</v>
      </c>
      <c r="K314" s="566">
        <f t="shared" si="83"/>
        <v>0</v>
      </c>
      <c r="L314" s="566">
        <f t="shared" si="83"/>
        <v>0</v>
      </c>
      <c r="M314" s="566">
        <f t="shared" si="83"/>
        <v>0</v>
      </c>
      <c r="N314" s="94"/>
      <c r="O314" s="287"/>
      <c r="Q314" s="48"/>
      <c r="R314" s="48"/>
      <c r="S314" s="48"/>
      <c r="T314" s="48"/>
      <c r="U314" s="48"/>
      <c r="V314" s="48"/>
      <c r="W314" s="48"/>
      <c r="X314" s="48"/>
      <c r="Y314" s="48"/>
      <c r="Z314" s="48"/>
      <c r="AA314" s="48"/>
      <c r="AB314" s="48"/>
      <c r="AC314" s="48"/>
      <c r="AD314" s="48"/>
      <c r="AE314" s="48"/>
    </row>
    <row r="315" spans="1:31" outlineLevel="1">
      <c r="A315" s="412">
        <f>ROW()</f>
        <v>315</v>
      </c>
      <c r="B315" s="149">
        <f>$B159</f>
        <v>0</v>
      </c>
      <c r="C315" s="96">
        <f t="shared" si="80"/>
        <v>0</v>
      </c>
      <c r="D315" s="96"/>
      <c r="E315" s="96"/>
      <c r="F315" s="96"/>
      <c r="G315" s="566">
        <f>G159*$E159</f>
        <v>0</v>
      </c>
      <c r="H315" s="566">
        <f t="shared" si="83"/>
        <v>0</v>
      </c>
      <c r="I315" s="566">
        <f t="shared" si="83"/>
        <v>0</v>
      </c>
      <c r="J315" s="566">
        <f t="shared" si="83"/>
        <v>0</v>
      </c>
      <c r="K315" s="566">
        <f t="shared" si="83"/>
        <v>0</v>
      </c>
      <c r="L315" s="566">
        <f t="shared" si="83"/>
        <v>0</v>
      </c>
      <c r="M315" s="566">
        <f t="shared" si="83"/>
        <v>0</v>
      </c>
      <c r="N315" s="94"/>
      <c r="O315" s="287"/>
      <c r="Q315" s="48"/>
      <c r="R315" s="48"/>
      <c r="S315" s="48"/>
      <c r="T315" s="48"/>
      <c r="U315" s="48"/>
      <c r="V315" s="48"/>
      <c r="W315" s="48"/>
      <c r="X315" s="48"/>
      <c r="Y315" s="48"/>
      <c r="Z315" s="48"/>
      <c r="AA315" s="48"/>
      <c r="AB315" s="48"/>
      <c r="AC315" s="48"/>
      <c r="AD315" s="48"/>
      <c r="AE315" s="48"/>
    </row>
    <row r="316" spans="1:31" outlineLevel="1">
      <c r="A316" s="412">
        <f>ROW()</f>
        <v>316</v>
      </c>
      <c r="B316" s="149">
        <f>$B160</f>
        <v>0</v>
      </c>
      <c r="C316" s="96">
        <f t="shared" si="80"/>
        <v>0</v>
      </c>
      <c r="D316" s="96"/>
      <c r="E316" s="96"/>
      <c r="F316" s="96"/>
      <c r="G316" s="566">
        <f>G160*$E160</f>
        <v>0</v>
      </c>
      <c r="H316" s="566">
        <f t="shared" si="83"/>
        <v>0</v>
      </c>
      <c r="I316" s="566">
        <f t="shared" si="83"/>
        <v>0</v>
      </c>
      <c r="J316" s="566">
        <f t="shared" si="83"/>
        <v>0</v>
      </c>
      <c r="K316" s="566">
        <f t="shared" si="83"/>
        <v>0</v>
      </c>
      <c r="L316" s="566">
        <f t="shared" si="83"/>
        <v>0</v>
      </c>
      <c r="M316" s="566">
        <f t="shared" si="83"/>
        <v>0</v>
      </c>
      <c r="N316" s="94"/>
      <c r="O316" s="287"/>
      <c r="Q316" s="48"/>
      <c r="R316" s="48"/>
      <c r="S316" s="48"/>
      <c r="T316" s="48"/>
      <c r="U316" s="48"/>
      <c r="V316" s="48"/>
      <c r="W316" s="48"/>
      <c r="X316" s="48"/>
      <c r="Y316" s="48"/>
      <c r="Z316" s="48"/>
      <c r="AA316" s="48"/>
      <c r="AB316" s="48"/>
      <c r="AC316" s="48"/>
      <c r="AD316" s="48"/>
      <c r="AE316" s="48"/>
    </row>
    <row r="317" spans="1:31" outlineLevel="1">
      <c r="A317" s="412">
        <f>ROW()</f>
        <v>317</v>
      </c>
      <c r="B317" s="149"/>
      <c r="C317" s="96">
        <f t="shared" si="80"/>
        <v>0</v>
      </c>
      <c r="D317" s="96"/>
      <c r="E317" s="96"/>
      <c r="F317" s="96"/>
      <c r="G317" s="1781"/>
      <c r="H317" s="1781"/>
      <c r="I317" s="1781"/>
      <c r="J317" s="1781"/>
      <c r="K317" s="1781"/>
      <c r="L317" s="1781"/>
      <c r="M317" s="1781"/>
      <c r="N317" s="94"/>
      <c r="O317" s="287"/>
      <c r="Q317" s="48"/>
      <c r="R317" s="48"/>
      <c r="S317" s="48"/>
      <c r="T317" s="48"/>
      <c r="U317" s="48"/>
      <c r="V317" s="48"/>
      <c r="W317" s="48"/>
      <c r="X317" s="48"/>
      <c r="Y317" s="48"/>
      <c r="Z317" s="48"/>
      <c r="AA317" s="48"/>
      <c r="AB317" s="48"/>
      <c r="AC317" s="48"/>
      <c r="AD317" s="48"/>
      <c r="AE317" s="48"/>
    </row>
    <row r="318" spans="1:31" outlineLevel="1">
      <c r="A318" s="412">
        <f>ROW()</f>
        <v>318</v>
      </c>
      <c r="B318" s="149" t="str">
        <f>$B162</f>
        <v>Teacher: Grade 3</v>
      </c>
      <c r="C318" s="96">
        <f t="shared" si="80"/>
        <v>357066</v>
      </c>
      <c r="D318" s="96"/>
      <c r="E318" s="96"/>
      <c r="F318" s="96"/>
      <c r="G318" s="566">
        <f>G162*$E162</f>
        <v>0</v>
      </c>
      <c r="H318" s="566">
        <f t="shared" ref="H318:M322" si="84">(H162*$E162)</f>
        <v>59511</v>
      </c>
      <c r="I318" s="566">
        <f t="shared" si="84"/>
        <v>59511</v>
      </c>
      <c r="J318" s="566">
        <f t="shared" si="84"/>
        <v>59511</v>
      </c>
      <c r="K318" s="566">
        <f t="shared" si="84"/>
        <v>59511</v>
      </c>
      <c r="L318" s="566">
        <f t="shared" si="84"/>
        <v>59511</v>
      </c>
      <c r="M318" s="566">
        <f t="shared" si="84"/>
        <v>59511</v>
      </c>
      <c r="N318" s="94"/>
      <c r="O318" s="287"/>
      <c r="Q318" s="48"/>
      <c r="R318" s="48"/>
      <c r="S318" s="48"/>
      <c r="T318" s="48"/>
      <c r="U318" s="48"/>
      <c r="V318" s="48"/>
      <c r="W318" s="48"/>
      <c r="X318" s="48"/>
      <c r="Y318" s="48"/>
      <c r="Z318" s="48"/>
      <c r="AA318" s="48"/>
      <c r="AB318" s="48"/>
      <c r="AC318" s="48"/>
      <c r="AD318" s="48"/>
      <c r="AE318" s="48"/>
    </row>
    <row r="319" spans="1:31" outlineLevel="1">
      <c r="A319" s="412">
        <f>ROW()</f>
        <v>319</v>
      </c>
      <c r="B319" s="149" t="str">
        <f>$B163</f>
        <v>Teacher: Grade 3</v>
      </c>
      <c r="C319" s="96">
        <f t="shared" si="80"/>
        <v>357066</v>
      </c>
      <c r="D319" s="96"/>
      <c r="E319" s="96"/>
      <c r="F319" s="96"/>
      <c r="G319" s="566">
        <f>G163*$E163</f>
        <v>0</v>
      </c>
      <c r="H319" s="566">
        <f t="shared" si="84"/>
        <v>59511</v>
      </c>
      <c r="I319" s="566">
        <f t="shared" si="84"/>
        <v>59511</v>
      </c>
      <c r="J319" s="566">
        <f t="shared" si="84"/>
        <v>59511</v>
      </c>
      <c r="K319" s="566">
        <f t="shared" si="84"/>
        <v>59511</v>
      </c>
      <c r="L319" s="566">
        <f t="shared" si="84"/>
        <v>59511</v>
      </c>
      <c r="M319" s="566">
        <f t="shared" si="84"/>
        <v>59511</v>
      </c>
      <c r="N319" s="94"/>
      <c r="O319" s="287"/>
      <c r="Q319" s="48"/>
      <c r="R319" s="48"/>
      <c r="S319" s="48"/>
      <c r="T319" s="48"/>
      <c r="U319" s="48"/>
      <c r="V319" s="48"/>
      <c r="W319" s="48"/>
      <c r="X319" s="48"/>
      <c r="Y319" s="48"/>
      <c r="Z319" s="48"/>
      <c r="AA319" s="48"/>
      <c r="AB319" s="48"/>
      <c r="AC319" s="48"/>
      <c r="AD319" s="48"/>
      <c r="AE319" s="48"/>
    </row>
    <row r="320" spans="1:31" outlineLevel="1">
      <c r="A320" s="412">
        <f>ROW()</f>
        <v>320</v>
      </c>
      <c r="B320" s="149">
        <f>$B164</f>
        <v>0</v>
      </c>
      <c r="C320" s="96">
        <f t="shared" si="80"/>
        <v>0</v>
      </c>
      <c r="D320" s="96"/>
      <c r="E320" s="96"/>
      <c r="F320" s="96"/>
      <c r="G320" s="566">
        <f>G164*$E164</f>
        <v>0</v>
      </c>
      <c r="H320" s="566">
        <f t="shared" si="84"/>
        <v>0</v>
      </c>
      <c r="I320" s="566">
        <f t="shared" si="84"/>
        <v>0</v>
      </c>
      <c r="J320" s="566">
        <f t="shared" si="84"/>
        <v>0</v>
      </c>
      <c r="K320" s="566">
        <f t="shared" si="84"/>
        <v>0</v>
      </c>
      <c r="L320" s="566">
        <f t="shared" si="84"/>
        <v>0</v>
      </c>
      <c r="M320" s="566">
        <f t="shared" si="84"/>
        <v>0</v>
      </c>
      <c r="N320" s="94"/>
      <c r="O320" s="287"/>
      <c r="Q320" s="48"/>
      <c r="R320" s="48"/>
      <c r="S320" s="48"/>
      <c r="T320" s="48"/>
      <c r="U320" s="48"/>
      <c r="V320" s="48"/>
      <c r="W320" s="48"/>
      <c r="X320" s="48"/>
      <c r="Y320" s="48"/>
      <c r="Z320" s="48"/>
      <c r="AA320" s="48"/>
      <c r="AB320" s="48"/>
      <c r="AC320" s="48"/>
      <c r="AD320" s="48"/>
      <c r="AE320" s="48"/>
    </row>
    <row r="321" spans="1:31" outlineLevel="1">
      <c r="A321" s="412">
        <f>ROW()</f>
        <v>321</v>
      </c>
      <c r="B321" s="149">
        <f>$B165</f>
        <v>0</v>
      </c>
      <c r="C321" s="96">
        <f t="shared" si="80"/>
        <v>0</v>
      </c>
      <c r="D321" s="96"/>
      <c r="E321" s="96"/>
      <c r="F321" s="96"/>
      <c r="G321" s="566">
        <f>G165*$E165</f>
        <v>0</v>
      </c>
      <c r="H321" s="566">
        <f t="shared" si="84"/>
        <v>0</v>
      </c>
      <c r="I321" s="566">
        <f t="shared" si="84"/>
        <v>0</v>
      </c>
      <c r="J321" s="566">
        <f t="shared" si="84"/>
        <v>0</v>
      </c>
      <c r="K321" s="566">
        <f t="shared" si="84"/>
        <v>0</v>
      </c>
      <c r="L321" s="566">
        <f t="shared" si="84"/>
        <v>0</v>
      </c>
      <c r="M321" s="566">
        <f t="shared" si="84"/>
        <v>0</v>
      </c>
      <c r="N321" s="94"/>
      <c r="O321" s="287"/>
      <c r="Q321" s="48"/>
      <c r="R321" s="48"/>
      <c r="S321" s="48"/>
      <c r="T321" s="48"/>
      <c r="U321" s="48"/>
      <c r="V321" s="48"/>
      <c r="W321" s="48"/>
      <c r="X321" s="48"/>
      <c r="Y321" s="48"/>
      <c r="Z321" s="48"/>
      <c r="AA321" s="48"/>
      <c r="AB321" s="48"/>
      <c r="AC321" s="48"/>
      <c r="AD321" s="48"/>
      <c r="AE321" s="48"/>
    </row>
    <row r="322" spans="1:31" outlineLevel="1">
      <c r="A322" s="412">
        <f>ROW()</f>
        <v>322</v>
      </c>
      <c r="B322" s="149">
        <f>$B166</f>
        <v>0</v>
      </c>
      <c r="C322" s="96">
        <f t="shared" si="80"/>
        <v>0</v>
      </c>
      <c r="D322" s="96"/>
      <c r="E322" s="96"/>
      <c r="F322" s="96"/>
      <c r="G322" s="566">
        <f>G166*$E166</f>
        <v>0</v>
      </c>
      <c r="H322" s="566">
        <f t="shared" si="84"/>
        <v>0</v>
      </c>
      <c r="I322" s="566">
        <f t="shared" si="84"/>
        <v>0</v>
      </c>
      <c r="J322" s="566">
        <f t="shared" si="84"/>
        <v>0</v>
      </c>
      <c r="K322" s="566">
        <f t="shared" si="84"/>
        <v>0</v>
      </c>
      <c r="L322" s="566">
        <f t="shared" si="84"/>
        <v>0</v>
      </c>
      <c r="M322" s="566">
        <f t="shared" si="84"/>
        <v>0</v>
      </c>
      <c r="N322" s="94"/>
      <c r="O322" s="287"/>
      <c r="Q322" s="48"/>
      <c r="R322" s="48"/>
      <c r="S322" s="48"/>
      <c r="T322" s="48"/>
      <c r="U322" s="48"/>
      <c r="V322" s="48"/>
      <c r="W322" s="48"/>
      <c r="X322" s="48"/>
      <c r="Y322" s="48"/>
      <c r="Z322" s="48"/>
      <c r="AA322" s="48"/>
      <c r="AB322" s="48"/>
      <c r="AC322" s="48"/>
      <c r="AD322" s="48"/>
      <c r="AE322" s="48"/>
    </row>
    <row r="323" spans="1:31" outlineLevel="1">
      <c r="A323" s="412">
        <f>ROW()</f>
        <v>323</v>
      </c>
      <c r="B323" s="149"/>
      <c r="C323" s="96">
        <f t="shared" si="80"/>
        <v>0</v>
      </c>
      <c r="D323" s="96"/>
      <c r="E323" s="96"/>
      <c r="F323" s="96"/>
      <c r="G323" s="1781"/>
      <c r="H323" s="1781"/>
      <c r="I323" s="1781"/>
      <c r="J323" s="1781"/>
      <c r="K323" s="1781"/>
      <c r="L323" s="1781"/>
      <c r="M323" s="1781"/>
      <c r="N323" s="94"/>
      <c r="O323" s="287"/>
      <c r="Q323" s="48"/>
      <c r="R323" s="48"/>
      <c r="S323" s="48"/>
      <c r="T323" s="48"/>
      <c r="U323" s="48"/>
      <c r="V323" s="48"/>
      <c r="W323" s="48"/>
      <c r="X323" s="48"/>
      <c r="Y323" s="48"/>
      <c r="Z323" s="48"/>
      <c r="AA323" s="48"/>
      <c r="AB323" s="48"/>
      <c r="AC323" s="48"/>
      <c r="AD323" s="48"/>
      <c r="AE323" s="48"/>
    </row>
    <row r="324" spans="1:31" outlineLevel="1">
      <c r="A324" s="412">
        <f>ROW()</f>
        <v>324</v>
      </c>
      <c r="B324" s="149" t="str">
        <f>$B168</f>
        <v>Teacher: Grade 4</v>
      </c>
      <c r="C324" s="96">
        <f t="shared" si="80"/>
        <v>357066</v>
      </c>
      <c r="D324" s="96"/>
      <c r="E324" s="96"/>
      <c r="F324" s="96"/>
      <c r="G324" s="566">
        <f>G168*$E168</f>
        <v>0</v>
      </c>
      <c r="H324" s="566">
        <f t="shared" ref="H324:M328" si="85">(H168*$E168)</f>
        <v>59511</v>
      </c>
      <c r="I324" s="566">
        <f t="shared" si="85"/>
        <v>59511</v>
      </c>
      <c r="J324" s="566">
        <f t="shared" si="85"/>
        <v>59511</v>
      </c>
      <c r="K324" s="566">
        <f t="shared" si="85"/>
        <v>59511</v>
      </c>
      <c r="L324" s="566">
        <f t="shared" si="85"/>
        <v>59511</v>
      </c>
      <c r="M324" s="566">
        <f t="shared" si="85"/>
        <v>59511</v>
      </c>
      <c r="N324" s="94"/>
      <c r="O324" s="287"/>
      <c r="Q324" s="48"/>
      <c r="R324" s="48"/>
      <c r="S324" s="48"/>
      <c r="T324" s="48"/>
      <c r="U324" s="48"/>
      <c r="V324" s="48"/>
      <c r="W324" s="48"/>
      <c r="X324" s="48"/>
      <c r="Y324" s="48"/>
      <c r="Z324" s="48"/>
      <c r="AA324" s="48"/>
      <c r="AB324" s="48"/>
      <c r="AC324" s="48"/>
      <c r="AD324" s="48"/>
      <c r="AE324" s="48"/>
    </row>
    <row r="325" spans="1:31" outlineLevel="1">
      <c r="A325" s="412">
        <f>ROW()</f>
        <v>325</v>
      </c>
      <c r="B325" s="149" t="str">
        <f>$B169</f>
        <v>Teacher: Grade 4</v>
      </c>
      <c r="C325" s="96">
        <f t="shared" si="80"/>
        <v>357066</v>
      </c>
      <c r="D325" s="96"/>
      <c r="E325" s="96"/>
      <c r="F325" s="96"/>
      <c r="G325" s="566">
        <f>G169*$E169</f>
        <v>0</v>
      </c>
      <c r="H325" s="566">
        <f t="shared" si="85"/>
        <v>59511</v>
      </c>
      <c r="I325" s="566">
        <f t="shared" si="85"/>
        <v>59511</v>
      </c>
      <c r="J325" s="566">
        <f t="shared" si="85"/>
        <v>59511</v>
      </c>
      <c r="K325" s="566">
        <f t="shared" si="85"/>
        <v>59511</v>
      </c>
      <c r="L325" s="566">
        <f t="shared" si="85"/>
        <v>59511</v>
      </c>
      <c r="M325" s="566">
        <f t="shared" si="85"/>
        <v>59511</v>
      </c>
      <c r="N325" s="94"/>
      <c r="O325" s="287"/>
      <c r="Q325" s="48"/>
      <c r="R325" s="48"/>
      <c r="S325" s="48"/>
      <c r="T325" s="48"/>
      <c r="U325" s="48"/>
      <c r="V325" s="48"/>
      <c r="W325" s="48"/>
      <c r="X325" s="48"/>
      <c r="Y325" s="48"/>
      <c r="Z325" s="48"/>
      <c r="AA325" s="48"/>
      <c r="AB325" s="48"/>
      <c r="AC325" s="48"/>
      <c r="AD325" s="48"/>
      <c r="AE325" s="48"/>
    </row>
    <row r="326" spans="1:31" outlineLevel="1">
      <c r="A326" s="412">
        <f>ROW()</f>
        <v>326</v>
      </c>
      <c r="B326" s="149">
        <f>$B170</f>
        <v>0</v>
      </c>
      <c r="C326" s="96">
        <f t="shared" si="80"/>
        <v>0</v>
      </c>
      <c r="D326" s="96"/>
      <c r="E326" s="96"/>
      <c r="F326" s="96"/>
      <c r="G326" s="566">
        <f>G170*$E170</f>
        <v>0</v>
      </c>
      <c r="H326" s="566">
        <f t="shared" si="85"/>
        <v>0</v>
      </c>
      <c r="I326" s="566">
        <f t="shared" si="85"/>
        <v>0</v>
      </c>
      <c r="J326" s="566">
        <f t="shared" si="85"/>
        <v>0</v>
      </c>
      <c r="K326" s="566">
        <f t="shared" si="85"/>
        <v>0</v>
      </c>
      <c r="L326" s="566">
        <f t="shared" si="85"/>
        <v>0</v>
      </c>
      <c r="M326" s="566">
        <f t="shared" si="85"/>
        <v>0</v>
      </c>
      <c r="N326" s="94"/>
      <c r="O326" s="287"/>
      <c r="Q326" s="48"/>
      <c r="R326" s="48"/>
      <c r="S326" s="48"/>
      <c r="T326" s="48"/>
      <c r="U326" s="48"/>
      <c r="V326" s="48"/>
      <c r="W326" s="48"/>
      <c r="X326" s="48"/>
      <c r="Y326" s="48"/>
      <c r="Z326" s="48"/>
      <c r="AA326" s="48"/>
      <c r="AB326" s="48"/>
      <c r="AC326" s="48"/>
      <c r="AD326" s="48"/>
      <c r="AE326" s="48"/>
    </row>
    <row r="327" spans="1:31" outlineLevel="1">
      <c r="A327" s="412">
        <f>ROW()</f>
        <v>327</v>
      </c>
      <c r="B327" s="149">
        <f>$B171</f>
        <v>0</v>
      </c>
      <c r="C327" s="96">
        <f t="shared" si="80"/>
        <v>0</v>
      </c>
      <c r="D327" s="96"/>
      <c r="E327" s="96"/>
      <c r="F327" s="96"/>
      <c r="G327" s="566">
        <f>G171*$E171</f>
        <v>0</v>
      </c>
      <c r="H327" s="566">
        <f t="shared" si="85"/>
        <v>0</v>
      </c>
      <c r="I327" s="566">
        <f t="shared" si="85"/>
        <v>0</v>
      </c>
      <c r="J327" s="566">
        <f t="shared" si="85"/>
        <v>0</v>
      </c>
      <c r="K327" s="566">
        <f t="shared" si="85"/>
        <v>0</v>
      </c>
      <c r="L327" s="566">
        <f t="shared" si="85"/>
        <v>0</v>
      </c>
      <c r="M327" s="566">
        <f t="shared" si="85"/>
        <v>0</v>
      </c>
      <c r="N327" s="94"/>
      <c r="O327" s="287"/>
      <c r="Q327" s="48"/>
      <c r="R327" s="48"/>
      <c r="S327" s="48"/>
      <c r="T327" s="48"/>
      <c r="U327" s="48"/>
      <c r="V327" s="48"/>
      <c r="W327" s="48"/>
      <c r="X327" s="48"/>
      <c r="Y327" s="48"/>
      <c r="Z327" s="48"/>
      <c r="AA327" s="48"/>
      <c r="AB327" s="48"/>
      <c r="AC327" s="48"/>
      <c r="AD327" s="48"/>
      <c r="AE327" s="48"/>
    </row>
    <row r="328" spans="1:31" outlineLevel="1">
      <c r="A328" s="412">
        <f>ROW()</f>
        <v>328</v>
      </c>
      <c r="B328" s="149">
        <f>$B172</f>
        <v>0</v>
      </c>
      <c r="C328" s="96">
        <f t="shared" si="80"/>
        <v>0</v>
      </c>
      <c r="D328" s="96"/>
      <c r="E328" s="96"/>
      <c r="F328" s="96"/>
      <c r="G328" s="566">
        <f>G172*$E172</f>
        <v>0</v>
      </c>
      <c r="H328" s="566">
        <f t="shared" si="85"/>
        <v>0</v>
      </c>
      <c r="I328" s="566">
        <f t="shared" si="85"/>
        <v>0</v>
      </c>
      <c r="J328" s="566">
        <f t="shared" si="85"/>
        <v>0</v>
      </c>
      <c r="K328" s="566">
        <f t="shared" si="85"/>
        <v>0</v>
      </c>
      <c r="L328" s="566">
        <f t="shared" si="85"/>
        <v>0</v>
      </c>
      <c r="M328" s="566">
        <f t="shared" si="85"/>
        <v>0</v>
      </c>
      <c r="N328" s="94"/>
      <c r="O328" s="287"/>
      <c r="Q328" s="48"/>
      <c r="R328" s="48"/>
      <c r="S328" s="48"/>
      <c r="T328" s="48"/>
      <c r="U328" s="48"/>
      <c r="V328" s="48"/>
      <c r="W328" s="48"/>
      <c r="X328" s="48"/>
      <c r="Y328" s="48"/>
      <c r="Z328" s="48"/>
      <c r="AA328" s="48"/>
      <c r="AB328" s="48"/>
      <c r="AC328" s="48"/>
      <c r="AD328" s="48"/>
      <c r="AE328" s="48"/>
    </row>
    <row r="329" spans="1:31" outlineLevel="1">
      <c r="A329" s="412">
        <f>ROW()</f>
        <v>329</v>
      </c>
      <c r="B329" s="149"/>
      <c r="C329" s="96">
        <f t="shared" si="80"/>
        <v>0</v>
      </c>
      <c r="D329" s="96"/>
      <c r="E329" s="96"/>
      <c r="F329" s="96"/>
      <c r="G329" s="1781"/>
      <c r="H329" s="1781"/>
      <c r="I329" s="1781"/>
      <c r="J329" s="1781"/>
      <c r="K329" s="1781"/>
      <c r="L329" s="1781"/>
      <c r="M329" s="1781"/>
      <c r="N329" s="94"/>
      <c r="O329" s="287"/>
      <c r="Q329" s="48"/>
      <c r="R329" s="48"/>
      <c r="S329" s="48"/>
      <c r="T329" s="48"/>
      <c r="U329" s="48"/>
      <c r="V329" s="48"/>
      <c r="W329" s="48"/>
      <c r="X329" s="48"/>
      <c r="Y329" s="48"/>
      <c r="Z329" s="48"/>
      <c r="AA329" s="48"/>
      <c r="AB329" s="48"/>
      <c r="AC329" s="48"/>
      <c r="AD329" s="48"/>
      <c r="AE329" s="48"/>
    </row>
    <row r="330" spans="1:31" outlineLevel="1">
      <c r="A330" s="412">
        <f>ROW()</f>
        <v>330</v>
      </c>
      <c r="B330" s="149" t="str">
        <f>$B174</f>
        <v>Teacher: Grade 5</v>
      </c>
      <c r="C330" s="96">
        <f t="shared" si="80"/>
        <v>357066</v>
      </c>
      <c r="D330" s="96"/>
      <c r="E330" s="96"/>
      <c r="F330" s="96"/>
      <c r="G330" s="566">
        <f>G174*$E174</f>
        <v>0</v>
      </c>
      <c r="H330" s="566">
        <f t="shared" ref="H330:M334" si="86">(H174*$E174)</f>
        <v>59511</v>
      </c>
      <c r="I330" s="566">
        <f t="shared" si="86"/>
        <v>59511</v>
      </c>
      <c r="J330" s="566">
        <f t="shared" si="86"/>
        <v>59511</v>
      </c>
      <c r="K330" s="566">
        <f t="shared" si="86"/>
        <v>59511</v>
      </c>
      <c r="L330" s="566">
        <f t="shared" si="86"/>
        <v>59511</v>
      </c>
      <c r="M330" s="566">
        <f t="shared" si="86"/>
        <v>59511</v>
      </c>
      <c r="N330" s="94"/>
      <c r="O330" s="287"/>
      <c r="Q330" s="48"/>
      <c r="R330" s="48"/>
      <c r="S330" s="48"/>
      <c r="T330" s="48"/>
      <c r="U330" s="48"/>
      <c r="V330" s="48"/>
      <c r="W330" s="48"/>
      <c r="X330" s="48"/>
      <c r="Y330" s="48"/>
      <c r="Z330" s="48"/>
      <c r="AA330" s="48"/>
      <c r="AB330" s="48"/>
      <c r="AC330" s="48"/>
      <c r="AD330" s="48"/>
      <c r="AE330" s="48"/>
    </row>
    <row r="331" spans="1:31" outlineLevel="1">
      <c r="A331" s="412">
        <f>ROW()</f>
        <v>331</v>
      </c>
      <c r="B331" s="149" t="str">
        <f>$B175</f>
        <v>Teacher: Grade 5</v>
      </c>
      <c r="C331" s="96">
        <f t="shared" si="80"/>
        <v>297555</v>
      </c>
      <c r="D331" s="96"/>
      <c r="E331" s="96"/>
      <c r="F331" s="96"/>
      <c r="G331" s="566">
        <f>G175*$E175</f>
        <v>0</v>
      </c>
      <c r="H331" s="566">
        <f t="shared" si="86"/>
        <v>0</v>
      </c>
      <c r="I331" s="566">
        <f t="shared" si="86"/>
        <v>59511</v>
      </c>
      <c r="J331" s="566">
        <f t="shared" si="86"/>
        <v>59511</v>
      </c>
      <c r="K331" s="566">
        <f t="shared" si="86"/>
        <v>59511</v>
      </c>
      <c r="L331" s="566">
        <f t="shared" si="86"/>
        <v>59511</v>
      </c>
      <c r="M331" s="566">
        <f t="shared" si="86"/>
        <v>59511</v>
      </c>
      <c r="N331" s="94"/>
      <c r="O331" s="287"/>
      <c r="Q331" s="48"/>
      <c r="R331" s="48"/>
      <c r="S331" s="48"/>
      <c r="T331" s="48"/>
      <c r="U331" s="48"/>
      <c r="V331" s="48"/>
      <c r="W331" s="48"/>
      <c r="X331" s="48"/>
      <c r="Y331" s="48"/>
      <c r="Z331" s="48"/>
      <c r="AA331" s="48"/>
      <c r="AB331" s="48"/>
      <c r="AC331" s="48"/>
      <c r="AD331" s="48"/>
      <c r="AE331" s="48"/>
    </row>
    <row r="332" spans="1:31" outlineLevel="1">
      <c r="A332" s="412">
        <f>ROW()</f>
        <v>332</v>
      </c>
      <c r="B332" s="149">
        <f>$B176</f>
        <v>0</v>
      </c>
      <c r="C332" s="96">
        <f t="shared" si="80"/>
        <v>0</v>
      </c>
      <c r="D332" s="96"/>
      <c r="E332" s="96"/>
      <c r="F332" s="96"/>
      <c r="G332" s="566">
        <f>G176*$E176</f>
        <v>0</v>
      </c>
      <c r="H332" s="566">
        <f t="shared" si="86"/>
        <v>0</v>
      </c>
      <c r="I332" s="566">
        <f t="shared" si="86"/>
        <v>0</v>
      </c>
      <c r="J332" s="566">
        <f t="shared" si="86"/>
        <v>0</v>
      </c>
      <c r="K332" s="566">
        <f t="shared" si="86"/>
        <v>0</v>
      </c>
      <c r="L332" s="566">
        <f t="shared" si="86"/>
        <v>0</v>
      </c>
      <c r="M332" s="566">
        <f t="shared" si="86"/>
        <v>0</v>
      </c>
      <c r="N332" s="94"/>
      <c r="O332" s="287"/>
      <c r="Q332" s="48"/>
      <c r="R332" s="48"/>
      <c r="S332" s="48"/>
      <c r="T332" s="48"/>
      <c r="U332" s="48"/>
      <c r="V332" s="48"/>
      <c r="W332" s="48"/>
      <c r="X332" s="48"/>
      <c r="Y332" s="48"/>
      <c r="Z332" s="48"/>
      <c r="AA332" s="48"/>
      <c r="AB332" s="48"/>
      <c r="AC332" s="48"/>
      <c r="AD332" s="48"/>
      <c r="AE332" s="48"/>
    </row>
    <row r="333" spans="1:31" outlineLevel="1">
      <c r="A333" s="412">
        <f>ROW()</f>
        <v>333</v>
      </c>
      <c r="B333" s="149">
        <f>$B177</f>
        <v>0</v>
      </c>
      <c r="C333" s="96">
        <f t="shared" si="80"/>
        <v>0</v>
      </c>
      <c r="D333" s="96"/>
      <c r="E333" s="96"/>
      <c r="F333" s="96"/>
      <c r="G333" s="566">
        <f>G177*$E177</f>
        <v>0</v>
      </c>
      <c r="H333" s="566">
        <f t="shared" si="86"/>
        <v>0</v>
      </c>
      <c r="I333" s="566">
        <f t="shared" si="86"/>
        <v>0</v>
      </c>
      <c r="J333" s="566">
        <f t="shared" si="86"/>
        <v>0</v>
      </c>
      <c r="K333" s="566">
        <f t="shared" si="86"/>
        <v>0</v>
      </c>
      <c r="L333" s="566">
        <f t="shared" si="86"/>
        <v>0</v>
      </c>
      <c r="M333" s="566">
        <f t="shared" si="86"/>
        <v>0</v>
      </c>
      <c r="N333" s="94"/>
      <c r="O333" s="287"/>
      <c r="Q333" s="48"/>
      <c r="R333" s="48"/>
      <c r="S333" s="48"/>
      <c r="T333" s="48"/>
      <c r="U333" s="48"/>
      <c r="V333" s="48"/>
      <c r="W333" s="48"/>
      <c r="X333" s="48"/>
      <c r="Y333" s="48"/>
      <c r="Z333" s="48"/>
      <c r="AA333" s="48"/>
      <c r="AB333" s="48"/>
      <c r="AC333" s="48"/>
      <c r="AD333" s="48"/>
      <c r="AE333" s="48"/>
    </row>
    <row r="334" spans="1:31" outlineLevel="1">
      <c r="A334" s="412">
        <f>ROW()</f>
        <v>334</v>
      </c>
      <c r="B334" s="149">
        <f>$B178</f>
        <v>0</v>
      </c>
      <c r="C334" s="96">
        <f t="shared" ref="C334:C365" si="87">SUM(G334:M334)</f>
        <v>0</v>
      </c>
      <c r="D334" s="96"/>
      <c r="E334" s="96"/>
      <c r="F334" s="96"/>
      <c r="G334" s="566">
        <f>G178*$E178</f>
        <v>0</v>
      </c>
      <c r="H334" s="566">
        <f t="shared" si="86"/>
        <v>0</v>
      </c>
      <c r="I334" s="566">
        <f t="shared" si="86"/>
        <v>0</v>
      </c>
      <c r="J334" s="566">
        <f t="shared" si="86"/>
        <v>0</v>
      </c>
      <c r="K334" s="566">
        <f t="shared" si="86"/>
        <v>0</v>
      </c>
      <c r="L334" s="566">
        <f t="shared" si="86"/>
        <v>0</v>
      </c>
      <c r="M334" s="566">
        <f t="shared" si="86"/>
        <v>0</v>
      </c>
      <c r="N334" s="94"/>
      <c r="O334" s="287"/>
      <c r="Q334" s="48"/>
      <c r="R334" s="48"/>
      <c r="S334" s="48"/>
      <c r="T334" s="48"/>
      <c r="U334" s="48"/>
      <c r="V334" s="48"/>
      <c r="W334" s="48"/>
      <c r="X334" s="48"/>
      <c r="Y334" s="48"/>
      <c r="Z334" s="48"/>
      <c r="AA334" s="48"/>
      <c r="AB334" s="48"/>
      <c r="AC334" s="48"/>
      <c r="AD334" s="48"/>
      <c r="AE334" s="48"/>
    </row>
    <row r="335" spans="1:31" outlineLevel="1">
      <c r="A335" s="412">
        <f>ROW()</f>
        <v>335</v>
      </c>
      <c r="B335" s="149"/>
      <c r="C335" s="96">
        <f t="shared" si="87"/>
        <v>0</v>
      </c>
      <c r="D335" s="96"/>
      <c r="E335" s="96"/>
      <c r="F335" s="96"/>
      <c r="G335" s="1781"/>
      <c r="H335" s="1781"/>
      <c r="I335" s="1781"/>
      <c r="J335" s="1781"/>
      <c r="K335" s="1781"/>
      <c r="L335" s="1781"/>
      <c r="M335" s="1781"/>
      <c r="N335" s="94"/>
      <c r="O335" s="287"/>
      <c r="Q335" s="48"/>
      <c r="R335" s="48"/>
      <c r="S335" s="48"/>
      <c r="T335" s="48"/>
      <c r="U335" s="48"/>
      <c r="V335" s="48"/>
      <c r="W335" s="48"/>
      <c r="X335" s="48"/>
      <c r="Y335" s="48"/>
      <c r="Z335" s="48"/>
      <c r="AA335" s="48"/>
      <c r="AB335" s="48"/>
      <c r="AC335" s="48"/>
      <c r="AD335" s="48"/>
      <c r="AE335" s="48"/>
    </row>
    <row r="336" spans="1:31" outlineLevel="1">
      <c r="A336" s="412">
        <f>ROW()</f>
        <v>336</v>
      </c>
      <c r="B336" s="149" t="str">
        <f>$B180</f>
        <v>Teacher: Grade 6</v>
      </c>
      <c r="C336" s="96">
        <f t="shared" si="87"/>
        <v>297555</v>
      </c>
      <c r="D336" s="96"/>
      <c r="E336" s="96"/>
      <c r="F336" s="96"/>
      <c r="G336" s="566">
        <f>G180*$E180</f>
        <v>0</v>
      </c>
      <c r="H336" s="566">
        <f t="shared" ref="H336:M340" si="88">(H180*$E180)</f>
        <v>0</v>
      </c>
      <c r="I336" s="566">
        <f t="shared" si="88"/>
        <v>59511</v>
      </c>
      <c r="J336" s="566">
        <f t="shared" si="88"/>
        <v>59511</v>
      </c>
      <c r="K336" s="566">
        <f t="shared" si="88"/>
        <v>59511</v>
      </c>
      <c r="L336" s="566">
        <f t="shared" si="88"/>
        <v>59511</v>
      </c>
      <c r="M336" s="566">
        <f t="shared" si="88"/>
        <v>59511</v>
      </c>
      <c r="N336" s="94"/>
      <c r="O336" s="287"/>
      <c r="Q336" s="48"/>
      <c r="R336" s="48"/>
      <c r="S336" s="48"/>
      <c r="T336" s="48"/>
      <c r="U336" s="48"/>
      <c r="V336" s="48"/>
      <c r="W336" s="48"/>
      <c r="X336" s="48"/>
      <c r="Y336" s="48"/>
      <c r="Z336" s="48"/>
      <c r="AA336" s="48"/>
      <c r="AB336" s="48"/>
      <c r="AC336" s="48"/>
      <c r="AD336" s="48"/>
      <c r="AE336" s="48"/>
    </row>
    <row r="337" spans="1:31" outlineLevel="1">
      <c r="A337" s="412">
        <f>ROW()</f>
        <v>337</v>
      </c>
      <c r="B337" s="149" t="str">
        <f>$B181</f>
        <v>Teacher: Grade 6</v>
      </c>
      <c r="C337" s="96">
        <f t="shared" si="87"/>
        <v>297555</v>
      </c>
      <c r="D337" s="96"/>
      <c r="E337" s="96"/>
      <c r="F337" s="96"/>
      <c r="G337" s="566">
        <f>G181*$E181</f>
        <v>0</v>
      </c>
      <c r="H337" s="566">
        <f t="shared" si="88"/>
        <v>0</v>
      </c>
      <c r="I337" s="566">
        <f t="shared" si="88"/>
        <v>59511</v>
      </c>
      <c r="J337" s="566">
        <f t="shared" si="88"/>
        <v>59511</v>
      </c>
      <c r="K337" s="566">
        <f t="shared" si="88"/>
        <v>59511</v>
      </c>
      <c r="L337" s="566">
        <f t="shared" si="88"/>
        <v>59511</v>
      </c>
      <c r="M337" s="566">
        <f t="shared" si="88"/>
        <v>59511</v>
      </c>
      <c r="N337" s="94"/>
      <c r="O337" s="287"/>
      <c r="Q337" s="48"/>
      <c r="R337" s="48"/>
      <c r="S337" s="48"/>
      <c r="T337" s="48"/>
      <c r="U337" s="48"/>
      <c r="V337" s="48"/>
      <c r="W337" s="48"/>
      <c r="X337" s="48"/>
      <c r="Y337" s="48"/>
      <c r="Z337" s="48"/>
      <c r="AA337" s="48"/>
      <c r="AB337" s="48"/>
      <c r="AC337" s="48"/>
      <c r="AD337" s="48"/>
      <c r="AE337" s="48"/>
    </row>
    <row r="338" spans="1:31" outlineLevel="1">
      <c r="A338" s="412">
        <f>ROW()</f>
        <v>338</v>
      </c>
      <c r="B338" s="149">
        <f>$B182</f>
        <v>0</v>
      </c>
      <c r="C338" s="96">
        <f t="shared" si="87"/>
        <v>0</v>
      </c>
      <c r="D338" s="96"/>
      <c r="E338" s="96"/>
      <c r="F338" s="96"/>
      <c r="G338" s="566">
        <f>G182*$E182</f>
        <v>0</v>
      </c>
      <c r="H338" s="566">
        <f t="shared" si="88"/>
        <v>0</v>
      </c>
      <c r="I338" s="566">
        <f t="shared" si="88"/>
        <v>0</v>
      </c>
      <c r="J338" s="566">
        <f t="shared" si="88"/>
        <v>0</v>
      </c>
      <c r="K338" s="566">
        <f t="shared" si="88"/>
        <v>0</v>
      </c>
      <c r="L338" s="566">
        <f t="shared" si="88"/>
        <v>0</v>
      </c>
      <c r="M338" s="566">
        <f t="shared" si="88"/>
        <v>0</v>
      </c>
      <c r="N338" s="94"/>
      <c r="O338" s="287"/>
      <c r="Q338" s="48"/>
      <c r="R338" s="48"/>
      <c r="S338" s="48"/>
      <c r="T338" s="48"/>
      <c r="U338" s="48"/>
      <c r="V338" s="48"/>
      <c r="W338" s="48"/>
      <c r="X338" s="48"/>
      <c r="Y338" s="48"/>
      <c r="Z338" s="48"/>
      <c r="AA338" s="48"/>
      <c r="AB338" s="48"/>
      <c r="AC338" s="48"/>
      <c r="AD338" s="48"/>
      <c r="AE338" s="48"/>
    </row>
    <row r="339" spans="1:31" outlineLevel="1">
      <c r="A339" s="412">
        <f>ROW()</f>
        <v>339</v>
      </c>
      <c r="B339" s="149">
        <f>$B183</f>
        <v>0</v>
      </c>
      <c r="C339" s="96">
        <f t="shared" si="87"/>
        <v>0</v>
      </c>
      <c r="D339" s="96"/>
      <c r="E339" s="96"/>
      <c r="F339" s="96"/>
      <c r="G339" s="566">
        <f>G183*$E183</f>
        <v>0</v>
      </c>
      <c r="H339" s="566">
        <f t="shared" si="88"/>
        <v>0</v>
      </c>
      <c r="I339" s="566">
        <f t="shared" si="88"/>
        <v>0</v>
      </c>
      <c r="J339" s="566">
        <f t="shared" si="88"/>
        <v>0</v>
      </c>
      <c r="K339" s="566">
        <f t="shared" si="88"/>
        <v>0</v>
      </c>
      <c r="L339" s="566">
        <f t="shared" si="88"/>
        <v>0</v>
      </c>
      <c r="M339" s="566">
        <f t="shared" si="88"/>
        <v>0</v>
      </c>
      <c r="N339" s="94"/>
      <c r="O339" s="287"/>
      <c r="Q339" s="48"/>
      <c r="R339" s="48"/>
      <c r="S339" s="48"/>
      <c r="T339" s="48"/>
      <c r="U339" s="48"/>
      <c r="V339" s="48"/>
      <c r="W339" s="48"/>
      <c r="X339" s="48"/>
      <c r="Y339" s="48"/>
      <c r="Z339" s="48"/>
      <c r="AA339" s="48"/>
      <c r="AB339" s="48"/>
      <c r="AC339" s="48"/>
      <c r="AD339" s="48"/>
      <c r="AE339" s="48"/>
    </row>
    <row r="340" spans="1:31" outlineLevel="1">
      <c r="A340" s="412">
        <f>ROW()</f>
        <v>340</v>
      </c>
      <c r="B340" s="149">
        <f>$B184</f>
        <v>0</v>
      </c>
      <c r="C340" s="96">
        <f t="shared" si="87"/>
        <v>0</v>
      </c>
      <c r="D340" s="96"/>
      <c r="E340" s="96"/>
      <c r="F340" s="96"/>
      <c r="G340" s="566">
        <f>G184*$E184</f>
        <v>0</v>
      </c>
      <c r="H340" s="566">
        <f t="shared" si="88"/>
        <v>0</v>
      </c>
      <c r="I340" s="566">
        <f t="shared" si="88"/>
        <v>0</v>
      </c>
      <c r="J340" s="566">
        <f t="shared" si="88"/>
        <v>0</v>
      </c>
      <c r="K340" s="566">
        <f t="shared" si="88"/>
        <v>0</v>
      </c>
      <c r="L340" s="566">
        <f t="shared" si="88"/>
        <v>0</v>
      </c>
      <c r="M340" s="566">
        <f t="shared" si="88"/>
        <v>0</v>
      </c>
      <c r="N340" s="94"/>
      <c r="O340" s="287"/>
      <c r="Q340" s="48"/>
      <c r="R340" s="48"/>
      <c r="S340" s="48"/>
      <c r="T340" s="48"/>
      <c r="U340" s="48"/>
      <c r="V340" s="48"/>
      <c r="W340" s="48"/>
      <c r="X340" s="48"/>
      <c r="Y340" s="48"/>
      <c r="Z340" s="48"/>
      <c r="AA340" s="48"/>
      <c r="AB340" s="48"/>
      <c r="AC340" s="48"/>
      <c r="AD340" s="48"/>
      <c r="AE340" s="48"/>
    </row>
    <row r="341" spans="1:31" outlineLevel="1">
      <c r="A341" s="412">
        <f>ROW()</f>
        <v>341</v>
      </c>
      <c r="B341" s="149"/>
      <c r="C341" s="96">
        <f t="shared" si="87"/>
        <v>0</v>
      </c>
      <c r="D341" s="96"/>
      <c r="E341" s="96"/>
      <c r="F341" s="96"/>
      <c r="G341" s="1781"/>
      <c r="H341" s="1781"/>
      <c r="I341" s="1781"/>
      <c r="J341" s="1781"/>
      <c r="K341" s="1781"/>
      <c r="L341" s="1781"/>
      <c r="M341" s="1781"/>
      <c r="N341" s="94"/>
      <c r="O341" s="287"/>
      <c r="Q341" s="48"/>
      <c r="R341" s="48"/>
      <c r="S341" s="48"/>
      <c r="T341" s="48"/>
      <c r="U341" s="48"/>
      <c r="V341" s="48"/>
      <c r="W341" s="48"/>
      <c r="X341" s="48"/>
      <c r="Y341" s="48"/>
      <c r="Z341" s="48"/>
      <c r="AA341" s="48"/>
      <c r="AB341" s="48"/>
      <c r="AC341" s="48"/>
      <c r="AD341" s="48"/>
      <c r="AE341" s="48"/>
    </row>
    <row r="342" spans="1:31" outlineLevel="1">
      <c r="A342" s="412">
        <f>ROW()</f>
        <v>342</v>
      </c>
      <c r="B342" s="149" t="str">
        <f>$B186</f>
        <v>Teacher: Grade 7</v>
      </c>
      <c r="C342" s="96">
        <f t="shared" si="87"/>
        <v>238044</v>
      </c>
      <c r="D342" s="96"/>
      <c r="E342" s="96"/>
      <c r="F342" s="96"/>
      <c r="G342" s="566">
        <f>G186*$E186</f>
        <v>0</v>
      </c>
      <c r="H342" s="566">
        <f t="shared" ref="H342:M346" si="89">(H186*$E186)</f>
        <v>0</v>
      </c>
      <c r="I342" s="566">
        <f t="shared" si="89"/>
        <v>0</v>
      </c>
      <c r="J342" s="566">
        <f t="shared" si="89"/>
        <v>59511</v>
      </c>
      <c r="K342" s="566">
        <f t="shared" si="89"/>
        <v>59511</v>
      </c>
      <c r="L342" s="566">
        <f t="shared" si="89"/>
        <v>59511</v>
      </c>
      <c r="M342" s="566">
        <f t="shared" si="89"/>
        <v>59511</v>
      </c>
      <c r="N342" s="94"/>
      <c r="O342" s="287"/>
      <c r="Q342" s="48"/>
      <c r="R342" s="48"/>
      <c r="S342" s="48"/>
      <c r="T342" s="48"/>
      <c r="U342" s="48"/>
      <c r="V342" s="48"/>
      <c r="W342" s="48"/>
      <c r="X342" s="48"/>
      <c r="Y342" s="48"/>
      <c r="Z342" s="48"/>
      <c r="AA342" s="48"/>
      <c r="AB342" s="48"/>
      <c r="AC342" s="48"/>
      <c r="AD342" s="48"/>
      <c r="AE342" s="48"/>
    </row>
    <row r="343" spans="1:31" outlineLevel="1">
      <c r="A343" s="412">
        <f>ROW()</f>
        <v>343</v>
      </c>
      <c r="B343" s="149" t="str">
        <f>$B187</f>
        <v>Teacher: Grade 7</v>
      </c>
      <c r="C343" s="96">
        <f t="shared" si="87"/>
        <v>238044</v>
      </c>
      <c r="D343" s="96"/>
      <c r="E343" s="96"/>
      <c r="F343" s="96"/>
      <c r="G343" s="566">
        <f>G187*$E187</f>
        <v>0</v>
      </c>
      <c r="H343" s="566">
        <f t="shared" si="89"/>
        <v>0</v>
      </c>
      <c r="I343" s="566">
        <f t="shared" si="89"/>
        <v>0</v>
      </c>
      <c r="J343" s="566">
        <f t="shared" si="89"/>
        <v>59511</v>
      </c>
      <c r="K343" s="566">
        <f t="shared" si="89"/>
        <v>59511</v>
      </c>
      <c r="L343" s="566">
        <f t="shared" si="89"/>
        <v>59511</v>
      </c>
      <c r="M343" s="566">
        <f t="shared" si="89"/>
        <v>59511</v>
      </c>
      <c r="N343" s="94"/>
      <c r="O343" s="287"/>
      <c r="Q343" s="48"/>
      <c r="R343" s="48"/>
      <c r="S343" s="48"/>
      <c r="T343" s="48"/>
      <c r="U343" s="48"/>
      <c r="V343" s="48"/>
      <c r="W343" s="48"/>
      <c r="X343" s="48"/>
      <c r="Y343" s="48"/>
      <c r="Z343" s="48"/>
      <c r="AA343" s="48"/>
      <c r="AB343" s="48"/>
      <c r="AC343" s="48"/>
      <c r="AD343" s="48"/>
      <c r="AE343" s="48"/>
    </row>
    <row r="344" spans="1:31" outlineLevel="1">
      <c r="A344" s="412">
        <f>ROW()</f>
        <v>344</v>
      </c>
      <c r="B344" s="149">
        <f>$B188</f>
        <v>0</v>
      </c>
      <c r="C344" s="96">
        <f t="shared" si="87"/>
        <v>0</v>
      </c>
      <c r="D344" s="96"/>
      <c r="E344" s="96"/>
      <c r="F344" s="96"/>
      <c r="G344" s="566">
        <f>G188*$E188</f>
        <v>0</v>
      </c>
      <c r="H344" s="566">
        <f t="shared" si="89"/>
        <v>0</v>
      </c>
      <c r="I344" s="566">
        <f t="shared" si="89"/>
        <v>0</v>
      </c>
      <c r="J344" s="566">
        <f t="shared" si="89"/>
        <v>0</v>
      </c>
      <c r="K344" s="566">
        <f t="shared" si="89"/>
        <v>0</v>
      </c>
      <c r="L344" s="566">
        <f t="shared" si="89"/>
        <v>0</v>
      </c>
      <c r="M344" s="566">
        <f t="shared" si="89"/>
        <v>0</v>
      </c>
      <c r="N344" s="94"/>
      <c r="O344" s="287"/>
      <c r="Q344" s="48"/>
      <c r="R344" s="48"/>
      <c r="S344" s="48"/>
      <c r="T344" s="48"/>
      <c r="U344" s="48"/>
      <c r="V344" s="48"/>
      <c r="W344" s="48"/>
      <c r="X344" s="48"/>
      <c r="Y344" s="48"/>
      <c r="Z344" s="48"/>
      <c r="AA344" s="48"/>
      <c r="AB344" s="48"/>
      <c r="AC344" s="48"/>
      <c r="AD344" s="48"/>
      <c r="AE344" s="48"/>
    </row>
    <row r="345" spans="1:31" outlineLevel="1">
      <c r="A345" s="412">
        <f>ROW()</f>
        <v>345</v>
      </c>
      <c r="B345" s="149">
        <f>$B189</f>
        <v>0</v>
      </c>
      <c r="C345" s="96">
        <f t="shared" si="87"/>
        <v>0</v>
      </c>
      <c r="D345" s="96"/>
      <c r="E345" s="96"/>
      <c r="F345" s="96"/>
      <c r="G345" s="566">
        <f>G189*$E189</f>
        <v>0</v>
      </c>
      <c r="H345" s="566">
        <f t="shared" si="89"/>
        <v>0</v>
      </c>
      <c r="I345" s="566">
        <f t="shared" si="89"/>
        <v>0</v>
      </c>
      <c r="J345" s="566">
        <f t="shared" si="89"/>
        <v>0</v>
      </c>
      <c r="K345" s="566">
        <f t="shared" si="89"/>
        <v>0</v>
      </c>
      <c r="L345" s="566">
        <f t="shared" si="89"/>
        <v>0</v>
      </c>
      <c r="M345" s="566">
        <f t="shared" si="89"/>
        <v>0</v>
      </c>
      <c r="N345" s="94"/>
      <c r="O345" s="287"/>
      <c r="Q345" s="48"/>
      <c r="R345" s="48"/>
      <c r="S345" s="48"/>
      <c r="T345" s="48"/>
      <c r="U345" s="48"/>
      <c r="V345" s="48"/>
      <c r="W345" s="48"/>
      <c r="X345" s="48"/>
      <c r="Y345" s="48"/>
      <c r="Z345" s="48"/>
      <c r="AA345" s="48"/>
      <c r="AB345" s="48"/>
      <c r="AC345" s="48"/>
      <c r="AD345" s="48"/>
      <c r="AE345" s="48"/>
    </row>
    <row r="346" spans="1:31" outlineLevel="1">
      <c r="A346" s="412">
        <f>ROW()</f>
        <v>346</v>
      </c>
      <c r="B346" s="149">
        <f>$B190</f>
        <v>0</v>
      </c>
      <c r="C346" s="96">
        <f t="shared" si="87"/>
        <v>0</v>
      </c>
      <c r="D346" s="96"/>
      <c r="E346" s="96"/>
      <c r="F346" s="96"/>
      <c r="G346" s="566">
        <f>G190*$E190</f>
        <v>0</v>
      </c>
      <c r="H346" s="566">
        <f t="shared" si="89"/>
        <v>0</v>
      </c>
      <c r="I346" s="566">
        <f t="shared" si="89"/>
        <v>0</v>
      </c>
      <c r="J346" s="566">
        <f t="shared" si="89"/>
        <v>0</v>
      </c>
      <c r="K346" s="566">
        <f t="shared" si="89"/>
        <v>0</v>
      </c>
      <c r="L346" s="566">
        <f t="shared" si="89"/>
        <v>0</v>
      </c>
      <c r="M346" s="566">
        <f t="shared" si="89"/>
        <v>0</v>
      </c>
      <c r="N346" s="94"/>
      <c r="O346" s="287"/>
      <c r="Q346" s="48"/>
      <c r="R346" s="48"/>
      <c r="S346" s="48"/>
      <c r="T346" s="48"/>
      <c r="U346" s="48"/>
      <c r="V346" s="48"/>
      <c r="W346" s="48"/>
      <c r="X346" s="48"/>
      <c r="Y346" s="48"/>
      <c r="Z346" s="48"/>
      <c r="AA346" s="48"/>
      <c r="AB346" s="48"/>
      <c r="AC346" s="48"/>
      <c r="AD346" s="48"/>
      <c r="AE346" s="48"/>
    </row>
    <row r="347" spans="1:31" outlineLevel="1">
      <c r="A347" s="412">
        <f>ROW()</f>
        <v>347</v>
      </c>
      <c r="B347" s="149"/>
      <c r="C347" s="96">
        <f t="shared" si="87"/>
        <v>0</v>
      </c>
      <c r="D347" s="96"/>
      <c r="E347" s="96"/>
      <c r="F347" s="96"/>
      <c r="G347" s="1781"/>
      <c r="H347" s="1781"/>
      <c r="I347" s="1781"/>
      <c r="J347" s="1781"/>
      <c r="K347" s="1781"/>
      <c r="L347" s="1781"/>
      <c r="M347" s="1781"/>
      <c r="N347" s="94"/>
      <c r="O347" s="287"/>
      <c r="Q347" s="48"/>
      <c r="R347" s="48"/>
      <c r="S347" s="48"/>
      <c r="T347" s="48"/>
      <c r="U347" s="48"/>
      <c r="V347" s="48"/>
      <c r="W347" s="48"/>
      <c r="X347" s="48"/>
      <c r="Y347" s="48"/>
      <c r="Z347" s="48"/>
      <c r="AA347" s="48"/>
      <c r="AB347" s="48"/>
      <c r="AC347" s="48"/>
      <c r="AD347" s="48"/>
      <c r="AE347" s="48"/>
    </row>
    <row r="348" spans="1:31" outlineLevel="1">
      <c r="A348" s="412">
        <f>ROW()</f>
        <v>348</v>
      </c>
      <c r="B348" s="149" t="str">
        <f t="shared" ref="B348:B353" si="90">$B192</f>
        <v>Teacher: Grade 8</v>
      </c>
      <c r="C348" s="96">
        <f t="shared" si="87"/>
        <v>178533</v>
      </c>
      <c r="D348" s="96"/>
      <c r="E348" s="96"/>
      <c r="F348" s="96"/>
      <c r="G348" s="566">
        <f t="shared" ref="G348:G353" si="91">G192*$E192</f>
        <v>0</v>
      </c>
      <c r="H348" s="566">
        <f t="shared" ref="H348:M353" si="92">(H192*$E192)</f>
        <v>0</v>
      </c>
      <c r="I348" s="566">
        <f t="shared" si="92"/>
        <v>0</v>
      </c>
      <c r="J348" s="566">
        <f t="shared" si="92"/>
        <v>0</v>
      </c>
      <c r="K348" s="566">
        <f t="shared" si="92"/>
        <v>59511</v>
      </c>
      <c r="L348" s="566">
        <f t="shared" si="92"/>
        <v>59511</v>
      </c>
      <c r="M348" s="566">
        <f t="shared" si="92"/>
        <v>59511</v>
      </c>
      <c r="N348" s="94"/>
      <c r="O348" s="287"/>
      <c r="Q348" s="48"/>
      <c r="R348" s="48"/>
      <c r="S348" s="48"/>
      <c r="T348" s="48"/>
      <c r="U348" s="48"/>
      <c r="V348" s="48"/>
      <c r="W348" s="48"/>
      <c r="X348" s="48"/>
      <c r="Y348" s="48"/>
      <c r="Z348" s="48"/>
      <c r="AA348" s="48"/>
      <c r="AB348" s="48"/>
      <c r="AC348" s="48"/>
      <c r="AD348" s="48"/>
      <c r="AE348" s="48"/>
    </row>
    <row r="349" spans="1:31" outlineLevel="1">
      <c r="A349" s="412">
        <f>ROW()</f>
        <v>349</v>
      </c>
      <c r="B349" s="149" t="str">
        <f t="shared" si="90"/>
        <v>Teacher: Grade 8</v>
      </c>
      <c r="C349" s="96">
        <f t="shared" si="87"/>
        <v>178533</v>
      </c>
      <c r="D349" s="96"/>
      <c r="E349" s="96"/>
      <c r="F349" s="96"/>
      <c r="G349" s="566">
        <f t="shared" si="91"/>
        <v>0</v>
      </c>
      <c r="H349" s="566">
        <f t="shared" si="92"/>
        <v>0</v>
      </c>
      <c r="I349" s="566">
        <f t="shared" si="92"/>
        <v>0</v>
      </c>
      <c r="J349" s="566">
        <f t="shared" si="92"/>
        <v>0</v>
      </c>
      <c r="K349" s="566">
        <f t="shared" si="92"/>
        <v>59511</v>
      </c>
      <c r="L349" s="566">
        <f t="shared" si="92"/>
        <v>59511</v>
      </c>
      <c r="M349" s="566">
        <f t="shared" si="92"/>
        <v>59511</v>
      </c>
      <c r="N349" s="94"/>
      <c r="O349" s="287"/>
      <c r="Q349" s="48"/>
      <c r="R349" s="48"/>
      <c r="S349" s="48"/>
      <c r="T349" s="48"/>
      <c r="U349" s="48"/>
      <c r="V349" s="48"/>
      <c r="W349" s="48"/>
      <c r="X349" s="48"/>
      <c r="Y349" s="48"/>
      <c r="Z349" s="48"/>
      <c r="AA349" s="48"/>
      <c r="AB349" s="48"/>
      <c r="AC349" s="48"/>
      <c r="AD349" s="48"/>
      <c r="AE349" s="48"/>
    </row>
    <row r="350" spans="1:31" outlineLevel="1">
      <c r="A350" s="412">
        <f>ROW()</f>
        <v>350</v>
      </c>
      <c r="B350" s="149">
        <f t="shared" si="90"/>
        <v>0</v>
      </c>
      <c r="C350" s="96">
        <f t="shared" si="87"/>
        <v>0</v>
      </c>
      <c r="D350" s="96"/>
      <c r="E350" s="96"/>
      <c r="F350" s="96"/>
      <c r="G350" s="566">
        <f t="shared" si="91"/>
        <v>0</v>
      </c>
      <c r="H350" s="566">
        <f t="shared" si="92"/>
        <v>0</v>
      </c>
      <c r="I350" s="566">
        <f t="shared" si="92"/>
        <v>0</v>
      </c>
      <c r="J350" s="566">
        <f t="shared" si="92"/>
        <v>0</v>
      </c>
      <c r="K350" s="566">
        <f t="shared" si="92"/>
        <v>0</v>
      </c>
      <c r="L350" s="566">
        <f t="shared" si="92"/>
        <v>0</v>
      </c>
      <c r="M350" s="566">
        <f t="shared" si="92"/>
        <v>0</v>
      </c>
      <c r="N350" s="94"/>
      <c r="O350" s="287"/>
      <c r="Q350" s="48"/>
      <c r="R350" s="48"/>
      <c r="S350" s="48"/>
      <c r="T350" s="48"/>
      <c r="U350" s="48"/>
      <c r="V350" s="48"/>
      <c r="W350" s="48"/>
      <c r="X350" s="48"/>
      <c r="Y350" s="48"/>
      <c r="Z350" s="48"/>
      <c r="AA350" s="48"/>
      <c r="AB350" s="48"/>
      <c r="AC350" s="48"/>
      <c r="AD350" s="48"/>
      <c r="AE350" s="48"/>
    </row>
    <row r="351" spans="1:31" outlineLevel="1">
      <c r="A351" s="412">
        <f>ROW()</f>
        <v>351</v>
      </c>
      <c r="B351" s="149">
        <f t="shared" si="90"/>
        <v>0</v>
      </c>
      <c r="C351" s="96">
        <f t="shared" si="87"/>
        <v>0</v>
      </c>
      <c r="D351" s="96"/>
      <c r="E351" s="96"/>
      <c r="F351" s="96"/>
      <c r="G351" s="566">
        <f t="shared" si="91"/>
        <v>0</v>
      </c>
      <c r="H351" s="566">
        <f t="shared" si="92"/>
        <v>0</v>
      </c>
      <c r="I351" s="566">
        <f t="shared" si="92"/>
        <v>0</v>
      </c>
      <c r="J351" s="566">
        <f t="shared" si="92"/>
        <v>0</v>
      </c>
      <c r="K351" s="566">
        <f t="shared" si="92"/>
        <v>0</v>
      </c>
      <c r="L351" s="566">
        <f t="shared" si="92"/>
        <v>0</v>
      </c>
      <c r="M351" s="566">
        <f t="shared" si="92"/>
        <v>0</v>
      </c>
      <c r="N351" s="94"/>
      <c r="O351" s="287"/>
      <c r="Q351" s="48"/>
      <c r="R351" s="48"/>
      <c r="S351" s="48"/>
      <c r="T351" s="48"/>
      <c r="U351" s="48"/>
      <c r="V351" s="48"/>
      <c r="W351" s="48"/>
      <c r="X351" s="48"/>
      <c r="Y351" s="48"/>
      <c r="Z351" s="48"/>
      <c r="AA351" s="48"/>
      <c r="AB351" s="48"/>
      <c r="AC351" s="48"/>
      <c r="AD351" s="48"/>
      <c r="AE351" s="48"/>
    </row>
    <row r="352" spans="1:31" outlineLevel="1">
      <c r="A352" s="412">
        <f>ROW()</f>
        <v>352</v>
      </c>
      <c r="B352" s="149">
        <f t="shared" si="90"/>
        <v>0</v>
      </c>
      <c r="C352" s="96">
        <f t="shared" si="87"/>
        <v>0</v>
      </c>
      <c r="D352" s="96"/>
      <c r="E352" s="96"/>
      <c r="F352" s="96"/>
      <c r="G352" s="566">
        <f t="shared" si="91"/>
        <v>0</v>
      </c>
      <c r="H352" s="566">
        <f t="shared" si="92"/>
        <v>0</v>
      </c>
      <c r="I352" s="566">
        <f t="shared" si="92"/>
        <v>0</v>
      </c>
      <c r="J352" s="566">
        <f t="shared" si="92"/>
        <v>0</v>
      </c>
      <c r="K352" s="566">
        <f t="shared" si="92"/>
        <v>0</v>
      </c>
      <c r="L352" s="566">
        <f t="shared" si="92"/>
        <v>0</v>
      </c>
      <c r="M352" s="566">
        <f t="shared" si="92"/>
        <v>0</v>
      </c>
      <c r="N352" s="94"/>
      <c r="O352" s="287"/>
      <c r="Q352" s="48"/>
      <c r="R352" s="48"/>
      <c r="S352" s="48"/>
      <c r="T352" s="48"/>
      <c r="U352" s="48"/>
      <c r="V352" s="48"/>
      <c r="W352" s="48"/>
      <c r="X352" s="48"/>
      <c r="Y352" s="48"/>
      <c r="Z352" s="48"/>
      <c r="AA352" s="48"/>
      <c r="AB352" s="48"/>
      <c r="AC352" s="48"/>
      <c r="AD352" s="48"/>
      <c r="AE352" s="48"/>
    </row>
    <row r="353" spans="1:31" outlineLevel="1">
      <c r="A353" s="412">
        <f>ROW()</f>
        <v>353</v>
      </c>
      <c r="B353" s="149">
        <f t="shared" si="90"/>
        <v>0</v>
      </c>
      <c r="C353" s="96">
        <f t="shared" si="87"/>
        <v>0</v>
      </c>
      <c r="D353" s="96"/>
      <c r="E353" s="96"/>
      <c r="F353" s="96"/>
      <c r="G353" s="566">
        <f t="shared" si="91"/>
        <v>0</v>
      </c>
      <c r="H353" s="566">
        <f t="shared" si="92"/>
        <v>0</v>
      </c>
      <c r="I353" s="566">
        <f t="shared" si="92"/>
        <v>0</v>
      </c>
      <c r="J353" s="566">
        <f t="shared" si="92"/>
        <v>0</v>
      </c>
      <c r="K353" s="566">
        <f t="shared" si="92"/>
        <v>0</v>
      </c>
      <c r="L353" s="566">
        <f t="shared" si="92"/>
        <v>0</v>
      </c>
      <c r="M353" s="566">
        <f t="shared" si="92"/>
        <v>0</v>
      </c>
      <c r="N353" s="94"/>
      <c r="O353" s="287"/>
      <c r="Q353" s="48"/>
      <c r="R353" s="48"/>
      <c r="S353" s="48"/>
      <c r="T353" s="48"/>
      <c r="U353" s="48"/>
      <c r="V353" s="48"/>
      <c r="W353" s="48"/>
      <c r="X353" s="48"/>
      <c r="Y353" s="48"/>
      <c r="Z353" s="48"/>
      <c r="AA353" s="48"/>
      <c r="AB353" s="48"/>
      <c r="AC353" s="48"/>
      <c r="AD353" s="48"/>
      <c r="AE353" s="48"/>
    </row>
    <row r="354" spans="1:31" outlineLevel="1">
      <c r="A354" s="412">
        <f>ROW()</f>
        <v>354</v>
      </c>
      <c r="B354" s="149"/>
      <c r="C354" s="96">
        <f t="shared" si="87"/>
        <v>0</v>
      </c>
      <c r="D354" s="96"/>
      <c r="E354" s="96"/>
      <c r="F354" s="96"/>
      <c r="G354" s="1781"/>
      <c r="H354" s="1781"/>
      <c r="I354" s="1781"/>
      <c r="J354" s="1781"/>
      <c r="K354" s="1781"/>
      <c r="L354" s="1781"/>
      <c r="M354" s="1781"/>
      <c r="N354" s="94"/>
      <c r="O354" s="287"/>
      <c r="Q354" s="48"/>
      <c r="R354" s="48"/>
      <c r="S354" s="48"/>
      <c r="T354" s="48"/>
      <c r="U354" s="48"/>
      <c r="V354" s="48"/>
      <c r="W354" s="48"/>
      <c r="X354" s="48"/>
      <c r="Y354" s="48"/>
      <c r="Z354" s="48"/>
      <c r="AA354" s="48"/>
      <c r="AB354" s="48"/>
      <c r="AC354" s="48"/>
      <c r="AD354" s="48"/>
      <c r="AE354" s="48"/>
    </row>
    <row r="355" spans="1:31" outlineLevel="1">
      <c r="A355" s="412">
        <f>ROW()</f>
        <v>355</v>
      </c>
      <c r="B355" s="149" t="str">
        <f>$B199</f>
        <v>Teacher: Specials/Elective: PE</v>
      </c>
      <c r="C355" s="96">
        <f t="shared" si="87"/>
        <v>357066</v>
      </c>
      <c r="D355" s="96"/>
      <c r="E355" s="96"/>
      <c r="F355" s="96"/>
      <c r="G355" s="566">
        <f>G199*$E199</f>
        <v>0</v>
      </c>
      <c r="H355" s="566">
        <f t="shared" ref="H355:M359" si="93">(H199*$E199)</f>
        <v>59511</v>
      </c>
      <c r="I355" s="566">
        <f t="shared" si="93"/>
        <v>59511</v>
      </c>
      <c r="J355" s="566">
        <f t="shared" si="93"/>
        <v>59511</v>
      </c>
      <c r="K355" s="566">
        <f t="shared" si="93"/>
        <v>59511</v>
      </c>
      <c r="L355" s="566">
        <f t="shared" si="93"/>
        <v>59511</v>
      </c>
      <c r="M355" s="566">
        <f t="shared" si="93"/>
        <v>59511</v>
      </c>
      <c r="N355" s="94"/>
      <c r="O355" s="287"/>
      <c r="Q355" s="48"/>
      <c r="R355" s="48"/>
      <c r="S355" s="48"/>
      <c r="T355" s="48"/>
      <c r="U355" s="48"/>
      <c r="V355" s="48"/>
      <c r="W355" s="48"/>
      <c r="X355" s="48"/>
      <c r="Y355" s="48"/>
      <c r="Z355" s="48"/>
      <c r="AA355" s="48"/>
      <c r="AB355" s="48"/>
      <c r="AC355" s="48"/>
      <c r="AD355" s="48"/>
      <c r="AE355" s="48"/>
    </row>
    <row r="356" spans="1:31" outlineLevel="1">
      <c r="A356" s="412">
        <f>ROW()</f>
        <v>356</v>
      </c>
      <c r="B356" s="149" t="str">
        <f>$B$200</f>
        <v>Teacher: Specials/Elective: Music</v>
      </c>
      <c r="C356" s="96">
        <f t="shared" si="87"/>
        <v>357066</v>
      </c>
      <c r="D356" s="96"/>
      <c r="E356" s="96"/>
      <c r="F356" s="96"/>
      <c r="G356" s="566">
        <f>G200*$E200</f>
        <v>0</v>
      </c>
      <c r="H356" s="566">
        <f t="shared" si="93"/>
        <v>59511</v>
      </c>
      <c r="I356" s="566">
        <f t="shared" si="93"/>
        <v>59511</v>
      </c>
      <c r="J356" s="566">
        <f t="shared" si="93"/>
        <v>59511</v>
      </c>
      <c r="K356" s="566">
        <f t="shared" si="93"/>
        <v>59511</v>
      </c>
      <c r="L356" s="566">
        <f t="shared" si="93"/>
        <v>59511</v>
      </c>
      <c r="M356" s="566">
        <f t="shared" si="93"/>
        <v>59511</v>
      </c>
      <c r="N356" s="94"/>
      <c r="O356" s="287"/>
      <c r="Q356" s="48"/>
      <c r="R356" s="48"/>
      <c r="S356" s="48"/>
      <c r="T356" s="48"/>
      <c r="U356" s="48"/>
      <c r="V356" s="48"/>
      <c r="W356" s="48"/>
      <c r="X356" s="48"/>
      <c r="Y356" s="48"/>
      <c r="Z356" s="48"/>
      <c r="AA356" s="48"/>
      <c r="AB356" s="48"/>
      <c r="AC356" s="48"/>
      <c r="AD356" s="48"/>
      <c r="AE356" s="48"/>
    </row>
    <row r="357" spans="1:31" outlineLevel="1">
      <c r="A357" s="412">
        <f>ROW()</f>
        <v>357</v>
      </c>
      <c r="B357" s="149" t="str">
        <f>$B$201</f>
        <v>Teacher: Specials/Elective: Art</v>
      </c>
      <c r="C357" s="96">
        <f t="shared" si="87"/>
        <v>357066</v>
      </c>
      <c r="D357" s="96"/>
      <c r="E357" s="96"/>
      <c r="F357" s="96"/>
      <c r="G357" s="566">
        <f>G201*$E201</f>
        <v>0</v>
      </c>
      <c r="H357" s="566">
        <f t="shared" si="93"/>
        <v>59511</v>
      </c>
      <c r="I357" s="566">
        <f t="shared" si="93"/>
        <v>59511</v>
      </c>
      <c r="J357" s="566">
        <f t="shared" si="93"/>
        <v>59511</v>
      </c>
      <c r="K357" s="566">
        <f t="shared" si="93"/>
        <v>59511</v>
      </c>
      <c r="L357" s="566">
        <f t="shared" si="93"/>
        <v>59511</v>
      </c>
      <c r="M357" s="566">
        <f t="shared" si="93"/>
        <v>59511</v>
      </c>
      <c r="N357" s="94"/>
      <c r="O357" s="287"/>
      <c r="Q357" s="48"/>
      <c r="R357" s="48"/>
      <c r="S357" s="48"/>
      <c r="T357" s="48"/>
      <c r="U357" s="48"/>
      <c r="V357" s="48"/>
      <c r="W357" s="48"/>
      <c r="X357" s="48"/>
      <c r="Y357" s="48"/>
      <c r="Z357" s="48"/>
      <c r="AA357" s="48"/>
      <c r="AB357" s="48"/>
      <c r="AC357" s="48"/>
      <c r="AD357" s="48"/>
      <c r="AE357" s="48"/>
    </row>
    <row r="358" spans="1:31" outlineLevel="1">
      <c r="A358" s="412">
        <f>ROW()</f>
        <v>358</v>
      </c>
      <c r="B358" s="149" t="str">
        <f>$B$202</f>
        <v>Teacher: Specials/Elective: Foreign Language</v>
      </c>
      <c r="C358" s="96">
        <f t="shared" si="87"/>
        <v>357066</v>
      </c>
      <c r="D358" s="96"/>
      <c r="E358" s="96"/>
      <c r="F358" s="96"/>
      <c r="G358" s="566">
        <f>G202*$E202</f>
        <v>0</v>
      </c>
      <c r="H358" s="566">
        <f t="shared" si="93"/>
        <v>59511</v>
      </c>
      <c r="I358" s="566">
        <f t="shared" si="93"/>
        <v>59511</v>
      </c>
      <c r="J358" s="566">
        <f t="shared" si="93"/>
        <v>59511</v>
      </c>
      <c r="K358" s="566">
        <f t="shared" si="93"/>
        <v>59511</v>
      </c>
      <c r="L358" s="566">
        <f t="shared" si="93"/>
        <v>59511</v>
      </c>
      <c r="M358" s="566">
        <f t="shared" si="93"/>
        <v>59511</v>
      </c>
      <c r="N358" s="94"/>
      <c r="O358" s="287"/>
      <c r="Q358" s="48"/>
      <c r="R358" s="48"/>
      <c r="S358" s="48"/>
      <c r="T358" s="48"/>
      <c r="U358" s="48"/>
      <c r="V358" s="48"/>
      <c r="W358" s="48"/>
      <c r="X358" s="48"/>
      <c r="Y358" s="48"/>
      <c r="Z358" s="48"/>
      <c r="AA358" s="48"/>
      <c r="AB358" s="48"/>
      <c r="AC358" s="48"/>
      <c r="AD358" s="48"/>
      <c r="AE358" s="48"/>
    </row>
    <row r="359" spans="1:31" outlineLevel="1">
      <c r="A359" s="412">
        <f>ROW()</f>
        <v>359</v>
      </c>
      <c r="B359" s="149">
        <f>$B$203</f>
        <v>0</v>
      </c>
      <c r="C359" s="96">
        <f t="shared" si="87"/>
        <v>0</v>
      </c>
      <c r="D359" s="96"/>
      <c r="E359" s="96"/>
      <c r="F359" s="96"/>
      <c r="G359" s="566">
        <f>G203*$E203</f>
        <v>0</v>
      </c>
      <c r="H359" s="566">
        <f t="shared" si="93"/>
        <v>0</v>
      </c>
      <c r="I359" s="566">
        <f t="shared" si="93"/>
        <v>0</v>
      </c>
      <c r="J359" s="566">
        <f t="shared" si="93"/>
        <v>0</v>
      </c>
      <c r="K359" s="566">
        <f t="shared" si="93"/>
        <v>0</v>
      </c>
      <c r="L359" s="566">
        <f t="shared" si="93"/>
        <v>0</v>
      </c>
      <c r="M359" s="566">
        <f t="shared" si="93"/>
        <v>0</v>
      </c>
      <c r="N359" s="94"/>
      <c r="O359" s="287"/>
      <c r="Q359" s="48"/>
      <c r="R359" s="48"/>
      <c r="S359" s="48"/>
      <c r="T359" s="48"/>
      <c r="U359" s="48"/>
      <c r="V359" s="48"/>
      <c r="W359" s="48"/>
      <c r="X359" s="48"/>
      <c r="Y359" s="48"/>
      <c r="Z359" s="48"/>
      <c r="AA359" s="48"/>
      <c r="AB359" s="48"/>
      <c r="AC359" s="48"/>
      <c r="AD359" s="48"/>
      <c r="AE359" s="48"/>
    </row>
    <row r="360" spans="1:31" outlineLevel="1">
      <c r="A360" s="412">
        <f>ROW()</f>
        <v>360</v>
      </c>
      <c r="B360" s="149"/>
      <c r="C360" s="96">
        <f t="shared" si="87"/>
        <v>0</v>
      </c>
      <c r="D360" s="96"/>
      <c r="E360" s="96"/>
      <c r="F360" s="96"/>
      <c r="G360" s="1781"/>
      <c r="H360" s="1781"/>
      <c r="I360" s="1781"/>
      <c r="J360" s="1781"/>
      <c r="K360" s="1781"/>
      <c r="L360" s="1781"/>
      <c r="M360" s="1781"/>
      <c r="N360" s="94"/>
      <c r="O360" s="287"/>
      <c r="Q360" s="48"/>
      <c r="R360" s="48"/>
      <c r="S360" s="48"/>
      <c r="T360" s="48"/>
      <c r="U360" s="48"/>
      <c r="V360" s="48"/>
      <c r="W360" s="48"/>
      <c r="X360" s="48"/>
      <c r="Y360" s="48"/>
      <c r="Z360" s="48"/>
      <c r="AA360" s="48"/>
      <c r="AB360" s="48"/>
      <c r="AC360" s="48"/>
      <c r="AD360" s="48"/>
      <c r="AE360" s="48"/>
    </row>
    <row r="361" spans="1:31" outlineLevel="1">
      <c r="A361" s="412">
        <f>ROW()</f>
        <v>361</v>
      </c>
      <c r="B361" s="149" t="str">
        <f>$B$205</f>
        <v>Teacher: Specials/Elective: PE</v>
      </c>
      <c r="C361" s="96">
        <f t="shared" si="87"/>
        <v>178533</v>
      </c>
      <c r="D361" s="96"/>
      <c r="E361" s="96"/>
      <c r="F361" s="96"/>
      <c r="G361" s="566">
        <f>G205*$E205</f>
        <v>0</v>
      </c>
      <c r="H361" s="566">
        <f t="shared" ref="H361:M365" si="94">(H205*$E205)</f>
        <v>0</v>
      </c>
      <c r="I361" s="566">
        <f t="shared" si="94"/>
        <v>0</v>
      </c>
      <c r="J361" s="566">
        <f t="shared" si="94"/>
        <v>0</v>
      </c>
      <c r="K361" s="566">
        <f t="shared" si="94"/>
        <v>59511</v>
      </c>
      <c r="L361" s="566">
        <f t="shared" si="94"/>
        <v>59511</v>
      </c>
      <c r="M361" s="566">
        <f t="shared" si="94"/>
        <v>59511</v>
      </c>
      <c r="N361" s="94"/>
      <c r="O361" s="287"/>
      <c r="Q361" s="48"/>
      <c r="R361" s="48"/>
      <c r="S361" s="48"/>
      <c r="T361" s="48"/>
      <c r="U361" s="48"/>
      <c r="V361" s="48"/>
      <c r="W361" s="48"/>
      <c r="X361" s="48"/>
      <c r="Y361" s="48"/>
      <c r="Z361" s="48"/>
      <c r="AA361" s="48"/>
      <c r="AB361" s="48"/>
      <c r="AC361" s="48"/>
      <c r="AD361" s="48"/>
      <c r="AE361" s="48"/>
    </row>
    <row r="362" spans="1:31" outlineLevel="1">
      <c r="A362" s="412">
        <f>ROW()</f>
        <v>362</v>
      </c>
      <c r="B362" s="149" t="str">
        <f>$B$206</f>
        <v>Teacher: Specials/Elective: Music</v>
      </c>
      <c r="C362" s="96">
        <f t="shared" si="87"/>
        <v>178533</v>
      </c>
      <c r="D362" s="96"/>
      <c r="E362" s="96"/>
      <c r="F362" s="96"/>
      <c r="G362" s="566">
        <f>G206*$E206</f>
        <v>0</v>
      </c>
      <c r="H362" s="566">
        <f t="shared" si="94"/>
        <v>0</v>
      </c>
      <c r="I362" s="566">
        <f t="shared" si="94"/>
        <v>0</v>
      </c>
      <c r="J362" s="566">
        <f t="shared" si="94"/>
        <v>0</v>
      </c>
      <c r="K362" s="566">
        <f t="shared" si="94"/>
        <v>59511</v>
      </c>
      <c r="L362" s="566">
        <f t="shared" si="94"/>
        <v>59511</v>
      </c>
      <c r="M362" s="566">
        <f t="shared" si="94"/>
        <v>59511</v>
      </c>
      <c r="N362" s="94"/>
      <c r="O362" s="287"/>
      <c r="Q362" s="48"/>
      <c r="R362" s="48"/>
      <c r="S362" s="48"/>
      <c r="T362" s="48"/>
      <c r="U362" s="48"/>
      <c r="V362" s="48"/>
      <c r="W362" s="48"/>
      <c r="X362" s="48"/>
      <c r="Y362" s="48"/>
      <c r="Z362" s="48"/>
      <c r="AA362" s="48"/>
      <c r="AB362" s="48"/>
      <c r="AC362" s="48"/>
      <c r="AD362" s="48"/>
      <c r="AE362" s="48"/>
    </row>
    <row r="363" spans="1:31" outlineLevel="1">
      <c r="A363" s="412">
        <f>ROW()</f>
        <v>363</v>
      </c>
      <c r="B363" s="149" t="str">
        <f>$B$207</f>
        <v>Teacher: Specials/Elective: Art</v>
      </c>
      <c r="C363" s="96">
        <f t="shared" si="87"/>
        <v>178533</v>
      </c>
      <c r="D363" s="96"/>
      <c r="E363" s="96"/>
      <c r="F363" s="96"/>
      <c r="G363" s="566">
        <f>G207*$E207</f>
        <v>0</v>
      </c>
      <c r="H363" s="566">
        <f t="shared" si="94"/>
        <v>0</v>
      </c>
      <c r="I363" s="566">
        <f t="shared" si="94"/>
        <v>0</v>
      </c>
      <c r="J363" s="566">
        <f t="shared" si="94"/>
        <v>0</v>
      </c>
      <c r="K363" s="566">
        <f t="shared" si="94"/>
        <v>59511</v>
      </c>
      <c r="L363" s="566">
        <f t="shared" si="94"/>
        <v>59511</v>
      </c>
      <c r="M363" s="566">
        <f t="shared" si="94"/>
        <v>59511</v>
      </c>
      <c r="N363" s="94"/>
      <c r="O363" s="287"/>
      <c r="Q363" s="48"/>
      <c r="R363" s="48"/>
      <c r="S363" s="48"/>
      <c r="T363" s="48"/>
      <c r="U363" s="48"/>
      <c r="V363" s="48"/>
      <c r="W363" s="48"/>
      <c r="X363" s="48"/>
      <c r="Y363" s="48"/>
      <c r="Z363" s="48"/>
      <c r="AA363" s="48"/>
      <c r="AB363" s="48"/>
      <c r="AC363" s="48"/>
      <c r="AD363" s="48"/>
      <c r="AE363" s="48"/>
    </row>
    <row r="364" spans="1:31" outlineLevel="1">
      <c r="A364" s="412">
        <f>ROW()</f>
        <v>364</v>
      </c>
      <c r="B364" s="149" t="str">
        <f>$B$208</f>
        <v>Teacher: Specials/Elective: Foreign Language</v>
      </c>
      <c r="C364" s="96">
        <f t="shared" si="87"/>
        <v>178533</v>
      </c>
      <c r="D364" s="96"/>
      <c r="E364" s="96"/>
      <c r="F364" s="96"/>
      <c r="G364" s="566">
        <f>G208*$E208</f>
        <v>0</v>
      </c>
      <c r="H364" s="566">
        <f t="shared" si="94"/>
        <v>0</v>
      </c>
      <c r="I364" s="566">
        <f t="shared" si="94"/>
        <v>0</v>
      </c>
      <c r="J364" s="566">
        <f t="shared" si="94"/>
        <v>0</v>
      </c>
      <c r="K364" s="566">
        <f t="shared" si="94"/>
        <v>59511</v>
      </c>
      <c r="L364" s="566">
        <f t="shared" si="94"/>
        <v>59511</v>
      </c>
      <c r="M364" s="566">
        <f t="shared" si="94"/>
        <v>59511</v>
      </c>
      <c r="N364" s="94"/>
      <c r="O364" s="287"/>
      <c r="Q364" s="48"/>
      <c r="R364" s="48"/>
      <c r="S364" s="48"/>
      <c r="T364" s="48"/>
      <c r="U364" s="48"/>
      <c r="V364" s="48"/>
      <c r="W364" s="48"/>
      <c r="X364" s="48"/>
      <c r="Y364" s="48"/>
      <c r="Z364" s="48"/>
      <c r="AA364" s="48"/>
      <c r="AB364" s="48"/>
      <c r="AC364" s="48"/>
      <c r="AD364" s="48"/>
      <c r="AE364" s="48"/>
    </row>
    <row r="365" spans="1:31" outlineLevel="1">
      <c r="A365" s="412">
        <f>ROW()</f>
        <v>365</v>
      </c>
      <c r="B365" s="149">
        <f>$B$209</f>
        <v>0</v>
      </c>
      <c r="C365" s="96">
        <f t="shared" si="87"/>
        <v>0</v>
      </c>
      <c r="D365" s="96"/>
      <c r="E365" s="96"/>
      <c r="F365" s="96"/>
      <c r="G365" s="566">
        <f>G209*$E209</f>
        <v>0</v>
      </c>
      <c r="H365" s="566">
        <f t="shared" si="94"/>
        <v>0</v>
      </c>
      <c r="I365" s="566">
        <f t="shared" si="94"/>
        <v>0</v>
      </c>
      <c r="J365" s="566">
        <f t="shared" si="94"/>
        <v>0</v>
      </c>
      <c r="K365" s="566">
        <f t="shared" si="94"/>
        <v>0</v>
      </c>
      <c r="L365" s="566">
        <f t="shared" si="94"/>
        <v>0</v>
      </c>
      <c r="M365" s="566">
        <f t="shared" si="94"/>
        <v>0</v>
      </c>
      <c r="N365" s="94"/>
      <c r="O365" s="287"/>
      <c r="Q365" s="48"/>
      <c r="R365" s="48"/>
      <c r="S365" s="48"/>
      <c r="T365" s="48"/>
      <c r="U365" s="48"/>
      <c r="V365" s="48"/>
      <c r="W365" s="48"/>
      <c r="X365" s="48"/>
      <c r="Y365" s="48"/>
      <c r="Z365" s="48"/>
      <c r="AA365" s="48"/>
      <c r="AB365" s="48"/>
      <c r="AC365" s="48"/>
      <c r="AD365" s="48"/>
      <c r="AE365" s="48"/>
    </row>
    <row r="366" spans="1:31" outlineLevel="1">
      <c r="A366" s="412">
        <f>ROW()</f>
        <v>366</v>
      </c>
      <c r="B366" s="149"/>
      <c r="C366" s="96">
        <f t="shared" ref="C366:C395" si="95">SUM(G366:M366)</f>
        <v>0</v>
      </c>
      <c r="D366" s="96"/>
      <c r="E366" s="96"/>
      <c r="F366" s="96"/>
      <c r="G366" s="1781"/>
      <c r="H366" s="1781"/>
      <c r="I366" s="1781"/>
      <c r="J366" s="1781"/>
      <c r="K366" s="1781"/>
      <c r="L366" s="1781"/>
      <c r="M366" s="1781"/>
      <c r="N366" s="94"/>
      <c r="O366" s="287"/>
      <c r="Q366" s="48"/>
      <c r="R366" s="48"/>
      <c r="S366" s="48"/>
      <c r="T366" s="48"/>
      <c r="U366" s="48"/>
      <c r="V366" s="48"/>
      <c r="W366" s="48"/>
      <c r="X366" s="48"/>
      <c r="Y366" s="48"/>
      <c r="Z366" s="48"/>
      <c r="AA366" s="48"/>
      <c r="AB366" s="48"/>
      <c r="AC366" s="48"/>
      <c r="AD366" s="48"/>
      <c r="AE366" s="48"/>
    </row>
    <row r="367" spans="1:31" outlineLevel="1">
      <c r="A367" s="412">
        <f>ROW()</f>
        <v>367</v>
      </c>
      <c r="B367" s="149">
        <f>$B$211</f>
        <v>0</v>
      </c>
      <c r="C367" s="96">
        <f t="shared" si="95"/>
        <v>0</v>
      </c>
      <c r="D367" s="96"/>
      <c r="E367" s="96"/>
      <c r="F367" s="96"/>
      <c r="G367" s="566">
        <f>G211*$E211</f>
        <v>0</v>
      </c>
      <c r="H367" s="566">
        <f t="shared" ref="H367:M371" si="96">(H211*$E211)</f>
        <v>0</v>
      </c>
      <c r="I367" s="566">
        <f t="shared" si="96"/>
        <v>0</v>
      </c>
      <c r="J367" s="566">
        <f t="shared" si="96"/>
        <v>0</v>
      </c>
      <c r="K367" s="566">
        <f t="shared" si="96"/>
        <v>0</v>
      </c>
      <c r="L367" s="566">
        <f t="shared" si="96"/>
        <v>0</v>
      </c>
      <c r="M367" s="566">
        <f t="shared" si="96"/>
        <v>0</v>
      </c>
      <c r="N367" s="94"/>
      <c r="O367" s="287"/>
      <c r="Q367" s="48"/>
      <c r="R367" s="48"/>
      <c r="S367" s="48"/>
      <c r="T367" s="48"/>
      <c r="U367" s="48"/>
      <c r="V367" s="48"/>
      <c r="W367" s="48"/>
      <c r="X367" s="48"/>
      <c r="Y367" s="48"/>
      <c r="Z367" s="48"/>
      <c r="AA367" s="48"/>
      <c r="AB367" s="48"/>
      <c r="AC367" s="48"/>
      <c r="AD367" s="48"/>
      <c r="AE367" s="48"/>
    </row>
    <row r="368" spans="1:31" outlineLevel="1">
      <c r="A368" s="412">
        <f>ROW()</f>
        <v>368</v>
      </c>
      <c r="B368" s="149">
        <f>$B$212</f>
        <v>0</v>
      </c>
      <c r="C368" s="96">
        <f t="shared" si="95"/>
        <v>0</v>
      </c>
      <c r="D368" s="96"/>
      <c r="E368" s="96"/>
      <c r="F368" s="96"/>
      <c r="G368" s="566">
        <f>G212*$E212</f>
        <v>0</v>
      </c>
      <c r="H368" s="566">
        <f t="shared" si="96"/>
        <v>0</v>
      </c>
      <c r="I368" s="566">
        <f t="shared" si="96"/>
        <v>0</v>
      </c>
      <c r="J368" s="566">
        <f t="shared" si="96"/>
        <v>0</v>
      </c>
      <c r="K368" s="566">
        <f t="shared" si="96"/>
        <v>0</v>
      </c>
      <c r="L368" s="566">
        <f t="shared" si="96"/>
        <v>0</v>
      </c>
      <c r="M368" s="566">
        <f t="shared" si="96"/>
        <v>0</v>
      </c>
      <c r="N368" s="94"/>
      <c r="O368" s="287"/>
      <c r="Q368" s="48"/>
      <c r="R368" s="48"/>
      <c r="S368" s="48"/>
      <c r="T368" s="48"/>
      <c r="U368" s="48"/>
      <c r="V368" s="48"/>
      <c r="W368" s="48"/>
      <c r="X368" s="48"/>
      <c r="Y368" s="48"/>
      <c r="Z368" s="48"/>
      <c r="AA368" s="48"/>
      <c r="AB368" s="48"/>
      <c r="AC368" s="48"/>
      <c r="AD368" s="48"/>
      <c r="AE368" s="48"/>
    </row>
    <row r="369" spans="1:31" outlineLevel="1">
      <c r="A369" s="412">
        <f>ROW()</f>
        <v>369</v>
      </c>
      <c r="B369" s="149">
        <f>$B$213</f>
        <v>0</v>
      </c>
      <c r="C369" s="96">
        <f t="shared" si="95"/>
        <v>0</v>
      </c>
      <c r="D369" s="96"/>
      <c r="E369" s="96"/>
      <c r="F369" s="96"/>
      <c r="G369" s="566">
        <f>G213*$E213</f>
        <v>0</v>
      </c>
      <c r="H369" s="566">
        <f t="shared" si="96"/>
        <v>0</v>
      </c>
      <c r="I369" s="566">
        <f t="shared" si="96"/>
        <v>0</v>
      </c>
      <c r="J369" s="566">
        <f t="shared" si="96"/>
        <v>0</v>
      </c>
      <c r="K369" s="566">
        <f t="shared" si="96"/>
        <v>0</v>
      </c>
      <c r="L369" s="566">
        <f t="shared" si="96"/>
        <v>0</v>
      </c>
      <c r="M369" s="566">
        <f t="shared" si="96"/>
        <v>0</v>
      </c>
      <c r="N369" s="94"/>
      <c r="O369" s="287"/>
      <c r="Q369" s="48"/>
      <c r="R369" s="48"/>
      <c r="S369" s="48"/>
      <c r="T369" s="48"/>
      <c r="U369" s="48"/>
      <c r="V369" s="48"/>
      <c r="W369" s="48"/>
      <c r="X369" s="48"/>
      <c r="Y369" s="48"/>
      <c r="Z369" s="48"/>
      <c r="AA369" s="48"/>
      <c r="AB369" s="48"/>
      <c r="AC369" s="48"/>
      <c r="AD369" s="48"/>
      <c r="AE369" s="48"/>
    </row>
    <row r="370" spans="1:31" outlineLevel="1">
      <c r="A370" s="412">
        <f>ROW()</f>
        <v>370</v>
      </c>
      <c r="B370" s="149">
        <f>$B$214</f>
        <v>0</v>
      </c>
      <c r="C370" s="96">
        <f t="shared" si="95"/>
        <v>0</v>
      </c>
      <c r="D370" s="96"/>
      <c r="E370" s="96"/>
      <c r="F370" s="96"/>
      <c r="G370" s="566">
        <f>G214*$E214</f>
        <v>0</v>
      </c>
      <c r="H370" s="566">
        <f t="shared" si="96"/>
        <v>0</v>
      </c>
      <c r="I370" s="566">
        <f t="shared" si="96"/>
        <v>0</v>
      </c>
      <c r="J370" s="566">
        <f t="shared" si="96"/>
        <v>0</v>
      </c>
      <c r="K370" s="566">
        <f t="shared" si="96"/>
        <v>0</v>
      </c>
      <c r="L370" s="566">
        <f t="shared" si="96"/>
        <v>0</v>
      </c>
      <c r="M370" s="566">
        <f t="shared" si="96"/>
        <v>0</v>
      </c>
      <c r="N370" s="94"/>
      <c r="O370" s="287"/>
      <c r="Q370" s="48"/>
      <c r="R370" s="48"/>
      <c r="S370" s="48"/>
      <c r="T370" s="48"/>
      <c r="U370" s="48"/>
      <c r="V370" s="48"/>
      <c r="W370" s="48"/>
      <c r="X370" s="48"/>
      <c r="Y370" s="48"/>
      <c r="Z370" s="48"/>
      <c r="AA370" s="48"/>
      <c r="AB370" s="48"/>
      <c r="AC370" s="48"/>
      <c r="AD370" s="48"/>
      <c r="AE370" s="48"/>
    </row>
    <row r="371" spans="1:31" outlineLevel="1">
      <c r="A371" s="412">
        <f>ROW()</f>
        <v>371</v>
      </c>
      <c r="B371" s="149">
        <f>$B$215</f>
        <v>0</v>
      </c>
      <c r="C371" s="96">
        <f t="shared" si="95"/>
        <v>0</v>
      </c>
      <c r="D371" s="96"/>
      <c r="E371" s="96"/>
      <c r="F371" s="96"/>
      <c r="G371" s="566">
        <f>G215*$E215</f>
        <v>0</v>
      </c>
      <c r="H371" s="566">
        <f t="shared" si="96"/>
        <v>0</v>
      </c>
      <c r="I371" s="566">
        <f t="shared" si="96"/>
        <v>0</v>
      </c>
      <c r="J371" s="566">
        <f t="shared" si="96"/>
        <v>0</v>
      </c>
      <c r="K371" s="566">
        <f t="shared" si="96"/>
        <v>0</v>
      </c>
      <c r="L371" s="566">
        <f t="shared" si="96"/>
        <v>0</v>
      </c>
      <c r="M371" s="566">
        <f t="shared" si="96"/>
        <v>0</v>
      </c>
      <c r="N371" s="94"/>
      <c r="O371" s="287"/>
      <c r="Q371" s="48"/>
      <c r="R371" s="48"/>
      <c r="S371" s="48"/>
      <c r="T371" s="48"/>
      <c r="U371" s="48"/>
      <c r="V371" s="48"/>
      <c r="W371" s="48"/>
      <c r="X371" s="48"/>
      <c r="Y371" s="48"/>
      <c r="Z371" s="48"/>
      <c r="AA371" s="48"/>
      <c r="AB371" s="48"/>
      <c r="AC371" s="48"/>
      <c r="AD371" s="48"/>
      <c r="AE371" s="48"/>
    </row>
    <row r="372" spans="1:31" outlineLevel="1">
      <c r="A372" s="412">
        <f>ROW()</f>
        <v>372</v>
      </c>
      <c r="B372" s="149"/>
      <c r="C372" s="96">
        <f t="shared" si="95"/>
        <v>0</v>
      </c>
      <c r="D372" s="96"/>
      <c r="E372" s="96"/>
      <c r="F372" s="96"/>
      <c r="G372" s="1781"/>
      <c r="H372" s="1781"/>
      <c r="I372" s="1781"/>
      <c r="J372" s="1781"/>
      <c r="K372" s="1781"/>
      <c r="L372" s="1781"/>
      <c r="M372" s="1781"/>
      <c r="N372" s="94"/>
      <c r="O372" s="287"/>
      <c r="Q372" s="48"/>
      <c r="R372" s="48"/>
      <c r="S372" s="48"/>
      <c r="T372" s="48"/>
      <c r="U372" s="48"/>
      <c r="V372" s="48"/>
      <c r="W372" s="48"/>
      <c r="X372" s="48"/>
      <c r="Y372" s="48"/>
      <c r="Z372" s="48"/>
      <c r="AA372" s="48"/>
      <c r="AB372" s="48"/>
      <c r="AC372" s="48"/>
      <c r="AD372" s="48"/>
      <c r="AE372" s="48"/>
    </row>
    <row r="373" spans="1:31" outlineLevel="1">
      <c r="A373" s="412">
        <f>ROW()</f>
        <v>373</v>
      </c>
      <c r="B373" s="149">
        <f>$B$217</f>
        <v>0</v>
      </c>
      <c r="C373" s="96">
        <f t="shared" si="95"/>
        <v>0</v>
      </c>
      <c r="D373" s="96"/>
      <c r="E373" s="96"/>
      <c r="F373" s="96"/>
      <c r="G373" s="566">
        <f>G217*$E217</f>
        <v>0</v>
      </c>
      <c r="H373" s="566">
        <f t="shared" ref="H373:M377" si="97">(H217*$E217)</f>
        <v>0</v>
      </c>
      <c r="I373" s="566">
        <f t="shared" si="97"/>
        <v>0</v>
      </c>
      <c r="J373" s="566">
        <f t="shared" si="97"/>
        <v>0</v>
      </c>
      <c r="K373" s="566">
        <f t="shared" si="97"/>
        <v>0</v>
      </c>
      <c r="L373" s="566">
        <f t="shared" si="97"/>
        <v>0</v>
      </c>
      <c r="M373" s="566">
        <f t="shared" si="97"/>
        <v>0</v>
      </c>
      <c r="N373" s="94"/>
      <c r="O373" s="287"/>
      <c r="Q373" s="48"/>
      <c r="R373" s="48"/>
      <c r="S373" s="48"/>
      <c r="T373" s="48"/>
      <c r="U373" s="48"/>
      <c r="V373" s="48"/>
      <c r="W373" s="48"/>
      <c r="X373" s="48"/>
      <c r="Y373" s="48"/>
      <c r="Z373" s="48"/>
      <c r="AA373" s="48"/>
      <c r="AB373" s="48"/>
      <c r="AC373" s="48"/>
      <c r="AD373" s="48"/>
      <c r="AE373" s="48"/>
    </row>
    <row r="374" spans="1:31" outlineLevel="1">
      <c r="A374" s="412">
        <f>ROW()</f>
        <v>374</v>
      </c>
      <c r="B374" s="149">
        <f>$B$218</f>
        <v>0</v>
      </c>
      <c r="C374" s="96">
        <f t="shared" si="95"/>
        <v>0</v>
      </c>
      <c r="D374" s="96"/>
      <c r="E374" s="96"/>
      <c r="F374" s="96"/>
      <c r="G374" s="566">
        <f>G218*$E218</f>
        <v>0</v>
      </c>
      <c r="H374" s="566">
        <f t="shared" si="97"/>
        <v>0</v>
      </c>
      <c r="I374" s="566">
        <f t="shared" si="97"/>
        <v>0</v>
      </c>
      <c r="J374" s="566">
        <f t="shared" si="97"/>
        <v>0</v>
      </c>
      <c r="K374" s="566">
        <f t="shared" si="97"/>
        <v>0</v>
      </c>
      <c r="L374" s="566">
        <f t="shared" si="97"/>
        <v>0</v>
      </c>
      <c r="M374" s="566">
        <f t="shared" si="97"/>
        <v>0</v>
      </c>
      <c r="N374" s="94"/>
      <c r="O374" s="287"/>
      <c r="Q374" s="48"/>
      <c r="R374" s="48"/>
      <c r="S374" s="48"/>
      <c r="T374" s="48"/>
      <c r="U374" s="48"/>
      <c r="V374" s="48"/>
      <c r="W374" s="48"/>
      <c r="X374" s="48"/>
      <c r="Y374" s="48"/>
      <c r="Z374" s="48"/>
      <c r="AA374" s="48"/>
      <c r="AB374" s="48"/>
      <c r="AC374" s="48"/>
      <c r="AD374" s="48"/>
      <c r="AE374" s="48"/>
    </row>
    <row r="375" spans="1:31" outlineLevel="1">
      <c r="A375" s="412">
        <f>ROW()</f>
        <v>375</v>
      </c>
      <c r="B375" s="149">
        <f>$B$219</f>
        <v>0</v>
      </c>
      <c r="C375" s="96">
        <f t="shared" si="95"/>
        <v>0</v>
      </c>
      <c r="D375" s="96"/>
      <c r="E375" s="96"/>
      <c r="F375" s="96"/>
      <c r="G375" s="566">
        <f>G219*$E219</f>
        <v>0</v>
      </c>
      <c r="H375" s="566">
        <f t="shared" si="97"/>
        <v>0</v>
      </c>
      <c r="I375" s="566">
        <f t="shared" si="97"/>
        <v>0</v>
      </c>
      <c r="J375" s="566">
        <f t="shared" si="97"/>
        <v>0</v>
      </c>
      <c r="K375" s="566">
        <f t="shared" si="97"/>
        <v>0</v>
      </c>
      <c r="L375" s="566">
        <f t="shared" si="97"/>
        <v>0</v>
      </c>
      <c r="M375" s="566">
        <f t="shared" si="97"/>
        <v>0</v>
      </c>
      <c r="N375" s="94"/>
      <c r="O375" s="287"/>
      <c r="Q375" s="48"/>
      <c r="R375" s="48"/>
      <c r="S375" s="48"/>
      <c r="T375" s="48"/>
      <c r="U375" s="48"/>
      <c r="V375" s="48"/>
      <c r="W375" s="48"/>
      <c r="X375" s="48"/>
      <c r="Y375" s="48"/>
      <c r="Z375" s="48"/>
      <c r="AA375" s="48"/>
      <c r="AB375" s="48"/>
      <c r="AC375" s="48"/>
      <c r="AD375" s="48"/>
      <c r="AE375" s="48"/>
    </row>
    <row r="376" spans="1:31" outlineLevel="1">
      <c r="A376" s="412">
        <f>ROW()</f>
        <v>376</v>
      </c>
      <c r="B376" s="149">
        <f>$B$220</f>
        <v>0</v>
      </c>
      <c r="C376" s="96">
        <f t="shared" si="95"/>
        <v>0</v>
      </c>
      <c r="D376" s="96"/>
      <c r="E376" s="96"/>
      <c r="F376" s="96"/>
      <c r="G376" s="566">
        <f>G220*$E220</f>
        <v>0</v>
      </c>
      <c r="H376" s="566">
        <f t="shared" si="97"/>
        <v>0</v>
      </c>
      <c r="I376" s="566">
        <f t="shared" si="97"/>
        <v>0</v>
      </c>
      <c r="J376" s="566">
        <f t="shared" si="97"/>
        <v>0</v>
      </c>
      <c r="K376" s="566">
        <f t="shared" si="97"/>
        <v>0</v>
      </c>
      <c r="L376" s="566">
        <f t="shared" si="97"/>
        <v>0</v>
      </c>
      <c r="M376" s="566">
        <f t="shared" si="97"/>
        <v>0</v>
      </c>
      <c r="N376" s="94"/>
      <c r="O376" s="287"/>
      <c r="Q376" s="48"/>
      <c r="R376" s="48"/>
      <c r="S376" s="48"/>
      <c r="T376" s="48"/>
      <c r="U376" s="48"/>
      <c r="V376" s="48"/>
      <c r="W376" s="48"/>
      <c r="X376" s="48"/>
      <c r="Y376" s="48"/>
      <c r="Z376" s="48"/>
      <c r="AA376" s="48"/>
      <c r="AB376" s="48"/>
      <c r="AC376" s="48"/>
      <c r="AD376" s="48"/>
      <c r="AE376" s="48"/>
    </row>
    <row r="377" spans="1:31" outlineLevel="1">
      <c r="A377" s="412">
        <f>ROW()</f>
        <v>377</v>
      </c>
      <c r="B377" s="149">
        <f>$B$221</f>
        <v>0</v>
      </c>
      <c r="C377" s="96">
        <f t="shared" si="95"/>
        <v>0</v>
      </c>
      <c r="D377" s="96"/>
      <c r="E377" s="96"/>
      <c r="F377" s="96"/>
      <c r="G377" s="566">
        <f>G221*$E221</f>
        <v>0</v>
      </c>
      <c r="H377" s="566">
        <f t="shared" si="97"/>
        <v>0</v>
      </c>
      <c r="I377" s="566">
        <f t="shared" si="97"/>
        <v>0</v>
      </c>
      <c r="J377" s="566">
        <f t="shared" si="97"/>
        <v>0</v>
      </c>
      <c r="K377" s="566">
        <f t="shared" si="97"/>
        <v>0</v>
      </c>
      <c r="L377" s="566">
        <f t="shared" si="97"/>
        <v>0</v>
      </c>
      <c r="M377" s="566">
        <f t="shared" si="97"/>
        <v>0</v>
      </c>
      <c r="N377" s="94"/>
      <c r="O377" s="287"/>
      <c r="Q377" s="48"/>
      <c r="R377" s="48"/>
      <c r="S377" s="48"/>
      <c r="T377" s="48"/>
      <c r="U377" s="48"/>
      <c r="V377" s="48"/>
      <c r="W377" s="48"/>
      <c r="X377" s="48"/>
      <c r="Y377" s="48"/>
      <c r="Z377" s="48"/>
      <c r="AA377" s="48"/>
      <c r="AB377" s="48"/>
      <c r="AC377" s="48"/>
      <c r="AD377" s="48"/>
      <c r="AE377" s="48"/>
    </row>
    <row r="378" spans="1:31" outlineLevel="1">
      <c r="A378" s="412">
        <f>ROW()</f>
        <v>378</v>
      </c>
      <c r="B378" s="149"/>
      <c r="C378" s="96">
        <f t="shared" si="95"/>
        <v>0</v>
      </c>
      <c r="D378" s="96"/>
      <c r="E378" s="96"/>
      <c r="F378" s="96"/>
      <c r="G378" s="1781"/>
      <c r="H378" s="1781"/>
      <c r="I378" s="1781"/>
      <c r="J378" s="1781"/>
      <c r="K378" s="1781"/>
      <c r="L378" s="1781"/>
      <c r="M378" s="1781"/>
      <c r="N378" s="94"/>
      <c r="O378" s="287"/>
      <c r="Q378" s="48"/>
      <c r="R378" s="48"/>
      <c r="S378" s="48"/>
      <c r="T378" s="48"/>
      <c r="U378" s="48"/>
      <c r="V378" s="48"/>
      <c r="W378" s="48"/>
      <c r="X378" s="48"/>
      <c r="Y378" s="48"/>
      <c r="Z378" s="48"/>
      <c r="AA378" s="48"/>
      <c r="AB378" s="48"/>
      <c r="AC378" s="48"/>
      <c r="AD378" s="48"/>
      <c r="AE378" s="48"/>
    </row>
    <row r="379" spans="1:31" outlineLevel="1">
      <c r="A379" s="412">
        <f>ROW()</f>
        <v>379</v>
      </c>
      <c r="B379" s="149">
        <f>$B$223</f>
        <v>0</v>
      </c>
      <c r="C379" s="96">
        <f t="shared" si="95"/>
        <v>0</v>
      </c>
      <c r="D379" s="96"/>
      <c r="E379" s="96"/>
      <c r="F379" s="96"/>
      <c r="G379" s="566">
        <f>G223*$E223</f>
        <v>0</v>
      </c>
      <c r="H379" s="566">
        <f t="shared" ref="H379:M383" si="98">(H223*$E223)</f>
        <v>0</v>
      </c>
      <c r="I379" s="566">
        <f t="shared" si="98"/>
        <v>0</v>
      </c>
      <c r="J379" s="566">
        <f t="shared" si="98"/>
        <v>0</v>
      </c>
      <c r="K379" s="566">
        <f t="shared" si="98"/>
        <v>0</v>
      </c>
      <c r="L379" s="566">
        <f t="shared" si="98"/>
        <v>0</v>
      </c>
      <c r="M379" s="566">
        <f t="shared" si="98"/>
        <v>0</v>
      </c>
      <c r="N379" s="94"/>
      <c r="O379" s="287"/>
      <c r="Q379" s="48"/>
      <c r="R379" s="48"/>
      <c r="S379" s="48"/>
      <c r="T379" s="48"/>
      <c r="U379" s="48"/>
      <c r="V379" s="48"/>
      <c r="W379" s="48"/>
      <c r="X379" s="48"/>
      <c r="Y379" s="48"/>
      <c r="Z379" s="48"/>
      <c r="AA379" s="48"/>
      <c r="AB379" s="48"/>
      <c r="AC379" s="48"/>
      <c r="AD379" s="48"/>
      <c r="AE379" s="48"/>
    </row>
    <row r="380" spans="1:31" outlineLevel="1">
      <c r="A380" s="412">
        <f>ROW()</f>
        <v>380</v>
      </c>
      <c r="B380" s="149">
        <f>$B$224</f>
        <v>0</v>
      </c>
      <c r="C380" s="96">
        <f t="shared" si="95"/>
        <v>0</v>
      </c>
      <c r="D380" s="96"/>
      <c r="E380" s="96"/>
      <c r="F380" s="96"/>
      <c r="G380" s="566">
        <f>G224*$E224</f>
        <v>0</v>
      </c>
      <c r="H380" s="566">
        <f t="shared" si="98"/>
        <v>0</v>
      </c>
      <c r="I380" s="566">
        <f t="shared" si="98"/>
        <v>0</v>
      </c>
      <c r="J380" s="566">
        <f t="shared" si="98"/>
        <v>0</v>
      </c>
      <c r="K380" s="566">
        <f t="shared" si="98"/>
        <v>0</v>
      </c>
      <c r="L380" s="566">
        <f t="shared" si="98"/>
        <v>0</v>
      </c>
      <c r="M380" s="566">
        <f t="shared" si="98"/>
        <v>0</v>
      </c>
      <c r="N380" s="94"/>
      <c r="O380" s="287"/>
      <c r="Q380" s="48"/>
      <c r="R380" s="48"/>
      <c r="S380" s="48"/>
      <c r="T380" s="48"/>
      <c r="U380" s="48"/>
      <c r="V380" s="48"/>
      <c r="W380" s="48"/>
      <c r="X380" s="48"/>
      <c r="Y380" s="48"/>
      <c r="Z380" s="48"/>
      <c r="AA380" s="48"/>
      <c r="AB380" s="48"/>
      <c r="AC380" s="48"/>
      <c r="AD380" s="48"/>
      <c r="AE380" s="48"/>
    </row>
    <row r="381" spans="1:31" outlineLevel="1">
      <c r="A381" s="412">
        <f>ROW()</f>
        <v>381</v>
      </c>
      <c r="B381" s="149">
        <f>$B$225</f>
        <v>0</v>
      </c>
      <c r="C381" s="96">
        <f t="shared" si="95"/>
        <v>0</v>
      </c>
      <c r="D381" s="96"/>
      <c r="E381" s="96"/>
      <c r="F381" s="96"/>
      <c r="G381" s="566">
        <f>G225*$E225</f>
        <v>0</v>
      </c>
      <c r="H381" s="566">
        <f t="shared" si="98"/>
        <v>0</v>
      </c>
      <c r="I381" s="566">
        <f t="shared" si="98"/>
        <v>0</v>
      </c>
      <c r="J381" s="566">
        <f t="shared" si="98"/>
        <v>0</v>
      </c>
      <c r="K381" s="566">
        <f t="shared" si="98"/>
        <v>0</v>
      </c>
      <c r="L381" s="566">
        <f t="shared" si="98"/>
        <v>0</v>
      </c>
      <c r="M381" s="566">
        <f t="shared" si="98"/>
        <v>0</v>
      </c>
      <c r="N381" s="94"/>
      <c r="O381" s="287"/>
      <c r="Q381" s="48"/>
      <c r="R381" s="48"/>
      <c r="S381" s="48"/>
      <c r="T381" s="48"/>
      <c r="U381" s="48"/>
      <c r="V381" s="48"/>
      <c r="W381" s="48"/>
      <c r="X381" s="48"/>
      <c r="Y381" s="48"/>
      <c r="Z381" s="48"/>
      <c r="AA381" s="48"/>
      <c r="AB381" s="48"/>
      <c r="AC381" s="48"/>
      <c r="AD381" s="48"/>
      <c r="AE381" s="48"/>
    </row>
    <row r="382" spans="1:31" outlineLevel="1">
      <c r="A382" s="412">
        <f>ROW()</f>
        <v>382</v>
      </c>
      <c r="B382" s="149">
        <f>$B$226</f>
        <v>0</v>
      </c>
      <c r="C382" s="96">
        <f t="shared" si="95"/>
        <v>0</v>
      </c>
      <c r="D382" s="96"/>
      <c r="E382" s="96"/>
      <c r="F382" s="96"/>
      <c r="G382" s="566">
        <f>G226*$E226</f>
        <v>0</v>
      </c>
      <c r="H382" s="566">
        <f t="shared" si="98"/>
        <v>0</v>
      </c>
      <c r="I382" s="566">
        <f t="shared" si="98"/>
        <v>0</v>
      </c>
      <c r="J382" s="566">
        <f t="shared" si="98"/>
        <v>0</v>
      </c>
      <c r="K382" s="566">
        <f t="shared" si="98"/>
        <v>0</v>
      </c>
      <c r="L382" s="566">
        <f t="shared" si="98"/>
        <v>0</v>
      </c>
      <c r="M382" s="566">
        <f t="shared" si="98"/>
        <v>0</v>
      </c>
      <c r="N382" s="94"/>
      <c r="O382" s="287"/>
      <c r="Q382" s="48"/>
      <c r="R382" s="48"/>
      <c r="S382" s="48"/>
      <c r="T382" s="48"/>
      <c r="U382" s="48"/>
      <c r="V382" s="48"/>
      <c r="W382" s="48"/>
      <c r="X382" s="48"/>
      <c r="Y382" s="48"/>
      <c r="Z382" s="48"/>
      <c r="AA382" s="48"/>
      <c r="AB382" s="48"/>
      <c r="AC382" s="48"/>
      <c r="AD382" s="48"/>
      <c r="AE382" s="48"/>
    </row>
    <row r="383" spans="1:31" outlineLevel="1">
      <c r="A383" s="412">
        <f>ROW()</f>
        <v>383</v>
      </c>
      <c r="B383" s="149">
        <f>$B$227</f>
        <v>0</v>
      </c>
      <c r="C383" s="96">
        <f t="shared" si="95"/>
        <v>0</v>
      </c>
      <c r="D383" s="96"/>
      <c r="E383" s="96"/>
      <c r="F383" s="96"/>
      <c r="G383" s="566">
        <f>G227*$E227</f>
        <v>0</v>
      </c>
      <c r="H383" s="566">
        <f t="shared" si="98"/>
        <v>0</v>
      </c>
      <c r="I383" s="566">
        <f t="shared" si="98"/>
        <v>0</v>
      </c>
      <c r="J383" s="566">
        <f t="shared" si="98"/>
        <v>0</v>
      </c>
      <c r="K383" s="566">
        <f t="shared" si="98"/>
        <v>0</v>
      </c>
      <c r="L383" s="566">
        <f t="shared" si="98"/>
        <v>0</v>
      </c>
      <c r="M383" s="566">
        <f t="shared" si="98"/>
        <v>0</v>
      </c>
      <c r="N383" s="94"/>
      <c r="O383" s="287"/>
      <c r="Q383" s="48"/>
      <c r="R383" s="48"/>
      <c r="S383" s="48"/>
      <c r="T383" s="48"/>
      <c r="U383" s="48"/>
      <c r="V383" s="48"/>
      <c r="W383" s="48"/>
      <c r="X383" s="48"/>
      <c r="Y383" s="48"/>
      <c r="Z383" s="48"/>
      <c r="AA383" s="48"/>
      <c r="AB383" s="48"/>
      <c r="AC383" s="48"/>
      <c r="AD383" s="48"/>
      <c r="AE383" s="48"/>
    </row>
    <row r="384" spans="1:31" outlineLevel="1">
      <c r="A384" s="412">
        <f>ROW()</f>
        <v>384</v>
      </c>
      <c r="B384" s="149"/>
      <c r="C384" s="96">
        <f t="shared" si="95"/>
        <v>0</v>
      </c>
      <c r="D384" s="96"/>
      <c r="E384" s="96"/>
      <c r="F384" s="96"/>
      <c r="G384" s="1781"/>
      <c r="H384" s="1781"/>
      <c r="I384" s="1781"/>
      <c r="J384" s="1781"/>
      <c r="K384" s="1781"/>
      <c r="L384" s="1781"/>
      <c r="M384" s="1781"/>
      <c r="N384" s="94"/>
      <c r="O384" s="287"/>
      <c r="Q384" s="48"/>
      <c r="R384" s="48"/>
      <c r="S384" s="48"/>
      <c r="T384" s="48"/>
      <c r="U384" s="48"/>
      <c r="V384" s="48"/>
      <c r="W384" s="48"/>
      <c r="X384" s="48"/>
      <c r="Y384" s="48"/>
      <c r="Z384" s="48"/>
      <c r="AA384" s="48"/>
      <c r="AB384" s="48"/>
      <c r="AC384" s="48"/>
      <c r="AD384" s="48"/>
      <c r="AE384" s="48"/>
    </row>
    <row r="385" spans="1:31" outlineLevel="1">
      <c r="A385" s="412">
        <f>ROW()</f>
        <v>385</v>
      </c>
      <c r="B385" s="149">
        <f>$B$229</f>
        <v>0</v>
      </c>
      <c r="C385" s="96">
        <f t="shared" si="95"/>
        <v>0</v>
      </c>
      <c r="D385" s="96"/>
      <c r="E385" s="96"/>
      <c r="F385" s="96"/>
      <c r="G385" s="566">
        <f>G229*$E229</f>
        <v>0</v>
      </c>
      <c r="H385" s="566">
        <f t="shared" ref="H385:M389" si="99">(H229*$E229)</f>
        <v>0</v>
      </c>
      <c r="I385" s="566">
        <f t="shared" si="99"/>
        <v>0</v>
      </c>
      <c r="J385" s="566">
        <f t="shared" si="99"/>
        <v>0</v>
      </c>
      <c r="K385" s="566">
        <f t="shared" si="99"/>
        <v>0</v>
      </c>
      <c r="L385" s="566">
        <f t="shared" si="99"/>
        <v>0</v>
      </c>
      <c r="M385" s="566">
        <f t="shared" si="99"/>
        <v>0</v>
      </c>
      <c r="N385" s="94"/>
      <c r="O385" s="287"/>
      <c r="Q385" s="48"/>
      <c r="R385" s="48"/>
      <c r="S385" s="48"/>
      <c r="T385" s="48"/>
      <c r="U385" s="48"/>
      <c r="V385" s="48"/>
      <c r="W385" s="48"/>
      <c r="X385" s="48"/>
      <c r="Y385" s="48"/>
      <c r="Z385" s="48"/>
      <c r="AA385" s="48"/>
      <c r="AB385" s="48"/>
      <c r="AC385" s="48"/>
      <c r="AD385" s="48"/>
      <c r="AE385" s="48"/>
    </row>
    <row r="386" spans="1:31" outlineLevel="1">
      <c r="A386" s="412">
        <f>ROW()</f>
        <v>386</v>
      </c>
      <c r="B386" s="149">
        <f>$B$230</f>
        <v>0</v>
      </c>
      <c r="C386" s="96">
        <f t="shared" si="95"/>
        <v>0</v>
      </c>
      <c r="D386" s="96"/>
      <c r="E386" s="96"/>
      <c r="F386" s="96"/>
      <c r="G386" s="566">
        <f>G230*$E230</f>
        <v>0</v>
      </c>
      <c r="H386" s="566">
        <f t="shared" si="99"/>
        <v>0</v>
      </c>
      <c r="I386" s="566">
        <f t="shared" si="99"/>
        <v>0</v>
      </c>
      <c r="J386" s="566">
        <f t="shared" si="99"/>
        <v>0</v>
      </c>
      <c r="K386" s="566">
        <f t="shared" si="99"/>
        <v>0</v>
      </c>
      <c r="L386" s="566">
        <f t="shared" si="99"/>
        <v>0</v>
      </c>
      <c r="M386" s="566">
        <f t="shared" si="99"/>
        <v>0</v>
      </c>
      <c r="N386" s="94"/>
      <c r="O386" s="287"/>
      <c r="Q386" s="48"/>
      <c r="R386" s="48"/>
      <c r="S386" s="48"/>
      <c r="T386" s="48"/>
      <c r="U386" s="48"/>
      <c r="V386" s="48"/>
      <c r="W386" s="48"/>
      <c r="X386" s="48"/>
      <c r="Y386" s="48"/>
      <c r="Z386" s="48"/>
      <c r="AA386" s="48"/>
      <c r="AB386" s="48"/>
      <c r="AC386" s="48"/>
      <c r="AD386" s="48"/>
      <c r="AE386" s="48"/>
    </row>
    <row r="387" spans="1:31" outlineLevel="1">
      <c r="A387" s="412">
        <f>ROW()</f>
        <v>387</v>
      </c>
      <c r="B387" s="149">
        <f>$B$231</f>
        <v>0</v>
      </c>
      <c r="C387" s="96">
        <f t="shared" si="95"/>
        <v>0</v>
      </c>
      <c r="D387" s="96"/>
      <c r="E387" s="96"/>
      <c r="F387" s="96"/>
      <c r="G387" s="566">
        <f>G231*$E231</f>
        <v>0</v>
      </c>
      <c r="H387" s="566">
        <f t="shared" si="99"/>
        <v>0</v>
      </c>
      <c r="I387" s="566">
        <f t="shared" si="99"/>
        <v>0</v>
      </c>
      <c r="J387" s="566">
        <f t="shared" si="99"/>
        <v>0</v>
      </c>
      <c r="K387" s="566">
        <f t="shared" si="99"/>
        <v>0</v>
      </c>
      <c r="L387" s="566">
        <f t="shared" si="99"/>
        <v>0</v>
      </c>
      <c r="M387" s="566">
        <f t="shared" si="99"/>
        <v>0</v>
      </c>
      <c r="N387" s="94"/>
      <c r="O387" s="287"/>
      <c r="Q387" s="48"/>
      <c r="R387" s="48"/>
      <c r="S387" s="48"/>
      <c r="T387" s="48"/>
      <c r="U387" s="48"/>
      <c r="V387" s="48"/>
      <c r="W387" s="48"/>
      <c r="X387" s="48"/>
      <c r="Y387" s="48"/>
      <c r="Z387" s="48"/>
      <c r="AA387" s="48"/>
      <c r="AB387" s="48"/>
      <c r="AC387" s="48"/>
      <c r="AD387" s="48"/>
      <c r="AE387" s="48"/>
    </row>
    <row r="388" spans="1:31" outlineLevel="1">
      <c r="A388" s="412">
        <f>ROW()</f>
        <v>388</v>
      </c>
      <c r="B388" s="149">
        <f>$B$232</f>
        <v>0</v>
      </c>
      <c r="C388" s="96">
        <f t="shared" si="95"/>
        <v>0</v>
      </c>
      <c r="D388" s="96"/>
      <c r="E388" s="96"/>
      <c r="F388" s="96"/>
      <c r="G388" s="566">
        <f>G232*$E232</f>
        <v>0</v>
      </c>
      <c r="H388" s="566">
        <f t="shared" si="99"/>
        <v>0</v>
      </c>
      <c r="I388" s="566">
        <f t="shared" si="99"/>
        <v>0</v>
      </c>
      <c r="J388" s="566">
        <f t="shared" si="99"/>
        <v>0</v>
      </c>
      <c r="K388" s="566">
        <f t="shared" si="99"/>
        <v>0</v>
      </c>
      <c r="L388" s="566">
        <f t="shared" si="99"/>
        <v>0</v>
      </c>
      <c r="M388" s="566">
        <f t="shared" si="99"/>
        <v>0</v>
      </c>
      <c r="N388" s="94"/>
      <c r="O388" s="287"/>
      <c r="Q388" s="48"/>
      <c r="R388" s="48"/>
      <c r="S388" s="48"/>
      <c r="T388" s="48"/>
      <c r="U388" s="48"/>
      <c r="V388" s="48"/>
      <c r="W388" s="48"/>
      <c r="X388" s="48"/>
      <c r="Y388" s="48"/>
      <c r="Z388" s="48"/>
      <c r="AA388" s="48"/>
      <c r="AB388" s="48"/>
      <c r="AC388" s="48"/>
      <c r="AD388" s="48"/>
      <c r="AE388" s="48"/>
    </row>
    <row r="389" spans="1:31" outlineLevel="1">
      <c r="A389" s="412">
        <f>ROW()</f>
        <v>389</v>
      </c>
      <c r="B389" s="149">
        <f>$B$233</f>
        <v>0</v>
      </c>
      <c r="C389" s="96">
        <f t="shared" si="95"/>
        <v>0</v>
      </c>
      <c r="D389" s="96"/>
      <c r="E389" s="96"/>
      <c r="F389" s="96"/>
      <c r="G389" s="566">
        <f>G233*$E233</f>
        <v>0</v>
      </c>
      <c r="H389" s="566">
        <f t="shared" si="99"/>
        <v>0</v>
      </c>
      <c r="I389" s="566">
        <f t="shared" si="99"/>
        <v>0</v>
      </c>
      <c r="J389" s="566">
        <f t="shared" si="99"/>
        <v>0</v>
      </c>
      <c r="K389" s="566">
        <f t="shared" si="99"/>
        <v>0</v>
      </c>
      <c r="L389" s="566">
        <f t="shared" si="99"/>
        <v>0</v>
      </c>
      <c r="M389" s="566">
        <f t="shared" si="99"/>
        <v>0</v>
      </c>
      <c r="N389" s="94"/>
      <c r="O389" s="287"/>
      <c r="Q389" s="48"/>
      <c r="R389" s="48"/>
      <c r="S389" s="48"/>
      <c r="T389" s="48"/>
      <c r="U389" s="48"/>
      <c r="V389" s="48"/>
      <c r="W389" s="48"/>
      <c r="X389" s="48"/>
      <c r="Y389" s="48"/>
      <c r="Z389" s="48"/>
      <c r="AA389" s="48"/>
      <c r="AB389" s="48"/>
      <c r="AC389" s="48"/>
      <c r="AD389" s="48"/>
      <c r="AE389" s="48"/>
    </row>
    <row r="390" spans="1:31" outlineLevel="1">
      <c r="A390" s="412">
        <f>ROW()</f>
        <v>390</v>
      </c>
      <c r="B390" s="149"/>
      <c r="C390" s="96">
        <f t="shared" si="95"/>
        <v>0</v>
      </c>
      <c r="D390" s="96"/>
      <c r="E390" s="96"/>
      <c r="F390" s="96"/>
      <c r="G390" s="1781"/>
      <c r="H390" s="1781"/>
      <c r="I390" s="1781"/>
      <c r="J390" s="1781"/>
      <c r="K390" s="1781"/>
      <c r="L390" s="1781"/>
      <c r="M390" s="1781"/>
      <c r="N390" s="94"/>
      <c r="O390" s="287"/>
      <c r="Q390" s="48"/>
      <c r="R390" s="48"/>
      <c r="S390" s="48"/>
      <c r="T390" s="48"/>
      <c r="U390" s="48"/>
      <c r="V390" s="48"/>
      <c r="W390" s="48"/>
      <c r="X390" s="48"/>
      <c r="Y390" s="48"/>
      <c r="Z390" s="48"/>
      <c r="AA390" s="48"/>
      <c r="AB390" s="48"/>
      <c r="AC390" s="48"/>
      <c r="AD390" s="48"/>
      <c r="AE390" s="48"/>
    </row>
    <row r="391" spans="1:31" outlineLevel="1">
      <c r="A391" s="412">
        <f>ROW()</f>
        <v>391</v>
      </c>
      <c r="B391" s="149">
        <f>$B$235</f>
        <v>0</v>
      </c>
      <c r="C391" s="96">
        <f t="shared" si="95"/>
        <v>0</v>
      </c>
      <c r="D391" s="96"/>
      <c r="E391" s="96"/>
      <c r="F391" s="96"/>
      <c r="G391" s="566">
        <f>G235*$E235</f>
        <v>0</v>
      </c>
      <c r="H391" s="566">
        <f t="shared" ref="H391:M395" si="100">(H235*$E235)</f>
        <v>0</v>
      </c>
      <c r="I391" s="566">
        <f t="shared" si="100"/>
        <v>0</v>
      </c>
      <c r="J391" s="566">
        <f t="shared" si="100"/>
        <v>0</v>
      </c>
      <c r="K391" s="566">
        <f t="shared" si="100"/>
        <v>0</v>
      </c>
      <c r="L391" s="566">
        <f t="shared" si="100"/>
        <v>0</v>
      </c>
      <c r="M391" s="566">
        <f t="shared" si="100"/>
        <v>0</v>
      </c>
      <c r="N391" s="94"/>
      <c r="O391" s="287"/>
      <c r="Q391" s="48"/>
      <c r="R391" s="48"/>
      <c r="S391" s="48"/>
      <c r="T391" s="48"/>
      <c r="U391" s="48"/>
      <c r="V391" s="48"/>
      <c r="W391" s="48"/>
      <c r="X391" s="48"/>
      <c r="Y391" s="48"/>
      <c r="Z391" s="48"/>
      <c r="AA391" s="48"/>
      <c r="AB391" s="48"/>
      <c r="AC391" s="48"/>
      <c r="AD391" s="48"/>
      <c r="AE391" s="48"/>
    </row>
    <row r="392" spans="1:31" outlineLevel="1">
      <c r="A392" s="412">
        <f>ROW()</f>
        <v>392</v>
      </c>
      <c r="B392" s="149">
        <f>$B$236</f>
        <v>0</v>
      </c>
      <c r="C392" s="96">
        <f t="shared" si="95"/>
        <v>0</v>
      </c>
      <c r="D392" s="96"/>
      <c r="E392" s="96"/>
      <c r="F392" s="96"/>
      <c r="G392" s="566">
        <f>G236*$E236</f>
        <v>0</v>
      </c>
      <c r="H392" s="566">
        <f t="shared" si="100"/>
        <v>0</v>
      </c>
      <c r="I392" s="566">
        <f t="shared" si="100"/>
        <v>0</v>
      </c>
      <c r="J392" s="566">
        <f t="shared" si="100"/>
        <v>0</v>
      </c>
      <c r="K392" s="566">
        <f t="shared" si="100"/>
        <v>0</v>
      </c>
      <c r="L392" s="566">
        <f t="shared" si="100"/>
        <v>0</v>
      </c>
      <c r="M392" s="566">
        <f t="shared" si="100"/>
        <v>0</v>
      </c>
      <c r="N392" s="94"/>
      <c r="O392" s="287"/>
      <c r="Q392" s="48"/>
      <c r="R392" s="48"/>
      <c r="S392" s="48"/>
      <c r="T392" s="48"/>
      <c r="U392" s="48"/>
      <c r="V392" s="48"/>
      <c r="W392" s="48"/>
      <c r="X392" s="48"/>
      <c r="Y392" s="48"/>
      <c r="Z392" s="48"/>
      <c r="AA392" s="48"/>
      <c r="AB392" s="48"/>
      <c r="AC392" s="48"/>
      <c r="AD392" s="48"/>
      <c r="AE392" s="48"/>
    </row>
    <row r="393" spans="1:31" outlineLevel="1">
      <c r="A393" s="412">
        <f>ROW()</f>
        <v>393</v>
      </c>
      <c r="B393" s="149">
        <f>$B$237</f>
        <v>0</v>
      </c>
      <c r="C393" s="96">
        <f t="shared" si="95"/>
        <v>0</v>
      </c>
      <c r="D393" s="96"/>
      <c r="E393" s="96"/>
      <c r="F393" s="96"/>
      <c r="G393" s="566">
        <f>G237*$E237</f>
        <v>0</v>
      </c>
      <c r="H393" s="566">
        <f t="shared" si="100"/>
        <v>0</v>
      </c>
      <c r="I393" s="566">
        <f t="shared" si="100"/>
        <v>0</v>
      </c>
      <c r="J393" s="566">
        <f t="shared" si="100"/>
        <v>0</v>
      </c>
      <c r="K393" s="566">
        <f t="shared" si="100"/>
        <v>0</v>
      </c>
      <c r="L393" s="566">
        <f t="shared" si="100"/>
        <v>0</v>
      </c>
      <c r="M393" s="566">
        <f t="shared" si="100"/>
        <v>0</v>
      </c>
      <c r="N393" s="94"/>
      <c r="O393" s="287"/>
      <c r="Q393" s="48"/>
      <c r="R393" s="48"/>
      <c r="S393" s="48"/>
      <c r="T393" s="48"/>
      <c r="U393" s="48"/>
      <c r="V393" s="48"/>
      <c r="W393" s="48"/>
      <c r="X393" s="48"/>
      <c r="Y393" s="48"/>
      <c r="Z393" s="48"/>
      <c r="AA393" s="48"/>
      <c r="AB393" s="48"/>
      <c r="AC393" s="48"/>
      <c r="AD393" s="48"/>
      <c r="AE393" s="48"/>
    </row>
    <row r="394" spans="1:31" outlineLevel="1">
      <c r="A394" s="412">
        <f>ROW()</f>
        <v>394</v>
      </c>
      <c r="B394" s="149">
        <f>$B$238</f>
        <v>0</v>
      </c>
      <c r="C394" s="96">
        <f t="shared" si="95"/>
        <v>0</v>
      </c>
      <c r="D394" s="96"/>
      <c r="E394" s="96"/>
      <c r="F394" s="96"/>
      <c r="G394" s="566">
        <f>G238*$E238</f>
        <v>0</v>
      </c>
      <c r="H394" s="566">
        <f t="shared" si="100"/>
        <v>0</v>
      </c>
      <c r="I394" s="566">
        <f t="shared" si="100"/>
        <v>0</v>
      </c>
      <c r="J394" s="566">
        <f t="shared" si="100"/>
        <v>0</v>
      </c>
      <c r="K394" s="566">
        <f t="shared" si="100"/>
        <v>0</v>
      </c>
      <c r="L394" s="566">
        <f t="shared" si="100"/>
        <v>0</v>
      </c>
      <c r="M394" s="566">
        <f t="shared" si="100"/>
        <v>0</v>
      </c>
      <c r="N394" s="94"/>
      <c r="O394" s="287"/>
      <c r="Q394" s="48"/>
      <c r="R394" s="48"/>
      <c r="S394" s="48"/>
      <c r="T394" s="48"/>
      <c r="U394" s="48"/>
      <c r="V394" s="48"/>
      <c r="W394" s="48"/>
      <c r="X394" s="48"/>
      <c r="Y394" s="48"/>
      <c r="Z394" s="48"/>
      <c r="AA394" s="48"/>
      <c r="AB394" s="48"/>
      <c r="AC394" s="48"/>
      <c r="AD394" s="48"/>
      <c r="AE394" s="48"/>
    </row>
    <row r="395" spans="1:31" outlineLevel="1">
      <c r="A395" s="412">
        <f>ROW()</f>
        <v>395</v>
      </c>
      <c r="B395" s="149">
        <f>$B$239</f>
        <v>0</v>
      </c>
      <c r="C395" s="96">
        <f t="shared" si="95"/>
        <v>0</v>
      </c>
      <c r="D395" s="96"/>
      <c r="E395" s="96"/>
      <c r="F395" s="96"/>
      <c r="G395" s="566">
        <f>G239*$E239</f>
        <v>0</v>
      </c>
      <c r="H395" s="566">
        <f t="shared" si="100"/>
        <v>0</v>
      </c>
      <c r="I395" s="566">
        <f t="shared" si="100"/>
        <v>0</v>
      </c>
      <c r="J395" s="566">
        <f t="shared" si="100"/>
        <v>0</v>
      </c>
      <c r="K395" s="566">
        <f t="shared" si="100"/>
        <v>0</v>
      </c>
      <c r="L395" s="566">
        <f t="shared" si="100"/>
        <v>0</v>
      </c>
      <c r="M395" s="566">
        <f t="shared" si="100"/>
        <v>0</v>
      </c>
      <c r="N395" s="94"/>
      <c r="O395" s="287"/>
      <c r="Q395" s="48"/>
      <c r="R395" s="48"/>
      <c r="S395" s="48"/>
      <c r="T395" s="48"/>
      <c r="U395" s="48"/>
      <c r="V395" s="48"/>
      <c r="W395" s="48"/>
      <c r="X395" s="48"/>
      <c r="Y395" s="48"/>
      <c r="Z395" s="48"/>
      <c r="AA395" s="48"/>
      <c r="AB395" s="48"/>
      <c r="AC395" s="48"/>
      <c r="AD395" s="48"/>
      <c r="AE395" s="48"/>
    </row>
    <row r="396" spans="1:31" hidden="1" outlineLevel="1">
      <c r="A396" s="412">
        <f>ROW()</f>
        <v>396</v>
      </c>
      <c r="B396" s="94"/>
      <c r="C396" s="96"/>
      <c r="D396" s="96"/>
      <c r="E396" s="96"/>
      <c r="F396" s="96"/>
      <c r="G396" s="1782"/>
      <c r="H396" s="1782"/>
      <c r="I396" s="1782"/>
      <c r="J396" s="1782"/>
      <c r="K396" s="1782"/>
      <c r="L396" s="1782"/>
      <c r="M396" s="1782"/>
      <c r="N396" s="94"/>
      <c r="O396" s="287"/>
      <c r="Q396" s="48"/>
      <c r="R396" s="48"/>
      <c r="S396" s="48"/>
      <c r="T396" s="48"/>
      <c r="U396" s="48"/>
      <c r="V396" s="48"/>
      <c r="W396" s="48"/>
      <c r="X396" s="48"/>
      <c r="Y396" s="48"/>
      <c r="Z396" s="48"/>
      <c r="AA396" s="48"/>
      <c r="AB396" s="48"/>
      <c r="AC396" s="48"/>
      <c r="AD396" s="48"/>
      <c r="AE396" s="48"/>
    </row>
    <row r="397" spans="1:31" ht="15.6" outlineLevel="1">
      <c r="A397" s="412">
        <f>ROW()</f>
        <v>397</v>
      </c>
      <c r="B397" s="147" t="s">
        <v>503</v>
      </c>
      <c r="C397" s="1657">
        <f>SUM(G397:M397)</f>
        <v>7795941</v>
      </c>
      <c r="D397" s="147"/>
      <c r="E397" s="147"/>
      <c r="F397" s="147"/>
      <c r="G397" s="1657">
        <f t="shared" ref="G397:M397" si="101">SUM(G302:G395)</f>
        <v>0</v>
      </c>
      <c r="H397" s="1657">
        <f t="shared" si="101"/>
        <v>892665</v>
      </c>
      <c r="I397" s="1657">
        <f>SUM(I302:I395)</f>
        <v>1071198</v>
      </c>
      <c r="J397" s="1657">
        <f t="shared" si="101"/>
        <v>1190220</v>
      </c>
      <c r="K397" s="1657">
        <f t="shared" si="101"/>
        <v>1547286</v>
      </c>
      <c r="L397" s="1657">
        <f t="shared" si="101"/>
        <v>1547286</v>
      </c>
      <c r="M397" s="1657">
        <f t="shared" si="101"/>
        <v>1547286</v>
      </c>
      <c r="O397" s="287"/>
      <c r="Q397" s="48"/>
      <c r="R397" s="48"/>
      <c r="S397" s="48"/>
      <c r="T397" s="48"/>
      <c r="U397" s="48"/>
      <c r="V397" s="48"/>
      <c r="W397" s="48"/>
      <c r="X397" s="48"/>
      <c r="Y397" s="48"/>
      <c r="Z397" s="48"/>
      <c r="AA397" s="48"/>
      <c r="AB397" s="48"/>
      <c r="AC397" s="48"/>
      <c r="AD397" s="48"/>
      <c r="AE397" s="48"/>
    </row>
    <row r="398" spans="1:31" outlineLevel="1">
      <c r="A398" s="412">
        <f>ROW()</f>
        <v>398</v>
      </c>
      <c r="C398" s="49"/>
      <c r="D398" s="49"/>
      <c r="E398" s="49"/>
      <c r="F398" s="49"/>
      <c r="G398" s="117"/>
      <c r="H398" s="109"/>
      <c r="I398" s="109"/>
      <c r="J398" s="109"/>
      <c r="K398" s="109"/>
      <c r="L398" s="109"/>
      <c r="M398" s="109"/>
      <c r="O398" s="287"/>
      <c r="Q398" s="48"/>
      <c r="R398" s="48"/>
      <c r="S398" s="48"/>
      <c r="T398" s="48"/>
      <c r="U398" s="48"/>
      <c r="V398" s="48"/>
      <c r="W398" s="48"/>
      <c r="X398" s="48"/>
      <c r="Y398" s="48"/>
      <c r="Z398" s="48"/>
      <c r="AA398" s="48"/>
      <c r="AB398" s="48"/>
      <c r="AC398" s="48"/>
      <c r="AD398" s="48"/>
      <c r="AE398" s="48"/>
    </row>
    <row r="399" spans="1:31" outlineLevel="1">
      <c r="A399" s="412">
        <f>ROW()</f>
        <v>399</v>
      </c>
      <c r="B399" s="30" t="s">
        <v>504</v>
      </c>
      <c r="C399" s="117"/>
      <c r="D399" s="49"/>
      <c r="E399" s="49"/>
      <c r="F399" s="49"/>
      <c r="G399" s="584">
        <v>0</v>
      </c>
      <c r="H399" s="584">
        <v>0</v>
      </c>
      <c r="I399" s="584">
        <v>0</v>
      </c>
      <c r="J399" s="584">
        <v>0</v>
      </c>
      <c r="K399" s="584">
        <v>0</v>
      </c>
      <c r="L399" s="584">
        <v>0</v>
      </c>
      <c r="M399" s="584">
        <v>0</v>
      </c>
      <c r="O399" s="287"/>
      <c r="Q399" s="48"/>
      <c r="R399" s="48"/>
      <c r="S399" s="48"/>
      <c r="T399" s="48"/>
      <c r="U399" s="48"/>
      <c r="V399" s="48"/>
      <c r="W399" s="48"/>
      <c r="X399" s="48"/>
      <c r="Y399" s="48"/>
      <c r="Z399" s="48"/>
      <c r="AA399" s="48"/>
      <c r="AB399" s="48"/>
      <c r="AC399" s="48"/>
      <c r="AD399" s="48"/>
      <c r="AE399" s="48"/>
    </row>
    <row r="400" spans="1:31" outlineLevel="1">
      <c r="A400" s="412">
        <f>ROW()</f>
        <v>400</v>
      </c>
      <c r="C400" s="49"/>
      <c r="D400" s="49"/>
      <c r="E400" s="49"/>
      <c r="F400" s="49"/>
      <c r="G400" s="588"/>
      <c r="H400" s="768"/>
      <c r="I400" s="768"/>
      <c r="J400" s="768"/>
      <c r="K400" s="768"/>
      <c r="L400" s="768"/>
      <c r="M400" s="768"/>
      <c r="O400" s="287"/>
      <c r="Q400" s="48"/>
      <c r="R400" s="48"/>
      <c r="S400" s="48"/>
      <c r="T400" s="48"/>
      <c r="U400" s="48"/>
      <c r="V400" s="48"/>
      <c r="W400" s="48"/>
      <c r="X400" s="48"/>
      <c r="Y400" s="48"/>
      <c r="Z400" s="48"/>
      <c r="AA400" s="48"/>
      <c r="AB400" s="48"/>
      <c r="AC400" s="48"/>
      <c r="AD400" s="48"/>
      <c r="AE400" s="48"/>
    </row>
    <row r="401" spans="1:31" ht="15.6" outlineLevel="1">
      <c r="A401" s="412">
        <f>ROW()</f>
        <v>401</v>
      </c>
      <c r="B401" s="348" t="s">
        <v>474</v>
      </c>
      <c r="C401" s="1658"/>
      <c r="D401" s="348"/>
      <c r="E401" s="348"/>
      <c r="F401" s="348"/>
      <c r="G401" s="1659">
        <f>SUM(G397,G286,G261,G274,G300,G399)*($C$69)</f>
        <v>0</v>
      </c>
      <c r="H401" s="1659">
        <f t="shared" ref="H401:M401" si="102">SUM(H397,H286,H261,H274,H300,H399)*($C$69)</f>
        <v>32007.164000000001</v>
      </c>
      <c r="I401" s="1658">
        <f t="shared" si="102"/>
        <v>42742.648000000001</v>
      </c>
      <c r="J401" s="1658">
        <f t="shared" si="102"/>
        <v>48137.127999999997</v>
      </c>
      <c r="K401" s="1658">
        <f t="shared" si="102"/>
        <v>55912.048000000003</v>
      </c>
      <c r="L401" s="1658">
        <f t="shared" si="102"/>
        <v>55912.048000000003</v>
      </c>
      <c r="M401" s="1658">
        <f t="shared" si="102"/>
        <v>55912.048000000003</v>
      </c>
      <c r="O401" s="287"/>
      <c r="Q401" s="48"/>
      <c r="R401" s="48"/>
      <c r="S401" s="48"/>
      <c r="T401" s="48"/>
      <c r="U401" s="48"/>
      <c r="V401" s="48"/>
      <c r="W401" s="48"/>
      <c r="X401" s="48"/>
      <c r="Y401" s="48"/>
      <c r="Z401" s="48"/>
      <c r="AA401" s="48"/>
      <c r="AB401" s="48"/>
      <c r="AC401" s="48"/>
      <c r="AD401" s="48"/>
      <c r="AE401" s="48"/>
    </row>
    <row r="402" spans="1:31" ht="14.4" outlineLevel="1" thickBot="1">
      <c r="A402" s="412">
        <f>ROW()</f>
        <v>402</v>
      </c>
      <c r="B402" s="74" t="s">
        <v>1239</v>
      </c>
      <c r="C402" s="49"/>
      <c r="D402" s="49"/>
      <c r="E402" s="49"/>
      <c r="F402" s="49"/>
      <c r="G402" s="551" t="e">
        <f>+G401/G403</f>
        <v>#DIV/0!</v>
      </c>
      <c r="H402" s="551">
        <f t="shared" ref="H402:M402" si="103">+H401/H403</f>
        <v>1.9607843137254902E-2</v>
      </c>
      <c r="I402" s="551">
        <f t="shared" si="103"/>
        <v>1.9607843137254902E-2</v>
      </c>
      <c r="J402" s="551">
        <f t="shared" si="103"/>
        <v>1.9607843137254902E-2</v>
      </c>
      <c r="K402" s="551">
        <f t="shared" si="103"/>
        <v>1.9607843137254905E-2</v>
      </c>
      <c r="L402" s="551">
        <f t="shared" si="103"/>
        <v>1.9607843137254905E-2</v>
      </c>
      <c r="M402" s="551">
        <f t="shared" si="103"/>
        <v>1.9607843137254905E-2</v>
      </c>
      <c r="O402" s="287"/>
      <c r="Q402" s="48"/>
      <c r="R402" s="48"/>
      <c r="S402" s="48"/>
      <c r="T402" s="48"/>
      <c r="U402" s="48"/>
      <c r="V402" s="48"/>
      <c r="W402" s="48"/>
      <c r="X402" s="48"/>
      <c r="Y402" s="48"/>
      <c r="Z402" s="48"/>
      <c r="AA402" s="48"/>
      <c r="AB402" s="48"/>
      <c r="AC402" s="48"/>
      <c r="AD402" s="48"/>
      <c r="AE402" s="48"/>
    </row>
    <row r="403" spans="1:31" ht="14.4" thickBot="1">
      <c r="A403" s="412">
        <f>ROW()</f>
        <v>403</v>
      </c>
      <c r="B403" s="731" t="s">
        <v>441</v>
      </c>
      <c r="C403" s="732">
        <f>SUM(G403:M403)</f>
        <v>14821777.283999998</v>
      </c>
      <c r="D403" s="1660"/>
      <c r="E403" s="1660"/>
      <c r="F403" s="1660"/>
      <c r="G403" s="732">
        <f t="shared" ref="G403:M403" si="104">G397+G286+G261+G274+G300+G399+G401</f>
        <v>0</v>
      </c>
      <c r="H403" s="732">
        <f t="shared" si="104"/>
        <v>1632365.3640000001</v>
      </c>
      <c r="I403" s="732">
        <f t="shared" si="104"/>
        <v>2179875.048</v>
      </c>
      <c r="J403" s="732">
        <f t="shared" si="104"/>
        <v>2454993.5279999999</v>
      </c>
      <c r="K403" s="732">
        <f t="shared" si="104"/>
        <v>2851514.4479999999</v>
      </c>
      <c r="L403" s="732">
        <f t="shared" si="104"/>
        <v>2851514.4479999999</v>
      </c>
      <c r="M403" s="732">
        <f t="shared" si="104"/>
        <v>2851514.4479999999</v>
      </c>
      <c r="O403" s="287"/>
      <c r="Q403" s="48"/>
      <c r="R403" s="48"/>
      <c r="S403" s="48"/>
      <c r="T403" s="48"/>
      <c r="U403" s="48"/>
      <c r="V403" s="48"/>
      <c r="W403" s="48"/>
      <c r="X403" s="48"/>
      <c r="Y403" s="48"/>
      <c r="Z403" s="48"/>
      <c r="AA403" s="48"/>
      <c r="AB403" s="48"/>
      <c r="AC403" s="48"/>
      <c r="AD403" s="48"/>
      <c r="AE403" s="48"/>
    </row>
    <row r="404" spans="1:31">
      <c r="A404" s="412">
        <f>ROW()</f>
        <v>404</v>
      </c>
      <c r="C404" s="109"/>
      <c r="G404" s="429"/>
      <c r="H404" s="589"/>
      <c r="I404" s="589"/>
      <c r="J404" s="589"/>
      <c r="K404" s="589"/>
      <c r="L404" s="589"/>
      <c r="M404" s="589"/>
      <c r="N404" s="49"/>
      <c r="O404" s="287"/>
      <c r="Q404" s="48"/>
      <c r="R404" s="48"/>
      <c r="S404" s="48"/>
      <c r="T404" s="48"/>
      <c r="U404" s="48"/>
      <c r="V404" s="48"/>
      <c r="W404" s="48"/>
      <c r="X404" s="48"/>
      <c r="Y404" s="48"/>
      <c r="Z404" s="48"/>
      <c r="AA404" s="48"/>
      <c r="AB404" s="48"/>
      <c r="AC404" s="48"/>
      <c r="AD404" s="48"/>
      <c r="AE404" s="48"/>
    </row>
    <row r="405" spans="1:31" ht="15.6">
      <c r="A405" s="412">
        <f>ROW()</f>
        <v>405</v>
      </c>
      <c r="B405" s="1654" t="s">
        <v>442</v>
      </c>
      <c r="C405" s="1661"/>
      <c r="D405" s="1654"/>
      <c r="E405" s="1654"/>
      <c r="F405" s="1654"/>
      <c r="G405" s="1662"/>
      <c r="H405" s="1663"/>
      <c r="I405" s="1663"/>
      <c r="J405" s="1663"/>
      <c r="K405" s="1663"/>
      <c r="L405" s="1663"/>
      <c r="M405" s="1663"/>
      <c r="N405" s="163"/>
      <c r="O405" s="287"/>
      <c r="Q405" s="48"/>
      <c r="R405" s="48"/>
      <c r="S405" s="48"/>
      <c r="T405" s="48"/>
      <c r="U405" s="48"/>
      <c r="V405" s="48"/>
      <c r="W405" s="48"/>
      <c r="X405" s="48"/>
      <c r="Y405" s="48"/>
      <c r="Z405" s="48"/>
      <c r="AA405" s="48"/>
      <c r="AB405" s="48"/>
      <c r="AC405" s="48"/>
      <c r="AD405" s="48"/>
      <c r="AE405" s="48"/>
    </row>
    <row r="406" spans="1:31" ht="15.6">
      <c r="A406" s="412">
        <f>ROW()</f>
        <v>406</v>
      </c>
      <c r="B406" s="94"/>
      <c r="C406" s="110"/>
      <c r="D406" s="94"/>
      <c r="E406" s="94"/>
      <c r="F406" s="94"/>
      <c r="G406" s="429"/>
      <c r="H406" s="589"/>
      <c r="I406" s="589"/>
      <c r="J406" s="589"/>
      <c r="K406" s="589"/>
      <c r="L406" s="589"/>
      <c r="M406" s="589"/>
      <c r="N406" s="163"/>
      <c r="O406" s="287"/>
      <c r="Q406" s="48"/>
      <c r="R406" s="48"/>
      <c r="S406" s="48"/>
      <c r="T406" s="48"/>
      <c r="U406" s="48"/>
      <c r="V406" s="48"/>
      <c r="W406" s="48"/>
      <c r="X406" s="48"/>
      <c r="Y406" s="48"/>
      <c r="Z406" s="48"/>
      <c r="AA406" s="48"/>
      <c r="AB406" s="48"/>
      <c r="AC406" s="48"/>
      <c r="AD406" s="48"/>
      <c r="AE406" s="48"/>
    </row>
    <row r="407" spans="1:31" ht="15.6">
      <c r="A407" s="412">
        <f>ROW()</f>
        <v>407</v>
      </c>
      <c r="B407" s="348" t="s">
        <v>443</v>
      </c>
      <c r="C407" s="1658"/>
      <c r="D407" s="348"/>
      <c r="E407" s="348"/>
      <c r="F407" s="348"/>
      <c r="G407" s="1664"/>
      <c r="H407" s="1665"/>
      <c r="I407" s="1665"/>
      <c r="J407" s="1665"/>
      <c r="K407" s="1665"/>
      <c r="L407" s="1665"/>
      <c r="M407" s="1665"/>
      <c r="N407" s="163"/>
      <c r="O407" s="287"/>
      <c r="Q407" s="48"/>
      <c r="R407" s="48"/>
      <c r="S407" s="48"/>
      <c r="T407" s="48"/>
      <c r="U407" s="48"/>
      <c r="V407" s="48"/>
      <c r="W407" s="48"/>
      <c r="X407" s="48"/>
      <c r="Y407" s="48"/>
      <c r="Z407" s="48"/>
      <c r="AA407" s="48"/>
      <c r="AB407" s="48"/>
      <c r="AC407" s="48"/>
      <c r="AD407" s="48"/>
      <c r="AE407" s="48"/>
    </row>
    <row r="408" spans="1:31" ht="15.6">
      <c r="A408" s="412">
        <f>ROW()</f>
        <v>408</v>
      </c>
      <c r="B408" s="106" t="s">
        <v>505</v>
      </c>
      <c r="C408" s="148"/>
      <c r="D408" s="106"/>
      <c r="E408" s="104"/>
      <c r="F408" s="104"/>
      <c r="G408" s="547">
        <f t="shared" ref="G408:M408" si="105">IFERROR((G24*$C$59*((1+$C$69)^(G$10-$G$10))),0)</f>
        <v>0</v>
      </c>
      <c r="H408" s="743">
        <f t="shared" si="105"/>
        <v>105863.76</v>
      </c>
      <c r="I408" s="547">
        <f t="shared" si="105"/>
        <v>155972.60639999999</v>
      </c>
      <c r="J408" s="547">
        <f t="shared" si="105"/>
        <v>179488.47628799998</v>
      </c>
      <c r="K408" s="547">
        <f t="shared" si="105"/>
        <v>212204.33037504001</v>
      </c>
      <c r="L408" s="547">
        <f t="shared" si="105"/>
        <v>216448.4169825408</v>
      </c>
      <c r="M408" s="547">
        <f t="shared" si="105"/>
        <v>220777.38532219164</v>
      </c>
      <c r="N408" s="163"/>
      <c r="O408" s="287"/>
      <c r="Q408" s="48"/>
      <c r="R408" s="48"/>
      <c r="S408" s="48"/>
      <c r="T408" s="48"/>
      <c r="U408" s="48"/>
      <c r="V408" s="48"/>
      <c r="W408" s="48"/>
      <c r="X408" s="48"/>
      <c r="Y408" s="48"/>
      <c r="Z408" s="48"/>
      <c r="AA408" s="48"/>
      <c r="AB408" s="48"/>
      <c r="AC408" s="48"/>
      <c r="AD408" s="48"/>
      <c r="AE408" s="48"/>
    </row>
    <row r="409" spans="1:31" ht="15.6">
      <c r="A409" s="412">
        <f>ROW()</f>
        <v>409</v>
      </c>
      <c r="B409" s="94"/>
      <c r="C409" s="111"/>
      <c r="D409" s="95"/>
      <c r="E409" s="94"/>
      <c r="F409" s="94"/>
      <c r="G409" s="1402">
        <f>IFERROR(G408/G$403,0)</f>
        <v>0</v>
      </c>
      <c r="H409" s="1402">
        <f>IFERROR(H408/H$403,0)</f>
        <v>6.4852981038869911E-2</v>
      </c>
      <c r="I409" s="1402">
        <f t="shared" ref="I409:M409" si="106">IFERROR(I408/I$403,0)</f>
        <v>7.1551168285128239E-2</v>
      </c>
      <c r="J409" s="1402">
        <f t="shared" si="106"/>
        <v>7.3111588377270859E-2</v>
      </c>
      <c r="K409" s="1402">
        <f t="shared" si="106"/>
        <v>7.4418115091044429E-2</v>
      </c>
      <c r="L409" s="1402">
        <f t="shared" si="106"/>
        <v>7.590647739286531E-2</v>
      </c>
      <c r="M409" s="1402">
        <f t="shared" si="106"/>
        <v>7.7424606940722632E-2</v>
      </c>
      <c r="N409" s="163"/>
      <c r="O409" s="287"/>
      <c r="Q409" s="48"/>
      <c r="R409" s="48"/>
      <c r="S409" s="48"/>
      <c r="T409" s="48"/>
      <c r="U409" s="48"/>
      <c r="V409" s="48"/>
      <c r="W409" s="48"/>
      <c r="X409" s="48"/>
      <c r="Y409" s="48"/>
      <c r="Z409" s="48"/>
      <c r="AA409" s="48"/>
      <c r="AB409" s="48"/>
      <c r="AC409" s="48"/>
      <c r="AD409" s="48"/>
      <c r="AE409" s="48"/>
    </row>
    <row r="410" spans="1:31" ht="15.6">
      <c r="A410" s="412">
        <f>ROW()</f>
        <v>410</v>
      </c>
      <c r="B410" s="348" t="s">
        <v>506</v>
      </c>
      <c r="C410" s="1658"/>
      <c r="D410" s="348"/>
      <c r="E410" s="348"/>
      <c r="F410" s="348"/>
      <c r="G410" s="1664"/>
      <c r="H410" s="1665"/>
      <c r="I410" s="1665"/>
      <c r="J410" s="1665"/>
      <c r="K410" s="1665"/>
      <c r="L410" s="1665"/>
      <c r="M410" s="1665"/>
      <c r="N410" s="163"/>
      <c r="O410" s="287"/>
      <c r="Q410" s="48"/>
      <c r="R410" s="48"/>
      <c r="S410" s="48"/>
      <c r="T410" s="48"/>
      <c r="U410" s="48"/>
      <c r="V410" s="48"/>
      <c r="W410" s="48"/>
      <c r="X410" s="48"/>
      <c r="Y410" s="48"/>
      <c r="Z410" s="48"/>
      <c r="AA410" s="48"/>
      <c r="AB410" s="48"/>
      <c r="AC410" s="48"/>
      <c r="AD410" s="48"/>
      <c r="AE410" s="48"/>
    </row>
    <row r="411" spans="1:31" ht="15.6">
      <c r="A411" s="412">
        <f>ROW()</f>
        <v>411</v>
      </c>
      <c r="B411" s="1666" t="s">
        <v>507</v>
      </c>
      <c r="C411" s="1667"/>
      <c r="D411" s="1666"/>
      <c r="E411" s="1668"/>
      <c r="F411" s="1668"/>
      <c r="G411" s="547">
        <f t="shared" ref="G411:M411" si="107">G403*$C$60</f>
        <v>0</v>
      </c>
      <c r="H411" s="547">
        <f t="shared" si="107"/>
        <v>23669.297778000004</v>
      </c>
      <c r="I411" s="547">
        <f t="shared" si="107"/>
        <v>31608.188195999999</v>
      </c>
      <c r="J411" s="547">
        <f t="shared" si="107"/>
        <v>35597.406155999997</v>
      </c>
      <c r="K411" s="547">
        <f t="shared" si="107"/>
        <v>41346.959496000003</v>
      </c>
      <c r="L411" s="547">
        <f t="shared" si="107"/>
        <v>41346.959496000003</v>
      </c>
      <c r="M411" s="547">
        <f t="shared" si="107"/>
        <v>41346.959496000003</v>
      </c>
      <c r="N411" s="163"/>
      <c r="O411" s="287"/>
      <c r="Q411" s="48"/>
      <c r="R411" s="48"/>
      <c r="S411" s="48"/>
      <c r="T411" s="48"/>
      <c r="U411" s="48"/>
      <c r="V411" s="48"/>
      <c r="W411" s="48"/>
      <c r="X411" s="48"/>
      <c r="Y411" s="48"/>
      <c r="Z411" s="48"/>
      <c r="AA411" s="48"/>
      <c r="AB411" s="48"/>
      <c r="AC411" s="48"/>
      <c r="AD411" s="48"/>
      <c r="AE411" s="48"/>
    </row>
    <row r="412" spans="1:31" ht="15.6">
      <c r="A412" s="412">
        <f>ROW()</f>
        <v>412</v>
      </c>
      <c r="B412" s="94"/>
      <c r="C412" s="111"/>
      <c r="D412" s="95"/>
      <c r="E412" s="94"/>
      <c r="F412" s="94"/>
      <c r="G412" s="1402">
        <f>IFERROR(G411/G$403,0)</f>
        <v>0</v>
      </c>
      <c r="H412" s="1402">
        <f>IFERROR(H411/H$403,0)</f>
        <v>1.4500000000000002E-2</v>
      </c>
      <c r="I412" s="1402">
        <f t="shared" ref="I412:M412" si="108">IFERROR(I411/I$403,0)</f>
        <v>1.4500000000000001E-2</v>
      </c>
      <c r="J412" s="1402">
        <f t="shared" si="108"/>
        <v>1.4499999999999999E-2</v>
      </c>
      <c r="K412" s="1402">
        <f t="shared" si="108"/>
        <v>1.4500000000000002E-2</v>
      </c>
      <c r="L412" s="1402">
        <f t="shared" si="108"/>
        <v>1.4500000000000002E-2</v>
      </c>
      <c r="M412" s="1402">
        <f t="shared" si="108"/>
        <v>1.4500000000000002E-2</v>
      </c>
      <c r="N412" s="163"/>
      <c r="O412" s="287"/>
      <c r="Q412" s="48"/>
      <c r="R412" s="48"/>
      <c r="S412" s="48"/>
      <c r="T412" s="48"/>
      <c r="U412" s="48"/>
      <c r="V412" s="48"/>
      <c r="W412" s="48"/>
      <c r="X412" s="48"/>
      <c r="Y412" s="48"/>
      <c r="Z412" s="48"/>
      <c r="AA412" s="48"/>
      <c r="AB412" s="48"/>
      <c r="AC412" s="48"/>
      <c r="AD412" s="48"/>
      <c r="AE412" s="48"/>
    </row>
    <row r="413" spans="1:31" ht="15.6">
      <c r="A413" s="412">
        <f>ROW()</f>
        <v>413</v>
      </c>
      <c r="B413" s="348" t="s">
        <v>508</v>
      </c>
      <c r="C413" s="1658"/>
      <c r="D413" s="348"/>
      <c r="E413" s="348"/>
      <c r="F413" s="348"/>
      <c r="G413" s="1664"/>
      <c r="H413" s="1665"/>
      <c r="I413" s="1665"/>
      <c r="J413" s="1665"/>
      <c r="K413" s="1665"/>
      <c r="L413" s="1665"/>
      <c r="M413" s="1665"/>
      <c r="N413" s="163"/>
      <c r="O413" s="287"/>
      <c r="Q413" s="48"/>
      <c r="R413" s="48"/>
      <c r="S413" s="48"/>
      <c r="T413" s="48"/>
      <c r="U413" s="48"/>
      <c r="V413" s="48"/>
      <c r="W413" s="48"/>
      <c r="X413" s="48"/>
      <c r="Y413" s="48"/>
      <c r="Z413" s="48"/>
      <c r="AA413" s="48"/>
      <c r="AB413" s="48"/>
      <c r="AC413" s="48"/>
      <c r="AD413" s="48"/>
      <c r="AE413" s="48"/>
    </row>
    <row r="414" spans="1:31" ht="15.6">
      <c r="A414" s="412">
        <f>ROW()</f>
        <v>414</v>
      </c>
      <c r="B414" s="1666" t="s">
        <v>509</v>
      </c>
      <c r="C414" s="1667"/>
      <c r="D414" s="1666"/>
      <c r="E414" s="1668"/>
      <c r="F414" s="1668"/>
      <c r="G414" s="547">
        <f t="shared" ref="G414:M414" si="109">G403*$C$61</f>
        <v>0</v>
      </c>
      <c r="H414" s="547">
        <f t="shared" si="109"/>
        <v>314230.33257000003</v>
      </c>
      <c r="I414" s="547">
        <f t="shared" si="109"/>
        <v>419625.94673999998</v>
      </c>
      <c r="J414" s="547">
        <f t="shared" si="109"/>
        <v>472586.25413999998</v>
      </c>
      <c r="K414" s="547">
        <f t="shared" si="109"/>
        <v>548916.53124000004</v>
      </c>
      <c r="L414" s="547">
        <f t="shared" si="109"/>
        <v>548916.53124000004</v>
      </c>
      <c r="M414" s="547">
        <f t="shared" si="109"/>
        <v>548916.53124000004</v>
      </c>
      <c r="N414" s="163"/>
      <c r="O414" s="287"/>
      <c r="Q414" s="48"/>
      <c r="R414" s="48"/>
      <c r="S414" s="48"/>
      <c r="T414" s="48"/>
      <c r="U414" s="48"/>
      <c r="V414" s="48"/>
      <c r="W414" s="48"/>
      <c r="X414" s="48"/>
      <c r="Y414" s="48"/>
      <c r="Z414" s="48"/>
      <c r="AA414" s="48"/>
      <c r="AB414" s="48"/>
      <c r="AC414" s="48"/>
      <c r="AD414" s="48"/>
      <c r="AE414" s="48"/>
    </row>
    <row r="415" spans="1:31" ht="15.6">
      <c r="A415" s="412">
        <f>ROW()</f>
        <v>415</v>
      </c>
      <c r="B415" s="94"/>
      <c r="C415" s="111"/>
      <c r="D415" s="95"/>
      <c r="E415" s="94"/>
      <c r="F415" s="94"/>
      <c r="G415" s="1402">
        <f>IFERROR(G414/G$403,0)</f>
        <v>0</v>
      </c>
      <c r="H415" s="1402">
        <f>IFERROR(H414/H$403,0)</f>
        <v>0.1925</v>
      </c>
      <c r="I415" s="1402">
        <f t="shared" ref="I415:M415" si="110">IFERROR(I414/I$403,0)</f>
        <v>0.1925</v>
      </c>
      <c r="J415" s="1402">
        <f t="shared" si="110"/>
        <v>0.1925</v>
      </c>
      <c r="K415" s="1402">
        <f t="shared" si="110"/>
        <v>0.19250000000000003</v>
      </c>
      <c r="L415" s="1402">
        <f t="shared" si="110"/>
        <v>0.19250000000000003</v>
      </c>
      <c r="M415" s="1402">
        <f t="shared" si="110"/>
        <v>0.19250000000000003</v>
      </c>
      <c r="N415" s="163"/>
      <c r="O415" s="287"/>
      <c r="Q415" s="48"/>
      <c r="R415" s="48"/>
      <c r="S415" s="48"/>
      <c r="T415" s="48"/>
      <c r="U415" s="48"/>
      <c r="V415" s="48"/>
      <c r="W415" s="48"/>
      <c r="X415" s="48"/>
      <c r="Y415" s="48"/>
      <c r="Z415" s="48"/>
      <c r="AA415" s="48"/>
      <c r="AB415" s="48"/>
      <c r="AC415" s="48"/>
      <c r="AD415" s="48"/>
      <c r="AE415" s="48"/>
    </row>
    <row r="416" spans="1:31" ht="15.6">
      <c r="A416" s="412">
        <f>ROW()</f>
        <v>416</v>
      </c>
      <c r="B416" s="348" t="s">
        <v>466</v>
      </c>
      <c r="C416" s="1658"/>
      <c r="D416" s="348"/>
      <c r="E416" s="348"/>
      <c r="F416" s="348"/>
      <c r="G416" s="1664"/>
      <c r="H416" s="1665"/>
      <c r="I416" s="1665"/>
      <c r="J416" s="1665"/>
      <c r="K416" s="1665"/>
      <c r="L416" s="1665"/>
      <c r="M416" s="1665"/>
      <c r="N416" s="163"/>
      <c r="O416" s="287"/>
      <c r="Q416" s="48"/>
      <c r="R416" s="48"/>
      <c r="S416" s="48"/>
      <c r="T416" s="48"/>
      <c r="U416" s="48"/>
      <c r="V416" s="48"/>
      <c r="W416" s="48"/>
      <c r="X416" s="48"/>
      <c r="Y416" s="48"/>
      <c r="Z416" s="48"/>
      <c r="AA416" s="48"/>
      <c r="AB416" s="48"/>
      <c r="AC416" s="48"/>
      <c r="AD416" s="48"/>
      <c r="AE416" s="48"/>
    </row>
    <row r="417" spans="1:31" ht="15.6">
      <c r="A417" s="412">
        <f>ROW()</f>
        <v>417</v>
      </c>
      <c r="B417" s="1666" t="s">
        <v>510</v>
      </c>
      <c r="C417" s="1667"/>
      <c r="D417" s="1666"/>
      <c r="E417" s="1668"/>
      <c r="F417" s="1668"/>
      <c r="G417" s="547">
        <f t="shared" ref="G417:M417" si="111">G403*$C$62</f>
        <v>0</v>
      </c>
      <c r="H417" s="547">
        <f t="shared" si="111"/>
        <v>4080.9134100000001</v>
      </c>
      <c r="I417" s="547">
        <f t="shared" si="111"/>
        <v>5449.6876199999997</v>
      </c>
      <c r="J417" s="547">
        <f t="shared" si="111"/>
        <v>6137.4838200000004</v>
      </c>
      <c r="K417" s="547">
        <f t="shared" si="111"/>
        <v>7128.7861199999998</v>
      </c>
      <c r="L417" s="547">
        <f t="shared" si="111"/>
        <v>7128.7861199999998</v>
      </c>
      <c r="M417" s="547">
        <f t="shared" si="111"/>
        <v>7128.7861199999998</v>
      </c>
      <c r="N417" s="163"/>
      <c r="O417" s="287"/>
      <c r="Q417" s="48"/>
      <c r="R417" s="48"/>
      <c r="S417" s="48"/>
      <c r="T417" s="48"/>
      <c r="U417" s="48"/>
      <c r="V417" s="48"/>
      <c r="W417" s="48"/>
      <c r="X417" s="48"/>
      <c r="Y417" s="48"/>
      <c r="Z417" s="48"/>
      <c r="AA417" s="48"/>
      <c r="AB417" s="48"/>
      <c r="AC417" s="48"/>
      <c r="AD417" s="48"/>
      <c r="AE417" s="48"/>
    </row>
    <row r="418" spans="1:31" ht="15.6">
      <c r="A418" s="412">
        <f>ROW()</f>
        <v>418</v>
      </c>
      <c r="B418" s="30"/>
      <c r="C418" s="112"/>
      <c r="D418" s="30"/>
      <c r="G418" s="1402">
        <f>IFERROR(G417/G$403,0)</f>
        <v>0</v>
      </c>
      <c r="H418" s="1402">
        <f>IFERROR(H417/H$403,0)</f>
        <v>2.5000000000000001E-3</v>
      </c>
      <c r="I418" s="1402">
        <f t="shared" ref="I418:M418" si="112">IFERROR(I417/I$403,0)</f>
        <v>2.5000000000000001E-3</v>
      </c>
      <c r="J418" s="1402">
        <f t="shared" si="112"/>
        <v>2.5000000000000001E-3</v>
      </c>
      <c r="K418" s="1402">
        <f t="shared" si="112"/>
        <v>2.5000000000000001E-3</v>
      </c>
      <c r="L418" s="1402">
        <f t="shared" si="112"/>
        <v>2.5000000000000001E-3</v>
      </c>
      <c r="M418" s="1402">
        <f t="shared" si="112"/>
        <v>2.5000000000000001E-3</v>
      </c>
      <c r="N418" s="163"/>
      <c r="O418" s="287"/>
      <c r="Q418" s="48"/>
      <c r="R418" s="48"/>
      <c r="S418" s="48"/>
      <c r="T418" s="48"/>
      <c r="U418" s="48"/>
      <c r="V418" s="48"/>
      <c r="W418" s="48"/>
      <c r="X418" s="48"/>
      <c r="Y418" s="48"/>
      <c r="Z418" s="48"/>
      <c r="AA418" s="48"/>
      <c r="AB418" s="48"/>
      <c r="AC418" s="48"/>
      <c r="AD418" s="48"/>
      <c r="AE418" s="48"/>
    </row>
    <row r="419" spans="1:31" ht="15.6">
      <c r="A419" s="412">
        <f>ROW()</f>
        <v>419</v>
      </c>
      <c r="B419" s="348" t="s">
        <v>1205</v>
      </c>
      <c r="C419" s="1658"/>
      <c r="D419" s="348"/>
      <c r="E419" s="348"/>
      <c r="F419" s="348"/>
      <c r="G419" s="1664"/>
      <c r="H419" s="1665"/>
      <c r="I419" s="1665"/>
      <c r="J419" s="1665"/>
      <c r="K419" s="1665"/>
      <c r="L419" s="1665"/>
      <c r="M419" s="1665"/>
      <c r="N419" s="163"/>
      <c r="O419" s="287"/>
      <c r="Q419" s="48"/>
      <c r="R419" s="48"/>
      <c r="S419" s="48"/>
      <c r="T419" s="48"/>
      <c r="U419" s="48"/>
      <c r="V419" s="48"/>
      <c r="W419" s="48"/>
      <c r="X419" s="48"/>
      <c r="Y419" s="48"/>
      <c r="Z419" s="48"/>
      <c r="AA419" s="48"/>
      <c r="AB419" s="48"/>
      <c r="AC419" s="48"/>
      <c r="AD419" s="48"/>
      <c r="AE419" s="48"/>
    </row>
    <row r="420" spans="1:31" ht="15.6">
      <c r="A420" s="412">
        <f>ROW()</f>
        <v>420</v>
      </c>
      <c r="B420" s="147" t="s">
        <v>1206</v>
      </c>
      <c r="C420" s="148"/>
      <c r="D420" s="106"/>
      <c r="E420" s="104"/>
      <c r="F420" s="104"/>
      <c r="G420" s="547">
        <f t="shared" ref="G420:M420" si="113">G24*$C$63</f>
        <v>0</v>
      </c>
      <c r="H420" s="547">
        <f t="shared" si="113"/>
        <v>0</v>
      </c>
      <c r="I420" s="547">
        <f t="shared" si="113"/>
        <v>0</v>
      </c>
      <c r="J420" s="547">
        <f t="shared" si="113"/>
        <v>0</v>
      </c>
      <c r="K420" s="547">
        <f t="shared" si="113"/>
        <v>0</v>
      </c>
      <c r="L420" s="547">
        <f t="shared" si="113"/>
        <v>0</v>
      </c>
      <c r="M420" s="547">
        <f t="shared" si="113"/>
        <v>0</v>
      </c>
      <c r="N420" s="163"/>
      <c r="O420" s="287"/>
      <c r="Q420" s="48"/>
      <c r="R420" s="48"/>
      <c r="S420" s="48"/>
      <c r="T420" s="48"/>
      <c r="U420" s="48"/>
      <c r="V420" s="48"/>
      <c r="W420" s="48"/>
      <c r="X420" s="48"/>
      <c r="Y420" s="48"/>
      <c r="Z420" s="48"/>
      <c r="AA420" s="48"/>
      <c r="AB420" s="48"/>
      <c r="AC420" s="48"/>
      <c r="AD420" s="48"/>
      <c r="AE420" s="48"/>
    </row>
    <row r="421" spans="1:31" ht="15.6">
      <c r="A421" s="412">
        <f>ROW()</f>
        <v>421</v>
      </c>
      <c r="B421" s="30"/>
      <c r="C421" s="112"/>
      <c r="D421" s="30"/>
      <c r="G421" s="1402">
        <f>IFERROR(G420/G$403,0)</f>
        <v>0</v>
      </c>
      <c r="H421" s="1402">
        <f>IFERROR(H420/H$403,0)</f>
        <v>0</v>
      </c>
      <c r="I421" s="1402">
        <f t="shared" ref="I421:M421" si="114">IFERROR(I420/I$403,0)</f>
        <v>0</v>
      </c>
      <c r="J421" s="1402">
        <f t="shared" si="114"/>
        <v>0</v>
      </c>
      <c r="K421" s="1402">
        <f t="shared" si="114"/>
        <v>0</v>
      </c>
      <c r="L421" s="1402">
        <f t="shared" si="114"/>
        <v>0</v>
      </c>
      <c r="M421" s="1402">
        <f t="shared" si="114"/>
        <v>0</v>
      </c>
      <c r="N421" s="163"/>
      <c r="O421" s="287"/>
      <c r="Q421" s="48"/>
      <c r="R421" s="48"/>
      <c r="S421" s="48"/>
      <c r="T421" s="48"/>
      <c r="U421" s="48"/>
      <c r="V421" s="48"/>
      <c r="W421" s="48"/>
      <c r="X421" s="48"/>
      <c r="Y421" s="48"/>
      <c r="Z421" s="48"/>
      <c r="AA421" s="48"/>
      <c r="AB421" s="48"/>
      <c r="AC421" s="48"/>
      <c r="AD421" s="48"/>
      <c r="AE421" s="48"/>
    </row>
    <row r="422" spans="1:31" ht="15.6">
      <c r="A422" s="412">
        <f>ROW()</f>
        <v>422</v>
      </c>
      <c r="B422" s="348" t="s">
        <v>469</v>
      </c>
      <c r="C422" s="1658"/>
      <c r="D422" s="348"/>
      <c r="E422" s="348"/>
      <c r="F422" s="348"/>
      <c r="G422" s="1664"/>
      <c r="H422" s="1665"/>
      <c r="I422" s="1665"/>
      <c r="J422" s="1665"/>
      <c r="K422" s="1665"/>
      <c r="L422" s="1665"/>
      <c r="M422" s="1665"/>
      <c r="N422" s="163"/>
      <c r="O422" s="287"/>
      <c r="Q422" s="48"/>
      <c r="R422" s="48"/>
      <c r="S422" s="48"/>
      <c r="T422" s="48"/>
      <c r="U422" s="48"/>
      <c r="V422" s="48"/>
      <c r="W422" s="48"/>
      <c r="X422" s="48"/>
      <c r="Y422" s="48"/>
      <c r="Z422" s="48"/>
      <c r="AA422" s="48"/>
      <c r="AB422" s="48"/>
      <c r="AC422" s="48"/>
      <c r="AD422" s="48"/>
      <c r="AE422" s="48"/>
    </row>
    <row r="423" spans="1:31" ht="15.6">
      <c r="A423" s="412">
        <f>ROW()</f>
        <v>423</v>
      </c>
      <c r="B423" s="106" t="s">
        <v>511</v>
      </c>
      <c r="C423" s="148"/>
      <c r="D423" s="106"/>
      <c r="E423" s="104"/>
      <c r="F423" s="104"/>
      <c r="G423" s="547">
        <f>G403*$C$64</f>
        <v>0</v>
      </c>
      <c r="H423" s="547">
        <f t="shared" ref="H423:M423" si="115">H403*$C$64</f>
        <v>48154.778237999999</v>
      </c>
      <c r="I423" s="547">
        <f t="shared" si="115"/>
        <v>64306.313915999992</v>
      </c>
      <c r="J423" s="547">
        <f t="shared" si="115"/>
        <v>72422.30907599999</v>
      </c>
      <c r="K423" s="547">
        <f t="shared" si="115"/>
        <v>84119.676215999993</v>
      </c>
      <c r="L423" s="547">
        <f t="shared" si="115"/>
        <v>84119.676215999993</v>
      </c>
      <c r="M423" s="547">
        <f t="shared" si="115"/>
        <v>84119.676215999993</v>
      </c>
      <c r="N423" s="163"/>
      <c r="O423" s="287"/>
      <c r="Q423" s="48"/>
      <c r="R423" s="48"/>
      <c r="S423" s="48"/>
      <c r="T423" s="48"/>
      <c r="U423" s="48"/>
      <c r="V423" s="48"/>
      <c r="W423" s="48"/>
      <c r="X423" s="48"/>
      <c r="Y423" s="48"/>
      <c r="Z423" s="48"/>
      <c r="AA423" s="48"/>
      <c r="AB423" s="48"/>
      <c r="AC423" s="48"/>
      <c r="AD423" s="48"/>
      <c r="AE423" s="48"/>
    </row>
    <row r="424" spans="1:31">
      <c r="A424" s="412">
        <f>ROW()</f>
        <v>424</v>
      </c>
      <c r="B424" s="30"/>
      <c r="C424" s="112"/>
      <c r="D424" s="30"/>
      <c r="G424" s="1402">
        <f>IFERROR(G423/G$403,0)</f>
        <v>0</v>
      </c>
      <c r="H424" s="1402">
        <f>IFERROR(H423/H$403,0)</f>
        <v>2.9499999999999998E-2</v>
      </c>
      <c r="I424" s="1402">
        <f t="shared" ref="I424:M424" si="116">IFERROR(I423/I$403,0)</f>
        <v>2.9499999999999998E-2</v>
      </c>
      <c r="J424" s="1402">
        <f t="shared" si="116"/>
        <v>2.9499999999999998E-2</v>
      </c>
      <c r="K424" s="1402">
        <f t="shared" si="116"/>
        <v>2.9499999999999998E-2</v>
      </c>
      <c r="L424" s="1402">
        <f t="shared" si="116"/>
        <v>2.9499999999999998E-2</v>
      </c>
      <c r="M424" s="1402">
        <f t="shared" si="116"/>
        <v>2.9499999999999998E-2</v>
      </c>
      <c r="O424" s="287"/>
      <c r="Q424" s="48"/>
      <c r="R424" s="48"/>
      <c r="S424" s="48"/>
      <c r="T424" s="48"/>
      <c r="U424" s="48"/>
      <c r="V424" s="48"/>
      <c r="W424" s="48"/>
      <c r="X424" s="48"/>
      <c r="Y424" s="48"/>
      <c r="Z424" s="48"/>
      <c r="AA424" s="48"/>
      <c r="AB424" s="48"/>
      <c r="AC424" s="48"/>
      <c r="AD424" s="48"/>
      <c r="AE424" s="48"/>
    </row>
    <row r="425" spans="1:31" ht="15.6">
      <c r="A425" s="412">
        <f>ROW()</f>
        <v>425</v>
      </c>
      <c r="B425" s="348" t="s">
        <v>470</v>
      </c>
      <c r="C425" s="1658"/>
      <c r="D425" s="348"/>
      <c r="E425" s="348"/>
      <c r="F425" s="348"/>
      <c r="G425" s="1664"/>
      <c r="H425" s="1665"/>
      <c r="I425" s="1665"/>
      <c r="J425" s="1665"/>
      <c r="K425" s="1665"/>
      <c r="L425" s="1665"/>
      <c r="M425" s="1665"/>
      <c r="O425" s="287"/>
      <c r="Q425" s="48"/>
      <c r="R425" s="48"/>
      <c r="S425" s="48"/>
      <c r="T425" s="48"/>
      <c r="U425" s="48"/>
      <c r="V425" s="48"/>
      <c r="W425" s="48"/>
      <c r="X425" s="48"/>
      <c r="Y425" s="48"/>
      <c r="Z425" s="48"/>
      <c r="AA425" s="48"/>
      <c r="AB425" s="48"/>
      <c r="AC425" s="48"/>
      <c r="AD425" s="48"/>
      <c r="AE425" s="48"/>
    </row>
    <row r="426" spans="1:31">
      <c r="A426" s="412">
        <f>ROW()</f>
        <v>426</v>
      </c>
      <c r="B426" s="106" t="s">
        <v>512</v>
      </c>
      <c r="C426" s="148"/>
      <c r="D426" s="106"/>
      <c r="E426" s="104"/>
      <c r="F426" s="104"/>
      <c r="G426" s="547">
        <f>G403*$C$65</f>
        <v>0</v>
      </c>
      <c r="H426" s="547">
        <f t="shared" ref="H426:M426" si="117">H403*$C$65</f>
        <v>14528.0517396</v>
      </c>
      <c r="I426" s="547">
        <f t="shared" si="117"/>
        <v>19400.887927199998</v>
      </c>
      <c r="J426" s="547">
        <f t="shared" si="117"/>
        <v>21849.442399199997</v>
      </c>
      <c r="K426" s="547">
        <f t="shared" si="117"/>
        <v>25378.478587199999</v>
      </c>
      <c r="L426" s="547">
        <f t="shared" si="117"/>
        <v>25378.478587199999</v>
      </c>
      <c r="M426" s="547">
        <f t="shared" si="117"/>
        <v>25378.478587199999</v>
      </c>
      <c r="O426" s="287"/>
      <c r="Q426" s="48"/>
      <c r="R426" s="48"/>
      <c r="S426" s="48"/>
      <c r="T426" s="48"/>
      <c r="U426" s="48"/>
      <c r="V426" s="48"/>
      <c r="W426" s="48"/>
      <c r="X426" s="48"/>
      <c r="Y426" s="48"/>
      <c r="Z426" s="48"/>
      <c r="AA426" s="48"/>
      <c r="AB426" s="48"/>
      <c r="AC426" s="48"/>
      <c r="AD426" s="48"/>
      <c r="AE426" s="48"/>
    </row>
    <row r="427" spans="1:31" ht="14.4" thickBot="1">
      <c r="A427" s="412">
        <f>ROW()</f>
        <v>427</v>
      </c>
      <c r="C427" s="109"/>
      <c r="E427" s="58"/>
      <c r="F427" s="58"/>
      <c r="G427" s="1402">
        <f>IFERROR(G426/G$403,0)</f>
        <v>0</v>
      </c>
      <c r="H427" s="1402">
        <f>IFERROR(H426/H$403,0)</f>
        <v>8.8999999999999999E-3</v>
      </c>
      <c r="I427" s="1402">
        <f t="shared" ref="I427:M427" si="118">IFERROR(I426/I$403,0)</f>
        <v>8.8999999999999999E-3</v>
      </c>
      <c r="J427" s="1402">
        <f t="shared" si="118"/>
        <v>8.8999999999999999E-3</v>
      </c>
      <c r="K427" s="1402">
        <f t="shared" si="118"/>
        <v>8.8999999999999999E-3</v>
      </c>
      <c r="L427" s="1402">
        <f t="shared" si="118"/>
        <v>8.8999999999999999E-3</v>
      </c>
      <c r="M427" s="1402">
        <f t="shared" si="118"/>
        <v>8.8999999999999999E-3</v>
      </c>
      <c r="O427" s="287"/>
      <c r="Q427" s="48"/>
      <c r="R427" s="48"/>
      <c r="S427" s="48"/>
      <c r="T427" s="48"/>
      <c r="U427" s="48"/>
      <c r="V427" s="48"/>
      <c r="W427" s="48"/>
      <c r="X427" s="48"/>
      <c r="Y427" s="48"/>
      <c r="Z427" s="48"/>
      <c r="AA427" s="48"/>
      <c r="AB427" s="48"/>
      <c r="AC427" s="48"/>
      <c r="AD427" s="48"/>
      <c r="AE427" s="48"/>
    </row>
    <row r="428" spans="1:31" ht="14.4" thickBot="1">
      <c r="A428" s="412">
        <f>ROW()</f>
        <v>428</v>
      </c>
      <c r="B428" s="731" t="s">
        <v>513</v>
      </c>
      <c r="C428" s="732"/>
      <c r="D428" s="1660"/>
      <c r="E428" s="1660"/>
      <c r="F428" s="1660"/>
      <c r="G428" s="732">
        <f t="shared" ref="G428:M428" si="119">G423+G420+G417+G414+G411+G408+G426</f>
        <v>0</v>
      </c>
      <c r="H428" s="732">
        <f t="shared" si="119"/>
        <v>510527.13373560004</v>
      </c>
      <c r="I428" s="732">
        <f t="shared" si="119"/>
        <v>696363.63079919992</v>
      </c>
      <c r="J428" s="732">
        <f t="shared" si="119"/>
        <v>788081.37187919999</v>
      </c>
      <c r="K428" s="732">
        <f t="shared" si="119"/>
        <v>919094.76203424006</v>
      </c>
      <c r="L428" s="732">
        <f t="shared" si="119"/>
        <v>923338.84864174074</v>
      </c>
      <c r="M428" s="732">
        <f t="shared" si="119"/>
        <v>927667.81698139163</v>
      </c>
      <c r="O428" s="287"/>
      <c r="Q428" s="48"/>
      <c r="R428" s="48"/>
      <c r="S428" s="48"/>
      <c r="T428" s="48"/>
      <c r="U428" s="48"/>
      <c r="V428" s="48"/>
      <c r="W428" s="48"/>
      <c r="X428" s="48"/>
      <c r="Y428" s="48"/>
      <c r="Z428" s="48"/>
      <c r="AA428" s="48"/>
      <c r="AB428" s="48"/>
      <c r="AC428" s="48"/>
      <c r="AD428" s="48"/>
      <c r="AE428" s="48"/>
    </row>
    <row r="429" spans="1:31">
      <c r="A429" s="412">
        <f>ROW()</f>
        <v>429</v>
      </c>
      <c r="B429" s="74" t="s">
        <v>514</v>
      </c>
      <c r="C429" s="113"/>
      <c r="D429" s="74"/>
      <c r="E429" s="74"/>
      <c r="F429" s="74"/>
      <c r="G429" s="1669">
        <f>IFERROR(G428/G$403,0)</f>
        <v>0</v>
      </c>
      <c r="H429" s="1669">
        <f>IFERROR(H428/H$403,0)</f>
        <v>0.31275298103886995</v>
      </c>
      <c r="I429" s="1669">
        <f t="shared" ref="I429:M429" si="120">IFERROR(I428/I$403,0)</f>
        <v>0.31945116828512821</v>
      </c>
      <c r="J429" s="1669">
        <f t="shared" si="120"/>
        <v>0.3210115883772709</v>
      </c>
      <c r="K429" s="1669">
        <f t="shared" si="120"/>
        <v>0.32231811509104447</v>
      </c>
      <c r="L429" s="1669">
        <f t="shared" si="120"/>
        <v>0.32380647739286528</v>
      </c>
      <c r="M429" s="1669">
        <f t="shared" si="120"/>
        <v>0.32532460694072263</v>
      </c>
      <c r="N429" s="74"/>
      <c r="O429" s="287"/>
      <c r="Q429" s="48"/>
      <c r="R429" s="48"/>
      <c r="S429" s="48"/>
      <c r="T429" s="48"/>
      <c r="U429" s="48"/>
      <c r="V429" s="48"/>
      <c r="W429" s="48"/>
      <c r="X429" s="48"/>
      <c r="Y429" s="48"/>
      <c r="Z429" s="48"/>
      <c r="AA429" s="48"/>
      <c r="AB429" s="48"/>
      <c r="AC429" s="48"/>
      <c r="AD429" s="48"/>
      <c r="AE429" s="48"/>
    </row>
    <row r="430" spans="1:31">
      <c r="A430" s="412">
        <f>ROW()</f>
        <v>430</v>
      </c>
      <c r="C430" s="109"/>
      <c r="G430" s="48"/>
      <c r="H430" s="48"/>
      <c r="I430" s="48"/>
      <c r="J430" s="48"/>
      <c r="K430" s="48"/>
      <c r="L430" s="48"/>
      <c r="M430" s="48"/>
      <c r="O430" s="287"/>
      <c r="Q430" s="48"/>
      <c r="R430" s="48"/>
      <c r="S430" s="48"/>
      <c r="T430" s="48"/>
      <c r="U430" s="48"/>
      <c r="V430" s="48"/>
      <c r="W430" s="48"/>
      <c r="X430" s="48"/>
      <c r="Y430" s="48"/>
      <c r="Z430" s="48"/>
      <c r="AA430" s="48"/>
      <c r="AB430" s="48"/>
      <c r="AC430" s="48"/>
      <c r="AD430" s="48"/>
      <c r="AE430" s="48"/>
    </row>
    <row r="431" spans="1:31">
      <c r="A431" s="412">
        <f>ROW()</f>
        <v>431</v>
      </c>
      <c r="B431" s="1308" t="s">
        <v>1231</v>
      </c>
      <c r="C431" s="116"/>
      <c r="D431" s="58"/>
      <c r="E431" s="58"/>
      <c r="F431" s="58"/>
      <c r="G431" s="1670"/>
      <c r="H431" s="1670"/>
      <c r="I431" s="1670"/>
      <c r="J431" s="1670"/>
      <c r="K431" s="1670"/>
      <c r="L431" s="1670"/>
      <c r="M431" s="1670"/>
      <c r="O431" s="287"/>
      <c r="Q431" s="48"/>
      <c r="R431" s="48"/>
      <c r="S431" s="48"/>
      <c r="T431" s="48"/>
      <c r="U431" s="48"/>
      <c r="V431" s="48"/>
      <c r="W431" s="48"/>
      <c r="X431" s="48"/>
      <c r="Y431" s="48"/>
      <c r="Z431" s="48"/>
      <c r="AA431" s="48"/>
      <c r="AB431" s="48"/>
      <c r="AC431" s="48"/>
      <c r="AD431" s="48"/>
      <c r="AE431" s="48"/>
    </row>
    <row r="432" spans="1:31">
      <c r="A432" s="412">
        <f>ROW()</f>
        <v>432</v>
      </c>
      <c r="C432" s="109"/>
      <c r="G432" s="48"/>
      <c r="H432" s="48"/>
      <c r="I432" s="48"/>
      <c r="J432" s="48"/>
      <c r="K432" s="48"/>
      <c r="L432" s="48"/>
      <c r="M432" s="48"/>
      <c r="O432" s="287"/>
      <c r="Q432" s="48"/>
      <c r="R432" s="48"/>
      <c r="S432" s="48"/>
      <c r="T432" s="48"/>
      <c r="U432" s="48"/>
      <c r="V432" s="48"/>
      <c r="W432" s="48"/>
      <c r="X432" s="48"/>
      <c r="Y432" s="48"/>
      <c r="Z432" s="48"/>
      <c r="AA432" s="48"/>
      <c r="AB432" s="48"/>
      <c r="AC432" s="48"/>
      <c r="AD432" s="48"/>
      <c r="AE432" s="48"/>
    </row>
    <row r="433" spans="1:31">
      <c r="A433" s="412">
        <f>ROW()</f>
        <v>433</v>
      </c>
      <c r="B433" s="30" t="s">
        <v>1233</v>
      </c>
      <c r="C433" s="109"/>
      <c r="G433" s="48"/>
      <c r="H433" s="48"/>
      <c r="I433" s="48"/>
      <c r="J433" s="48"/>
      <c r="K433" s="48"/>
      <c r="L433" s="48"/>
      <c r="M433" s="48"/>
      <c r="O433" s="287"/>
      <c r="Q433" s="48"/>
      <c r="R433" s="48"/>
      <c r="S433" s="48"/>
      <c r="T433" s="48"/>
      <c r="U433" s="48"/>
      <c r="V433" s="48"/>
      <c r="W433" s="48"/>
      <c r="X433" s="48"/>
      <c r="Y433" s="48"/>
      <c r="Z433" s="48"/>
      <c r="AA433" s="48"/>
      <c r="AB433" s="48"/>
      <c r="AC433" s="48"/>
      <c r="AD433" s="48"/>
      <c r="AE433" s="48"/>
    </row>
    <row r="434" spans="1:31">
      <c r="A434" s="412">
        <f>ROW()</f>
        <v>434</v>
      </c>
      <c r="B434" s="32" t="s">
        <v>1232</v>
      </c>
      <c r="C434" s="109"/>
      <c r="G434" s="1407">
        <v>0</v>
      </c>
      <c r="H434" s="1407">
        <v>0</v>
      </c>
      <c r="I434" s="1407">
        <v>0</v>
      </c>
      <c r="J434" s="1407">
        <v>0</v>
      </c>
      <c r="K434" s="1407">
        <v>0</v>
      </c>
      <c r="L434" s="1407">
        <v>0</v>
      </c>
      <c r="M434" s="1407">
        <v>0</v>
      </c>
      <c r="O434" s="287"/>
      <c r="Q434" s="48"/>
      <c r="R434" s="48"/>
      <c r="S434" s="48"/>
      <c r="T434" s="48"/>
      <c r="U434" s="48"/>
      <c r="V434" s="48"/>
      <c r="W434" s="48"/>
      <c r="X434" s="48"/>
      <c r="Y434" s="48"/>
      <c r="Z434" s="48"/>
      <c r="AA434" s="48"/>
      <c r="AB434" s="48"/>
      <c r="AC434" s="48"/>
      <c r="AD434" s="48"/>
      <c r="AE434" s="48"/>
    </row>
    <row r="435" spans="1:31">
      <c r="A435" s="412">
        <f>ROW()</f>
        <v>435</v>
      </c>
      <c r="B435" s="32" t="s">
        <v>1236</v>
      </c>
      <c r="C435" s="109"/>
      <c r="G435" s="1406">
        <v>0</v>
      </c>
      <c r="H435" s="1406">
        <v>0</v>
      </c>
      <c r="I435" s="1406">
        <v>0</v>
      </c>
      <c r="J435" s="1406">
        <v>0</v>
      </c>
      <c r="K435" s="1406">
        <v>0</v>
      </c>
      <c r="L435" s="1406">
        <v>0</v>
      </c>
      <c r="M435" s="1406">
        <v>0</v>
      </c>
      <c r="O435" s="287"/>
      <c r="Q435" s="48"/>
      <c r="R435" s="48"/>
      <c r="S435" s="48"/>
      <c r="T435" s="48"/>
      <c r="U435" s="48"/>
      <c r="V435" s="48"/>
      <c r="W435" s="48"/>
      <c r="X435" s="48"/>
      <c r="Y435" s="48"/>
      <c r="Z435" s="48"/>
      <c r="AA435" s="48"/>
      <c r="AB435" s="48"/>
      <c r="AC435" s="48"/>
      <c r="AD435" s="48"/>
      <c r="AE435" s="48"/>
    </row>
    <row r="436" spans="1:31">
      <c r="A436" s="412">
        <f>ROW()</f>
        <v>436</v>
      </c>
      <c r="B436" s="32" t="s">
        <v>1237</v>
      </c>
      <c r="C436" s="1408">
        <v>0</v>
      </c>
      <c r="D436" s="74"/>
      <c r="G436" s="1409">
        <f>+G435*$C$436</f>
        <v>0</v>
      </c>
      <c r="H436" s="1409">
        <f t="shared" ref="H436:M436" si="121">+H435*$C$436</f>
        <v>0</v>
      </c>
      <c r="I436" s="1409">
        <f t="shared" si="121"/>
        <v>0</v>
      </c>
      <c r="J436" s="1409">
        <f t="shared" si="121"/>
        <v>0</v>
      </c>
      <c r="K436" s="1409">
        <f t="shared" si="121"/>
        <v>0</v>
      </c>
      <c r="L436" s="1409">
        <f t="shared" si="121"/>
        <v>0</v>
      </c>
      <c r="M436" s="1409">
        <f t="shared" si="121"/>
        <v>0</v>
      </c>
      <c r="O436" s="287"/>
      <c r="Q436" s="48"/>
      <c r="R436" s="48"/>
      <c r="S436" s="48"/>
      <c r="T436" s="48"/>
      <c r="U436" s="48"/>
      <c r="V436" s="48"/>
      <c r="W436" s="48"/>
      <c r="X436" s="48"/>
      <c r="Y436" s="48"/>
      <c r="Z436" s="48"/>
      <c r="AA436" s="48"/>
      <c r="AB436" s="48"/>
      <c r="AC436" s="48"/>
      <c r="AD436" s="48"/>
      <c r="AE436" s="48"/>
    </row>
    <row r="437" spans="1:31">
      <c r="A437" s="412">
        <f>ROW()</f>
        <v>437</v>
      </c>
      <c r="B437" s="32" t="s">
        <v>1235</v>
      </c>
      <c r="C437" s="109"/>
      <c r="G437" s="1411">
        <f>+G435+G436</f>
        <v>0</v>
      </c>
      <c r="H437" s="1411">
        <f t="shared" ref="H437:M437" si="122">+H435+H436</f>
        <v>0</v>
      </c>
      <c r="I437" s="1411">
        <f t="shared" si="122"/>
        <v>0</v>
      </c>
      <c r="J437" s="1411">
        <f t="shared" si="122"/>
        <v>0</v>
      </c>
      <c r="K437" s="1411">
        <f t="shared" si="122"/>
        <v>0</v>
      </c>
      <c r="L437" s="1411">
        <f t="shared" si="122"/>
        <v>0</v>
      </c>
      <c r="M437" s="1411">
        <f t="shared" si="122"/>
        <v>0</v>
      </c>
      <c r="O437" s="287"/>
      <c r="Q437" s="48"/>
      <c r="R437" s="48"/>
      <c r="S437" s="48"/>
      <c r="T437" s="48"/>
      <c r="U437" s="48"/>
      <c r="V437" s="48"/>
      <c r="W437" s="48"/>
      <c r="X437" s="48"/>
      <c r="Y437" s="48"/>
      <c r="Z437" s="48"/>
      <c r="AA437" s="48"/>
      <c r="AB437" s="48"/>
      <c r="AC437" s="48"/>
      <c r="AD437" s="48"/>
      <c r="AE437" s="48"/>
    </row>
    <row r="438" spans="1:31" ht="14.4" thickBot="1">
      <c r="A438" s="412">
        <f>ROW()</f>
        <v>438</v>
      </c>
      <c r="C438" s="109"/>
      <c r="G438" s="1410"/>
      <c r="H438" s="1410"/>
      <c r="I438" s="1410"/>
      <c r="J438" s="1410"/>
      <c r="K438" s="1410"/>
      <c r="L438" s="1410"/>
      <c r="M438" s="1410"/>
      <c r="O438" s="287"/>
      <c r="Q438" s="48"/>
      <c r="R438" s="48"/>
      <c r="S438" s="48"/>
      <c r="T438" s="48"/>
      <c r="U438" s="48"/>
      <c r="V438" s="48"/>
      <c r="W438" s="48"/>
      <c r="X438" s="48"/>
      <c r="Y438" s="48"/>
      <c r="Z438" s="48"/>
      <c r="AA438" s="48"/>
      <c r="AB438" s="48"/>
      <c r="AC438" s="48"/>
      <c r="AD438" s="48"/>
      <c r="AE438" s="48"/>
    </row>
    <row r="439" spans="1:31" ht="14.4" thickBot="1">
      <c r="A439" s="412">
        <f>ROW()</f>
        <v>439</v>
      </c>
      <c r="B439" s="731" t="s">
        <v>1234</v>
      </c>
      <c r="C439" s="732"/>
      <c r="D439" s="638"/>
      <c r="E439" s="638"/>
      <c r="F439" s="638"/>
      <c r="G439" s="732">
        <f>G437*G434</f>
        <v>0</v>
      </c>
      <c r="H439" s="732">
        <f t="shared" ref="H439:M439" si="123">H437*H434</f>
        <v>0</v>
      </c>
      <c r="I439" s="732">
        <f t="shared" si="123"/>
        <v>0</v>
      </c>
      <c r="J439" s="732">
        <f t="shared" si="123"/>
        <v>0</v>
      </c>
      <c r="K439" s="732">
        <f t="shared" si="123"/>
        <v>0</v>
      </c>
      <c r="L439" s="732">
        <f t="shared" si="123"/>
        <v>0</v>
      </c>
      <c r="M439" s="732">
        <f t="shared" si="123"/>
        <v>0</v>
      </c>
      <c r="O439" s="287"/>
      <c r="Q439" s="48"/>
      <c r="R439" s="48"/>
      <c r="S439" s="48"/>
      <c r="T439" s="48"/>
      <c r="U439" s="48"/>
      <c r="V439" s="48"/>
      <c r="W439" s="48"/>
      <c r="X439" s="48"/>
      <c r="Y439" s="48"/>
      <c r="Z439" s="48"/>
      <c r="AA439" s="48"/>
      <c r="AB439" s="48"/>
      <c r="AC439" s="48"/>
      <c r="AD439" s="48"/>
      <c r="AE439" s="48"/>
    </row>
    <row r="440" spans="1:31">
      <c r="A440" s="412">
        <f>ROW()</f>
        <v>440</v>
      </c>
      <c r="C440" s="109"/>
      <c r="G440" s="48"/>
      <c r="H440" s="48"/>
      <c r="I440" s="48"/>
      <c r="J440" s="48"/>
      <c r="K440" s="48"/>
      <c r="L440" s="48"/>
      <c r="M440" s="48"/>
      <c r="O440" s="287"/>
      <c r="Q440" s="48"/>
      <c r="R440" s="48"/>
      <c r="S440" s="48"/>
      <c r="T440" s="48"/>
      <c r="U440" s="48"/>
      <c r="V440" s="48"/>
      <c r="W440" s="48"/>
      <c r="X440" s="48"/>
      <c r="Y440" s="48"/>
      <c r="Z440" s="48"/>
      <c r="AA440" s="48"/>
      <c r="AB440" s="48"/>
      <c r="AC440" s="48"/>
      <c r="AD440" s="48"/>
      <c r="AE440" s="48"/>
    </row>
    <row r="441" spans="1:31">
      <c r="A441" s="412">
        <f>ROW()</f>
        <v>441</v>
      </c>
      <c r="B441" s="1510" t="s">
        <v>515</v>
      </c>
      <c r="C441" s="1671"/>
      <c r="D441" s="1446"/>
      <c r="E441" s="1446"/>
      <c r="F441" s="1446"/>
      <c r="G441" s="1672"/>
      <c r="H441" s="1672"/>
      <c r="I441" s="1672"/>
      <c r="J441" s="1672"/>
      <c r="K441" s="1672"/>
      <c r="L441" s="1672"/>
      <c r="M441" s="1672"/>
      <c r="O441" s="287"/>
      <c r="Q441" s="48"/>
      <c r="R441" s="48"/>
      <c r="S441" s="48"/>
      <c r="T441" s="48"/>
      <c r="U441" s="48"/>
      <c r="V441" s="48"/>
      <c r="W441" s="48"/>
      <c r="X441" s="48"/>
      <c r="Y441" s="48"/>
      <c r="Z441" s="48"/>
      <c r="AA441" s="48"/>
      <c r="AB441" s="48"/>
      <c r="AC441" s="48"/>
      <c r="AD441" s="48"/>
      <c r="AE441" s="48"/>
    </row>
    <row r="442" spans="1:31">
      <c r="A442" s="412">
        <f>ROW()</f>
        <v>442</v>
      </c>
      <c r="C442" s="109" t="s">
        <v>516</v>
      </c>
      <c r="G442" s="48"/>
      <c r="H442" s="48"/>
      <c r="I442" s="48"/>
      <c r="J442" s="48"/>
      <c r="K442" s="48"/>
      <c r="L442" s="48"/>
      <c r="M442" s="48"/>
      <c r="O442" s="287"/>
      <c r="Q442" s="48"/>
      <c r="R442" s="48"/>
      <c r="S442" s="48"/>
      <c r="T442" s="48"/>
      <c r="U442" s="48"/>
      <c r="V442" s="48"/>
      <c r="W442" s="48"/>
      <c r="X442" s="48"/>
      <c r="Y442" s="48"/>
      <c r="Z442" s="48"/>
      <c r="AA442" s="48"/>
      <c r="AB442" s="48"/>
      <c r="AC442" s="48"/>
      <c r="AD442" s="48"/>
      <c r="AE442" s="48"/>
    </row>
    <row r="443" spans="1:31">
      <c r="A443" s="412">
        <f>ROW()</f>
        <v>443</v>
      </c>
      <c r="B443" s="32" t="s">
        <v>517</v>
      </c>
      <c r="C443" s="109"/>
      <c r="G443" s="48"/>
      <c r="H443" s="48"/>
      <c r="I443" s="48"/>
      <c r="J443" s="48"/>
      <c r="K443" s="48"/>
      <c r="L443" s="48"/>
      <c r="M443" s="48"/>
      <c r="O443" s="287"/>
      <c r="Q443" s="48"/>
      <c r="R443" s="48"/>
      <c r="S443" s="48"/>
      <c r="T443" s="48"/>
      <c r="U443" s="48"/>
      <c r="V443" s="48"/>
      <c r="W443" s="48"/>
      <c r="X443" s="48"/>
      <c r="Y443" s="48"/>
      <c r="Z443" s="48"/>
      <c r="AA443" s="48"/>
      <c r="AB443" s="48"/>
      <c r="AC443" s="48"/>
      <c r="AD443" s="48"/>
      <c r="AE443" s="48"/>
    </row>
    <row r="444" spans="1:31">
      <c r="A444" s="412">
        <f>ROW()</f>
        <v>444</v>
      </c>
      <c r="B444" s="32" t="s">
        <v>518</v>
      </c>
      <c r="C444" s="109"/>
      <c r="G444" s="586">
        <v>0</v>
      </c>
      <c r="H444" s="586">
        <v>0</v>
      </c>
      <c r="I444" s="586">
        <v>0</v>
      </c>
      <c r="J444" s="586">
        <v>0</v>
      </c>
      <c r="K444" s="586">
        <v>0</v>
      </c>
      <c r="L444" s="586">
        <v>0</v>
      </c>
      <c r="M444" s="586">
        <v>0</v>
      </c>
      <c r="O444" s="287"/>
      <c r="Q444" s="48"/>
      <c r="R444" s="48"/>
      <c r="S444" s="48"/>
      <c r="T444" s="48"/>
      <c r="U444" s="48"/>
      <c r="V444" s="48"/>
      <c r="W444" s="48"/>
      <c r="X444" s="48"/>
      <c r="Y444" s="48"/>
      <c r="Z444" s="48"/>
      <c r="AA444" s="48"/>
      <c r="AB444" s="48"/>
      <c r="AC444" s="48"/>
      <c r="AD444" s="48"/>
      <c r="AE444" s="48"/>
    </row>
    <row r="445" spans="1:31">
      <c r="A445" s="412">
        <f>ROW()</f>
        <v>445</v>
      </c>
      <c r="B445" s="32" t="s">
        <v>519</v>
      </c>
      <c r="C445" s="114">
        <v>0</v>
      </c>
      <c r="G445" s="491">
        <f>$C$445*G444</f>
        <v>0</v>
      </c>
      <c r="H445" s="491">
        <f t="shared" ref="H445:M445" si="124">$C$445*H444</f>
        <v>0</v>
      </c>
      <c r="I445" s="491">
        <f t="shared" si="124"/>
        <v>0</v>
      </c>
      <c r="J445" s="491">
        <f t="shared" si="124"/>
        <v>0</v>
      </c>
      <c r="K445" s="491">
        <f t="shared" si="124"/>
        <v>0</v>
      </c>
      <c r="L445" s="491">
        <f t="shared" si="124"/>
        <v>0</v>
      </c>
      <c r="M445" s="491">
        <f t="shared" si="124"/>
        <v>0</v>
      </c>
      <c r="O445" s="287"/>
      <c r="Q445" s="48"/>
      <c r="R445" s="48"/>
      <c r="S445" s="48"/>
      <c r="T445" s="48"/>
      <c r="U445" s="48"/>
      <c r="V445" s="48"/>
      <c r="W445" s="48"/>
      <c r="X445" s="48"/>
      <c r="Y445" s="48"/>
      <c r="Z445" s="48"/>
      <c r="AA445" s="48"/>
      <c r="AB445" s="48"/>
      <c r="AC445" s="48"/>
      <c r="AD445" s="48"/>
      <c r="AE445" s="48"/>
    </row>
    <row r="446" spans="1:31">
      <c r="A446" s="412">
        <f>ROW()</f>
        <v>446</v>
      </c>
      <c r="C446" s="112"/>
      <c r="D446" s="1389"/>
      <c r="G446" s="117"/>
      <c r="H446" s="117"/>
      <c r="I446" s="117"/>
      <c r="J446" s="117"/>
      <c r="K446" s="117"/>
      <c r="L446" s="117"/>
      <c r="M446" s="117"/>
      <c r="O446" s="287"/>
      <c r="Q446" s="48"/>
      <c r="R446" s="48"/>
      <c r="S446" s="48"/>
      <c r="T446" s="48"/>
      <c r="U446" s="48"/>
      <c r="V446" s="48"/>
      <c r="W446" s="48"/>
      <c r="X446" s="48"/>
      <c r="Y446" s="48"/>
      <c r="Z446" s="48"/>
      <c r="AA446" s="48"/>
      <c r="AB446" s="48"/>
      <c r="AC446" s="48"/>
      <c r="AD446" s="48"/>
      <c r="AE446" s="48"/>
    </row>
    <row r="447" spans="1:31">
      <c r="A447" s="412">
        <f>ROW()</f>
        <v>447</v>
      </c>
      <c r="B447" s="32" t="s">
        <v>520</v>
      </c>
      <c r="C447" s="109"/>
      <c r="G447" s="117"/>
      <c r="H447" s="117"/>
      <c r="I447" s="117"/>
      <c r="J447" s="117"/>
      <c r="K447" s="117"/>
      <c r="L447" s="117"/>
      <c r="M447" s="117"/>
      <c r="O447" s="287"/>
      <c r="Q447" s="48"/>
      <c r="R447" s="48"/>
      <c r="S447" s="48"/>
      <c r="T447" s="48"/>
      <c r="U447" s="48"/>
      <c r="V447" s="48"/>
      <c r="W447" s="48"/>
      <c r="X447" s="48"/>
      <c r="Y447" s="48"/>
      <c r="Z447" s="48"/>
      <c r="AA447" s="48"/>
      <c r="AB447" s="48"/>
      <c r="AC447" s="48"/>
      <c r="AD447" s="48"/>
      <c r="AE447" s="48"/>
    </row>
    <row r="448" spans="1:31">
      <c r="A448" s="412">
        <f>ROW()</f>
        <v>448</v>
      </c>
      <c r="B448" s="32" t="s">
        <v>521</v>
      </c>
      <c r="C448" s="109"/>
      <c r="G448" s="587">
        <v>0</v>
      </c>
      <c r="H448" s="587">
        <v>0</v>
      </c>
      <c r="I448" s="587">
        <v>0</v>
      </c>
      <c r="J448" s="587">
        <v>0</v>
      </c>
      <c r="K448" s="587">
        <v>0</v>
      </c>
      <c r="L448" s="587">
        <v>0</v>
      </c>
      <c r="M448" s="587">
        <v>0</v>
      </c>
      <c r="O448" s="287"/>
      <c r="Q448" s="48"/>
      <c r="R448" s="48"/>
      <c r="S448" s="48"/>
      <c r="T448" s="48"/>
      <c r="U448" s="48"/>
      <c r="V448" s="48"/>
      <c r="W448" s="48"/>
      <c r="X448" s="48"/>
      <c r="Y448" s="48"/>
      <c r="Z448" s="48"/>
      <c r="AA448" s="48"/>
      <c r="AB448" s="48"/>
      <c r="AC448" s="48"/>
      <c r="AD448" s="48"/>
      <c r="AE448" s="48"/>
    </row>
    <row r="449" spans="1:31">
      <c r="A449" s="412">
        <f>ROW()</f>
        <v>449</v>
      </c>
      <c r="B449" s="32" t="s">
        <v>519</v>
      </c>
      <c r="C449" s="114">
        <v>0</v>
      </c>
      <c r="G449" s="491">
        <f t="shared" ref="G449:M449" si="125">$C$449*G448</f>
        <v>0</v>
      </c>
      <c r="H449" s="491">
        <f t="shared" si="125"/>
        <v>0</v>
      </c>
      <c r="I449" s="491">
        <f t="shared" si="125"/>
        <v>0</v>
      </c>
      <c r="J449" s="491">
        <f t="shared" si="125"/>
        <v>0</v>
      </c>
      <c r="K449" s="491">
        <f t="shared" si="125"/>
        <v>0</v>
      </c>
      <c r="L449" s="491">
        <f t="shared" si="125"/>
        <v>0</v>
      </c>
      <c r="M449" s="491">
        <f t="shared" si="125"/>
        <v>0</v>
      </c>
      <c r="O449" s="287"/>
      <c r="Q449" s="48"/>
      <c r="R449" s="48"/>
      <c r="S449" s="48"/>
      <c r="T449" s="48"/>
      <c r="U449" s="48"/>
      <c r="V449" s="48"/>
      <c r="W449" s="48"/>
      <c r="X449" s="48"/>
      <c r="Y449" s="48"/>
      <c r="Z449" s="48"/>
      <c r="AA449" s="48"/>
      <c r="AB449" s="48"/>
      <c r="AC449" s="48"/>
      <c r="AD449" s="48"/>
      <c r="AE449" s="48"/>
    </row>
    <row r="450" spans="1:31">
      <c r="A450" s="412">
        <f>ROW()</f>
        <v>450</v>
      </c>
      <c r="C450" s="109"/>
      <c r="G450" s="117"/>
      <c r="H450" s="117"/>
      <c r="I450" s="117"/>
      <c r="J450" s="117"/>
      <c r="K450" s="117"/>
      <c r="L450" s="117"/>
      <c r="M450" s="117"/>
      <c r="O450" s="287"/>
      <c r="Q450" s="48"/>
      <c r="R450" s="48"/>
      <c r="S450" s="48"/>
      <c r="T450" s="48"/>
      <c r="U450" s="48"/>
      <c r="V450" s="48"/>
      <c r="W450" s="48"/>
      <c r="X450" s="48"/>
      <c r="Y450" s="48"/>
      <c r="Z450" s="48"/>
      <c r="AA450" s="48"/>
      <c r="AB450" s="48"/>
      <c r="AC450" s="48"/>
      <c r="AD450" s="48"/>
      <c r="AE450" s="48"/>
    </row>
    <row r="451" spans="1:31">
      <c r="A451" s="412">
        <f>ROW()</f>
        <v>451</v>
      </c>
      <c r="B451" s="32" t="s">
        <v>522</v>
      </c>
      <c r="C451" s="109"/>
      <c r="G451" s="117"/>
      <c r="H451" s="117"/>
      <c r="I451" s="117"/>
      <c r="J451" s="117"/>
      <c r="K451" s="117"/>
      <c r="L451" s="117"/>
      <c r="M451" s="117"/>
      <c r="O451" s="287"/>
      <c r="Q451" s="48"/>
      <c r="R451" s="48"/>
      <c r="S451" s="48"/>
      <c r="T451" s="48"/>
      <c r="U451" s="48"/>
      <c r="V451" s="48"/>
      <c r="W451" s="48"/>
      <c r="X451" s="48"/>
      <c r="Y451" s="48"/>
      <c r="Z451" s="48"/>
      <c r="AA451" s="48"/>
      <c r="AB451" s="48"/>
      <c r="AC451" s="48"/>
      <c r="AD451" s="48"/>
      <c r="AE451" s="48"/>
    </row>
    <row r="452" spans="1:31">
      <c r="A452" s="412">
        <f>ROW()</f>
        <v>452</v>
      </c>
      <c r="B452" s="32" t="s">
        <v>521</v>
      </c>
      <c r="C452" s="109"/>
      <c r="G452" s="587">
        <v>0</v>
      </c>
      <c r="H452" s="587">
        <v>0</v>
      </c>
      <c r="I452" s="587">
        <v>0</v>
      </c>
      <c r="J452" s="587">
        <v>0</v>
      </c>
      <c r="K452" s="587">
        <v>0</v>
      </c>
      <c r="L452" s="587">
        <v>0</v>
      </c>
      <c r="M452" s="587">
        <v>0</v>
      </c>
      <c r="O452" s="287"/>
      <c r="Q452" s="48"/>
      <c r="R452" s="48"/>
      <c r="S452" s="48"/>
      <c r="T452" s="48"/>
      <c r="U452" s="48"/>
      <c r="V452" s="48"/>
      <c r="W452" s="48"/>
      <c r="X452" s="48"/>
      <c r="Y452" s="48"/>
      <c r="Z452" s="48"/>
      <c r="AA452" s="48"/>
      <c r="AB452" s="48"/>
      <c r="AC452" s="48"/>
      <c r="AD452" s="48"/>
      <c r="AE452" s="48"/>
    </row>
    <row r="453" spans="1:31">
      <c r="A453" s="412">
        <f>ROW()</f>
        <v>453</v>
      </c>
      <c r="B453" s="32" t="s">
        <v>519</v>
      </c>
      <c r="C453" s="114">
        <v>0</v>
      </c>
      <c r="G453" s="491">
        <f>$C$453*G452</f>
        <v>0</v>
      </c>
      <c r="H453" s="491">
        <f>$C$453*H452</f>
        <v>0</v>
      </c>
      <c r="I453" s="491">
        <f>$C$453*I452</f>
        <v>0</v>
      </c>
      <c r="J453" s="491">
        <f>I453*' Enrol &amp; Rev'!$C$97</f>
        <v>0</v>
      </c>
      <c r="K453" s="491">
        <f>J453*' Enrol &amp; Rev'!$C$97</f>
        <v>0</v>
      </c>
      <c r="L453" s="491">
        <f>K453*' Enrol &amp; Rev'!$C$97</f>
        <v>0</v>
      </c>
      <c r="M453" s="491">
        <f>L453*' Enrol &amp; Rev'!$C$97</f>
        <v>0</v>
      </c>
      <c r="O453" s="287"/>
      <c r="Q453" s="48"/>
      <c r="R453" s="48"/>
      <c r="S453" s="48"/>
      <c r="T453" s="48"/>
      <c r="U453" s="48"/>
      <c r="V453" s="48"/>
      <c r="W453" s="48"/>
      <c r="X453" s="48"/>
      <c r="Y453" s="48"/>
      <c r="Z453" s="48"/>
      <c r="AA453" s="48"/>
      <c r="AB453" s="48"/>
      <c r="AC453" s="48"/>
      <c r="AD453" s="48"/>
      <c r="AE453" s="48"/>
    </row>
    <row r="454" spans="1:31">
      <c r="A454" s="412">
        <f>ROW()</f>
        <v>454</v>
      </c>
      <c r="C454" s="109"/>
      <c r="G454" s="117"/>
      <c r="H454" s="117"/>
      <c r="I454" s="117"/>
      <c r="J454" s="117"/>
      <c r="K454" s="117"/>
      <c r="L454" s="117"/>
      <c r="M454" s="117"/>
      <c r="O454" s="287"/>
      <c r="Q454" s="48"/>
      <c r="R454" s="48"/>
      <c r="S454" s="48"/>
      <c r="T454" s="48"/>
      <c r="U454" s="48"/>
      <c r="V454" s="48"/>
      <c r="W454" s="48"/>
      <c r="X454" s="48"/>
      <c r="Y454" s="48"/>
      <c r="Z454" s="48"/>
      <c r="AA454" s="48"/>
      <c r="AB454" s="48"/>
      <c r="AC454" s="48"/>
      <c r="AD454" s="48"/>
      <c r="AE454" s="48"/>
    </row>
    <row r="455" spans="1:31">
      <c r="A455" s="412">
        <f>ROW()</f>
        <v>455</v>
      </c>
      <c r="B455" s="32" t="s">
        <v>523</v>
      </c>
      <c r="C455" s="109"/>
      <c r="G455" s="117"/>
      <c r="H455" s="117"/>
      <c r="I455" s="117"/>
      <c r="J455" s="117"/>
      <c r="K455" s="117"/>
      <c r="L455" s="117"/>
      <c r="M455" s="117"/>
      <c r="O455" s="287"/>
      <c r="Q455" s="48"/>
      <c r="R455" s="48"/>
      <c r="S455" s="48"/>
      <c r="T455" s="48"/>
      <c r="U455" s="48"/>
      <c r="V455" s="48"/>
      <c r="W455" s="48"/>
      <c r="X455" s="48"/>
      <c r="Y455" s="48"/>
      <c r="Z455" s="48"/>
      <c r="AA455" s="48"/>
      <c r="AB455" s="48"/>
      <c r="AC455" s="48"/>
      <c r="AD455" s="48"/>
      <c r="AE455" s="48"/>
    </row>
    <row r="456" spans="1:31">
      <c r="A456" s="412">
        <f>ROW()</f>
        <v>456</v>
      </c>
      <c r="B456" s="32" t="s">
        <v>521</v>
      </c>
      <c r="C456" s="109"/>
      <c r="G456" s="587">
        <v>0</v>
      </c>
      <c r="H456" s="587">
        <v>0</v>
      </c>
      <c r="I456" s="587">
        <v>0</v>
      </c>
      <c r="J456" s="587">
        <v>0</v>
      </c>
      <c r="K456" s="587">
        <v>0</v>
      </c>
      <c r="L456" s="587">
        <v>0</v>
      </c>
      <c r="M456" s="587">
        <v>0</v>
      </c>
      <c r="O456" s="287"/>
      <c r="Q456" s="48"/>
      <c r="R456" s="48"/>
      <c r="S456" s="48"/>
      <c r="T456" s="48"/>
      <c r="U456" s="48"/>
      <c r="V456" s="48"/>
      <c r="W456" s="48"/>
      <c r="X456" s="48"/>
      <c r="Y456" s="48"/>
      <c r="Z456" s="48"/>
      <c r="AA456" s="48"/>
      <c r="AB456" s="48"/>
      <c r="AC456" s="48"/>
      <c r="AD456" s="48"/>
      <c r="AE456" s="48"/>
    </row>
    <row r="457" spans="1:31">
      <c r="A457" s="412">
        <f>ROW()</f>
        <v>457</v>
      </c>
      <c r="B457" s="32" t="s">
        <v>519</v>
      </c>
      <c r="C457" s="114">
        <v>0</v>
      </c>
      <c r="G457" s="491">
        <f t="shared" ref="G457:M457" si="126">$C$457*G456</f>
        <v>0</v>
      </c>
      <c r="H457" s="491">
        <f t="shared" si="126"/>
        <v>0</v>
      </c>
      <c r="I457" s="491">
        <f t="shared" si="126"/>
        <v>0</v>
      </c>
      <c r="J457" s="491">
        <f t="shared" si="126"/>
        <v>0</v>
      </c>
      <c r="K457" s="491">
        <f t="shared" si="126"/>
        <v>0</v>
      </c>
      <c r="L457" s="491">
        <f t="shared" si="126"/>
        <v>0</v>
      </c>
      <c r="M457" s="491">
        <f t="shared" si="126"/>
        <v>0</v>
      </c>
      <c r="O457" s="287"/>
      <c r="Q457" s="48"/>
      <c r="R457" s="48"/>
      <c r="S457" s="48"/>
      <c r="T457" s="48"/>
      <c r="U457" s="48"/>
      <c r="V457" s="48"/>
      <c r="W457" s="48"/>
      <c r="X457" s="48"/>
      <c r="Y457" s="48"/>
      <c r="Z457" s="48"/>
      <c r="AA457" s="48"/>
      <c r="AB457" s="48"/>
      <c r="AC457" s="48"/>
      <c r="AD457" s="48"/>
      <c r="AE457" s="48"/>
    </row>
    <row r="458" spans="1:31">
      <c r="A458" s="412">
        <f>ROW()</f>
        <v>458</v>
      </c>
      <c r="C458" s="109"/>
      <c r="G458" s="117"/>
      <c r="H458" s="117"/>
      <c r="I458" s="117"/>
      <c r="J458" s="117"/>
      <c r="K458" s="117"/>
      <c r="L458" s="117"/>
      <c r="M458" s="117"/>
      <c r="O458" s="287"/>
      <c r="Q458" s="48"/>
      <c r="R458" s="48"/>
      <c r="S458" s="48"/>
      <c r="T458" s="48"/>
      <c r="U458" s="48"/>
      <c r="V458" s="48"/>
      <c r="W458" s="48"/>
      <c r="X458" s="48"/>
      <c r="Y458" s="48"/>
      <c r="Z458" s="48"/>
      <c r="AA458" s="48"/>
      <c r="AB458" s="48"/>
      <c r="AC458" s="48"/>
      <c r="AD458" s="48"/>
      <c r="AE458" s="48"/>
    </row>
    <row r="459" spans="1:31">
      <c r="A459" s="412">
        <f>ROW()</f>
        <v>459</v>
      </c>
      <c r="B459" s="32" t="s">
        <v>524</v>
      </c>
      <c r="C459" s="109"/>
      <c r="G459" s="117"/>
      <c r="H459" s="117"/>
      <c r="I459" s="117"/>
      <c r="J459" s="117"/>
      <c r="K459" s="117"/>
      <c r="L459" s="117"/>
      <c r="M459" s="117"/>
      <c r="O459" s="287"/>
      <c r="Q459" s="48"/>
      <c r="R459" s="48"/>
      <c r="S459" s="48"/>
      <c r="T459" s="48"/>
      <c r="U459" s="48"/>
      <c r="V459" s="48"/>
      <c r="W459" s="48"/>
      <c r="X459" s="48"/>
      <c r="Y459" s="48"/>
      <c r="Z459" s="48"/>
      <c r="AA459" s="48"/>
      <c r="AB459" s="48"/>
      <c r="AC459" s="48"/>
      <c r="AD459" s="48"/>
      <c r="AE459" s="48"/>
    </row>
    <row r="460" spans="1:31">
      <c r="A460" s="412">
        <f>ROW()</f>
        <v>460</v>
      </c>
      <c r="B460" s="32" t="s">
        <v>521</v>
      </c>
      <c r="C460" s="109"/>
      <c r="G460" s="587">
        <v>0</v>
      </c>
      <c r="H460" s="587">
        <v>0</v>
      </c>
      <c r="I460" s="587">
        <v>0</v>
      </c>
      <c r="J460" s="587">
        <v>0</v>
      </c>
      <c r="K460" s="587">
        <v>0</v>
      </c>
      <c r="L460" s="587">
        <v>0</v>
      </c>
      <c r="M460" s="587">
        <v>0</v>
      </c>
      <c r="O460" s="287"/>
      <c r="Q460" s="48"/>
      <c r="R460" s="48"/>
      <c r="S460" s="48"/>
      <c r="T460" s="48"/>
      <c r="U460" s="48"/>
      <c r="V460" s="48"/>
      <c r="W460" s="48"/>
      <c r="X460" s="48"/>
      <c r="Y460" s="48"/>
      <c r="Z460" s="48"/>
      <c r="AA460" s="48"/>
      <c r="AB460" s="48"/>
      <c r="AC460" s="48"/>
      <c r="AD460" s="48"/>
      <c r="AE460" s="48"/>
    </row>
    <row r="461" spans="1:31">
      <c r="A461" s="412">
        <f>ROW()</f>
        <v>461</v>
      </c>
      <c r="B461" s="32" t="s">
        <v>519</v>
      </c>
      <c r="C461" s="114">
        <v>0</v>
      </c>
      <c r="G461" s="491">
        <f t="shared" ref="G461:M461" si="127">$C$461*G460</f>
        <v>0</v>
      </c>
      <c r="H461" s="491">
        <f t="shared" si="127"/>
        <v>0</v>
      </c>
      <c r="I461" s="491">
        <f t="shared" si="127"/>
        <v>0</v>
      </c>
      <c r="J461" s="491">
        <f t="shared" si="127"/>
        <v>0</v>
      </c>
      <c r="K461" s="491">
        <f t="shared" si="127"/>
        <v>0</v>
      </c>
      <c r="L461" s="491">
        <f t="shared" si="127"/>
        <v>0</v>
      </c>
      <c r="M461" s="491">
        <f t="shared" si="127"/>
        <v>0</v>
      </c>
      <c r="O461" s="287"/>
      <c r="Q461" s="48"/>
      <c r="R461" s="48"/>
      <c r="S461" s="48"/>
      <c r="T461" s="48"/>
      <c r="U461" s="48"/>
      <c r="V461" s="48"/>
      <c r="W461" s="48"/>
      <c r="X461" s="48"/>
      <c r="Y461" s="48"/>
      <c r="Z461" s="48"/>
      <c r="AA461" s="48"/>
      <c r="AB461" s="48"/>
      <c r="AC461" s="48"/>
      <c r="AD461" s="48"/>
      <c r="AE461" s="48"/>
    </row>
    <row r="462" spans="1:31">
      <c r="A462" s="412">
        <f>ROW()</f>
        <v>462</v>
      </c>
      <c r="C462" s="109"/>
      <c r="G462" s="117"/>
      <c r="H462" s="117"/>
      <c r="I462" s="117"/>
      <c r="J462" s="117"/>
      <c r="K462" s="117"/>
      <c r="L462" s="117"/>
      <c r="M462" s="117"/>
      <c r="O462" s="287"/>
      <c r="Q462" s="48"/>
      <c r="R462" s="48"/>
      <c r="S462" s="48"/>
      <c r="T462" s="48"/>
      <c r="U462" s="48"/>
      <c r="V462" s="48"/>
      <c r="W462" s="48"/>
      <c r="X462" s="48"/>
      <c r="Y462" s="48"/>
      <c r="Z462" s="48"/>
      <c r="AA462" s="48"/>
      <c r="AB462" s="48"/>
      <c r="AC462" s="48"/>
      <c r="AD462" s="48"/>
      <c r="AE462" s="48"/>
    </row>
    <row r="463" spans="1:31">
      <c r="A463" s="412">
        <f>ROW()</f>
        <v>463</v>
      </c>
      <c r="B463" s="32" t="s">
        <v>525</v>
      </c>
      <c r="C463" s="109"/>
      <c r="G463" s="588">
        <f>G461+G457+G453+G449+G445</f>
        <v>0</v>
      </c>
      <c r="H463" s="588">
        <f>H461+H457+H453+H449+H445</f>
        <v>0</v>
      </c>
      <c r="I463" s="588">
        <f t="shared" ref="I463:M463" si="128">I461+I457+I453+I449+I445</f>
        <v>0</v>
      </c>
      <c r="J463" s="588">
        <f t="shared" si="128"/>
        <v>0</v>
      </c>
      <c r="K463" s="588">
        <f t="shared" si="128"/>
        <v>0</v>
      </c>
      <c r="L463" s="588">
        <f t="shared" si="128"/>
        <v>0</v>
      </c>
      <c r="M463" s="588">
        <f t="shared" si="128"/>
        <v>0</v>
      </c>
      <c r="O463" s="287"/>
      <c r="Q463" s="48"/>
      <c r="R463" s="48"/>
      <c r="S463" s="48"/>
      <c r="T463" s="48"/>
      <c r="U463" s="48"/>
      <c r="V463" s="48"/>
      <c r="W463" s="48"/>
      <c r="X463" s="48"/>
      <c r="Y463" s="48"/>
      <c r="Z463" s="48"/>
      <c r="AA463" s="48"/>
      <c r="AB463" s="48"/>
      <c r="AC463" s="48"/>
      <c r="AD463" s="48"/>
      <c r="AE463" s="48"/>
    </row>
    <row r="464" spans="1:31">
      <c r="A464" s="412">
        <f>ROW()</f>
        <v>464</v>
      </c>
      <c r="C464" s="109"/>
      <c r="G464" s="117"/>
      <c r="H464" s="117"/>
      <c r="I464" s="117"/>
      <c r="J464" s="117"/>
      <c r="K464" s="117"/>
      <c r="L464" s="117"/>
      <c r="M464" s="117"/>
      <c r="O464" s="287"/>
      <c r="Q464" s="48"/>
      <c r="R464" s="48"/>
      <c r="S464" s="48"/>
      <c r="T464" s="48"/>
      <c r="U464" s="48"/>
      <c r="V464" s="48"/>
      <c r="W464" s="48"/>
      <c r="X464" s="48"/>
      <c r="Y464" s="48"/>
      <c r="Z464" s="48"/>
      <c r="AA464" s="48"/>
      <c r="AB464" s="48"/>
      <c r="AC464" s="48"/>
      <c r="AD464" s="48"/>
      <c r="AE464" s="48"/>
    </row>
    <row r="465" spans="1:31">
      <c r="A465" s="412">
        <f>ROW()</f>
        <v>465</v>
      </c>
      <c r="B465" s="32" t="s">
        <v>526</v>
      </c>
      <c r="C465" s="1042">
        <v>7.6499999999999999E-2</v>
      </c>
      <c r="G465" s="117">
        <f>+$C$465*G463</f>
        <v>0</v>
      </c>
      <c r="H465" s="117">
        <f>+$C$465*H463</f>
        <v>0</v>
      </c>
      <c r="I465" s="117">
        <f t="shared" ref="I465:M465" si="129">+$C$465*I463</f>
        <v>0</v>
      </c>
      <c r="J465" s="117">
        <f t="shared" si="129"/>
        <v>0</v>
      </c>
      <c r="K465" s="117">
        <f t="shared" si="129"/>
        <v>0</v>
      </c>
      <c r="L465" s="117">
        <f t="shared" si="129"/>
        <v>0</v>
      </c>
      <c r="M465" s="117">
        <f t="shared" si="129"/>
        <v>0</v>
      </c>
      <c r="O465" s="287"/>
      <c r="Q465" s="48"/>
      <c r="R465" s="48"/>
      <c r="S465" s="48"/>
      <c r="T465" s="48"/>
      <c r="U465" s="48"/>
      <c r="V465" s="48"/>
      <c r="W465" s="48"/>
      <c r="X465" s="48"/>
      <c r="Y465" s="48"/>
      <c r="Z465" s="48"/>
      <c r="AA465" s="48"/>
      <c r="AB465" s="48"/>
      <c r="AC465" s="48"/>
      <c r="AD465" s="48"/>
      <c r="AE465" s="48"/>
    </row>
    <row r="466" spans="1:31">
      <c r="A466" s="412"/>
      <c r="C466" s="109"/>
      <c r="G466" s="117"/>
      <c r="H466" s="117"/>
      <c r="I466" s="117"/>
      <c r="J466" s="117"/>
      <c r="K466" s="117"/>
      <c r="L466" s="117"/>
      <c r="M466" s="117"/>
      <c r="O466" s="287"/>
      <c r="Q466" s="48"/>
      <c r="R466" s="48"/>
      <c r="S466" s="48"/>
      <c r="T466" s="48"/>
      <c r="U466" s="48"/>
      <c r="V466" s="48"/>
      <c r="W466" s="48"/>
      <c r="X466" s="48"/>
      <c r="Y466" s="48"/>
      <c r="Z466" s="48"/>
      <c r="AA466" s="48"/>
      <c r="AB466" s="48"/>
      <c r="AC466" s="48"/>
      <c r="AD466" s="48"/>
      <c r="AE466" s="48"/>
    </row>
    <row r="467" spans="1:31">
      <c r="A467" s="412"/>
      <c r="C467" s="109"/>
      <c r="G467" s="117"/>
      <c r="H467" s="117"/>
      <c r="I467" s="117"/>
      <c r="J467" s="117"/>
      <c r="K467" s="117"/>
      <c r="L467" s="117"/>
      <c r="M467" s="117"/>
      <c r="O467" s="287"/>
      <c r="Q467" s="48"/>
      <c r="R467" s="48"/>
      <c r="S467" s="48"/>
      <c r="T467" s="48"/>
      <c r="U467" s="48"/>
      <c r="V467" s="48"/>
      <c r="W467" s="48"/>
      <c r="X467" s="48"/>
      <c r="Y467" s="48"/>
      <c r="Z467" s="48"/>
      <c r="AA467" s="48"/>
      <c r="AB467" s="48"/>
      <c r="AC467" s="48"/>
      <c r="AD467" s="48"/>
      <c r="AE467" s="48"/>
    </row>
    <row r="468" spans="1:31">
      <c r="A468" s="412">
        <f>ROW()</f>
        <v>468</v>
      </c>
      <c r="B468" s="30" t="s">
        <v>527</v>
      </c>
      <c r="C468" s="112">
        <f>SUM(G468:M468)</f>
        <v>0</v>
      </c>
      <c r="D468" s="30"/>
      <c r="E468" s="30"/>
      <c r="F468" s="30"/>
      <c r="G468" s="112">
        <f t="shared" ref="G468:M468" si="130">G461+G457+G453+G449+G445</f>
        <v>0</v>
      </c>
      <c r="H468" s="112">
        <f t="shared" si="130"/>
        <v>0</v>
      </c>
      <c r="I468" s="112">
        <f t="shared" si="130"/>
        <v>0</v>
      </c>
      <c r="J468" s="112">
        <f t="shared" si="130"/>
        <v>0</v>
      </c>
      <c r="K468" s="112">
        <f t="shared" si="130"/>
        <v>0</v>
      </c>
      <c r="L468" s="112">
        <f t="shared" si="130"/>
        <v>0</v>
      </c>
      <c r="M468" s="112">
        <f t="shared" si="130"/>
        <v>0</v>
      </c>
      <c r="O468" s="287"/>
      <c r="Q468" s="48"/>
      <c r="R468" s="48"/>
      <c r="S468" s="48"/>
      <c r="T468" s="48"/>
      <c r="U468" s="48"/>
      <c r="V468" s="48"/>
      <c r="W468" s="48"/>
      <c r="X468" s="48"/>
      <c r="Y468" s="48"/>
      <c r="Z468" s="48"/>
      <c r="AA468" s="48"/>
      <c r="AB468" s="48"/>
      <c r="AC468" s="48"/>
      <c r="AD468" s="48"/>
      <c r="AE468" s="48"/>
    </row>
    <row r="469" spans="1:31">
      <c r="A469" s="412">
        <f>ROW()</f>
        <v>469</v>
      </c>
      <c r="B469" s="30"/>
      <c r="C469" s="112"/>
      <c r="D469" s="30"/>
      <c r="E469" s="30"/>
      <c r="F469" s="30"/>
      <c r="G469" s="433"/>
      <c r="H469" s="433"/>
      <c r="I469" s="433"/>
      <c r="J469" s="433"/>
      <c r="K469" s="433"/>
      <c r="L469" s="433"/>
      <c r="M469" s="433"/>
      <c r="O469" s="287"/>
      <c r="Q469" s="48"/>
      <c r="R469" s="48"/>
      <c r="S469" s="48"/>
      <c r="T469" s="48"/>
      <c r="U469" s="48"/>
      <c r="V469" s="48"/>
      <c r="W469" s="48"/>
      <c r="X469" s="48"/>
      <c r="Y469" s="48"/>
      <c r="Z469" s="48"/>
      <c r="AA469" s="48"/>
      <c r="AB469" s="48"/>
      <c r="AC469" s="48"/>
      <c r="AD469" s="48"/>
      <c r="AE469" s="48"/>
    </row>
    <row r="470" spans="1:31" ht="14.4">
      <c r="A470" s="412">
        <f>ROW()</f>
        <v>470</v>
      </c>
      <c r="B470" s="154" t="s">
        <v>528</v>
      </c>
      <c r="C470" s="112"/>
      <c r="D470" s="30"/>
      <c r="E470" s="30"/>
      <c r="F470" s="30"/>
      <c r="G470" s="1673">
        <f t="shared" ref="G470:M470" si="131">SUM(G444,G448,G452,G456,G460)</f>
        <v>0</v>
      </c>
      <c r="H470" s="1673">
        <f t="shared" si="131"/>
        <v>0</v>
      </c>
      <c r="I470" s="1673">
        <f t="shared" si="131"/>
        <v>0</v>
      </c>
      <c r="J470" s="1673">
        <f t="shared" si="131"/>
        <v>0</v>
      </c>
      <c r="K470" s="1673">
        <f t="shared" si="131"/>
        <v>0</v>
      </c>
      <c r="L470" s="1673">
        <f t="shared" si="131"/>
        <v>0</v>
      </c>
      <c r="M470" s="1673">
        <f t="shared" si="131"/>
        <v>0</v>
      </c>
      <c r="O470" s="287"/>
      <c r="Q470" s="48"/>
      <c r="R470" s="48"/>
      <c r="S470" s="48"/>
      <c r="T470" s="48"/>
      <c r="U470" s="48"/>
      <c r="V470" s="48"/>
      <c r="W470" s="48"/>
      <c r="X470" s="48"/>
      <c r="Y470" s="48"/>
      <c r="Z470" s="48"/>
      <c r="AA470" s="48"/>
      <c r="AB470" s="48"/>
      <c r="AC470" s="48"/>
      <c r="AD470" s="48"/>
      <c r="AE470" s="48"/>
    </row>
    <row r="471" spans="1:31">
      <c r="A471" s="412">
        <f>ROW()</f>
        <v>471</v>
      </c>
      <c r="B471" s="30"/>
      <c r="C471" s="112"/>
      <c r="D471" s="30"/>
      <c r="E471" s="30"/>
      <c r="F471" s="30"/>
      <c r="G471" s="433"/>
      <c r="H471" s="433"/>
      <c r="I471" s="433"/>
      <c r="J471" s="433"/>
      <c r="K471" s="433"/>
      <c r="L471" s="433"/>
      <c r="M471" s="433"/>
      <c r="O471" s="287"/>
      <c r="Q471" s="48"/>
      <c r="R471" s="48"/>
      <c r="S471" s="48"/>
      <c r="T471" s="48"/>
      <c r="U471" s="48"/>
      <c r="V471" s="48"/>
      <c r="W471" s="48"/>
      <c r="X471" s="48"/>
      <c r="Y471" s="48"/>
      <c r="Z471" s="48"/>
      <c r="AA471" s="48"/>
      <c r="AB471" s="48"/>
      <c r="AC471" s="48"/>
      <c r="AD471" s="48"/>
      <c r="AE471" s="48"/>
    </row>
    <row r="472" spans="1:31">
      <c r="A472" s="412">
        <f>ROW()</f>
        <v>472</v>
      </c>
      <c r="B472" s="30" t="s">
        <v>529</v>
      </c>
      <c r="C472" s="112">
        <f>SUM(G472:M472)</f>
        <v>63120</v>
      </c>
      <c r="G472" s="112">
        <f t="shared" ref="G472:M472" si="132">G24*$C$67*12</f>
        <v>0</v>
      </c>
      <c r="H472" s="112">
        <f t="shared" si="132"/>
        <v>6480</v>
      </c>
      <c r="I472" s="112">
        <f t="shared" si="132"/>
        <v>9360</v>
      </c>
      <c r="J472" s="112">
        <f t="shared" si="132"/>
        <v>10560</v>
      </c>
      <c r="K472" s="112">
        <f t="shared" si="132"/>
        <v>12240</v>
      </c>
      <c r="L472" s="112">
        <f t="shared" si="132"/>
        <v>12240</v>
      </c>
      <c r="M472" s="112">
        <f t="shared" si="132"/>
        <v>12240</v>
      </c>
      <c r="O472" s="287"/>
      <c r="Q472" s="48"/>
      <c r="R472" s="48"/>
      <c r="S472" s="48"/>
      <c r="T472" s="48"/>
      <c r="U472" s="48"/>
      <c r="V472" s="48"/>
      <c r="W472" s="48"/>
      <c r="X472" s="48"/>
      <c r="Y472" s="48"/>
      <c r="Z472" s="48"/>
      <c r="AA472" s="48"/>
      <c r="AB472" s="48"/>
      <c r="AC472" s="48"/>
      <c r="AD472" s="48"/>
      <c r="AE472" s="48"/>
    </row>
    <row r="473" spans="1:31">
      <c r="A473" s="412">
        <f>ROW()</f>
        <v>473</v>
      </c>
      <c r="O473" s="287"/>
      <c r="Q473" s="48"/>
      <c r="R473" s="48"/>
      <c r="S473" s="48"/>
      <c r="T473" s="48"/>
      <c r="U473" s="48"/>
      <c r="V473" s="48"/>
      <c r="W473" s="48"/>
      <c r="X473" s="48"/>
      <c r="Y473" s="48"/>
      <c r="Z473" s="48"/>
      <c r="AA473" s="48"/>
      <c r="AB473" s="48"/>
      <c r="AC473" s="48"/>
      <c r="AD473" s="48"/>
      <c r="AE473" s="48"/>
    </row>
    <row r="474" spans="1:31">
      <c r="A474" s="412">
        <f>ROW()</f>
        <v>474</v>
      </c>
      <c r="B474" s="30" t="s">
        <v>530</v>
      </c>
      <c r="C474" s="112">
        <f>SUM(G474:M474)</f>
        <v>19649970.848071374</v>
      </c>
      <c r="D474" s="30"/>
      <c r="E474" s="30"/>
      <c r="F474" s="30"/>
      <c r="G474" s="112">
        <f>Staff!G403+Staff!G428+Staff!G468+Staff!G472+G439</f>
        <v>0</v>
      </c>
      <c r="H474" s="112">
        <f>Staff!H403+Staff!H428+Staff!H468+Staff!H472+H439</f>
        <v>2149372.4977356</v>
      </c>
      <c r="I474" s="112">
        <f>Staff!I403+Staff!I428+Staff!I468+Staff!I472+I439</f>
        <v>2885598.6787991999</v>
      </c>
      <c r="J474" s="112">
        <f>Staff!J403+Staff!J428+Staff!J468+Staff!J472+J439</f>
        <v>3253634.8998791999</v>
      </c>
      <c r="K474" s="112">
        <f>Staff!K403+Staff!K428+Staff!K468+Staff!K472+K439</f>
        <v>3782849.21003424</v>
      </c>
      <c r="L474" s="112">
        <f>Staff!L403+Staff!L428+Staff!L468+Staff!L472+L439</f>
        <v>3787093.2966417405</v>
      </c>
      <c r="M474" s="112">
        <f>Staff!M403+Staff!M428+Staff!M468+Staff!M472+M439</f>
        <v>3791422.2649813914</v>
      </c>
      <c r="O474" s="287"/>
      <c r="Q474" s="48"/>
      <c r="R474" s="48"/>
      <c r="S474" s="48"/>
      <c r="T474" s="48"/>
      <c r="U474" s="48"/>
      <c r="V474" s="48"/>
      <c r="W474" s="48"/>
      <c r="X474" s="48"/>
      <c r="Y474" s="48"/>
      <c r="Z474" s="48"/>
      <c r="AA474" s="48"/>
      <c r="AB474" s="48"/>
      <c r="AC474" s="48"/>
      <c r="AD474" s="48"/>
      <c r="AE474" s="48"/>
    </row>
    <row r="477" spans="1:31">
      <c r="B477" s="30"/>
    </row>
    <row r="478" spans="1:31">
      <c r="C478" s="429"/>
      <c r="D478" s="429"/>
      <c r="E478" s="429"/>
      <c r="F478" s="429"/>
      <c r="G478" s="429"/>
    </row>
    <row r="479" spans="1:31">
      <c r="C479" s="1674"/>
      <c r="D479" s="1674"/>
      <c r="E479" s="1674"/>
      <c r="F479" s="1674"/>
      <c r="G479" s="1674"/>
    </row>
    <row r="480" spans="1:31">
      <c r="C480" s="1674"/>
      <c r="D480" s="1674"/>
      <c r="E480" s="1674"/>
      <c r="F480" s="1674"/>
      <c r="G480" s="1674"/>
    </row>
    <row r="481" spans="3:7">
      <c r="C481" s="1108"/>
      <c r="D481" s="1108"/>
      <c r="E481" s="1108"/>
      <c r="F481" s="1108"/>
      <c r="G481" s="1108"/>
    </row>
    <row r="482" spans="3:7">
      <c r="C482" s="1108"/>
      <c r="D482" s="1108"/>
      <c r="E482" s="1108"/>
      <c r="F482" s="1108"/>
      <c r="G482" s="1108"/>
    </row>
    <row r="483" spans="3:7">
      <c r="C483" s="1108"/>
      <c r="D483" s="1108"/>
      <c r="E483" s="1108"/>
      <c r="F483" s="1108"/>
      <c r="G483" s="1108"/>
    </row>
    <row r="484" spans="3:7">
      <c r="C484" s="1675"/>
      <c r="D484" s="1676"/>
      <c r="E484" s="1676"/>
      <c r="F484" s="1676"/>
      <c r="G484" s="1676"/>
    </row>
    <row r="485" spans="3:7">
      <c r="C485" s="1108"/>
      <c r="D485" s="1108"/>
      <c r="E485" s="1108"/>
      <c r="F485" s="1108"/>
      <c r="G485" s="1108"/>
    </row>
    <row r="486" spans="3:7">
      <c r="C486" s="1674"/>
      <c r="D486" s="1674"/>
      <c r="E486" s="1674"/>
      <c r="F486" s="1674"/>
      <c r="G486" s="1674"/>
    </row>
    <row r="487" spans="3:7">
      <c r="C487" s="1674"/>
      <c r="D487" s="1674"/>
      <c r="E487" s="1674"/>
      <c r="F487" s="1674"/>
      <c r="G487" s="1674"/>
    </row>
    <row r="488" spans="3:7">
      <c r="C488" s="48"/>
      <c r="D488" s="48"/>
      <c r="E488" s="48"/>
      <c r="F488" s="48"/>
      <c r="G488" s="48"/>
    </row>
    <row r="489" spans="3:7">
      <c r="C489" s="1392"/>
      <c r="D489" s="1392"/>
      <c r="E489" s="1392"/>
      <c r="F489" s="1392"/>
      <c r="G489" s="1392"/>
    </row>
  </sheetData>
  <sheetProtection sheet="1" objects="1" scenarios="1"/>
  <mergeCells count="14">
    <mergeCell ref="E60:M60"/>
    <mergeCell ref="E55:M55"/>
    <mergeCell ref="E56:M56"/>
    <mergeCell ref="E57:M57"/>
    <mergeCell ref="E58:M58"/>
    <mergeCell ref="E59:M59"/>
    <mergeCell ref="E67:M67"/>
    <mergeCell ref="E68:M68"/>
    <mergeCell ref="E61:M61"/>
    <mergeCell ref="E62:M62"/>
    <mergeCell ref="E63:M63"/>
    <mergeCell ref="E64:M64"/>
    <mergeCell ref="E65:M65"/>
    <mergeCell ref="E66:M66"/>
  </mergeCells>
  <conditionalFormatting sqref="D1">
    <cfRule type="expression" dxfId="56" priority="13" stopIfTrue="1">
      <formula>MOD(ROW(),2)=0</formula>
    </cfRule>
  </conditionalFormatting>
  <conditionalFormatting sqref="G17:M24">
    <cfRule type="cellIs" dxfId="55" priority="15" stopIfTrue="1" operator="equal">
      <formula>0</formula>
    </cfRule>
  </conditionalFormatting>
  <conditionalFormatting sqref="G26:M26">
    <cfRule type="cellIs" dxfId="54" priority="42" stopIfTrue="1" operator="equal">
      <formula>0</formula>
    </cfRule>
  </conditionalFormatting>
  <conditionalFormatting sqref="G28:M28">
    <cfRule type="cellIs" dxfId="53" priority="41" stopIfTrue="1" operator="equal">
      <formula>0</formula>
    </cfRule>
  </conditionalFormatting>
  <conditionalFormatting sqref="G31:M33 G35:M36">
    <cfRule type="cellIs" dxfId="52" priority="38" stopIfTrue="1" operator="equal">
      <formula>0</formula>
    </cfRule>
  </conditionalFormatting>
  <conditionalFormatting sqref="G38:M41">
    <cfRule type="cellIs" dxfId="51" priority="14" stopIfTrue="1" operator="equal">
      <formula>0</formula>
    </cfRule>
  </conditionalFormatting>
  <conditionalFormatting sqref="G43:M48">
    <cfRule type="cellIs" dxfId="50" priority="37" stopIfTrue="1" operator="equal">
      <formula>0</formula>
    </cfRule>
  </conditionalFormatting>
  <conditionalFormatting sqref="G89:M89">
    <cfRule type="cellIs" dxfId="49" priority="31" stopIfTrue="1" operator="equal">
      <formula>0</formula>
    </cfRule>
  </conditionalFormatting>
  <conditionalFormatting sqref="G97:M97">
    <cfRule type="cellIs" dxfId="48" priority="32" stopIfTrue="1" operator="equal">
      <formula>0</formula>
    </cfRule>
  </conditionalFormatting>
  <conditionalFormatting sqref="G109:M109">
    <cfRule type="cellIs" dxfId="47" priority="33" stopIfTrue="1" operator="equal">
      <formula>0</formula>
    </cfRule>
  </conditionalFormatting>
  <conditionalFormatting sqref="G123:M123">
    <cfRule type="cellIs" dxfId="46" priority="34" stopIfTrue="1" operator="equal">
      <formula>0</formula>
    </cfRule>
  </conditionalFormatting>
  <conditionalFormatting sqref="G137:M137">
    <cfRule type="cellIs" dxfId="45" priority="35" stopIfTrue="1" operator="equal">
      <formula>0</formula>
    </cfRule>
  </conditionalFormatting>
  <conditionalFormatting sqref="G139:M140">
    <cfRule type="cellIs" dxfId="44" priority="36" stopIfTrue="1" operator="equal">
      <formula>0</formula>
    </cfRule>
  </conditionalFormatting>
  <pageMargins left="0.25" right="0.25" top="0.5" bottom="0.45" header="0.25" footer="0.25"/>
  <pageSetup scale="55" fitToHeight="4" orientation="landscape" r:id="rId1"/>
  <headerFooter>
    <oddHeader xml:space="preserve">&amp;L &amp;C &amp;R </oddHeader>
    <oddFooter>&amp;L&amp;7&amp;D  at &amp;T Mike 702.854.0691&amp;C&amp;7&amp;F  &amp;A&amp;R&amp;7Page &amp;P of &amp;N</oddFooter>
  </headerFooter>
  <rowBreaks count="1" manualBreakCount="1">
    <brk id="49" max="12"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D4A3EC0020B44F93019580CF4D642E" ma:contentTypeVersion="28" ma:contentTypeDescription="Create a new document." ma:contentTypeScope="" ma:versionID="06741e460f85220bfd3ec1247d3de744">
  <xsd:schema xmlns:xsd="http://www.w3.org/2001/XMLSchema" xmlns:xs="http://www.w3.org/2001/XMLSchema" xmlns:p="http://schemas.microsoft.com/office/2006/metadata/properties" xmlns:ns1="http://schemas.microsoft.com/sharepoint/v3" xmlns:ns2="edb173ee-3fb8-4f75-bf43-79a22ca96f2e" xmlns:ns3="9224003f-e6e7-470a-941a-44de56618887" targetNamespace="http://schemas.microsoft.com/office/2006/metadata/properties" ma:root="true" ma:fieldsID="54eaaf796b0db1ec07c5955adc1ca781" ns1:_="" ns2:_="" ns3:_="">
    <xsd:import namespace="http://schemas.microsoft.com/sharepoint/v3"/>
    <xsd:import namespace="edb173ee-3fb8-4f75-bf43-79a22ca96f2e"/>
    <xsd:import namespace="9224003f-e6e7-470a-941a-44de56618887"/>
    <xsd:element name="properties">
      <xsd:complexType>
        <xsd:sequence>
          <xsd:element name="documentManagement">
            <xsd:complexType>
              <xsd:all>
                <xsd:element ref="ns2:Dateandtime" minOccurs="0"/>
                <xsd:element ref="ns2:NOC_x002d_FIP" minOccurs="0"/>
                <xsd:element ref="ns2:MediaServiceMetadata" minOccurs="0"/>
                <xsd:element ref="ns2:MediaServiceFastMetadata" minOccurs="0"/>
                <xsd:element ref="ns3:SharedWithUsers" minOccurs="0"/>
                <xsd:element ref="ns3:SharedWithDetails" minOccurs="0"/>
                <xsd:element ref="ns2:MediaServiceAutoTags" minOccurs="0"/>
                <xsd:element ref="ns2:MediaServiceEventHashCode" minOccurs="0"/>
                <xsd:element ref="ns2:MediaServiceGenerationTime" minOccurs="0"/>
                <xsd:element ref="ns2:MediaServiceAutoKeyPoints" minOccurs="0"/>
                <xsd:element ref="ns2:MediaServiceKeyPoints" minOccurs="0"/>
                <xsd:element ref="ns1:_ip_UnifiedCompliancePolicyProperties" minOccurs="0"/>
                <xsd:element ref="ns1:_ip_UnifiedCompliancePolicyUIAction" minOccurs="0"/>
                <xsd:element ref="ns2:MediaServiceOCR" minOccurs="0"/>
                <xsd:element ref="ns2:MediaServiceDateTaken" minOccurs="0"/>
                <xsd:element ref="ns2:MediaServiceLocation"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element ref="ns2:DateTimeMo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ma:readOnly="false">
      <xsd:simpleType>
        <xsd:restriction base="dms:Note"/>
      </xsd:simpleType>
    </xsd:element>
    <xsd:element name="_ip_UnifiedCompliancePolicyUIAction" ma:index="18"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db173ee-3fb8-4f75-bf43-79a22ca96f2e" elementFormDefault="qualified">
    <xsd:import namespace="http://schemas.microsoft.com/office/2006/documentManagement/types"/>
    <xsd:import namespace="http://schemas.microsoft.com/office/infopath/2007/PartnerControls"/>
    <xsd:element name="Dateandtime" ma:index="2" nillable="true" ma:displayName="Date and time" ma:format="DateTime" ma:internalName="Dateandtime" ma:readOnly="false">
      <xsd:simpleType>
        <xsd:restriction base="dms:DateTime"/>
      </xsd:simpleType>
    </xsd:element>
    <xsd:element name="NOC_x002d_FIP" ma:index="4" nillable="true" ma:displayName="NOC-FIP" ma:description="School received or is continuing under a Notice Of Concern (NOC) or is required to submit a Financial Improvement Plan (FIP)" ma:format="Dropdown" ma:internalName="NOC_x002d_FIP"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hidden="true" ma:internalName="MediaServiceAutoTags"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hidden="true" ma:internalName="MediaServiceKeyPoints" ma:readOnly="true">
      <xsd:simpleType>
        <xsd:restriction base="dms:Note"/>
      </xsd:simpleType>
    </xsd:element>
    <xsd:element name="MediaServiceOCR" ma:index="19" nillable="true" ma:displayName="Extracted Text" ma:hidden="true" ma:internalName="MediaServiceOCR" ma:readOnly="true">
      <xsd:simpleType>
        <xsd:restriction base="dms:Note"/>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hidden="true" ma:internalName="MediaServiceLocation" ma:readOnly="true">
      <xsd:simpleType>
        <xsd:restriction base="dms:Text"/>
      </xsd:simpleType>
    </xsd:element>
    <xsd:element name="MediaLengthInSeconds" ma:index="23" nillable="true" ma:displayName="Length (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a13bb73f-e2d2-482b-8e61-3bf6a9fa62fa"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7"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8" nillable="true" ma:displayName="MediaServiceSearchProperties" ma:hidden="true" ma:internalName="MediaServiceSearchProperties" ma:readOnly="true">
      <xsd:simpleType>
        <xsd:restriction base="dms:Note"/>
      </xsd:simpleType>
    </xsd:element>
    <xsd:element name="DateTimeMod" ma:index="30" nillable="true" ma:displayName="Date &amp; Time Mod" ma:format="DateTime" ma:hidden="true" ma:internalName="DateTimeMod" ma:readOnly="fals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224003f-e6e7-470a-941a-44de56618887" elementFormDefault="qualified">
    <xsd:import namespace="http://schemas.microsoft.com/office/2006/documentManagement/types"/>
    <xsd:import namespace="http://schemas.microsoft.com/office/infopath/2007/PartnerControls"/>
    <xsd:element name="SharedWithUsers" ma:index="10"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hidden="true" ma:internalName="SharedWithDetails" ma:readOnly="true">
      <xsd:simpleType>
        <xsd:restriction base="dms:Note"/>
      </xsd:simpleType>
    </xsd:element>
    <xsd:element name="TaxCatchAll" ma:index="24" nillable="true" ma:displayName="Taxonomy Catch All Column" ma:hidden="true" ma:list="{51d1bbaf-8935-41e2-b6d1-001bd16c079b}" ma:internalName="TaxCatchAll" ma:readOnly="false" ma:showField="CatchAllData" ma:web="9224003f-e6e7-470a-941a-44de5661888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24003f-e6e7-470a-941a-44de56618887" xsi:nil="true"/>
    <lcf76f155ced4ddcb4097134ff3c332f xmlns="edb173ee-3fb8-4f75-bf43-79a22ca96f2e">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ateTimeMod xmlns="edb173ee-3fb8-4f75-bf43-79a22ca96f2e" xsi:nil="true"/>
    <Dateandtime xmlns="edb173ee-3fb8-4f75-bf43-79a22ca96f2e" xsi:nil="true"/>
    <NOC_x002d_FIP xmlns="edb173ee-3fb8-4f75-bf43-79a22ca96f2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3922E8-1904-452E-B872-663D2EBBFD23}"/>
</file>

<file path=customXml/itemProps2.xml><?xml version="1.0" encoding="utf-8"?>
<ds:datastoreItem xmlns:ds="http://schemas.openxmlformats.org/officeDocument/2006/customXml" ds:itemID="{43D409FB-C47F-4DBF-9CFF-B7D64C5F0F2A}">
  <ds:schemaRefs>
    <ds:schemaRef ds:uri="http://schemas.microsoft.com/office/infopath/2007/PartnerControls"/>
    <ds:schemaRef ds:uri="9224003f-e6e7-470a-941a-44de56618887"/>
    <ds:schemaRef ds:uri="http://schemas.microsoft.com/office/2006/documentManagement/types"/>
    <ds:schemaRef ds:uri="http://purl.org/dc/dcmitype/"/>
    <ds:schemaRef ds:uri="http://www.w3.org/XML/1998/namespace"/>
    <ds:schemaRef ds:uri="http://purl.org/dc/terms/"/>
    <ds:schemaRef ds:uri="edb173ee-3fb8-4f75-bf43-79a22ca96f2e"/>
    <ds:schemaRef ds:uri="http://schemas.microsoft.com/office/2006/metadata/properties"/>
    <ds:schemaRef ds:uri="http://schemas.openxmlformats.org/package/2006/metadata/core-properties"/>
    <ds:schemaRef ds:uri="http://schemas.microsoft.com/sharepoint/v3"/>
    <ds:schemaRef ds:uri="http://purl.org/dc/elements/1.1/"/>
    <ds:schemaRef ds:uri="1d9b90cc-73b1-46ed-8cb4-21947f465363"/>
    <ds:schemaRef ds:uri="2d4e6eb2-b719-4834-8454-be55f7c0408f"/>
  </ds:schemaRefs>
</ds:datastoreItem>
</file>

<file path=customXml/itemProps3.xml><?xml version="1.0" encoding="utf-8"?>
<ds:datastoreItem xmlns:ds="http://schemas.openxmlformats.org/officeDocument/2006/customXml" ds:itemID="{55D3422B-E249-4494-9C4D-065E790082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67</vt:i4>
      </vt:variant>
    </vt:vector>
  </HeadingPairs>
  <TitlesOfParts>
    <vt:vector size="96" baseType="lpstr">
      <vt:lpstr>Instructions</vt:lpstr>
      <vt:lpstr>Resources</vt:lpstr>
      <vt:lpstr>Cover &amp; Loc</vt:lpstr>
      <vt:lpstr>Checklist &amp; TOC</vt:lpstr>
      <vt:lpstr>Mkt Res</vt:lpstr>
      <vt:lpstr> Enrol &amp; Rev</vt:lpstr>
      <vt:lpstr>Pre Y1 (Incubation)</vt:lpstr>
      <vt:lpstr>CF Y1 Mo</vt:lpstr>
      <vt:lpstr>Staff</vt:lpstr>
      <vt:lpstr>Facilities</vt:lpstr>
      <vt:lpstr>Gen Optg</vt:lpstr>
      <vt:lpstr>Ins</vt:lpstr>
      <vt:lpstr>FFE&amp;T</vt:lpstr>
      <vt:lpstr>Marketing</vt:lpstr>
      <vt:lpstr>EMO-CMO-BOSP</vt:lpstr>
      <vt:lpstr>Summary</vt:lpstr>
      <vt:lpstr>Statistics</vt:lpstr>
      <vt:lpstr>Info--&gt;</vt:lpstr>
      <vt:lpstr>PCFP Rates</vt:lpstr>
      <vt:lpstr>Demographics</vt:lpstr>
      <vt:lpstr>Facilities wkst</vt:lpstr>
      <vt:lpstr>Dev Notes</vt:lpstr>
      <vt:lpstr>Note FFE</vt:lpstr>
      <vt:lpstr>Eq wip</vt:lpstr>
      <vt:lpstr>Scratchpad (2)</vt:lpstr>
      <vt:lpstr>Levers</vt:lpstr>
      <vt:lpstr>Scratchpad</vt:lpstr>
      <vt:lpstr>Transp</vt:lpstr>
      <vt:lpstr>Star Ratings</vt:lpstr>
      <vt:lpstr>Counties</vt:lpstr>
      <vt:lpstr>County</vt:lpstr>
      <vt:lpstr>FICA_Rate</vt:lpstr>
      <vt:lpstr>HypLink10</vt:lpstr>
      <vt:lpstr>HypLink11</vt:lpstr>
      <vt:lpstr>HypLink12</vt:lpstr>
      <vt:lpstr>HypLink13</vt:lpstr>
      <vt:lpstr>HypLink14</vt:lpstr>
      <vt:lpstr>HypLink15</vt:lpstr>
      <vt:lpstr>HypLink16</vt:lpstr>
      <vt:lpstr>HypLink17</vt:lpstr>
      <vt:lpstr>HypLink18</vt:lpstr>
      <vt:lpstr>HypLink19</vt:lpstr>
      <vt:lpstr>HypLink20</vt:lpstr>
      <vt:lpstr>HypLink21</vt:lpstr>
      <vt:lpstr>HypLink22</vt:lpstr>
      <vt:lpstr>HypLink23</vt:lpstr>
      <vt:lpstr>HypLink24</vt:lpstr>
      <vt:lpstr>HypLink25</vt:lpstr>
      <vt:lpstr>HypLink26</vt:lpstr>
      <vt:lpstr>HypLink3</vt:lpstr>
      <vt:lpstr>HypLink4</vt:lpstr>
      <vt:lpstr>HypLink5</vt:lpstr>
      <vt:lpstr>'Gen Optg'!HypLink6</vt:lpstr>
      <vt:lpstr>Staff!HypLink6</vt:lpstr>
      <vt:lpstr>HypLink6</vt:lpstr>
      <vt:lpstr>HypLink7</vt:lpstr>
      <vt:lpstr>HypLink8</vt:lpstr>
      <vt:lpstr>HypLink9</vt:lpstr>
      <vt:lpstr>' Enrol &amp; Rev'!Print_Area</vt:lpstr>
      <vt:lpstr>'CF Y1 Mo'!Print_Area</vt:lpstr>
      <vt:lpstr>'Checklist &amp; TOC'!Print_Area</vt:lpstr>
      <vt:lpstr>'Cover &amp; Loc'!Print_Area</vt:lpstr>
      <vt:lpstr>Demographics!Print_Area</vt:lpstr>
      <vt:lpstr>'Dev Notes'!Print_Area</vt:lpstr>
      <vt:lpstr>'EMO-CMO-BOSP'!Print_Area</vt:lpstr>
      <vt:lpstr>'Eq wip'!Print_Area</vt:lpstr>
      <vt:lpstr>Facilities!Print_Area</vt:lpstr>
      <vt:lpstr>'FFE&amp;T'!Print_Area</vt:lpstr>
      <vt:lpstr>'Gen Optg'!Print_Area</vt:lpstr>
      <vt:lpstr>Ins!Print_Area</vt:lpstr>
      <vt:lpstr>Levers!Print_Area</vt:lpstr>
      <vt:lpstr>Marketing!Print_Area</vt:lpstr>
      <vt:lpstr>'Mkt Res'!Print_Area</vt:lpstr>
      <vt:lpstr>'Note FFE'!Print_Area</vt:lpstr>
      <vt:lpstr>'PCFP Rates'!Print_Area</vt:lpstr>
      <vt:lpstr>'Pre Y1 (Incubation)'!Print_Area</vt:lpstr>
      <vt:lpstr>Scratchpad!Print_Area</vt:lpstr>
      <vt:lpstr>'Scratchpad (2)'!Print_Area</vt:lpstr>
      <vt:lpstr>Staff!Print_Area</vt:lpstr>
      <vt:lpstr>'Star Ratings'!Print_Area</vt:lpstr>
      <vt:lpstr>Statistics!Print_Area</vt:lpstr>
      <vt:lpstr>Summary!Print_Area</vt:lpstr>
      <vt:lpstr>Transp!Print_Area</vt:lpstr>
      <vt:lpstr>' Enrol &amp; Rev'!Print_Titles</vt:lpstr>
      <vt:lpstr>'CF Y1 Mo'!Print_Titles</vt:lpstr>
      <vt:lpstr>'EMO-CMO-BOSP'!Print_Titles</vt:lpstr>
      <vt:lpstr>Facilities!Print_Titles</vt:lpstr>
      <vt:lpstr>'Facilities wkst'!Print_Titles</vt:lpstr>
      <vt:lpstr>'FFE&amp;T'!Print_Titles</vt:lpstr>
      <vt:lpstr>'Gen Optg'!Print_Titles</vt:lpstr>
      <vt:lpstr>Levers!Print_Titles</vt:lpstr>
      <vt:lpstr>Marketing!Print_Titles</vt:lpstr>
      <vt:lpstr>'Mkt Res'!Print_Titles</vt:lpstr>
      <vt:lpstr>Staff!Print_Titles</vt:lpstr>
      <vt:lpstr>Summary!Print_Titles</vt:lpstr>
      <vt:lpstr>SchoolName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Greg Thompson</dc:creator>
  <cp:keywords/>
  <dc:description/>
  <cp:lastModifiedBy>Christina Saenz</cp:lastModifiedBy>
  <cp:revision/>
  <dcterms:created xsi:type="dcterms:W3CDTF">2009-03-05T15:43:16Z</dcterms:created>
  <dcterms:modified xsi:type="dcterms:W3CDTF">2025-09-13T05:31:47Z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0x01010072D4A3EC0020B44F93019580CF4D642E</vt:lpwstr>
  </property>
  <property fmtid="{D5CDD505-2E9C-101B-9397-08002B2CF9AE}" pid="3" name="MediaServiceImageTags">
    <vt:lpwstr/>
  </property>
</Properties>
</file>