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threadedComments/threadedComment9.xml" ContentType="application/vnd.ms-excel.threadedcomments+xml"/>
  <Override PartName="/xl/drawings/drawing7.xml" ContentType="application/vnd.openxmlformats-officedocument.drawing+xml"/>
  <Override PartName="/xl/comments11.xml" ContentType="application/vnd.openxmlformats-officedocument.spreadsheetml.comments+xml"/>
  <Override PartName="/xl/threadedComments/threadedComment10.xml" ContentType="application/vnd.ms-excel.threadedcomments+xml"/>
  <Override PartName="/xl/drawings/drawing8.xml" ContentType="application/vnd.openxmlformats-officedocument.drawing+xml"/>
  <Override PartName="/xl/comments12.xml" ContentType="application/vnd.openxmlformats-officedocument.spreadsheetml.comments+xml"/>
  <Override PartName="/xl/threadedComments/threadedComment11.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mc:AlternateContent xmlns:mc="http://schemas.openxmlformats.org/markup-compatibility/2006">
    <mc:Choice Requires="x15">
      <x15ac:absPath xmlns:x15ac="http://schemas.microsoft.com/office/spreadsheetml/2010/11/ac" url="C:\Users\CRaymond\Char. School Bus Mgt Dropbox\Collin Raymond\Growth Team\Growth 2.0\Growth &amp; Data\Client Projects\Rooted LV\"/>
    </mc:Choice>
  </mc:AlternateContent>
  <xr:revisionPtr revIDLastSave="0" documentId="8_{23694DCB-5338-48C0-95CD-1396698D4AD9}" xr6:coauthVersionLast="47" xr6:coauthVersionMax="47" xr10:uidLastSave="{00000000-0000-0000-0000-000000000000}"/>
  <bookViews>
    <workbookView xWindow="3060" yWindow="390" windowWidth="25185" windowHeight="13965" tabRatio="766" firstSheet="1" activeTab="3" xr2:uid="{568E0760-43E8-49A1-987D-4817E9B7F859}"/>
  </bookViews>
  <sheets>
    <sheet name="Instructions" sheetId="36" state="hidden" r:id="rId1"/>
    <sheet name="Cover" sheetId="52" r:id="rId2"/>
    <sheet name="TOC" sheetId="66" state="hidden" r:id="rId3"/>
    <sheet name="Summary" sheetId="18" r:id="rId4"/>
    <sheet name="Market" sheetId="41" r:id="rId5"/>
    <sheet name=" Enrol &amp; Rev" sheetId="13" r:id="rId6"/>
    <sheet name="CF Y1 Mo" sheetId="38" r:id="rId7"/>
    <sheet name="Gen Optg" sheetId="61" r:id="rId8"/>
    <sheet name="Staff" sheetId="62" r:id="rId9"/>
    <sheet name="Facilities" sheetId="46" r:id="rId10"/>
    <sheet name="FFE&amp;T" sheetId="34" r:id="rId11"/>
    <sheet name="Ins" sheetId="47" r:id="rId12"/>
    <sheet name="Marketing" sheetId="48" r:id="rId13"/>
    <sheet name="Incubation" sheetId="39" r:id="rId14"/>
    <sheet name="EMO-CMO" sheetId="45" r:id="rId15"/>
    <sheet name="PCFP Rates" sheetId="35" r:id="rId16"/>
    <sheet name="Facilities wkst" sheetId="53" r:id="rId17"/>
    <sheet name="Dev Notes" sheetId="57" state="hidden" r:id="rId18"/>
    <sheet name="Note FFE" sheetId="54" r:id="rId19"/>
    <sheet name="Eq wip" sheetId="55" state="hidden" r:id="rId20"/>
    <sheet name="Levers" sheetId="63" r:id="rId21"/>
    <sheet name="Instructional" sheetId="67" r:id="rId22"/>
  </sheets>
  <definedNames>
    <definedName name="_xlnm._FilterDatabase" localSheetId="8" hidden="1">Staff!$B$232:$M$445</definedName>
    <definedName name="Counties">'PCFP Rates'!$O$14:$O$41</definedName>
    <definedName name="County">'PCFP Rates'!$O$14:$O$41</definedName>
    <definedName name="DSA">'PCFP Rates'!$P$14:$P$41</definedName>
    <definedName name="HypLink1">TOC!$B$11</definedName>
    <definedName name="HypLink10">Facilities!$A$1</definedName>
    <definedName name="HypLink11">'FFE&amp;T'!$A$1</definedName>
    <definedName name="HypLink12">Ins!$A$1</definedName>
    <definedName name="HypLink13">Marketing!$A$1</definedName>
    <definedName name="HypLink14">Incubation!$A$1</definedName>
    <definedName name="HypLink15">'EMO-CMO'!$A$1</definedName>
    <definedName name="HypLink16">'CF Y1 Mo'!$A$1</definedName>
    <definedName name="HypLink17">'Facilities wkst'!$A$1</definedName>
    <definedName name="HypLink18">'PCFP Rates'!$A$1</definedName>
    <definedName name="HypLink19">'Note FFE'!$A$1</definedName>
    <definedName name="HypLink2" localSheetId="21">#REF!</definedName>
    <definedName name="HypLink2">#REF!</definedName>
    <definedName name="HypLink20">'Eq wip'!$A$1</definedName>
    <definedName name="HypLink21">'Dev Notes'!$A$1</definedName>
    <definedName name="HypLink22" localSheetId="21">#REF!</definedName>
    <definedName name="HypLink22">Levers!#REF!</definedName>
    <definedName name="HypLink3">Instructions!$A$6</definedName>
    <definedName name="HypLink4">Cover!$A$1</definedName>
    <definedName name="HypLink5">Summary!$A$1</definedName>
    <definedName name="HypLink6" localSheetId="7">'Gen Optg'!$A$1</definedName>
    <definedName name="HypLink6" localSheetId="8">Staff!$A$1</definedName>
    <definedName name="HypLink6">Market!$A$1</definedName>
    <definedName name="HypLink7">' Enrol &amp; Rev'!$A$1</definedName>
    <definedName name="HypLink8">Staff!$A$1</definedName>
    <definedName name="HypLink9">'Gen Optg'!$A$1</definedName>
    <definedName name="_xlnm.Print_Area" localSheetId="5">' Enrol &amp; Rev'!$A$1:$N$110</definedName>
    <definedName name="_xlnm.Print_Area" localSheetId="6">'CF Y1 Mo'!$A$1:$Q$130</definedName>
    <definedName name="_xlnm.Print_Area" localSheetId="1">Cover!$A$1:$G$28</definedName>
    <definedName name="_xlnm.Print_Area" localSheetId="17">'Dev Notes'!$A$1:$T$90</definedName>
    <definedName name="_xlnm.Print_Area" localSheetId="14">'EMO-CMO'!$A$1:$L$77</definedName>
    <definedName name="_xlnm.Print_Area" localSheetId="19">'Eq wip'!$A$1:$N$50</definedName>
    <definedName name="_xlnm.Print_Area" localSheetId="9">Facilities!$A$1:$L$71</definedName>
    <definedName name="_xlnm.Print_Area" localSheetId="10">'FFE&amp;T'!$A$1:$L$51</definedName>
    <definedName name="_xlnm.Print_Area" localSheetId="7">'Gen Optg'!$A$1:$L$147</definedName>
    <definedName name="_xlnm.Print_Area" localSheetId="13">Incubation!$A$1:$F$29</definedName>
    <definedName name="_xlnm.Print_Area" localSheetId="11">Ins!$A$1:$L$50</definedName>
    <definedName name="_xlnm.Print_Area" localSheetId="0">Instructions!$A$1:$A$97</definedName>
    <definedName name="_xlnm.Print_Area" localSheetId="20">Levers!$A$1:$I$39</definedName>
    <definedName name="_xlnm.Print_Area" localSheetId="4">Market!$A$1:$K$68</definedName>
    <definedName name="_xlnm.Print_Area" localSheetId="12">Marketing!$A$1:$N$46</definedName>
    <definedName name="_xlnm.Print_Area" localSheetId="18">'Note FFE'!$A$1:$I$43</definedName>
    <definedName name="_xlnm.Print_Area" localSheetId="15">'PCFP Rates'!$A$1:$M$432</definedName>
    <definedName name="_xlnm.Print_Area" localSheetId="8">Staff!$A$1:$N$69</definedName>
    <definedName name="_xlnm.Print_Area" localSheetId="3">Summary!$A$1:$M$172</definedName>
    <definedName name="_xlnm.Print_Area" localSheetId="2">TOC!$A$1:$K$26</definedName>
    <definedName name="_xlnm.Print_Titles" localSheetId="5">' Enrol &amp; Rev'!$9:$11</definedName>
    <definedName name="_xlnm.Print_Titles" localSheetId="6">'CF Y1 Mo'!$7:$12</definedName>
    <definedName name="_xlnm.Print_Titles" localSheetId="14">'EMO-CMO'!$9:$11</definedName>
    <definedName name="_xlnm.Print_Titles" localSheetId="16">'Facilities wkst'!$A:$A</definedName>
    <definedName name="_xlnm.Print_Titles" localSheetId="7">'Gen Optg'!$9:$11</definedName>
    <definedName name="_xlnm.Print_Titles" localSheetId="20">Levers!$7:$8</definedName>
    <definedName name="_xlnm.Print_Titles" localSheetId="4">Market!$7:$9</definedName>
    <definedName name="_xlnm.Print_Titles" localSheetId="12">Marketing!$11:$13</definedName>
    <definedName name="_xlnm.Print_Titles" localSheetId="8">Staff!#REF!</definedName>
    <definedName name="_xlnm.Print_Titles" localSheetId="3">Summary!$6:$8</definedName>
    <definedName name="SchoolName" localSheetId="21">#REF!</definedName>
    <definedName name="SchoolName">Cover!$C$9</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8" l="1"/>
  <c r="G39" i="18"/>
  <c r="F39" i="18"/>
  <c r="N1" i="67"/>
  <c r="O1" i="67"/>
  <c r="K1" i="67"/>
  <c r="L1" i="67"/>
  <c r="M1" i="67"/>
  <c r="J1" i="67"/>
  <c r="G76" i="61"/>
  <c r="H76" i="61"/>
  <c r="J15" i="34"/>
  <c r="K15" i="34" s="1"/>
  <c r="L15" i="34" s="1"/>
  <c r="I15" i="34"/>
  <c r="G29" i="46"/>
  <c r="H29" i="46"/>
  <c r="I29" i="46"/>
  <c r="J29" i="46"/>
  <c r="K29" i="46"/>
  <c r="J203" i="62"/>
  <c r="K203" i="62"/>
  <c r="I12" i="47"/>
  <c r="J12" i="47"/>
  <c r="K12" i="47" s="1"/>
  <c r="L12" i="47" s="1"/>
  <c r="H12" i="47"/>
  <c r="H101" i="13"/>
  <c r="I36" i="34"/>
  <c r="J36" i="34"/>
  <c r="K36" i="34"/>
  <c r="L36" i="34"/>
  <c r="H36" i="34"/>
  <c r="J29" i="34"/>
  <c r="K29" i="34" s="1"/>
  <c r="L29" i="34" s="1"/>
  <c r="I29" i="34"/>
  <c r="J28" i="34"/>
  <c r="K28" i="34" s="1"/>
  <c r="L28" i="34" s="1"/>
  <c r="I28" i="34"/>
  <c r="K96" i="61"/>
  <c r="L96" i="61" s="1"/>
  <c r="F38" i="18"/>
  <c r="F36" i="18"/>
  <c r="J214" i="62" l="1"/>
  <c r="L202" i="62"/>
  <c r="M202" i="62"/>
  <c r="L196" i="62"/>
  <c r="M196" i="62"/>
  <c r="C41" i="38" l="1"/>
  <c r="H108" i="13"/>
  <c r="I36" i="48"/>
  <c r="G36" i="34"/>
  <c r="G35" i="34"/>
  <c r="G29" i="34"/>
  <c r="J93" i="62" l="1"/>
  <c r="J94" i="62"/>
  <c r="H94" i="62"/>
  <c r="H95" i="62"/>
  <c r="C24" i="38" l="1"/>
  <c r="C23" i="38"/>
  <c r="C22" i="38"/>
  <c r="C19" i="38"/>
  <c r="I36" i="38"/>
  <c r="J36" i="38"/>
  <c r="K36" i="38"/>
  <c r="L36" i="38"/>
  <c r="M36" i="38"/>
  <c r="N36" i="38"/>
  <c r="O36" i="38"/>
  <c r="P36" i="38"/>
  <c r="Q36" i="38"/>
  <c r="H36" i="38"/>
  <c r="G35" i="38"/>
  <c r="H35" i="38"/>
  <c r="I35" i="38"/>
  <c r="J35" i="38"/>
  <c r="K35" i="38"/>
  <c r="L35" i="38"/>
  <c r="M35" i="38"/>
  <c r="N35" i="38"/>
  <c r="O35" i="38"/>
  <c r="P35" i="38"/>
  <c r="Q35" i="38"/>
  <c r="F35" i="38"/>
  <c r="J44" i="38"/>
  <c r="K44" i="38"/>
  <c r="L44" i="38"/>
  <c r="M44" i="38"/>
  <c r="N44" i="38"/>
  <c r="O44" i="38"/>
  <c r="P44" i="38"/>
  <c r="Q44" i="38"/>
  <c r="I44" i="38"/>
  <c r="E26" i="45"/>
  <c r="G235" i="62" l="1"/>
  <c r="G28" i="34"/>
  <c r="E10" i="39"/>
  <c r="E25" i="45"/>
  <c r="D26" i="45"/>
  <c r="K26" i="34"/>
  <c r="L26" i="34"/>
  <c r="F16" i="34"/>
  <c r="I61" i="13"/>
  <c r="C50" i="62"/>
  <c r="C49" i="62"/>
  <c r="C425" i="62"/>
  <c r="C421" i="62"/>
  <c r="I420" i="62" l="1"/>
  <c r="H420" i="62"/>
  <c r="H441" i="62" s="1"/>
  <c r="M36" i="48" l="1"/>
  <c r="N36" i="48"/>
  <c r="E36" i="45"/>
  <c r="F21" i="46"/>
  <c r="H83" i="61"/>
  <c r="I83" i="61"/>
  <c r="J83" i="61"/>
  <c r="K83" i="61"/>
  <c r="L83" i="61"/>
  <c r="K37" i="67"/>
  <c r="L37" i="67"/>
  <c r="M37" i="67"/>
  <c r="N37" i="67"/>
  <c r="O37" i="67"/>
  <c r="I38" i="67"/>
  <c r="J37" i="67"/>
  <c r="I37" i="67"/>
  <c r="O34" i="67"/>
  <c r="N34" i="67"/>
  <c r="M34" i="67"/>
  <c r="O33" i="67"/>
  <c r="N33" i="67"/>
  <c r="M33" i="67"/>
  <c r="O32" i="67"/>
  <c r="N32" i="67"/>
  <c r="M32" i="67"/>
  <c r="O31" i="67"/>
  <c r="N31" i="67"/>
  <c r="M31" i="67"/>
  <c r="L31" i="67"/>
  <c r="O30" i="67"/>
  <c r="N30" i="67"/>
  <c r="M30" i="67"/>
  <c r="L30" i="67"/>
  <c r="O23" i="67"/>
  <c r="N23" i="67"/>
  <c r="M23" i="67"/>
  <c r="L23" i="67"/>
  <c r="K23" i="67"/>
  <c r="J23" i="67"/>
  <c r="I22" i="67"/>
  <c r="J22" i="67" s="1"/>
  <c r="O17" i="67"/>
  <c r="N17" i="67"/>
  <c r="M17" i="67"/>
  <c r="L17" i="67"/>
  <c r="K17" i="67"/>
  <c r="J17" i="67"/>
  <c r="J8" i="67"/>
  <c r="O7" i="67"/>
  <c r="N7" i="67"/>
  <c r="M7" i="67"/>
  <c r="L7" i="67"/>
  <c r="K7" i="67"/>
  <c r="J7" i="67"/>
  <c r="O6" i="67"/>
  <c r="N6" i="67"/>
  <c r="M6" i="67"/>
  <c r="L6" i="67"/>
  <c r="K6" i="67"/>
  <c r="J6" i="67"/>
  <c r="I2" i="67"/>
  <c r="O4" i="67"/>
  <c r="N4" i="67"/>
  <c r="M5" i="67"/>
  <c r="L4" i="67"/>
  <c r="K4" i="67"/>
  <c r="J38" i="67"/>
  <c r="L26" i="47"/>
  <c r="L28" i="47"/>
  <c r="L29" i="47"/>
  <c r="K28" i="47"/>
  <c r="K29" i="47"/>
  <c r="J28" i="47"/>
  <c r="J29" i="47"/>
  <c r="K26" i="47"/>
  <c r="J26" i="47"/>
  <c r="K15" i="47"/>
  <c r="L15" i="47" s="1"/>
  <c r="J15" i="47"/>
  <c r="F46" i="13"/>
  <c r="D47" i="13"/>
  <c r="B26" i="52"/>
  <c r="B136" i="18"/>
  <c r="B135" i="18"/>
  <c r="B74" i="38"/>
  <c r="F25" i="35"/>
  <c r="F24" i="35"/>
  <c r="F23" i="35"/>
  <c r="F22" i="35"/>
  <c r="F21" i="35"/>
  <c r="F20" i="35"/>
  <c r="L38" i="67" l="1"/>
  <c r="N38" i="67"/>
  <c r="K2" i="67"/>
  <c r="O38" i="67"/>
  <c r="J2" i="67"/>
  <c r="M38" i="67"/>
  <c r="L8" i="67"/>
  <c r="N22" i="67"/>
  <c r="K38" i="67"/>
  <c r="N5" i="67"/>
  <c r="O5" i="67"/>
  <c r="L2" i="67"/>
  <c r="N2" i="67"/>
  <c r="N8" i="67"/>
  <c r="O19" i="67"/>
  <c r="M2" i="67"/>
  <c r="M8" i="67"/>
  <c r="O22" i="67"/>
  <c r="O2" i="67"/>
  <c r="O8" i="67"/>
  <c r="M4" i="67"/>
  <c r="K22" i="67"/>
  <c r="L22" i="67"/>
  <c r="K8" i="67"/>
  <c r="M22" i="67"/>
  <c r="J19" i="67"/>
  <c r="J5" i="67"/>
  <c r="K19" i="67"/>
  <c r="K5" i="67"/>
  <c r="L19" i="67"/>
  <c r="J4" i="67"/>
  <c r="L5" i="67"/>
  <c r="M19" i="67"/>
  <c r="N19" i="67"/>
  <c r="F14" i="18"/>
  <c r="F13" i="18"/>
  <c r="A82" i="13"/>
  <c r="A89" i="13"/>
  <c r="A88" i="13"/>
  <c r="A87" i="13"/>
  <c r="A86" i="13"/>
  <c r="A85" i="13"/>
  <c r="A84" i="13"/>
  <c r="A83" i="13"/>
  <c r="A67" i="13"/>
  <c r="A66" i="13"/>
  <c r="A65" i="13"/>
  <c r="A64" i="13"/>
  <c r="A63" i="13"/>
  <c r="A62" i="13"/>
  <c r="A61" i="13"/>
  <c r="A60" i="13"/>
  <c r="A59" i="13"/>
  <c r="C79" i="13"/>
  <c r="C66" i="13" s="1"/>
  <c r="C85" i="13"/>
  <c r="A38" i="13"/>
  <c r="A73" i="13"/>
  <c r="A72" i="13"/>
  <c r="A71" i="13"/>
  <c r="A70" i="13"/>
  <c r="A69" i="13"/>
  <c r="A68" i="13"/>
  <c r="A58" i="13"/>
  <c r="A57" i="13"/>
  <c r="A56" i="13"/>
  <c r="A55" i="13"/>
  <c r="A54" i="13"/>
  <c r="A53" i="13"/>
  <c r="A52" i="13"/>
  <c r="A51" i="13"/>
  <c r="A50" i="13"/>
  <c r="A49" i="13"/>
  <c r="A48" i="13"/>
  <c r="A47" i="13"/>
  <c r="A46" i="13"/>
  <c r="A45" i="13"/>
  <c r="A44" i="13"/>
  <c r="A43" i="13"/>
  <c r="A42" i="13"/>
  <c r="A41" i="13"/>
  <c r="A40" i="13"/>
  <c r="A39" i="13"/>
  <c r="E35" i="35"/>
  <c r="E34" i="35"/>
  <c r="E33" i="35"/>
  <c r="E32" i="35"/>
  <c r="E31" i="35"/>
  <c r="E30" i="35"/>
  <c r="C57" i="13"/>
  <c r="C56" i="13"/>
  <c r="C55" i="13"/>
  <c r="C54" i="13"/>
  <c r="B57" i="13"/>
  <c r="B56" i="13"/>
  <c r="B55" i="13"/>
  <c r="B54" i="13"/>
  <c r="B53" i="13"/>
  <c r="M42" i="67" l="1"/>
  <c r="M44" i="67" s="1"/>
  <c r="K42" i="67"/>
  <c r="K44" i="67" s="1"/>
  <c r="J42" i="67"/>
  <c r="G78" i="61" s="1"/>
  <c r="N42" i="67"/>
  <c r="O42" i="67"/>
  <c r="L42" i="67"/>
  <c r="F47" i="13"/>
  <c r="J61" i="13"/>
  <c r="K61" i="13" s="1"/>
  <c r="L61" i="13" s="1"/>
  <c r="M61" i="13" s="1"/>
  <c r="F45" i="13"/>
  <c r="F44" i="13"/>
  <c r="H62" i="13" s="1"/>
  <c r="I62" i="13" s="1"/>
  <c r="J62" i="13" s="1"/>
  <c r="K62" i="13" s="1"/>
  <c r="L62" i="13" s="1"/>
  <c r="M62" i="13" s="1"/>
  <c r="F43" i="13"/>
  <c r="H63" i="13" s="1"/>
  <c r="I63" i="13" s="1"/>
  <c r="J63" i="13" s="1"/>
  <c r="K63" i="13" s="1"/>
  <c r="L63" i="13" s="1"/>
  <c r="M63" i="13" s="1"/>
  <c r="J78" i="61" l="1"/>
  <c r="H78" i="61"/>
  <c r="J44" i="67"/>
  <c r="O44" i="67"/>
  <c r="L78" i="61"/>
  <c r="L44" i="67"/>
  <c r="I78" i="61"/>
  <c r="N44" i="67"/>
  <c r="K78" i="61"/>
  <c r="K62" i="35"/>
  <c r="K61" i="35"/>
  <c r="K60" i="35"/>
  <c r="K59" i="35"/>
  <c r="K63" i="35" l="1"/>
  <c r="D54" i="35" l="1"/>
  <c r="D15" i="35"/>
  <c r="H34" i="13" l="1"/>
  <c r="H92" i="13" l="1"/>
  <c r="C16" i="38" s="1"/>
  <c r="H97" i="13"/>
  <c r="C20" i="38" s="1"/>
  <c r="H81" i="13"/>
  <c r="H46" i="13"/>
  <c r="H43" i="13"/>
  <c r="H44" i="13"/>
  <c r="H45" i="13"/>
  <c r="D110" i="35"/>
  <c r="D109" i="35"/>
  <c r="D108" i="35"/>
  <c r="D107" i="35"/>
  <c r="D106" i="35"/>
  <c r="D105" i="35"/>
  <c r="A81" i="13"/>
  <c r="I110" i="35"/>
  <c r="H110" i="35"/>
  <c r="G110" i="35"/>
  <c r="F110" i="35"/>
  <c r="I109" i="35"/>
  <c r="H109" i="35"/>
  <c r="G109" i="35"/>
  <c r="F109" i="35"/>
  <c r="I108" i="35"/>
  <c r="H108" i="35"/>
  <c r="G108" i="35"/>
  <c r="F108" i="35"/>
  <c r="I107" i="35"/>
  <c r="H107" i="35"/>
  <c r="G107" i="35"/>
  <c r="F107" i="35"/>
  <c r="I106" i="35"/>
  <c r="H106" i="35"/>
  <c r="G106" i="35"/>
  <c r="F106" i="35"/>
  <c r="I105" i="35"/>
  <c r="H105" i="35"/>
  <c r="G105" i="35"/>
  <c r="F105" i="35"/>
  <c r="B110" i="35"/>
  <c r="B109" i="35"/>
  <c r="B108" i="35"/>
  <c r="B107" i="35"/>
  <c r="B106" i="35"/>
  <c r="B105" i="35"/>
  <c r="E110" i="35"/>
  <c r="E109" i="35"/>
  <c r="E108" i="35"/>
  <c r="E107" i="35"/>
  <c r="E106" i="35"/>
  <c r="E105" i="35"/>
  <c r="I98" i="35"/>
  <c r="H98" i="35"/>
  <c r="G98" i="35"/>
  <c r="F98" i="35"/>
  <c r="C77" i="35"/>
  <c r="C100" i="35"/>
  <c r="C112" i="35"/>
  <c r="A106" i="35"/>
  <c r="A107" i="35" s="1"/>
  <c r="A108" i="35" s="1"/>
  <c r="A109" i="35" s="1"/>
  <c r="A110" i="35" s="1"/>
  <c r="C91" i="35"/>
  <c r="I90" i="35"/>
  <c r="H90" i="35"/>
  <c r="G90" i="35"/>
  <c r="F90" i="35"/>
  <c r="I89" i="35"/>
  <c r="H89" i="35"/>
  <c r="G89" i="35"/>
  <c r="F89" i="35"/>
  <c r="I88" i="35"/>
  <c r="H88" i="35"/>
  <c r="G88" i="35"/>
  <c r="F88" i="35"/>
  <c r="I85" i="35"/>
  <c r="H85" i="35"/>
  <c r="G85" i="35"/>
  <c r="I84" i="35"/>
  <c r="H84" i="35"/>
  <c r="G84" i="35"/>
  <c r="F84" i="35"/>
  <c r="F85" i="35"/>
  <c r="E90" i="35"/>
  <c r="E89" i="35"/>
  <c r="E88" i="35"/>
  <c r="E85" i="35"/>
  <c r="E84" i="35"/>
  <c r="B89" i="35"/>
  <c r="B88" i="35"/>
  <c r="B87" i="35"/>
  <c r="B86" i="35"/>
  <c r="B85" i="35"/>
  <c r="B84" i="35"/>
  <c r="A85" i="35"/>
  <c r="A86" i="35" s="1"/>
  <c r="A87" i="35" s="1"/>
  <c r="A88" i="35" s="1"/>
  <c r="A89" i="35" s="1"/>
  <c r="E77" i="35"/>
  <c r="E96" i="35" s="1"/>
  <c r="H47" i="13" l="1"/>
  <c r="H48" i="13" s="1"/>
  <c r="H49" i="13" s="1"/>
  <c r="J107" i="35"/>
  <c r="J110" i="35"/>
  <c r="J106" i="35"/>
  <c r="J109" i="35"/>
  <c r="J105" i="35"/>
  <c r="J90" i="35"/>
  <c r="J89" i="35"/>
  <c r="J84" i="35"/>
  <c r="J108" i="35" l="1"/>
  <c r="J88" i="35"/>
  <c r="J85" i="35"/>
  <c r="H79" i="35"/>
  <c r="G79" i="35"/>
  <c r="I79" i="35"/>
  <c r="F79" i="35"/>
  <c r="H77" i="35"/>
  <c r="G77" i="35"/>
  <c r="I77" i="35"/>
  <c r="F77" i="35"/>
  <c r="H96" i="35" l="1"/>
  <c r="I96" i="35"/>
  <c r="F96" i="35"/>
  <c r="G96" i="35"/>
  <c r="J77" i="35"/>
  <c r="I257" i="35"/>
  <c r="H257" i="35"/>
  <c r="G257" i="35"/>
  <c r="F257" i="35"/>
  <c r="E257" i="35"/>
  <c r="I256" i="35"/>
  <c r="H256" i="35"/>
  <c r="G256" i="35"/>
  <c r="F256" i="35"/>
  <c r="E256" i="35"/>
  <c r="E235" i="35" s="1"/>
  <c r="I255" i="35"/>
  <c r="H255" i="35"/>
  <c r="G255" i="35"/>
  <c r="F255" i="35"/>
  <c r="E255" i="35"/>
  <c r="E234" i="35" s="1"/>
  <c r="I254" i="35"/>
  <c r="H254" i="35"/>
  <c r="G254" i="35"/>
  <c r="F254" i="35"/>
  <c r="E254" i="35"/>
  <c r="I253" i="35"/>
  <c r="H253" i="35"/>
  <c r="G253" i="35"/>
  <c r="F253" i="35"/>
  <c r="E253" i="35"/>
  <c r="I252" i="35"/>
  <c r="H252" i="35"/>
  <c r="G252" i="35"/>
  <c r="F252" i="35"/>
  <c r="E252" i="35"/>
  <c r="E231" i="35" s="1"/>
  <c r="E15" i="35"/>
  <c r="D111" i="35" s="1"/>
  <c r="C58" i="13" s="1"/>
  <c r="B296" i="35"/>
  <c r="B295" i="35"/>
  <c r="B294" i="35"/>
  <c r="D293" i="35"/>
  <c r="B293" i="35"/>
  <c r="D292" i="35"/>
  <c r="B292" i="35"/>
  <c r="A292" i="35"/>
  <c r="A293" i="35" s="1"/>
  <c r="A294" i="35" s="1"/>
  <c r="A295" i="35" s="1"/>
  <c r="A296" i="35" s="1"/>
  <c r="D291" i="35"/>
  <c r="B291" i="35"/>
  <c r="B286" i="35"/>
  <c r="B285" i="35"/>
  <c r="B284" i="35"/>
  <c r="D283" i="35"/>
  <c r="B283" i="35"/>
  <c r="D282" i="35"/>
  <c r="B282" i="35"/>
  <c r="A282" i="35"/>
  <c r="A283" i="35" s="1"/>
  <c r="A284" i="35" s="1"/>
  <c r="A285" i="35" s="1"/>
  <c r="A286" i="35" s="1"/>
  <c r="D281" i="35"/>
  <c r="B281" i="35"/>
  <c r="I275" i="35"/>
  <c r="H275" i="35"/>
  <c r="G275" i="35"/>
  <c r="F275" i="35"/>
  <c r="E275" i="35"/>
  <c r="B273" i="35"/>
  <c r="B272" i="35"/>
  <c r="B271" i="35"/>
  <c r="D270" i="35"/>
  <c r="B270" i="35"/>
  <c r="D269" i="35"/>
  <c r="B269" i="35"/>
  <c r="A269" i="35"/>
  <c r="A270" i="35" s="1"/>
  <c r="A271" i="35" s="1"/>
  <c r="A272" i="35" s="1"/>
  <c r="A273" i="35" s="1"/>
  <c r="D268" i="35"/>
  <c r="B268" i="35"/>
  <c r="D31" i="35"/>
  <c r="F31" i="35" s="1"/>
  <c r="D35" i="35"/>
  <c r="F35" i="35" s="1"/>
  <c r="D34" i="35"/>
  <c r="F34" i="35" s="1"/>
  <c r="D33" i="35"/>
  <c r="F33" i="35" s="1"/>
  <c r="D32" i="35"/>
  <c r="F32" i="35" s="1"/>
  <c r="D30" i="35"/>
  <c r="F30" i="35" s="1"/>
  <c r="F55" i="13" l="1"/>
  <c r="F54" i="13"/>
  <c r="I54" i="13" s="1"/>
  <c r="I99" i="13" s="1"/>
  <c r="I78" i="35"/>
  <c r="K77" i="35"/>
  <c r="G78" i="35"/>
  <c r="I111" i="35"/>
  <c r="I112" i="35" s="1"/>
  <c r="D88" i="35"/>
  <c r="J96" i="35"/>
  <c r="D87" i="35"/>
  <c r="D84" i="35"/>
  <c r="D89" i="35"/>
  <c r="D86" i="35"/>
  <c r="D85" i="35"/>
  <c r="D256" i="35"/>
  <c r="G111" i="35"/>
  <c r="G112" i="35" s="1"/>
  <c r="D90" i="35"/>
  <c r="E83" i="35"/>
  <c r="E87" i="35"/>
  <c r="J78" i="35"/>
  <c r="E78" i="35"/>
  <c r="F78" i="35"/>
  <c r="H78" i="35"/>
  <c r="H258" i="35"/>
  <c r="D233" i="35"/>
  <c r="D245" i="35"/>
  <c r="D234" i="35"/>
  <c r="D242" i="35"/>
  <c r="D246" i="35"/>
  <c r="D254" i="35"/>
  <c r="D253" i="35"/>
  <c r="D231" i="35"/>
  <c r="D235" i="35"/>
  <c r="D243" i="35"/>
  <c r="D247" i="35"/>
  <c r="D255" i="35"/>
  <c r="F258" i="35"/>
  <c r="J253" i="35"/>
  <c r="J257" i="35"/>
  <c r="D257" i="35"/>
  <c r="J275" i="35"/>
  <c r="D232" i="35"/>
  <c r="D236" i="35"/>
  <c r="D244" i="35"/>
  <c r="D252" i="35"/>
  <c r="G258" i="35"/>
  <c r="J254" i="35"/>
  <c r="J255" i="35"/>
  <c r="E232" i="35"/>
  <c r="E236" i="35"/>
  <c r="J252" i="35"/>
  <c r="I258" i="35"/>
  <c r="J256" i="35"/>
  <c r="E233" i="35"/>
  <c r="E258" i="35"/>
  <c r="E237" i="35" l="1"/>
  <c r="F58" i="13"/>
  <c r="F56" i="13"/>
  <c r="F57" i="13"/>
  <c r="F86" i="35"/>
  <c r="G86" i="35"/>
  <c r="I86" i="35"/>
  <c r="H86" i="35"/>
  <c r="E86" i="35"/>
  <c r="E91" i="35" s="1"/>
  <c r="E92" i="35" s="1"/>
  <c r="G97" i="35"/>
  <c r="F97" i="35"/>
  <c r="H111" i="35"/>
  <c r="H112" i="35" s="1"/>
  <c r="I87" i="35"/>
  <c r="F87" i="35"/>
  <c r="G87" i="35"/>
  <c r="H87" i="35"/>
  <c r="F111" i="35"/>
  <c r="F112" i="35" s="1"/>
  <c r="I97" i="35"/>
  <c r="H97" i="35"/>
  <c r="E111" i="35"/>
  <c r="J97" i="35"/>
  <c r="E97" i="35"/>
  <c r="E104" i="35"/>
  <c r="E260" i="35"/>
  <c r="J258" i="35"/>
  <c r="H91" i="35" l="1"/>
  <c r="H92" i="35" s="1"/>
  <c r="G91" i="35"/>
  <c r="G92" i="35" s="1"/>
  <c r="H58" i="13"/>
  <c r="F59" i="13"/>
  <c r="F91" i="35"/>
  <c r="F92" i="35" s="1"/>
  <c r="F93" i="35" s="1"/>
  <c r="I91" i="35"/>
  <c r="I92" i="35" s="1"/>
  <c r="I93" i="35" s="1"/>
  <c r="J86" i="35"/>
  <c r="H56" i="13"/>
  <c r="I56" i="13"/>
  <c r="H55" i="13"/>
  <c r="I55" i="13"/>
  <c r="H54" i="13"/>
  <c r="H57" i="13"/>
  <c r="I57" i="13"/>
  <c r="E93" i="35"/>
  <c r="G93" i="35"/>
  <c r="H93" i="35"/>
  <c r="J87" i="35"/>
  <c r="J111" i="35"/>
  <c r="E112" i="35"/>
  <c r="J112" i="35" s="1"/>
  <c r="D199" i="35"/>
  <c r="D198" i="35"/>
  <c r="D197" i="35"/>
  <c r="D196" i="35"/>
  <c r="D195" i="35"/>
  <c r="D194" i="35"/>
  <c r="D212" i="35"/>
  <c r="D211" i="35"/>
  <c r="D210" i="35"/>
  <c r="D209" i="35"/>
  <c r="D208" i="35"/>
  <c r="D207" i="35"/>
  <c r="I222" i="35"/>
  <c r="H222" i="35"/>
  <c r="G222" i="35"/>
  <c r="F222" i="35"/>
  <c r="E222" i="35"/>
  <c r="I221" i="35"/>
  <c r="H221" i="35"/>
  <c r="G221" i="35"/>
  <c r="F221" i="35"/>
  <c r="E221" i="35"/>
  <c r="E198" i="35" s="1"/>
  <c r="I220" i="35"/>
  <c r="H220" i="35"/>
  <c r="G220" i="35"/>
  <c r="F220" i="35"/>
  <c r="E220" i="35"/>
  <c r="E197" i="35" s="1"/>
  <c r="I219" i="35"/>
  <c r="H219" i="35"/>
  <c r="G219" i="35"/>
  <c r="F219" i="35"/>
  <c r="E219" i="35"/>
  <c r="E196" i="35" s="1"/>
  <c r="I218" i="35"/>
  <c r="H218" i="35"/>
  <c r="G218" i="35"/>
  <c r="F218" i="35"/>
  <c r="E218" i="35"/>
  <c r="E195" i="35" s="1"/>
  <c r="I217" i="35"/>
  <c r="H217" i="35"/>
  <c r="G217" i="35"/>
  <c r="E217" i="35"/>
  <c r="E194" i="35" s="1"/>
  <c r="D222" i="35"/>
  <c r="D221" i="35"/>
  <c r="D220" i="35"/>
  <c r="D219" i="35"/>
  <c r="D218" i="35"/>
  <c r="D217" i="35"/>
  <c r="F217" i="35" s="1"/>
  <c r="B257" i="35"/>
  <c r="B256" i="35"/>
  <c r="B255" i="35"/>
  <c r="B254" i="35"/>
  <c r="B253" i="35"/>
  <c r="B252" i="35"/>
  <c r="B247" i="35"/>
  <c r="B246" i="35"/>
  <c r="B245" i="35"/>
  <c r="B244" i="35"/>
  <c r="B243" i="35"/>
  <c r="B242" i="35"/>
  <c r="B236" i="35"/>
  <c r="B235" i="35"/>
  <c r="B234" i="35"/>
  <c r="B233" i="35"/>
  <c r="B232" i="35"/>
  <c r="B231" i="35"/>
  <c r="B222" i="35"/>
  <c r="B221" i="35"/>
  <c r="B220" i="35"/>
  <c r="B219" i="35"/>
  <c r="B218" i="35"/>
  <c r="B217" i="35"/>
  <c r="B212" i="35"/>
  <c r="B211" i="35"/>
  <c r="B210" i="35"/>
  <c r="B209" i="35"/>
  <c r="B208" i="35"/>
  <c r="B207" i="35"/>
  <c r="B199" i="35"/>
  <c r="B198" i="35"/>
  <c r="B197" i="35"/>
  <c r="B196" i="35"/>
  <c r="B195" i="35"/>
  <c r="B194" i="35"/>
  <c r="B185" i="35"/>
  <c r="B184" i="35"/>
  <c r="B183" i="35"/>
  <c r="B182" i="35"/>
  <c r="B181" i="35"/>
  <c r="B180" i="35"/>
  <c r="B175" i="35"/>
  <c r="B174" i="35"/>
  <c r="B173" i="35"/>
  <c r="B172" i="35"/>
  <c r="B171" i="35"/>
  <c r="B170" i="35"/>
  <c r="B164" i="35"/>
  <c r="B163" i="35"/>
  <c r="B162" i="35"/>
  <c r="B161" i="35"/>
  <c r="B160" i="35"/>
  <c r="B159" i="35"/>
  <c r="B150" i="35"/>
  <c r="B149" i="35"/>
  <c r="B148" i="35"/>
  <c r="B147" i="35"/>
  <c r="B146" i="35"/>
  <c r="B145" i="35"/>
  <c r="B140" i="35"/>
  <c r="B139" i="35"/>
  <c r="B138" i="35"/>
  <c r="B137" i="35"/>
  <c r="B136" i="35"/>
  <c r="B135" i="35"/>
  <c r="B129" i="35"/>
  <c r="B128" i="35"/>
  <c r="B127" i="35"/>
  <c r="B126" i="35"/>
  <c r="B125" i="35"/>
  <c r="B124" i="35"/>
  <c r="A253" i="35"/>
  <c r="A254" i="35" s="1"/>
  <c r="A255" i="35" s="1"/>
  <c r="A256" i="35" s="1"/>
  <c r="A257" i="35" s="1"/>
  <c r="A243" i="35"/>
  <c r="A244" i="35" s="1"/>
  <c r="A245" i="35" s="1"/>
  <c r="A246" i="35" s="1"/>
  <c r="A247" i="35" s="1"/>
  <c r="A232" i="35"/>
  <c r="A233" i="35" s="1"/>
  <c r="A234" i="35" s="1"/>
  <c r="A235" i="35" s="1"/>
  <c r="A236" i="35" s="1"/>
  <c r="A218" i="35"/>
  <c r="A219" i="35" s="1"/>
  <c r="A220" i="35" s="1"/>
  <c r="A221" i="35" s="1"/>
  <c r="A222" i="35" s="1"/>
  <c r="A208" i="35"/>
  <c r="A209" i="35" s="1"/>
  <c r="A210" i="35" s="1"/>
  <c r="A211" i="35" s="1"/>
  <c r="A212" i="35" s="1"/>
  <c r="A195" i="35"/>
  <c r="A196" i="35" s="1"/>
  <c r="A197" i="35" s="1"/>
  <c r="A198" i="35" s="1"/>
  <c r="A199" i="35" s="1"/>
  <c r="I185" i="35"/>
  <c r="H185" i="35"/>
  <c r="G185" i="35"/>
  <c r="F185" i="35"/>
  <c r="E185" i="35"/>
  <c r="I184" i="35"/>
  <c r="H184" i="35"/>
  <c r="G184" i="35"/>
  <c r="F184" i="35"/>
  <c r="E184" i="35"/>
  <c r="I183" i="35"/>
  <c r="H183" i="35"/>
  <c r="G183" i="35"/>
  <c r="F183" i="35"/>
  <c r="E183" i="35"/>
  <c r="I182" i="35"/>
  <c r="H182" i="35"/>
  <c r="G182" i="35"/>
  <c r="F182" i="35"/>
  <c r="E182" i="35"/>
  <c r="I181" i="35"/>
  <c r="H181" i="35"/>
  <c r="G181" i="35"/>
  <c r="F181" i="35"/>
  <c r="E181" i="35"/>
  <c r="A181" i="35"/>
  <c r="A182" i="35" s="1"/>
  <c r="A183" i="35" s="1"/>
  <c r="A184" i="35" s="1"/>
  <c r="A185" i="35" s="1"/>
  <c r="I180" i="35"/>
  <c r="H180" i="35"/>
  <c r="G180" i="35"/>
  <c r="F180" i="35"/>
  <c r="E180" i="35"/>
  <c r="I176" i="35"/>
  <c r="H176" i="35"/>
  <c r="G176" i="35"/>
  <c r="F176" i="35"/>
  <c r="J175" i="35"/>
  <c r="J174" i="35"/>
  <c r="J173" i="35"/>
  <c r="J172" i="35"/>
  <c r="J171" i="35"/>
  <c r="A171" i="35"/>
  <c r="A172" i="35" s="1"/>
  <c r="A173" i="35" s="1"/>
  <c r="A174" i="35" s="1"/>
  <c r="A175" i="35" s="1"/>
  <c r="J170" i="35"/>
  <c r="I165" i="35"/>
  <c r="H165" i="35"/>
  <c r="G165" i="35"/>
  <c r="F165" i="35"/>
  <c r="E165" i="35"/>
  <c r="J164" i="35"/>
  <c r="J163" i="35"/>
  <c r="J162" i="35"/>
  <c r="J161" i="35"/>
  <c r="J160" i="35"/>
  <c r="A160" i="35"/>
  <c r="A161" i="35" s="1"/>
  <c r="A162" i="35" s="1"/>
  <c r="A163" i="35" s="1"/>
  <c r="A164" i="35" s="1"/>
  <c r="J159" i="35"/>
  <c r="I130" i="35"/>
  <c r="I201" i="35" s="1"/>
  <c r="I293" i="35" s="1"/>
  <c r="H130" i="35"/>
  <c r="H201" i="35" s="1"/>
  <c r="H293" i="35" s="1"/>
  <c r="G130" i="35"/>
  <c r="G201" i="35" s="1"/>
  <c r="G293" i="35" s="1"/>
  <c r="E130" i="35"/>
  <c r="E201" i="35" s="1"/>
  <c r="E293" i="35" s="1"/>
  <c r="F130" i="35"/>
  <c r="F201" i="35" s="1"/>
  <c r="F293" i="35" s="1"/>
  <c r="J124" i="35"/>
  <c r="I150" i="35"/>
  <c r="H150" i="35"/>
  <c r="G150" i="35"/>
  <c r="F150" i="35"/>
  <c r="E150" i="35"/>
  <c r="I149" i="35"/>
  <c r="H149" i="35"/>
  <c r="G149" i="35"/>
  <c r="F149" i="35"/>
  <c r="E149" i="35"/>
  <c r="I148" i="35"/>
  <c r="H148" i="35"/>
  <c r="G148" i="35"/>
  <c r="F148" i="35"/>
  <c r="E148" i="35"/>
  <c r="I169" i="35" s="1"/>
  <c r="I147" i="35"/>
  <c r="H147" i="35"/>
  <c r="G147" i="35"/>
  <c r="F147" i="35"/>
  <c r="E147" i="35"/>
  <c r="H169" i="35" s="1"/>
  <c r="I146" i="35"/>
  <c r="H146" i="35"/>
  <c r="G146" i="35"/>
  <c r="F146" i="35"/>
  <c r="E146" i="35"/>
  <c r="G169" i="35" s="1"/>
  <c r="I145" i="35"/>
  <c r="H145" i="35"/>
  <c r="G145" i="35"/>
  <c r="F145" i="35"/>
  <c r="E145" i="35"/>
  <c r="F169" i="35" s="1"/>
  <c r="A146" i="35"/>
  <c r="A147" i="35" s="1"/>
  <c r="A148" i="35" s="1"/>
  <c r="A149" i="35" s="1"/>
  <c r="A150" i="35" s="1"/>
  <c r="A136" i="35"/>
  <c r="A137" i="35" s="1"/>
  <c r="A138" i="35" s="1"/>
  <c r="A139" i="35" s="1"/>
  <c r="A140" i="35" s="1"/>
  <c r="A125" i="35"/>
  <c r="A126" i="35" s="1"/>
  <c r="A127" i="35" s="1"/>
  <c r="A128" i="35" s="1"/>
  <c r="A129" i="35" s="1"/>
  <c r="J129" i="35"/>
  <c r="J128" i="35"/>
  <c r="J127" i="35"/>
  <c r="J126" i="35"/>
  <c r="J125" i="35"/>
  <c r="J140" i="35"/>
  <c r="J139" i="35"/>
  <c r="J138" i="35"/>
  <c r="J137" i="35"/>
  <c r="J136" i="35"/>
  <c r="J135" i="35"/>
  <c r="I141" i="35"/>
  <c r="H141" i="35"/>
  <c r="G141" i="35"/>
  <c r="F141" i="35"/>
  <c r="I134" i="35"/>
  <c r="I206" i="35" s="1"/>
  <c r="H134" i="35"/>
  <c r="H206" i="35" s="1"/>
  <c r="F134" i="35"/>
  <c r="F206" i="35" s="1"/>
  <c r="G134" i="35"/>
  <c r="G206" i="35" s="1"/>
  <c r="G408" i="35"/>
  <c r="J397" i="35"/>
  <c r="J91" i="35" l="1"/>
  <c r="J92" i="35" s="1"/>
  <c r="J93" i="35" s="1"/>
  <c r="H83" i="13"/>
  <c r="H86" i="13" s="1"/>
  <c r="C14" i="38" s="1"/>
  <c r="J293" i="35"/>
  <c r="E270" i="35"/>
  <c r="J270" i="35" s="1"/>
  <c r="I207" i="35"/>
  <c r="I194" i="35" s="1"/>
  <c r="I208" i="35"/>
  <c r="I195" i="35" s="1"/>
  <c r="I209" i="35"/>
  <c r="I280" i="35" s="1"/>
  <c r="I210" i="35"/>
  <c r="I211" i="35"/>
  <c r="I212" i="35"/>
  <c r="I247" i="35"/>
  <c r="I236" i="35" s="1"/>
  <c r="I243" i="35"/>
  <c r="I232" i="35" s="1"/>
  <c r="I242" i="35"/>
  <c r="I246" i="35"/>
  <c r="I235" i="35" s="1"/>
  <c r="I245" i="35"/>
  <c r="I234" i="35" s="1"/>
  <c r="I244" i="35"/>
  <c r="I233" i="35" s="1"/>
  <c r="G243" i="35"/>
  <c r="G232" i="35" s="1"/>
  <c r="G247" i="35"/>
  <c r="G236" i="35" s="1"/>
  <c r="G207" i="35"/>
  <c r="G194" i="35" s="1"/>
  <c r="G208" i="35"/>
  <c r="G195" i="35" s="1"/>
  <c r="G209" i="35"/>
  <c r="G196" i="35" s="1"/>
  <c r="G210" i="35"/>
  <c r="G211" i="35"/>
  <c r="G282" i="35" s="1"/>
  <c r="G212" i="35"/>
  <c r="G245" i="35"/>
  <c r="G234" i="35" s="1"/>
  <c r="G246" i="35"/>
  <c r="G235" i="35" s="1"/>
  <c r="G242" i="35"/>
  <c r="G244" i="35"/>
  <c r="G233" i="35" s="1"/>
  <c r="H247" i="35"/>
  <c r="H236" i="35" s="1"/>
  <c r="H246" i="35"/>
  <c r="H235" i="35" s="1"/>
  <c r="H244" i="35"/>
  <c r="H233" i="35" s="1"/>
  <c r="H243" i="35"/>
  <c r="H232" i="35" s="1"/>
  <c r="H242" i="35"/>
  <c r="H207" i="35"/>
  <c r="H194" i="35" s="1"/>
  <c r="H208" i="35"/>
  <c r="H195" i="35" s="1"/>
  <c r="H209" i="35"/>
  <c r="H210" i="35"/>
  <c r="H211" i="35"/>
  <c r="H212" i="35"/>
  <c r="H245" i="35"/>
  <c r="H234" i="35" s="1"/>
  <c r="F243" i="35"/>
  <c r="F207" i="35"/>
  <c r="F208" i="35"/>
  <c r="F209" i="35"/>
  <c r="F210" i="35"/>
  <c r="F211" i="35"/>
  <c r="F212" i="35"/>
  <c r="F246" i="35"/>
  <c r="F242" i="35"/>
  <c r="F247" i="35"/>
  <c r="F244" i="35"/>
  <c r="F245" i="35"/>
  <c r="D284" i="35"/>
  <c r="D294" i="35"/>
  <c r="D271" i="35"/>
  <c r="H295" i="35"/>
  <c r="D295" i="35"/>
  <c r="G295" i="35"/>
  <c r="D285" i="35"/>
  <c r="D272" i="35"/>
  <c r="F295" i="35"/>
  <c r="I295" i="35"/>
  <c r="E295" i="35"/>
  <c r="E272" i="35" s="1"/>
  <c r="I296" i="35"/>
  <c r="E296" i="35"/>
  <c r="D273" i="35"/>
  <c r="G296" i="35"/>
  <c r="D286" i="35"/>
  <c r="F296" i="35"/>
  <c r="H296" i="35"/>
  <c r="D296" i="35"/>
  <c r="H241" i="35"/>
  <c r="I241" i="35"/>
  <c r="G241" i="35"/>
  <c r="H186" i="35"/>
  <c r="H188" i="35" s="1"/>
  <c r="J182" i="35"/>
  <c r="I186" i="35"/>
  <c r="I188" i="35" s="1"/>
  <c r="J201" i="35"/>
  <c r="F241" i="35"/>
  <c r="I196" i="35"/>
  <c r="J141" i="35"/>
  <c r="J149" i="35"/>
  <c r="J222" i="35"/>
  <c r="E223" i="35"/>
  <c r="E225" i="35" s="1"/>
  <c r="J146" i="35"/>
  <c r="J219" i="35"/>
  <c r="J180" i="35"/>
  <c r="E186" i="35"/>
  <c r="E188" i="35" s="1"/>
  <c r="J165" i="35"/>
  <c r="D46" i="35" s="1"/>
  <c r="J183" i="35"/>
  <c r="F186" i="35"/>
  <c r="J184" i="35"/>
  <c r="G186" i="35"/>
  <c r="G188" i="35" s="1"/>
  <c r="J181" i="35"/>
  <c r="J185" i="35"/>
  <c r="J221" i="35"/>
  <c r="G223" i="35"/>
  <c r="J220" i="35"/>
  <c r="J218" i="35"/>
  <c r="I223" i="35"/>
  <c r="H223" i="35"/>
  <c r="F223" i="35"/>
  <c r="J217" i="35"/>
  <c r="J176" i="35"/>
  <c r="I151" i="35"/>
  <c r="I153" i="35" s="1"/>
  <c r="G151" i="35"/>
  <c r="G153" i="35" s="1"/>
  <c r="J130" i="35"/>
  <c r="D45" i="35" s="1"/>
  <c r="J148" i="35"/>
  <c r="F151" i="35"/>
  <c r="F153" i="35" s="1"/>
  <c r="H151" i="35"/>
  <c r="H153" i="35" s="1"/>
  <c r="E151" i="35"/>
  <c r="E153" i="35" s="1"/>
  <c r="J150" i="35"/>
  <c r="J147" i="35"/>
  <c r="J145" i="35"/>
  <c r="G13" i="18" l="1"/>
  <c r="G75" i="61"/>
  <c r="G74" i="61"/>
  <c r="H87" i="13"/>
  <c r="C15" i="38" s="1"/>
  <c r="H84" i="13"/>
  <c r="G280" i="35"/>
  <c r="J209" i="35"/>
  <c r="D47" i="35"/>
  <c r="J211" i="35"/>
  <c r="J207" i="35"/>
  <c r="F213" i="35"/>
  <c r="J242" i="35"/>
  <c r="F231" i="35"/>
  <c r="F248" i="35"/>
  <c r="F232" i="35"/>
  <c r="J232" i="35" s="1"/>
  <c r="J243" i="35"/>
  <c r="J210" i="35"/>
  <c r="H248" i="35"/>
  <c r="H260" i="35" s="1"/>
  <c r="H231" i="35"/>
  <c r="H237" i="35" s="1"/>
  <c r="I231" i="35"/>
  <c r="I237" i="35" s="1"/>
  <c r="I248" i="35"/>
  <c r="I260" i="35" s="1"/>
  <c r="I213" i="35"/>
  <c r="F236" i="35"/>
  <c r="J236" i="35" s="1"/>
  <c r="J247" i="35"/>
  <c r="F194" i="35"/>
  <c r="J194" i="35" s="1"/>
  <c r="J245" i="35"/>
  <c r="F234" i="35"/>
  <c r="J234" i="35" s="1"/>
  <c r="F235" i="35"/>
  <c r="J235" i="35" s="1"/>
  <c r="J246" i="35"/>
  <c r="H213" i="35"/>
  <c r="F233" i="35"/>
  <c r="J233" i="35" s="1"/>
  <c r="J244" i="35"/>
  <c r="J212" i="35"/>
  <c r="J208" i="35"/>
  <c r="G231" i="35"/>
  <c r="G237" i="35" s="1"/>
  <c r="G248" i="35"/>
  <c r="G260" i="35" s="1"/>
  <c r="G213" i="35"/>
  <c r="E199" i="35"/>
  <c r="I197" i="35"/>
  <c r="I281" i="35"/>
  <c r="H198" i="35"/>
  <c r="H282" i="35"/>
  <c r="F197" i="35"/>
  <c r="F281" i="35"/>
  <c r="F198" i="35"/>
  <c r="F282" i="35"/>
  <c r="G197" i="35"/>
  <c r="G281" i="35"/>
  <c r="G198" i="35"/>
  <c r="F196" i="35"/>
  <c r="F280" i="35"/>
  <c r="H197" i="35"/>
  <c r="H281" i="35"/>
  <c r="I198" i="35"/>
  <c r="I282" i="35"/>
  <c r="H196" i="35"/>
  <c r="H280" i="35"/>
  <c r="J186" i="35"/>
  <c r="F188" i="35"/>
  <c r="J188" i="35" s="1"/>
  <c r="H286" i="35"/>
  <c r="H273" i="35" s="1"/>
  <c r="G286" i="35"/>
  <c r="G273" i="35" s="1"/>
  <c r="I286" i="35"/>
  <c r="I273" i="35" s="1"/>
  <c r="F286" i="35"/>
  <c r="H285" i="35"/>
  <c r="H272" i="35" s="1"/>
  <c r="G285" i="35"/>
  <c r="G272" i="35" s="1"/>
  <c r="I285" i="35"/>
  <c r="I272" i="35" s="1"/>
  <c r="F285" i="35"/>
  <c r="J296" i="35"/>
  <c r="E273" i="35"/>
  <c r="J273" i="35" s="1"/>
  <c r="J295" i="35"/>
  <c r="F195" i="35"/>
  <c r="J153" i="35"/>
  <c r="J151" i="35"/>
  <c r="J223" i="35"/>
  <c r="G14" i="18" l="1"/>
  <c r="H88" i="13"/>
  <c r="J213" i="35"/>
  <c r="J231" i="35"/>
  <c r="F237" i="35"/>
  <c r="J237" i="35" s="1"/>
  <c r="J248" i="35"/>
  <c r="F260" i="35"/>
  <c r="J260" i="35" s="1"/>
  <c r="J198" i="35"/>
  <c r="E291" i="35"/>
  <c r="E268" i="35" s="1"/>
  <c r="E200" i="35"/>
  <c r="J197" i="35"/>
  <c r="J196" i="35"/>
  <c r="J281" i="35"/>
  <c r="J282" i="35"/>
  <c r="F272" i="35"/>
  <c r="J272" i="35" s="1"/>
  <c r="J285" i="35"/>
  <c r="J286" i="35"/>
  <c r="F273" i="35"/>
  <c r="J195" i="35"/>
  <c r="H90" i="13" l="1"/>
  <c r="E202" i="35"/>
  <c r="E294" i="35" s="1"/>
  <c r="E271" i="35" s="1"/>
  <c r="E292" i="35"/>
  <c r="E269" i="35" l="1"/>
  <c r="E274" i="35" s="1"/>
  <c r="E297" i="35"/>
  <c r="J297" i="35" l="1"/>
  <c r="E299" i="35"/>
  <c r="J299" i="35" s="1"/>
  <c r="E276" i="35"/>
  <c r="J274" i="35"/>
  <c r="J276" i="35" s="1"/>
  <c r="A44" i="41" l="1"/>
  <c r="A43" i="41"/>
  <c r="A50" i="41"/>
  <c r="A49" i="41"/>
  <c r="A48" i="41"/>
  <c r="A47" i="41"/>
  <c r="A46" i="41"/>
  <c r="A160" i="61" l="1"/>
  <c r="A161" i="61"/>
  <c r="A162" i="61"/>
  <c r="A163" i="61"/>
  <c r="F15" i="46"/>
  <c r="F19" i="46" s="1"/>
  <c r="F13" i="46"/>
  <c r="A40" i="38"/>
  <c r="F18" i="46" l="1"/>
  <c r="B246" i="62"/>
  <c r="B245" i="62"/>
  <c r="B244" i="62"/>
  <c r="B243" i="62"/>
  <c r="B239" i="62"/>
  <c r="B238" i="62"/>
  <c r="B237" i="62"/>
  <c r="B235" i="62"/>
  <c r="B236" i="62"/>
  <c r="F35" i="46" l="1"/>
  <c r="F36" i="46"/>
  <c r="F11" i="52"/>
  <c r="A15" i="45" l="1"/>
  <c r="C63" i="62"/>
  <c r="L13" i="46" l="1"/>
  <c r="L14" i="46" s="1"/>
  <c r="K13" i="46"/>
  <c r="K14" i="46" s="1"/>
  <c r="J13" i="46"/>
  <c r="J14" i="46" s="1"/>
  <c r="I13" i="46"/>
  <c r="I14" i="46" s="1"/>
  <c r="H13" i="46"/>
  <c r="H14" i="46" s="1"/>
  <c r="G13" i="46"/>
  <c r="G14" i="46" s="1"/>
  <c r="A13" i="46"/>
  <c r="A12" i="46"/>
  <c r="A22" i="45"/>
  <c r="A21" i="45"/>
  <c r="A20" i="45"/>
  <c r="A19" i="45"/>
  <c r="A18" i="45"/>
  <c r="A17" i="45"/>
  <c r="A41" i="45"/>
  <c r="A42" i="45"/>
  <c r="A43" i="45"/>
  <c r="A44" i="45"/>
  <c r="A45" i="45"/>
  <c r="A46" i="45"/>
  <c r="A66" i="41"/>
  <c r="A65" i="41"/>
  <c r="A64" i="41"/>
  <c r="A63" i="41"/>
  <c r="A62" i="41"/>
  <c r="A61" i="41"/>
  <c r="A60" i="41"/>
  <c r="A59" i="41"/>
  <c r="A58" i="41"/>
  <c r="A57" i="41"/>
  <c r="A45" i="41"/>
  <c r="A42" i="41"/>
  <c r="A41" i="41"/>
  <c r="A40" i="41"/>
  <c r="A39" i="41"/>
  <c r="A38" i="41"/>
  <c r="A37" i="41"/>
  <c r="A36" i="41"/>
  <c r="A35" i="41"/>
  <c r="A77" i="45" l="1"/>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0" i="45"/>
  <c r="A39" i="45"/>
  <c r="A38" i="45"/>
  <c r="A37" i="45"/>
  <c r="A36" i="45"/>
  <c r="A35" i="45"/>
  <c r="A34" i="45"/>
  <c r="A33" i="45"/>
  <c r="A32" i="45"/>
  <c r="A31" i="45"/>
  <c r="A30" i="45"/>
  <c r="A29" i="45"/>
  <c r="A28" i="45"/>
  <c r="A27" i="45"/>
  <c r="A26" i="45"/>
  <c r="A25" i="45"/>
  <c r="A24" i="45"/>
  <c r="A23" i="45"/>
  <c r="A16" i="45"/>
  <c r="A14" i="45"/>
  <c r="A13" i="45"/>
  <c r="A12" i="45"/>
  <c r="A29" i="39"/>
  <c r="A28" i="39"/>
  <c r="A27" i="39"/>
  <c r="A26" i="39"/>
  <c r="A25" i="39"/>
  <c r="A24" i="39"/>
  <c r="A23" i="39"/>
  <c r="A22" i="39"/>
  <c r="A21" i="39"/>
  <c r="A20" i="39"/>
  <c r="A19" i="39"/>
  <c r="A18" i="39"/>
  <c r="A17" i="39"/>
  <c r="A16" i="39"/>
  <c r="A15" i="39"/>
  <c r="A14" i="39"/>
  <c r="A13" i="39"/>
  <c r="A12" i="39"/>
  <c r="A11" i="39"/>
  <c r="A10" i="39"/>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1" i="46"/>
  <c r="A10" i="46"/>
  <c r="A9" i="46"/>
  <c r="B29" i="52"/>
  <c r="B28" i="52"/>
  <c r="B27" i="52"/>
  <c r="B25" i="52"/>
  <c r="B24" i="52"/>
  <c r="B23" i="52"/>
  <c r="B22" i="52"/>
  <c r="B21" i="52"/>
  <c r="B20" i="52"/>
  <c r="B19" i="52"/>
  <c r="B18" i="52"/>
  <c r="B17" i="52"/>
  <c r="B15" i="52"/>
  <c r="B14" i="52"/>
  <c r="B13" i="52"/>
  <c r="B12" i="52"/>
  <c r="B11" i="52"/>
  <c r="B10" i="52"/>
  <c r="B9" i="52"/>
  <c r="A26" i="66"/>
  <c r="A25" i="66"/>
  <c r="A24" i="66"/>
  <c r="A23" i="66"/>
  <c r="A22" i="66"/>
  <c r="A21" i="66"/>
  <c r="A20" i="66"/>
  <c r="A19" i="66"/>
  <c r="A18" i="66"/>
  <c r="A17" i="66"/>
  <c r="A16" i="66"/>
  <c r="A15" i="66"/>
  <c r="A14" i="66"/>
  <c r="A13" i="66"/>
  <c r="A12" i="66"/>
  <c r="A11" i="66"/>
  <c r="A10" i="66"/>
  <c r="A9" i="66"/>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31" i="41"/>
  <c r="A30" i="41"/>
  <c r="A29" i="41"/>
  <c r="A28" i="41"/>
  <c r="A27" i="41"/>
  <c r="A26" i="41"/>
  <c r="A25" i="41"/>
  <c r="A24" i="41"/>
  <c r="A23" i="41"/>
  <c r="A22" i="41"/>
  <c r="A21" i="41"/>
  <c r="A20" i="41"/>
  <c r="A19" i="41"/>
  <c r="A18" i="41"/>
  <c r="A17" i="41"/>
  <c r="A16" i="41"/>
  <c r="A15" i="41"/>
  <c r="A14" i="41"/>
  <c r="A13" i="41"/>
  <c r="A12" i="41"/>
  <c r="A11" i="41"/>
  <c r="A10" i="41"/>
  <c r="A44" i="38"/>
  <c r="A43" i="38"/>
  <c r="A42" i="38"/>
  <c r="A41"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59" i="61"/>
  <c r="A158" i="61"/>
  <c r="A157" i="61"/>
  <c r="A156" i="61"/>
  <c r="A155" i="61"/>
  <c r="A154" i="61"/>
  <c r="A153" i="61"/>
  <c r="A152" i="61"/>
  <c r="A151" i="61"/>
  <c r="A150" i="61"/>
  <c r="A149" i="61"/>
  <c r="A148" i="61"/>
  <c r="A147" i="61"/>
  <c r="A146" i="61"/>
  <c r="A145" i="61"/>
  <c r="A144" i="61"/>
  <c r="A143" i="61"/>
  <c r="A142" i="61"/>
  <c r="A141" i="61"/>
  <c r="A140" i="61"/>
  <c r="A139" i="61"/>
  <c r="A138" i="61"/>
  <c r="A137" i="61"/>
  <c r="A136" i="61"/>
  <c r="A135" i="61"/>
  <c r="A134" i="61"/>
  <c r="A133" i="61"/>
  <c r="A132" i="61"/>
  <c r="A131" i="61"/>
  <c r="A130" i="61"/>
  <c r="A129" i="61"/>
  <c r="A128" i="61"/>
  <c r="A127" i="61"/>
  <c r="A126" i="61"/>
  <c r="A125" i="61"/>
  <c r="A124" i="61"/>
  <c r="A123" i="61"/>
  <c r="A122" i="61"/>
  <c r="A121" i="61"/>
  <c r="A120" i="61"/>
  <c r="A119" i="61"/>
  <c r="A118" i="61"/>
  <c r="A117" i="61"/>
  <c r="A116" i="61"/>
  <c r="A115" i="61"/>
  <c r="A114" i="61"/>
  <c r="A113" i="61"/>
  <c r="A112" i="61"/>
  <c r="A111" i="61"/>
  <c r="A110" i="61"/>
  <c r="A109" i="61"/>
  <c r="A108" i="61"/>
  <c r="A107" i="61"/>
  <c r="A106" i="61"/>
  <c r="A105" i="61"/>
  <c r="A104" i="61"/>
  <c r="A103" i="61"/>
  <c r="A102" i="61"/>
  <c r="A101" i="61"/>
  <c r="A100" i="61"/>
  <c r="A99" i="61"/>
  <c r="A98" i="61"/>
  <c r="A97" i="61"/>
  <c r="A96" i="61"/>
  <c r="A95" i="61"/>
  <c r="A94" i="61"/>
  <c r="A93" i="61"/>
  <c r="A92" i="61"/>
  <c r="A91" i="61"/>
  <c r="A90" i="61"/>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31" i="62"/>
  <c r="A130" i="62"/>
  <c r="A129" i="62"/>
  <c r="A128" i="62"/>
  <c r="A127" i="62"/>
  <c r="A126" i="62"/>
  <c r="A125" i="62"/>
  <c r="A124" i="62"/>
  <c r="A123" i="62"/>
  <c r="A122" i="62"/>
  <c r="A121" i="62"/>
  <c r="A120" i="62"/>
  <c r="A119" i="62"/>
  <c r="A118" i="62"/>
  <c r="A117" i="62"/>
  <c r="A116" i="62"/>
  <c r="A115" i="62"/>
  <c r="A114" i="62"/>
  <c r="A113" i="62"/>
  <c r="A112" i="62"/>
  <c r="A111" i="62"/>
  <c r="A11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2" i="34" l="1"/>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1" i="34"/>
  <c r="A10" i="34"/>
  <c r="A110" i="13" l="1"/>
  <c r="A109" i="13"/>
  <c r="A108" i="13"/>
  <c r="A107" i="13"/>
  <c r="A106" i="13"/>
  <c r="A105" i="13"/>
  <c r="A104" i="13"/>
  <c r="A103" i="13"/>
  <c r="A102" i="13"/>
  <c r="A101" i="13"/>
  <c r="A100" i="13"/>
  <c r="A99" i="13"/>
  <c r="A98" i="13"/>
  <c r="A97" i="13"/>
  <c r="A96" i="13"/>
  <c r="A95" i="13"/>
  <c r="A94" i="13"/>
  <c r="A93" i="13"/>
  <c r="A92" i="13"/>
  <c r="A91" i="13"/>
  <c r="A90" i="13"/>
  <c r="A80" i="13"/>
  <c r="A79" i="13"/>
  <c r="A78" i="13"/>
  <c r="A77" i="13"/>
  <c r="A76" i="13"/>
  <c r="A75" i="13"/>
  <c r="A74"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E22" i="47" l="1"/>
  <c r="G73" i="62" l="1"/>
  <c r="G66" i="61" l="1"/>
  <c r="H66" i="61"/>
  <c r="I66" i="61"/>
  <c r="J66" i="61"/>
  <c r="K66" i="61"/>
  <c r="L66" i="61"/>
  <c r="M34" i="13"/>
  <c r="M90" i="13" s="1"/>
  <c r="L34" i="13"/>
  <c r="L90" i="13" s="1"/>
  <c r="K34" i="13"/>
  <c r="K90" i="13" s="1"/>
  <c r="J34" i="13"/>
  <c r="H96" i="13"/>
  <c r="I34" i="13"/>
  <c r="I90" i="13" s="1"/>
  <c r="A2" i="63"/>
  <c r="A4" i="63"/>
  <c r="J90" i="13" l="1"/>
  <c r="I76" i="61"/>
  <c r="M43" i="13"/>
  <c r="M46" i="13"/>
  <c r="M44" i="13"/>
  <c r="M45" i="13"/>
  <c r="M81" i="13"/>
  <c r="K45" i="13"/>
  <c r="L56" i="13" s="1"/>
  <c r="K44" i="13"/>
  <c r="L55" i="13" s="1"/>
  <c r="K46" i="13"/>
  <c r="L57" i="13" s="1"/>
  <c r="K43" i="13"/>
  <c r="K81" i="13"/>
  <c r="I81" i="13"/>
  <c r="I45" i="13"/>
  <c r="J56" i="13" s="1"/>
  <c r="I44" i="13"/>
  <c r="J55" i="13" s="1"/>
  <c r="I46" i="13"/>
  <c r="J57" i="13" s="1"/>
  <c r="I43" i="13"/>
  <c r="J54" i="13" s="1"/>
  <c r="L43" i="13"/>
  <c r="M54" i="13" s="1"/>
  <c r="L44" i="13"/>
  <c r="L46" i="13"/>
  <c r="M57" i="13" s="1"/>
  <c r="L45" i="13"/>
  <c r="M56" i="13" s="1"/>
  <c r="L81" i="13"/>
  <c r="J43" i="13"/>
  <c r="K54" i="13" s="1"/>
  <c r="J46" i="13"/>
  <c r="K57" i="13" s="1"/>
  <c r="J44" i="13"/>
  <c r="K55" i="13" s="1"/>
  <c r="J45" i="13"/>
  <c r="J81" i="13"/>
  <c r="H94" i="13"/>
  <c r="C18" i="38" s="1"/>
  <c r="H98" i="13"/>
  <c r="C21" i="38" s="1"/>
  <c r="H93" i="13"/>
  <c r="C17" i="38" s="1"/>
  <c r="M99" i="13" l="1"/>
  <c r="J99" i="13"/>
  <c r="K99" i="13"/>
  <c r="I47" i="13"/>
  <c r="I48" i="13" s="1"/>
  <c r="M47" i="13"/>
  <c r="M48" i="13" s="1"/>
  <c r="L47" i="13"/>
  <c r="L48" i="13" s="1"/>
  <c r="M55" i="13"/>
  <c r="J47" i="13"/>
  <c r="J48" i="13" s="1"/>
  <c r="K56" i="13"/>
  <c r="K47" i="13"/>
  <c r="K48" i="13" s="1"/>
  <c r="L54" i="13"/>
  <c r="H23" i="62"/>
  <c r="G441" i="62"/>
  <c r="G23" i="62" s="1"/>
  <c r="L58" i="13" l="1"/>
  <c r="L83" i="13" s="1"/>
  <c r="L84" i="13" s="1"/>
  <c r="L49" i="13"/>
  <c r="M58" i="13"/>
  <c r="M83" i="13" s="1"/>
  <c r="M49" i="13"/>
  <c r="J58" i="13"/>
  <c r="J83" i="13" s="1"/>
  <c r="J84" i="13" s="1"/>
  <c r="J49" i="13"/>
  <c r="K58" i="13"/>
  <c r="K83" i="13" s="1"/>
  <c r="K49" i="13"/>
  <c r="I58" i="13"/>
  <c r="I49" i="13"/>
  <c r="L99" i="13"/>
  <c r="L54" i="18"/>
  <c r="K54" i="18"/>
  <c r="J54" i="18"/>
  <c r="I54" i="18"/>
  <c r="H54" i="18"/>
  <c r="G54" i="18"/>
  <c r="F54" i="18"/>
  <c r="J85" i="13" l="1"/>
  <c r="J86" i="13" s="1"/>
  <c r="I74" i="61" s="1"/>
  <c r="I83" i="13"/>
  <c r="I84" i="13" s="1"/>
  <c r="K85" i="13"/>
  <c r="K86" i="13" s="1"/>
  <c r="M85" i="13"/>
  <c r="M86" i="13" s="1"/>
  <c r="L85" i="13"/>
  <c r="L86" i="13" s="1"/>
  <c r="M84" i="13"/>
  <c r="K84" i="13"/>
  <c r="A47" i="38"/>
  <c r="A48" i="38"/>
  <c r="A49" i="38"/>
  <c r="J87" i="13" l="1"/>
  <c r="I14" i="18" s="1"/>
  <c r="I13" i="18"/>
  <c r="I75" i="61"/>
  <c r="K13" i="18"/>
  <c r="K75" i="61"/>
  <c r="K74" i="61"/>
  <c r="L13" i="18"/>
  <c r="L74" i="61"/>
  <c r="L75" i="61"/>
  <c r="J13" i="18"/>
  <c r="I85" i="13"/>
  <c r="I86" i="13" s="1"/>
  <c r="L87" i="13"/>
  <c r="K14" i="18" s="1"/>
  <c r="M87" i="13"/>
  <c r="L14" i="18" s="1"/>
  <c r="K87" i="13"/>
  <c r="J14" i="18" s="1"/>
  <c r="J88" i="13" l="1"/>
  <c r="H13" i="18"/>
  <c r="H74" i="61"/>
  <c r="H75" i="61"/>
  <c r="M88" i="13"/>
  <c r="L88" i="13"/>
  <c r="K88" i="13"/>
  <c r="I87" i="13"/>
  <c r="H14" i="18" s="1"/>
  <c r="I441" i="62"/>
  <c r="I23" i="62" s="1"/>
  <c r="I88" i="13" l="1"/>
  <c r="D44" i="18"/>
  <c r="L27" i="18"/>
  <c r="L112" i="18" s="1"/>
  <c r="K27" i="18"/>
  <c r="K112" i="18" s="1"/>
  <c r="I27" i="18"/>
  <c r="H27" i="18"/>
  <c r="H112" i="18" s="1"/>
  <c r="G27" i="18"/>
  <c r="G112" i="18" s="1"/>
  <c r="F27" i="18"/>
  <c r="F112" i="18" s="1"/>
  <c r="C108" i="13"/>
  <c r="C107" i="13"/>
  <c r="C106" i="13"/>
  <c r="C104" i="13"/>
  <c r="C103" i="13"/>
  <c r="C100" i="13"/>
  <c r="F144" i="61"/>
  <c r="F146" i="61" s="1"/>
  <c r="I112" i="18" l="1"/>
  <c r="F159" i="61" l="1"/>
  <c r="L159" i="61"/>
  <c r="L89" i="61" s="1"/>
  <c r="K159" i="61"/>
  <c r="K89" i="61" s="1"/>
  <c r="J159" i="61"/>
  <c r="J89" i="61" s="1"/>
  <c r="I159" i="61"/>
  <c r="I89" i="61" s="1"/>
  <c r="H159" i="61"/>
  <c r="G159" i="61"/>
  <c r="G89" i="61" l="1"/>
  <c r="C39" i="38"/>
  <c r="C159" i="61"/>
  <c r="H89" i="61"/>
  <c r="A4" i="66"/>
  <c r="F129" i="18" l="1"/>
  <c r="G30" i="46" l="1"/>
  <c r="G28" i="46"/>
  <c r="G23" i="46"/>
  <c r="G27" i="46"/>
  <c r="H27" i="46" s="1"/>
  <c r="I27" i="46" s="1"/>
  <c r="J27" i="46" s="1"/>
  <c r="K27" i="46" s="1"/>
  <c r="L27" i="46" s="1"/>
  <c r="E27" i="46" s="1"/>
  <c r="G26" i="46"/>
  <c r="H26" i="46" s="1"/>
  <c r="I26" i="46" s="1"/>
  <c r="J26" i="46" s="1"/>
  <c r="K26" i="46" s="1"/>
  <c r="L26" i="46" s="1"/>
  <c r="E26" i="46" l="1"/>
  <c r="E7" i="39"/>
  <c r="I12" i="48"/>
  <c r="F10" i="45"/>
  <c r="H11" i="13" l="1"/>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6" i="38"/>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I10" i="13" l="1"/>
  <c r="I11" i="13" s="1"/>
  <c r="G15" i="41"/>
  <c r="J10" i="13" l="1"/>
  <c r="J11" i="13" s="1"/>
  <c r="E14" i="41"/>
  <c r="F15" i="4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5" i="47" a="1"/>
  <c r="AJ25"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8" i="47" a="1"/>
  <c r="AJ8" i="47" s="1"/>
  <c r="AJ7" i="47" a="1"/>
  <c r="AJ7" i="47" s="1"/>
  <c r="AJ6" i="47" a="1"/>
  <c r="AJ6" i="47" s="1"/>
  <c r="AJ5" i="47" a="1"/>
  <c r="AJ5" i="47" s="1"/>
  <c r="AJ4" i="47" a="1"/>
  <c r="AJ4" i="47" s="1"/>
  <c r="AJ3" i="47" a="1"/>
  <c r="AJ3" i="47" s="1"/>
  <c r="AJ2" i="47" a="1"/>
  <c r="AJ2" i="47" s="1"/>
  <c r="AJ1" i="47" a="1"/>
  <c r="AJ1"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5" i="47" a="1"/>
  <c r="AI25"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8" i="47" a="1"/>
  <c r="AI8" i="47" s="1"/>
  <c r="AI7" i="47" a="1"/>
  <c r="AI7" i="47" s="1"/>
  <c r="AI6" i="47" a="1"/>
  <c r="AI6" i="47" s="1"/>
  <c r="AI5" i="47" a="1"/>
  <c r="AI5" i="47" s="1"/>
  <c r="AI4" i="47" a="1"/>
  <c r="AI4" i="47" s="1"/>
  <c r="AI3" i="47" a="1"/>
  <c r="AI3" i="47" s="1"/>
  <c r="AI2" i="47" a="1"/>
  <c r="AI2" i="47" s="1"/>
  <c r="AI1" i="47" a="1"/>
  <c r="AI1"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5" i="47" a="1"/>
  <c r="AH25"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8" i="47" a="1"/>
  <c r="AH8" i="47" s="1"/>
  <c r="AH7" i="47" a="1"/>
  <c r="AH7" i="47" s="1"/>
  <c r="AH6" i="47" a="1"/>
  <c r="AH6" i="47" s="1"/>
  <c r="AH5" i="47" a="1"/>
  <c r="AH5" i="47" s="1"/>
  <c r="AH4" i="47" a="1"/>
  <c r="AH4" i="47" s="1"/>
  <c r="AH3" i="47" a="1"/>
  <c r="AH3" i="47" s="1"/>
  <c r="AH2" i="47" a="1"/>
  <c r="AH2" i="47" s="1"/>
  <c r="AH1" i="47" a="1"/>
  <c r="AH1"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5" i="47" a="1"/>
  <c r="AG25"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8" i="47" a="1"/>
  <c r="AG8" i="47" s="1"/>
  <c r="AG7" i="47" a="1"/>
  <c r="AG7" i="47" s="1"/>
  <c r="AG6" i="47" a="1"/>
  <c r="AG6" i="47" s="1"/>
  <c r="AG5" i="47" a="1"/>
  <c r="AG5" i="47" s="1"/>
  <c r="AG4" i="47" a="1"/>
  <c r="AG4" i="47" s="1"/>
  <c r="AG3" i="47" a="1"/>
  <c r="AG3" i="47" s="1"/>
  <c r="AG2" i="47" a="1"/>
  <c r="AG2" i="47" s="1"/>
  <c r="AG1" i="47" a="1"/>
  <c r="AG1"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5" i="47" a="1"/>
  <c r="AF25"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8" i="47" a="1"/>
  <c r="AF8" i="47" s="1"/>
  <c r="AF7" i="47" a="1"/>
  <c r="AF7" i="47" s="1"/>
  <c r="AF6" i="47" a="1"/>
  <c r="AF6" i="47" s="1"/>
  <c r="AF5" i="47" a="1"/>
  <c r="AF5" i="47" s="1"/>
  <c r="AF4" i="47" a="1"/>
  <c r="AF4" i="47" s="1"/>
  <c r="AF3" i="47" a="1"/>
  <c r="AF3" i="47" s="1"/>
  <c r="AF2" i="47" a="1"/>
  <c r="AF2" i="47" s="1"/>
  <c r="AF1" i="47" a="1"/>
  <c r="AF1"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5" i="47" a="1"/>
  <c r="AE25"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8" i="47" a="1"/>
  <c r="AE8" i="47" s="1"/>
  <c r="AE7" i="47" a="1"/>
  <c r="AE7" i="47" s="1"/>
  <c r="AE6" i="47" a="1"/>
  <c r="AE6" i="47" s="1"/>
  <c r="AE5" i="47" a="1"/>
  <c r="AE5" i="47" s="1"/>
  <c r="AE4" i="47" a="1"/>
  <c r="AE4" i="47" s="1"/>
  <c r="AE3" i="47" a="1"/>
  <c r="AE3" i="47" s="1"/>
  <c r="AE2" i="47" a="1"/>
  <c r="AE2" i="47" s="1"/>
  <c r="AE1" i="47" a="1"/>
  <c r="AE1"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5" i="47" a="1"/>
  <c r="AD25"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8" i="47" a="1"/>
  <c r="AD8" i="47" s="1"/>
  <c r="AD7" i="47" a="1"/>
  <c r="AD7" i="47" s="1"/>
  <c r="AD6" i="47" a="1"/>
  <c r="AD6" i="47" s="1"/>
  <c r="AD5" i="47" a="1"/>
  <c r="AD5" i="47" s="1"/>
  <c r="AD4" i="47" a="1"/>
  <c r="AD4" i="47" s="1"/>
  <c r="AD3" i="47" a="1"/>
  <c r="AD3" i="47" s="1"/>
  <c r="AD2" i="47" a="1"/>
  <c r="AD2" i="47" s="1"/>
  <c r="AD1" i="47" a="1"/>
  <c r="AD1"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5" i="47" a="1"/>
  <c r="AC25"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8" i="47" a="1"/>
  <c r="AC8" i="47" s="1"/>
  <c r="AC7" i="47" a="1"/>
  <c r="AC7" i="47" s="1"/>
  <c r="AC6" i="47" a="1"/>
  <c r="AC6" i="47" s="1"/>
  <c r="AC5" i="47" a="1"/>
  <c r="AC5" i="47" s="1"/>
  <c r="AC4" i="47" a="1"/>
  <c r="AC4" i="47" s="1"/>
  <c r="AC3" i="47" a="1"/>
  <c r="AC3" i="47" s="1"/>
  <c r="AC2" i="47" a="1"/>
  <c r="AC2" i="47" s="1"/>
  <c r="AC1" i="47" a="1"/>
  <c r="AC1"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5" i="47" a="1"/>
  <c r="AB25" i="47" s="1"/>
  <c r="AA25" i="47" a="1"/>
  <c r="AA25" i="47" s="1"/>
  <c r="Z25" i="47" a="1"/>
  <c r="Z25" i="47" s="1"/>
  <c r="Y25" i="47" a="1"/>
  <c r="Y25"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8" i="47" a="1"/>
  <c r="AB8" i="47" s="1"/>
  <c r="AA8" i="47" a="1"/>
  <c r="AA8" i="47" s="1"/>
  <c r="Z8" i="47" a="1"/>
  <c r="Z8" i="47" s="1"/>
  <c r="Y8" i="47" a="1"/>
  <c r="Y8"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K10" i="13" l="1"/>
  <c r="K11" i="13" s="1"/>
  <c r="A2" i="36"/>
  <c r="A4" i="36"/>
  <c r="G42" i="62"/>
  <c r="F52" i="61"/>
  <c r="F64" i="34"/>
  <c r="B79" i="46"/>
  <c r="B80" i="46"/>
  <c r="B81" i="46"/>
  <c r="B82" i="46"/>
  <c r="B76" i="46"/>
  <c r="F76" i="46"/>
  <c r="B77" i="46"/>
  <c r="B78" i="46"/>
  <c r="E75" i="46"/>
  <c r="L10" i="13" l="1"/>
  <c r="L11" i="13" s="1"/>
  <c r="A396" i="35"/>
  <c r="A397" i="35"/>
  <c r="A398" i="35"/>
  <c r="A399" i="35"/>
  <c r="A400" i="35"/>
  <c r="A401" i="35"/>
  <c r="A402" i="35"/>
  <c r="A403" i="35"/>
  <c r="A404" i="35"/>
  <c r="A405" i="35"/>
  <c r="A406" i="35"/>
  <c r="A407" i="35"/>
  <c r="A408" i="35"/>
  <c r="A409" i="35"/>
  <c r="A410" i="35"/>
  <c r="A411" i="35"/>
  <c r="A395" i="35"/>
  <c r="A2" i="66"/>
  <c r="M10" i="13" l="1"/>
  <c r="M11" i="13" s="1"/>
  <c r="C6" i="63"/>
  <c r="F73" i="46" s="1"/>
  <c r="D6" i="63"/>
  <c r="G73" i="46" s="1"/>
  <c r="E33" i="46" l="1"/>
  <c r="H28" i="46" l="1"/>
  <c r="H30" i="46"/>
  <c r="H23"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I30" i="46" l="1"/>
  <c r="I23" i="46"/>
  <c r="I28" i="46"/>
  <c r="J23" i="46" l="1"/>
  <c r="J28" i="46"/>
  <c r="J30" i="46"/>
  <c r="C128" i="61"/>
  <c r="C130" i="61" s="1"/>
  <c r="C132" i="61" s="1"/>
  <c r="G67" i="61"/>
  <c r="H67" i="61"/>
  <c r="I67" i="61"/>
  <c r="J67" i="61"/>
  <c r="K67" i="61"/>
  <c r="L67" i="61"/>
  <c r="G83" i="61"/>
  <c r="H86" i="61"/>
  <c r="I86" i="61"/>
  <c r="J86" i="61"/>
  <c r="K86" i="61"/>
  <c r="L86" i="61"/>
  <c r="G88" i="61"/>
  <c r="H88" i="61"/>
  <c r="I88" i="61"/>
  <c r="J88" i="61"/>
  <c r="K88" i="61"/>
  <c r="L88" i="61"/>
  <c r="H99" i="61"/>
  <c r="I99" i="61"/>
  <c r="J99" i="61"/>
  <c r="K99" i="61"/>
  <c r="L99" i="61"/>
  <c r="H100" i="61"/>
  <c r="I100" i="61"/>
  <c r="J100" i="61"/>
  <c r="K100" i="61"/>
  <c r="L100" i="61"/>
  <c r="F102" i="61"/>
  <c r="F103" i="61" s="1"/>
  <c r="G106" i="61"/>
  <c r="H106" i="61"/>
  <c r="I106" i="61"/>
  <c r="J106" i="61" s="1"/>
  <c r="K106" i="61" s="1"/>
  <c r="G108" i="61"/>
  <c r="H108" i="61"/>
  <c r="I108" i="61" s="1"/>
  <c r="J108" i="61" s="1"/>
  <c r="K108" i="61" s="1"/>
  <c r="F110" i="61"/>
  <c r="G115" i="61"/>
  <c r="H115" i="61"/>
  <c r="I115" i="61"/>
  <c r="J115" i="61"/>
  <c r="K115" i="61"/>
  <c r="L115" i="61"/>
  <c r="G116" i="61"/>
  <c r="H116" i="61"/>
  <c r="I116" i="61"/>
  <c r="J116" i="61"/>
  <c r="K116" i="61"/>
  <c r="L116" i="61"/>
  <c r="F118" i="61"/>
  <c r="G8" i="62"/>
  <c r="G44" i="62" s="1"/>
  <c r="H8" i="62"/>
  <c r="H44" i="62" s="1"/>
  <c r="C53" i="62"/>
  <c r="B234" i="62"/>
  <c r="B242" i="62"/>
  <c r="B249" i="62"/>
  <c r="B252" i="62"/>
  <c r="B253" i="62"/>
  <c r="B254" i="62"/>
  <c r="B255" i="62"/>
  <c r="B256" i="62"/>
  <c r="B257" i="62"/>
  <c r="B258" i="62"/>
  <c r="B259" i="62"/>
  <c r="B260" i="62"/>
  <c r="B261" i="62"/>
  <c r="B262"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C291" i="62"/>
  <c r="B292" i="62"/>
  <c r="B293" i="62"/>
  <c r="B294" i="62"/>
  <c r="B295" i="62"/>
  <c r="B296" i="62"/>
  <c r="C297" i="62"/>
  <c r="B298" i="62"/>
  <c r="B299" i="62"/>
  <c r="B300" i="62"/>
  <c r="B301" i="62"/>
  <c r="B302" i="62"/>
  <c r="C303" i="62"/>
  <c r="B304" i="62"/>
  <c r="B305" i="62"/>
  <c r="B306" i="62"/>
  <c r="B307" i="62"/>
  <c r="B308" i="62"/>
  <c r="C309" i="62"/>
  <c r="B310" i="62"/>
  <c r="B311" i="62"/>
  <c r="B312" i="62"/>
  <c r="B313" i="62"/>
  <c r="B314" i="62"/>
  <c r="C315" i="62"/>
  <c r="B316" i="62"/>
  <c r="B317" i="62"/>
  <c r="B318" i="62"/>
  <c r="B319" i="62"/>
  <c r="B320" i="62"/>
  <c r="C321" i="62"/>
  <c r="B322" i="62"/>
  <c r="B323" i="62"/>
  <c r="B324" i="62"/>
  <c r="B325" i="62"/>
  <c r="B326" i="62"/>
  <c r="C327" i="62"/>
  <c r="B328" i="62"/>
  <c r="B329" i="62"/>
  <c r="B330" i="62"/>
  <c r="B331" i="62"/>
  <c r="B332" i="62"/>
  <c r="C333" i="62"/>
  <c r="B334" i="62"/>
  <c r="B335" i="62"/>
  <c r="B336" i="62"/>
  <c r="B337" i="62"/>
  <c r="B338" i="62"/>
  <c r="B339" i="62"/>
  <c r="C340" i="62"/>
  <c r="B341" i="62"/>
  <c r="B342" i="62"/>
  <c r="B343" i="62"/>
  <c r="B344" i="62"/>
  <c r="B345" i="62"/>
  <c r="C346" i="62"/>
  <c r="B347" i="62"/>
  <c r="B348" i="62"/>
  <c r="B349" i="62"/>
  <c r="B350" i="62"/>
  <c r="B351" i="62"/>
  <c r="C352" i="62"/>
  <c r="B353" i="62"/>
  <c r="B354" i="62"/>
  <c r="B355" i="62"/>
  <c r="B356" i="62"/>
  <c r="B357" i="62"/>
  <c r="C358" i="62"/>
  <c r="B359" i="62"/>
  <c r="B360" i="62"/>
  <c r="B361" i="62"/>
  <c r="B362" i="62"/>
  <c r="B363" i="62"/>
  <c r="C364" i="62"/>
  <c r="B365" i="62"/>
  <c r="B366" i="62"/>
  <c r="B367" i="62"/>
  <c r="B368" i="62"/>
  <c r="B369" i="62"/>
  <c r="C370" i="62"/>
  <c r="B371" i="62"/>
  <c r="B372" i="62"/>
  <c r="B373" i="62"/>
  <c r="B374" i="62"/>
  <c r="B375" i="62"/>
  <c r="C376" i="62"/>
  <c r="B377" i="62"/>
  <c r="B378" i="62"/>
  <c r="B379" i="62"/>
  <c r="B380" i="62"/>
  <c r="B381" i="62"/>
  <c r="G421" i="62"/>
  <c r="H421" i="62"/>
  <c r="I421" i="62"/>
  <c r="G425" i="62"/>
  <c r="H425" i="62"/>
  <c r="I425" i="62"/>
  <c r="J425" i="62"/>
  <c r="K425" i="62"/>
  <c r="L425" i="62"/>
  <c r="M425" i="62"/>
  <c r="G429" i="62"/>
  <c r="H429" i="62"/>
  <c r="I429" i="62"/>
  <c r="J429" i="62" s="1"/>
  <c r="K429" i="62" s="1"/>
  <c r="L429" i="62" s="1"/>
  <c r="M429" i="62" s="1"/>
  <c r="G433" i="62"/>
  <c r="H433" i="62"/>
  <c r="I433" i="62"/>
  <c r="J433" i="62"/>
  <c r="K433" i="62"/>
  <c r="L433" i="62"/>
  <c r="M433" i="62"/>
  <c r="G437" i="62"/>
  <c r="H437" i="62"/>
  <c r="I437" i="62"/>
  <c r="J437" i="62"/>
  <c r="K437" i="62"/>
  <c r="L437" i="62"/>
  <c r="M437" i="62"/>
  <c r="A5" i="62"/>
  <c r="A2" i="62"/>
  <c r="L31" i="61"/>
  <c r="K31" i="61"/>
  <c r="J31" i="61"/>
  <c r="J39" i="61" s="1"/>
  <c r="I31" i="61"/>
  <c r="H31" i="61"/>
  <c r="G31" i="61"/>
  <c r="H9" i="61"/>
  <c r="I9" i="61" s="1"/>
  <c r="G6" i="61"/>
  <c r="G10" i="61" s="1"/>
  <c r="F10" i="61" s="1"/>
  <c r="A5" i="61"/>
  <c r="A2" i="61"/>
  <c r="F163" i="61" l="1"/>
  <c r="F165" i="61" s="1"/>
  <c r="K28" i="46"/>
  <c r="K30" i="46"/>
  <c r="K23" i="46"/>
  <c r="F42" i="18"/>
  <c r="C28" i="63"/>
  <c r="G110" i="61"/>
  <c r="H110" i="61"/>
  <c r="J37" i="61"/>
  <c r="G7" i="61"/>
  <c r="J41" i="61"/>
  <c r="G439" i="62"/>
  <c r="C134" i="61"/>
  <c r="G34" i="61"/>
  <c r="I110" i="61"/>
  <c r="I439" i="62"/>
  <c r="H439" i="62"/>
  <c r="K110" i="61"/>
  <c r="L108" i="61"/>
  <c r="L106" i="61"/>
  <c r="J110" i="61"/>
  <c r="G11" i="61"/>
  <c r="F11" i="61" s="1"/>
  <c r="H34" i="61"/>
  <c r="G37" i="61"/>
  <c r="K37" i="61"/>
  <c r="G39" i="61"/>
  <c r="K39" i="61"/>
  <c r="G41" i="61"/>
  <c r="K41" i="61"/>
  <c r="H37" i="61"/>
  <c r="L37" i="61"/>
  <c r="H39" i="61"/>
  <c r="L39" i="61"/>
  <c r="H41" i="61"/>
  <c r="L41" i="61"/>
  <c r="J9" i="61"/>
  <c r="I37" i="61"/>
  <c r="I39" i="61"/>
  <c r="I41" i="61"/>
  <c r="L28" i="46" l="1"/>
  <c r="E28" i="46" s="1"/>
  <c r="L30" i="46"/>
  <c r="E30" i="46" s="1"/>
  <c r="L23" i="46"/>
  <c r="L29" i="46"/>
  <c r="E29" i="46" s="1"/>
  <c r="C16" i="63"/>
  <c r="L110" i="61"/>
  <c r="H10" i="61"/>
  <c r="K9" i="61"/>
  <c r="F47" i="61" l="1"/>
  <c r="L9" i="61"/>
  <c r="H11" i="61"/>
  <c r="E28" i="39"/>
  <c r="F48" i="47"/>
  <c r="F49" i="47" s="1"/>
  <c r="L43" i="46"/>
  <c r="K43" i="46"/>
  <c r="J43" i="46"/>
  <c r="I43" i="46"/>
  <c r="H43" i="46"/>
  <c r="G43" i="46"/>
  <c r="L15" i="46"/>
  <c r="K15" i="46"/>
  <c r="J15" i="46"/>
  <c r="I15" i="46"/>
  <c r="H15" i="46"/>
  <c r="G15" i="46"/>
  <c r="L26" i="18"/>
  <c r="L111" i="18" s="1"/>
  <c r="K26" i="18"/>
  <c r="K111" i="18" s="1"/>
  <c r="J26" i="18"/>
  <c r="J111" i="18" s="1"/>
  <c r="I26" i="18"/>
  <c r="I111" i="18" s="1"/>
  <c r="H26" i="18"/>
  <c r="H111" i="18" s="1"/>
  <c r="G26" i="18"/>
  <c r="F26" i="18"/>
  <c r="F111" i="18" s="1"/>
  <c r="L18" i="18"/>
  <c r="K18" i="18"/>
  <c r="J18" i="18"/>
  <c r="I18" i="18"/>
  <c r="H18" i="18"/>
  <c r="G18" i="18"/>
  <c r="G103" i="18" s="1"/>
  <c r="F18" i="18"/>
  <c r="F103" i="18" s="1"/>
  <c r="I9" i="13"/>
  <c r="E6" i="63" s="1"/>
  <c r="H73" i="46" s="1"/>
  <c r="D26" i="18" l="1"/>
  <c r="G111" i="18"/>
  <c r="D18" i="18"/>
  <c r="I8" i="62"/>
  <c r="I44" i="62" s="1"/>
  <c r="J9" i="13"/>
  <c r="F6" i="63" s="1"/>
  <c r="I73" i="46" s="1"/>
  <c r="I10" i="61"/>
  <c r="C26" i="18"/>
  <c r="C18" i="18"/>
  <c r="J8" i="62" l="1"/>
  <c r="J44" i="62" s="1"/>
  <c r="K9" i="13"/>
  <c r="G6" i="63" s="1"/>
  <c r="J73" i="46" s="1"/>
  <c r="I11" i="61"/>
  <c r="C73" i="13"/>
  <c r="L9" i="13" l="1"/>
  <c r="H6" i="63" s="1"/>
  <c r="K73" i="46" s="1"/>
  <c r="K8" i="62"/>
  <c r="K44" i="62" s="1"/>
  <c r="J10" i="61"/>
  <c r="F38" i="34"/>
  <c r="C24" i="63" s="1"/>
  <c r="L8" i="62" l="1"/>
  <c r="L44" i="62" s="1"/>
  <c r="M9" i="13"/>
  <c r="I6" i="63" s="1"/>
  <c r="L73" i="46" s="1"/>
  <c r="F59" i="34"/>
  <c r="J11" i="61"/>
  <c r="M8" i="62" l="1"/>
  <c r="M44"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7" i="45"/>
  <c r="D34" i="45"/>
  <c r="D33" i="45"/>
  <c r="D31" i="45"/>
  <c r="D30" i="45"/>
  <c r="D28" i="45"/>
  <c r="D27" i="45"/>
  <c r="Z11" i="35" l="1"/>
  <c r="U41" i="35" l="1"/>
  <c r="U39" i="35"/>
  <c r="U38" i="35"/>
  <c r="U37" i="35"/>
  <c r="U36" i="35"/>
  <c r="U35" i="35"/>
  <c r="U34" i="35"/>
  <c r="U32" i="35"/>
  <c r="U29" i="35"/>
  <c r="U28" i="35"/>
  <c r="U16" i="35"/>
  <c r="U14" i="35"/>
  <c r="Z41" i="35"/>
  <c r="Z40" i="35"/>
  <c r="Z39" i="35"/>
  <c r="Z38" i="35"/>
  <c r="Z37" i="35"/>
  <c r="Z36" i="35"/>
  <c r="Z35" i="35"/>
  <c r="Z34" i="35"/>
  <c r="Z33" i="35"/>
  <c r="Z32" i="35"/>
  <c r="Z31" i="35"/>
  <c r="Z30" i="35"/>
  <c r="Z29" i="35"/>
  <c r="Z28" i="35"/>
  <c r="Z27" i="35"/>
  <c r="Z16" i="35"/>
  <c r="Z14" i="35"/>
  <c r="Z42" i="35" l="1"/>
  <c r="Z43" i="35" s="1"/>
  <c r="A2" i="39"/>
  <c r="L33" i="61" l="1"/>
  <c r="L34" i="61" s="1"/>
  <c r="K33" i="61"/>
  <c r="K34" i="61" s="1"/>
  <c r="J33" i="61"/>
  <c r="J34" i="61" s="1"/>
  <c r="I33" i="61"/>
  <c r="I34" i="61" s="1"/>
  <c r="A2" i="54" l="1"/>
  <c r="A5" i="55"/>
  <c r="G16" i="41" l="1"/>
  <c r="A5" i="54" l="1"/>
  <c r="L46" i="47" l="1"/>
  <c r="K46" i="47"/>
  <c r="J46" i="47"/>
  <c r="I46" i="47"/>
  <c r="H46" i="47"/>
  <c r="G46" i="47"/>
  <c r="L45" i="47"/>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7" i="47"/>
  <c r="K37" i="47"/>
  <c r="J37" i="47"/>
  <c r="I37" i="47"/>
  <c r="H37" i="47"/>
  <c r="G37" i="47"/>
  <c r="L36" i="47"/>
  <c r="K36" i="47"/>
  <c r="J36" i="47"/>
  <c r="I36" i="47"/>
  <c r="H36" i="47"/>
  <c r="G36" i="47"/>
  <c r="L35" i="47"/>
  <c r="K35" i="47"/>
  <c r="J35" i="47"/>
  <c r="I35" i="47"/>
  <c r="H35" i="47"/>
  <c r="G35" i="47"/>
  <c r="L33" i="47"/>
  <c r="K33" i="47"/>
  <c r="J33" i="47"/>
  <c r="I33" i="47"/>
  <c r="H33" i="47"/>
  <c r="G33" i="47"/>
  <c r="L32" i="47"/>
  <c r="K32" i="47"/>
  <c r="J32" i="47"/>
  <c r="I32" i="47"/>
  <c r="H32" i="47"/>
  <c r="G32" i="47"/>
  <c r="L31" i="47"/>
  <c r="K31" i="47"/>
  <c r="J31" i="47"/>
  <c r="I31" i="47"/>
  <c r="H31" i="47"/>
  <c r="G31" i="47"/>
  <c r="L30" i="47"/>
  <c r="K30" i="47"/>
  <c r="J30" i="47"/>
  <c r="I30" i="47"/>
  <c r="H30" i="47"/>
  <c r="G30" i="47"/>
  <c r="L19" i="47"/>
  <c r="K19" i="47"/>
  <c r="J19" i="47"/>
  <c r="I19" i="47"/>
  <c r="H19" i="47"/>
  <c r="G19" i="47"/>
  <c r="L18" i="47"/>
  <c r="K18" i="47"/>
  <c r="J18" i="47"/>
  <c r="I18" i="47"/>
  <c r="H18" i="47"/>
  <c r="G18" i="47"/>
  <c r="L14" i="47"/>
  <c r="K14" i="47"/>
  <c r="J14" i="47"/>
  <c r="I14" i="47"/>
  <c r="H14" i="47"/>
  <c r="L13" i="47"/>
  <c r="K13" i="47"/>
  <c r="J13" i="47"/>
  <c r="I13" i="47"/>
  <c r="H13" i="47"/>
  <c r="N34" i="48"/>
  <c r="M34" i="48"/>
  <c r="L34" i="48"/>
  <c r="K34" i="48"/>
  <c r="J34" i="48"/>
  <c r="I34" i="48"/>
  <c r="H34" i="48"/>
  <c r="B70" i="46" l="1"/>
  <c r="F34" i="46"/>
  <c r="G34" i="46" l="1"/>
  <c r="F69" i="46"/>
  <c r="G19" i="46"/>
  <c r="H19" i="46" s="1"/>
  <c r="G39" i="46" l="1"/>
  <c r="H39" i="46"/>
  <c r="I19" i="46"/>
  <c r="J19" i="46" l="1"/>
  <c r="I39" i="46"/>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19" i="46"/>
  <c r="J39" i="46"/>
  <c r="I36" i="53"/>
  <c r="I37" i="53" s="1"/>
  <c r="I38" i="53" s="1"/>
  <c r="G43" i="48"/>
  <c r="G42" i="48"/>
  <c r="G41" i="48"/>
  <c r="G40" i="48"/>
  <c r="G39" i="48"/>
  <c r="G38" i="48"/>
  <c r="G37" i="48"/>
  <c r="G36" i="48"/>
  <c r="H44" i="48"/>
  <c r="C32" i="63" s="1"/>
  <c r="L19" i="46" l="1"/>
  <c r="L39" i="46" s="1"/>
  <c r="K39" i="46"/>
  <c r="H94" i="46"/>
  <c r="I94" i="46"/>
  <c r="J94" i="46"/>
  <c r="K94" i="46"/>
  <c r="L94" i="46"/>
  <c r="H93" i="46"/>
  <c r="I93" i="46"/>
  <c r="J93" i="46"/>
  <c r="K93" i="46"/>
  <c r="L93" i="46"/>
  <c r="G93" i="46"/>
  <c r="H61" i="46"/>
  <c r="I61" i="46"/>
  <c r="J61" i="46"/>
  <c r="K61" i="46"/>
  <c r="L61" i="46"/>
  <c r="G61" i="46"/>
  <c r="H62" i="46"/>
  <c r="I62" i="46"/>
  <c r="J62" i="46"/>
  <c r="K62" i="46"/>
  <c r="L62" i="46"/>
  <c r="G62" i="46"/>
  <c r="H87" i="46"/>
  <c r="H92" i="18" s="1"/>
  <c r="I87" i="46"/>
  <c r="I92" i="18" s="1"/>
  <c r="J87" i="46"/>
  <c r="J92" i="18" s="1"/>
  <c r="K87" i="46"/>
  <c r="K92" i="18" s="1"/>
  <c r="L87" i="46"/>
  <c r="L92" i="18" s="1"/>
  <c r="G87" i="46"/>
  <c r="G92" i="18" s="1"/>
  <c r="H34" i="46" l="1"/>
  <c r="I34" i="46" l="1"/>
  <c r="F50" i="47"/>
  <c r="E46" i="47"/>
  <c r="E45" i="47"/>
  <c r="E44" i="47"/>
  <c r="E43" i="47"/>
  <c r="E42" i="47"/>
  <c r="E41" i="47"/>
  <c r="E40" i="47"/>
  <c r="E14" i="47"/>
  <c r="E13" i="47"/>
  <c r="C30" i="63" l="1"/>
  <c r="J34" i="46"/>
  <c r="F6" i="34"/>
  <c r="F53" i="34" s="1"/>
  <c r="C34" i="63" l="1"/>
  <c r="K34" i="46"/>
  <c r="D26" i="41"/>
  <c r="D25" i="41"/>
  <c r="D24" i="41"/>
  <c r="D23" i="41"/>
  <c r="D22" i="41"/>
  <c r="D21" i="41"/>
  <c r="D20" i="41"/>
  <c r="D19" i="41"/>
  <c r="D18" i="41"/>
  <c r="D17" i="41"/>
  <c r="D16" i="41"/>
  <c r="D15" i="41"/>
  <c r="D14" i="41"/>
  <c r="D12" i="41"/>
  <c r="D11" i="41" l="1"/>
  <c r="L34" i="46"/>
  <c r="D27" i="41"/>
  <c r="E12" i="52" l="1"/>
  <c r="F12" i="52" s="1"/>
  <c r="G3" i="46" l="1"/>
  <c r="G2" i="46"/>
  <c r="A5" i="52"/>
  <c r="A2" i="52"/>
  <c r="G67" i="41" l="1"/>
  <c r="H67" i="41" s="1"/>
  <c r="G51" i="41"/>
  <c r="H51" i="41" l="1"/>
  <c r="F6" i="46"/>
  <c r="L92" i="46"/>
  <c r="K92" i="46"/>
  <c r="J92" i="46"/>
  <c r="I92" i="46"/>
  <c r="H92" i="46"/>
  <c r="G92" i="46" l="1"/>
  <c r="E43" i="38"/>
  <c r="L18" i="46" l="1"/>
  <c r="K18" i="46"/>
  <c r="J18" i="46"/>
  <c r="I18" i="46"/>
  <c r="H18" i="46"/>
  <c r="G18" i="46"/>
  <c r="L88" i="46"/>
  <c r="K88" i="46"/>
  <c r="J88" i="46"/>
  <c r="I88" i="46"/>
  <c r="H88" i="46"/>
  <c r="G88" i="46"/>
  <c r="E21" i="46" l="1"/>
  <c r="E32" i="46" l="1"/>
  <c r="G94" i="46"/>
  <c r="C43" i="38" s="1"/>
  <c r="F3" i="41"/>
  <c r="F2" i="41"/>
  <c r="C28" i="38" l="1"/>
  <c r="C27" i="38"/>
  <c r="O24" i="38" l="1"/>
  <c r="M24" i="38"/>
  <c r="H24" i="38"/>
  <c r="H30" i="38" s="1"/>
  <c r="G24" i="38"/>
  <c r="I24" i="38"/>
  <c r="F24" i="38"/>
  <c r="E38" i="45"/>
  <c r="F30" i="18" l="1"/>
  <c r="F115" i="18" s="1"/>
  <c r="F29" i="18"/>
  <c r="F28" i="18"/>
  <c r="F113" i="18" s="1"/>
  <c r="F25" i="18"/>
  <c r="F110" i="18" s="1"/>
  <c r="F23" i="18"/>
  <c r="F108" i="18" s="1"/>
  <c r="F22" i="18"/>
  <c r="F107" i="18" s="1"/>
  <c r="F21" i="18"/>
  <c r="F106" i="18" s="1"/>
  <c r="F20" i="18"/>
  <c r="F105" i="18" s="1"/>
  <c r="F19" i="18"/>
  <c r="F104" i="18" s="1"/>
  <c r="F17" i="18"/>
  <c r="F102" i="18" s="1"/>
  <c r="F16" i="18"/>
  <c r="F101" i="18" s="1"/>
  <c r="F15" i="18"/>
  <c r="F100" i="18" s="1"/>
  <c r="F99" i="18"/>
  <c r="F98" i="18"/>
  <c r="M15" i="13"/>
  <c r="L15" i="61" s="1"/>
  <c r="L15" i="13"/>
  <c r="K15" i="61" s="1"/>
  <c r="K15" i="13"/>
  <c r="J15" i="61" s="1"/>
  <c r="J15" i="13"/>
  <c r="I15" i="61" s="1"/>
  <c r="I15" i="13"/>
  <c r="H15" i="61" s="1"/>
  <c r="H15" i="13"/>
  <c r="G15" i="61" s="1"/>
  <c r="F66" i="18"/>
  <c r="F6" i="18"/>
  <c r="F12" i="18" s="1"/>
  <c r="F35" i="18" l="1"/>
  <c r="F96" i="18"/>
  <c r="F133" i="18"/>
  <c r="F60" i="18"/>
  <c r="F9" i="18"/>
  <c r="K97" i="61"/>
  <c r="K98" i="61"/>
  <c r="I98" i="61"/>
  <c r="I97" i="61"/>
  <c r="J97" i="61"/>
  <c r="J98" i="61"/>
  <c r="G97" i="61"/>
  <c r="H98" i="61"/>
  <c r="H97" i="61"/>
  <c r="L98" i="61"/>
  <c r="L97" i="61"/>
  <c r="E28" i="38" l="1"/>
  <c r="D28" i="38" s="1"/>
  <c r="C29" i="38"/>
  <c r="G11" i="47" l="1"/>
  <c r="H11" i="47"/>
  <c r="I11" i="47"/>
  <c r="J11" i="47"/>
  <c r="K11" i="47"/>
  <c r="L11" i="47"/>
  <c r="E26" i="38"/>
  <c r="E27" i="38"/>
  <c r="D27" i="38" s="1"/>
  <c r="G15" i="38"/>
  <c r="H15" i="38"/>
  <c r="J15" i="38"/>
  <c r="K15" i="38"/>
  <c r="M15" i="38"/>
  <c r="N15" i="38"/>
  <c r="P15" i="38"/>
  <c r="Q15" i="38"/>
  <c r="F56" i="38"/>
  <c r="E11" i="47" l="1"/>
  <c r="G56" i="38"/>
  <c r="F57" i="38"/>
  <c r="F58" i="38" s="1"/>
  <c r="C92" i="18"/>
  <c r="E55" i="38"/>
  <c r="E54" i="38"/>
  <c r="N44" i="48"/>
  <c r="I32" i="63" s="1"/>
  <c r="M44" i="48"/>
  <c r="H32" i="63" s="1"/>
  <c r="L44" i="48"/>
  <c r="G32" i="63" s="1"/>
  <c r="K44" i="48"/>
  <c r="F32" i="63" s="1"/>
  <c r="J44" i="48"/>
  <c r="E32" i="63" s="1"/>
  <c r="I44" i="48"/>
  <c r="I13" i="48"/>
  <c r="I35" i="48" s="1"/>
  <c r="A5" i="48"/>
  <c r="A2" i="48"/>
  <c r="D32" i="63" l="1"/>
  <c r="B32" i="63"/>
  <c r="F32" i="18"/>
  <c r="G40" i="18"/>
  <c r="G44" i="48"/>
  <c r="J45" i="48" s="1"/>
  <c r="K40" i="18"/>
  <c r="J40" i="18"/>
  <c r="H40" i="18"/>
  <c r="L40" i="18"/>
  <c r="I40" i="18"/>
  <c r="H56" i="38"/>
  <c r="G57" i="38"/>
  <c r="G58" i="38" s="1"/>
  <c r="H12" i="48"/>
  <c r="J12" i="48"/>
  <c r="J13" i="48" s="1"/>
  <c r="H13" i="48"/>
  <c r="H35" i="48" s="1"/>
  <c r="L41" i="38" l="1"/>
  <c r="M41" i="38"/>
  <c r="N41" i="38"/>
  <c r="K41" i="38"/>
  <c r="F109" i="18"/>
  <c r="F114" i="18"/>
  <c r="K45" i="48"/>
  <c r="N45" i="48"/>
  <c r="D40" i="18"/>
  <c r="F120" i="18"/>
  <c r="F124" i="18"/>
  <c r="F123" i="18"/>
  <c r="F121" i="18"/>
  <c r="F122" i="18"/>
  <c r="F125" i="18"/>
  <c r="L45" i="48"/>
  <c r="G45" i="48"/>
  <c r="H45" i="48"/>
  <c r="I45" i="48"/>
  <c r="M45" i="48"/>
  <c r="K12" i="48"/>
  <c r="K13" i="48" s="1"/>
  <c r="J35" i="48"/>
  <c r="C40" i="18"/>
  <c r="I56" i="38"/>
  <c r="H57" i="38"/>
  <c r="H58" i="38" s="1"/>
  <c r="L12" i="48" l="1"/>
  <c r="L13" i="48" s="1"/>
  <c r="K35" i="48"/>
  <c r="J56" i="38"/>
  <c r="I57" i="38"/>
  <c r="I58" i="38" s="1"/>
  <c r="G60" i="46"/>
  <c r="H60" i="46"/>
  <c r="G59" i="46"/>
  <c r="H59" i="46"/>
  <c r="G32" i="34"/>
  <c r="H29" i="34"/>
  <c r="H28" i="34"/>
  <c r="M12" i="48" l="1"/>
  <c r="M13" i="48" s="1"/>
  <c r="L35" i="48"/>
  <c r="K56" i="38"/>
  <c r="J57" i="38"/>
  <c r="J58" i="38" s="1"/>
  <c r="D50" i="47"/>
  <c r="L47" i="47"/>
  <c r="K47" i="47"/>
  <c r="J47" i="47"/>
  <c r="I47" i="47"/>
  <c r="H47" i="47"/>
  <c r="G47" i="47"/>
  <c r="E38" i="47"/>
  <c r="E36" i="47"/>
  <c r="E34" i="47"/>
  <c r="E32" i="47"/>
  <c r="E30" i="47"/>
  <c r="E28" i="47"/>
  <c r="E26" i="47"/>
  <c r="H7" i="47"/>
  <c r="I7" i="47" s="1"/>
  <c r="J7" i="47" s="1"/>
  <c r="K7" i="47" s="1"/>
  <c r="L7" i="47" s="1"/>
  <c r="A5" i="47"/>
  <c r="A2" i="47"/>
  <c r="L60" i="46"/>
  <c r="K60" i="46"/>
  <c r="J60" i="46"/>
  <c r="I60" i="46"/>
  <c r="L59" i="46"/>
  <c r="K59" i="46"/>
  <c r="J59" i="46"/>
  <c r="I59" i="46"/>
  <c r="C53" i="46"/>
  <c r="C51" i="46"/>
  <c r="L25" i="46"/>
  <c r="K25" i="46"/>
  <c r="J25" i="46"/>
  <c r="I25" i="46"/>
  <c r="H25" i="46"/>
  <c r="G25" i="46"/>
  <c r="L24" i="46"/>
  <c r="K24" i="46"/>
  <c r="J24" i="46"/>
  <c r="I24" i="46"/>
  <c r="H24" i="46"/>
  <c r="G24" i="46"/>
  <c r="L6" i="46"/>
  <c r="K6" i="46"/>
  <c r="J6" i="46"/>
  <c r="I6" i="46"/>
  <c r="H6" i="46"/>
  <c r="G6" i="46"/>
  <c r="A4" i="46"/>
  <c r="A2" i="46"/>
  <c r="G31" i="46" l="1"/>
  <c r="J31" i="46"/>
  <c r="H31" i="46"/>
  <c r="I31" i="46"/>
  <c r="K31" i="46"/>
  <c r="L31" i="46"/>
  <c r="K40" i="46"/>
  <c r="H40" i="46"/>
  <c r="I40" i="46"/>
  <c r="G40" i="46"/>
  <c r="L40" i="46"/>
  <c r="J40" i="46"/>
  <c r="I90" i="46"/>
  <c r="I41" i="46"/>
  <c r="G91" i="46"/>
  <c r="G42" i="46"/>
  <c r="K91" i="46"/>
  <c r="K42" i="46"/>
  <c r="L91" i="46"/>
  <c r="L42" i="46"/>
  <c r="J90" i="46"/>
  <c r="J41" i="46"/>
  <c r="H91" i="46"/>
  <c r="H42" i="46"/>
  <c r="G90" i="46"/>
  <c r="G41" i="46"/>
  <c r="K90" i="46"/>
  <c r="K41" i="46"/>
  <c r="I91" i="46"/>
  <c r="I42" i="46"/>
  <c r="H90" i="46"/>
  <c r="H41" i="46"/>
  <c r="L90" i="46"/>
  <c r="L41" i="46"/>
  <c r="J91" i="46"/>
  <c r="J42" i="46"/>
  <c r="H48" i="47"/>
  <c r="H49" i="47" s="1"/>
  <c r="H50" i="47" s="1"/>
  <c r="L48" i="47"/>
  <c r="L49" i="47" s="1"/>
  <c r="L50" i="47" s="1"/>
  <c r="I48" i="47"/>
  <c r="I49" i="47" s="1"/>
  <c r="I50" i="47" s="1"/>
  <c r="J48" i="47"/>
  <c r="J49" i="47" s="1"/>
  <c r="J50" i="47" s="1"/>
  <c r="G48" i="47"/>
  <c r="G49" i="47" s="1"/>
  <c r="G50" i="47" s="1"/>
  <c r="D30" i="63" s="1"/>
  <c r="K48" i="47"/>
  <c r="K49" i="47" s="1"/>
  <c r="K50" i="47" s="1"/>
  <c r="E47" i="47"/>
  <c r="N12" i="48"/>
  <c r="N13" i="48" s="1"/>
  <c r="N35" i="48" s="1"/>
  <c r="M35" i="48"/>
  <c r="E29" i="47"/>
  <c r="E31" i="47"/>
  <c r="E33" i="47"/>
  <c r="E35" i="47"/>
  <c r="E39" i="47"/>
  <c r="E12" i="47"/>
  <c r="E16" i="47"/>
  <c r="E18" i="47"/>
  <c r="E19" i="47"/>
  <c r="E27" i="47"/>
  <c r="E15" i="47"/>
  <c r="E17" i="47"/>
  <c r="G89" i="46"/>
  <c r="J66" i="46"/>
  <c r="I66" i="46"/>
  <c r="L66" i="46"/>
  <c r="H66" i="46"/>
  <c r="K66" i="46"/>
  <c r="G66" i="46"/>
  <c r="H89" i="46"/>
  <c r="L89" i="46"/>
  <c r="K89" i="46"/>
  <c r="I89" i="46"/>
  <c r="J89" i="46"/>
  <c r="E37" i="47"/>
  <c r="E25" i="46"/>
  <c r="E23" i="46"/>
  <c r="L56" i="38"/>
  <c r="K57" i="38"/>
  <c r="K58" i="38" s="1"/>
  <c r="G63" i="46"/>
  <c r="C54" i="46"/>
  <c r="G50" i="46" s="1"/>
  <c r="I36" i="46" l="1"/>
  <c r="I69" i="46" s="1"/>
  <c r="I35" i="46"/>
  <c r="H35" i="46"/>
  <c r="H36" i="46"/>
  <c r="H69" i="46" s="1"/>
  <c r="L35" i="46"/>
  <c r="L36" i="46"/>
  <c r="L69" i="46" s="1"/>
  <c r="J36" i="46"/>
  <c r="J69" i="46" s="1"/>
  <c r="J35" i="46"/>
  <c r="K36" i="46"/>
  <c r="K69" i="46" s="1"/>
  <c r="K35" i="46"/>
  <c r="G36" i="46"/>
  <c r="G69" i="46" s="1"/>
  <c r="G35" i="46"/>
  <c r="G68" i="46" s="1"/>
  <c r="C42" i="38" s="1"/>
  <c r="E31" i="46"/>
  <c r="G30" i="63"/>
  <c r="J43" i="18"/>
  <c r="I43" i="18"/>
  <c r="F30" i="63"/>
  <c r="L43" i="18"/>
  <c r="I30" i="63"/>
  <c r="K43" i="18"/>
  <c r="H30" i="63"/>
  <c r="H43" i="18"/>
  <c r="E30" i="63"/>
  <c r="D55" i="46"/>
  <c r="D56" i="46" s="1"/>
  <c r="D57" i="46" s="1"/>
  <c r="F68" i="46"/>
  <c r="F70" i="46"/>
  <c r="C20" i="63" s="1"/>
  <c r="E24" i="46"/>
  <c r="M56" i="38"/>
  <c r="L57" i="38"/>
  <c r="L58" i="38" s="1"/>
  <c r="G43" i="18"/>
  <c r="C46" i="38"/>
  <c r="E50" i="47"/>
  <c r="F46" i="38" l="1"/>
  <c r="M46" i="38"/>
  <c r="N46" i="38"/>
  <c r="P46" i="38"/>
  <c r="Q46" i="38"/>
  <c r="G46" i="38"/>
  <c r="H46" i="38"/>
  <c r="I46" i="38"/>
  <c r="J46" i="38"/>
  <c r="K46" i="38"/>
  <c r="L46" i="38"/>
  <c r="O46" i="38"/>
  <c r="H42" i="38"/>
  <c r="P42" i="38"/>
  <c r="I42" i="38"/>
  <c r="Q42" i="38"/>
  <c r="J42" i="38"/>
  <c r="F42" i="38"/>
  <c r="N42" i="38"/>
  <c r="G42" i="38"/>
  <c r="K42" i="38"/>
  <c r="O42" i="38"/>
  <c r="L42" i="38"/>
  <c r="M42" i="38"/>
  <c r="J37" i="46"/>
  <c r="H37" i="46"/>
  <c r="L37" i="46"/>
  <c r="I37" i="46"/>
  <c r="E69" i="46"/>
  <c r="K37" i="46"/>
  <c r="D43" i="18"/>
  <c r="G37" i="46"/>
  <c r="F79" i="46"/>
  <c r="E35" i="46"/>
  <c r="B30" i="63"/>
  <c r="G56" i="46"/>
  <c r="G57" i="46"/>
  <c r="G70" i="46" s="1"/>
  <c r="F37" i="46"/>
  <c r="F37" i="18"/>
  <c r="F71" i="46"/>
  <c r="N56" i="38"/>
  <c r="M57" i="38"/>
  <c r="M58" i="38" s="1"/>
  <c r="C43" i="18"/>
  <c r="F119" i="18" l="1"/>
  <c r="G71" i="46"/>
  <c r="D20" i="63"/>
  <c r="G37" i="18"/>
  <c r="G65" i="46"/>
  <c r="E34" i="46"/>
  <c r="O56" i="38"/>
  <c r="N57" i="38"/>
  <c r="N58" i="38" s="1"/>
  <c r="G79" i="46" l="1"/>
  <c r="P56" i="38"/>
  <c r="O57" i="38"/>
  <c r="O58" i="38" s="1"/>
  <c r="Q56" i="38" l="1"/>
  <c r="Q57" i="38" s="1"/>
  <c r="Q58" i="38" s="1"/>
  <c r="P57" i="38"/>
  <c r="P58" i="38" s="1"/>
  <c r="E58" i="38" s="1"/>
  <c r="E57" i="38"/>
  <c r="F11" i="45" l="1"/>
  <c r="A5" i="45"/>
  <c r="A2" i="45"/>
  <c r="E10" i="45" l="1"/>
  <c r="E11" i="45"/>
  <c r="G10" i="45"/>
  <c r="G11" i="45" s="1"/>
  <c r="H10" i="45" s="1"/>
  <c r="H11" i="45" s="1"/>
  <c r="I10" i="45" s="1"/>
  <c r="I11" i="45" s="1"/>
  <c r="J10" i="45" s="1"/>
  <c r="J11" i="45" s="1"/>
  <c r="K10" i="45" s="1"/>
  <c r="K11" i="45" s="1"/>
  <c r="W35" i="35" l="1"/>
  <c r="V35" i="35"/>
  <c r="W32" i="35"/>
  <c r="V32" i="35"/>
  <c r="V34" i="35"/>
  <c r="W34" i="35"/>
  <c r="V38" i="35"/>
  <c r="W38" i="35"/>
  <c r="W39" i="35"/>
  <c r="V39" i="35"/>
  <c r="W16" i="35"/>
  <c r="V16" i="35"/>
  <c r="W28" i="35"/>
  <c r="V28" i="35"/>
  <c r="V36" i="35"/>
  <c r="W36" i="35"/>
  <c r="W29" i="35"/>
  <c r="V29" i="35"/>
  <c r="W37" i="35"/>
  <c r="V37" i="35"/>
  <c r="W41" i="35"/>
  <c r="V41" i="35"/>
  <c r="E24" i="38" l="1"/>
  <c r="D24" i="38" s="1"/>
  <c r="A2" i="35" l="1"/>
  <c r="A5" i="35"/>
  <c r="A2" i="38"/>
  <c r="A5" i="38"/>
  <c r="A2" i="41"/>
  <c r="A5" i="41"/>
  <c r="A2" i="18"/>
  <c r="A4" i="18"/>
  <c r="A2" i="13"/>
  <c r="A5" i="13"/>
  <c r="A2" i="34"/>
  <c r="A5" i="34"/>
  <c r="L31" i="18"/>
  <c r="L30" i="18"/>
  <c r="L115" i="18" s="1"/>
  <c r="L28" i="18"/>
  <c r="L113" i="18" s="1"/>
  <c r="L24" i="18"/>
  <c r="L109" i="18" s="1"/>
  <c r="L23" i="18"/>
  <c r="L108" i="18" s="1"/>
  <c r="L6" i="34"/>
  <c r="L53" i="34" s="1"/>
  <c r="K6" i="34"/>
  <c r="K53" i="34" s="1"/>
  <c r="J6" i="34"/>
  <c r="J53" i="34" s="1"/>
  <c r="I6" i="34"/>
  <c r="I53" i="34" s="1"/>
  <c r="H6" i="34"/>
  <c r="H53" i="34" s="1"/>
  <c r="G6" i="34"/>
  <c r="G53"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2" i="18" s="1"/>
  <c r="L35" i="18" l="1"/>
  <c r="L133" i="18"/>
  <c r="L60" i="18"/>
  <c r="L96" i="18"/>
  <c r="G11" i="41"/>
  <c r="K18" i="48"/>
  <c r="J15" i="48"/>
  <c r="J31" i="48"/>
  <c r="N15" i="48"/>
  <c r="N31" i="48"/>
  <c r="L15" i="48"/>
  <c r="L31" i="48"/>
  <c r="I31" i="48"/>
  <c r="I15" i="48"/>
  <c r="M15" i="48"/>
  <c r="M31" i="48"/>
  <c r="H11" i="41"/>
  <c r="E11" i="41"/>
  <c r="I11" i="41"/>
  <c r="F11" i="41"/>
  <c r="J11" i="41"/>
  <c r="H27" i="41"/>
  <c r="F27" i="41"/>
  <c r="J27" i="41"/>
  <c r="G27" i="41"/>
  <c r="G29" i="41" s="1"/>
  <c r="E27" i="41"/>
  <c r="I27" i="41"/>
  <c r="E8" i="39"/>
  <c r="J30" i="41" l="1"/>
  <c r="J29" i="41"/>
  <c r="I29" i="41"/>
  <c r="I30" i="41"/>
  <c r="F29" i="41"/>
  <c r="F30" i="41"/>
  <c r="E30" i="41"/>
  <c r="E29" i="41"/>
  <c r="H30" i="41"/>
  <c r="H29" i="41"/>
  <c r="G30" i="41"/>
  <c r="K31" i="48"/>
  <c r="K15" i="48"/>
  <c r="G12" i="45"/>
  <c r="I12" i="45"/>
  <c r="H12" i="45"/>
  <c r="J12" i="45"/>
  <c r="F12" i="45"/>
  <c r="K12" i="45"/>
  <c r="G31" i="18"/>
  <c r="G30" i="18"/>
  <c r="G28" i="18"/>
  <c r="G24" i="18"/>
  <c r="G23" i="18"/>
  <c r="G6" i="18"/>
  <c r="G12" i="18" s="1"/>
  <c r="G113" i="18" l="1"/>
  <c r="G108" i="18"/>
  <c r="G35" i="18"/>
  <c r="G60" i="18"/>
  <c r="G133" i="18"/>
  <c r="G96" i="18"/>
  <c r="A5" i="39" l="1"/>
  <c r="G109" i="13" l="1"/>
  <c r="D7" i="63"/>
  <c r="G74" i="46" s="1"/>
  <c r="L10" i="46"/>
  <c r="M17" i="13" l="1"/>
  <c r="L16" i="61" s="1"/>
  <c r="L32" i="61" s="1"/>
  <c r="M19" i="13"/>
  <c r="F45" i="61"/>
  <c r="C10" i="63"/>
  <c r="L137" i="61"/>
  <c r="I9" i="63"/>
  <c r="L71" i="61"/>
  <c r="L77" i="61"/>
  <c r="L81" i="61"/>
  <c r="L87" i="61"/>
  <c r="L91" i="61"/>
  <c r="L76" i="61"/>
  <c r="L80" i="61"/>
  <c r="L90" i="61"/>
  <c r="L114" i="61"/>
  <c r="L72" i="61"/>
  <c r="L73" i="61"/>
  <c r="L79" i="61"/>
  <c r="L113" i="61"/>
  <c r="H9" i="62"/>
  <c r="H45" i="62" s="1"/>
  <c r="C72" i="62"/>
  <c r="D132"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M37" i="13"/>
  <c r="M64" i="13"/>
  <c r="G7" i="46"/>
  <c r="F7" i="46" s="1"/>
  <c r="G10" i="13"/>
  <c r="C7" i="63" s="1"/>
  <c r="F74" i="46" s="1"/>
  <c r="L11" i="34"/>
  <c r="M97" i="13"/>
  <c r="L20" i="18" s="1"/>
  <c r="L66" i="18"/>
  <c r="G7" i="34"/>
  <c r="G54" i="34" s="1"/>
  <c r="G7" i="18"/>
  <c r="E7" i="38"/>
  <c r="D8" i="63"/>
  <c r="G75" i="46" s="1"/>
  <c r="M94" i="13"/>
  <c r="L17" i="18" s="1"/>
  <c r="M96" i="13"/>
  <c r="L19" i="18" s="1"/>
  <c r="M93" i="13"/>
  <c r="L16" i="18" s="1"/>
  <c r="M98" i="13"/>
  <c r="L21" i="18" s="1"/>
  <c r="M92" i="13"/>
  <c r="L15" i="18" s="1"/>
  <c r="L138" i="61" l="1"/>
  <c r="M420" i="62" s="1"/>
  <c r="L143" i="18"/>
  <c r="L140" i="18"/>
  <c r="L138" i="18"/>
  <c r="L142" i="18"/>
  <c r="L141" i="18"/>
  <c r="L139" i="18"/>
  <c r="L163" i="18"/>
  <c r="L145" i="18"/>
  <c r="L150" i="18"/>
  <c r="L162" i="18"/>
  <c r="L148" i="18"/>
  <c r="L144" i="18"/>
  <c r="L146" i="18"/>
  <c r="L159" i="18"/>
  <c r="L151" i="18"/>
  <c r="L93" i="18"/>
  <c r="I33" i="63"/>
  <c r="I31" i="63"/>
  <c r="F57" i="34"/>
  <c r="F77" i="46"/>
  <c r="G29" i="62"/>
  <c r="C18" i="63"/>
  <c r="F49" i="61" s="1"/>
  <c r="C26" i="63"/>
  <c r="F61" i="34" s="1"/>
  <c r="C36" i="63"/>
  <c r="C22" i="63"/>
  <c r="F81" i="46" s="1"/>
  <c r="L9" i="18"/>
  <c r="L140" i="61"/>
  <c r="M28" i="62"/>
  <c r="L56" i="34"/>
  <c r="L76" i="46"/>
  <c r="H10" i="62"/>
  <c r="L118" i="61"/>
  <c r="L29" i="18"/>
  <c r="F7" i="34"/>
  <c r="F54" i="34" s="1"/>
  <c r="G9" i="62"/>
  <c r="G45" i="62" s="1"/>
  <c r="M5" i="53"/>
  <c r="M6" i="53" s="1"/>
  <c r="N16" i="48"/>
  <c r="N32" i="48" s="1"/>
  <c r="J12" i="41"/>
  <c r="J28" i="41" s="1"/>
  <c r="L75" i="18"/>
  <c r="F7" i="18"/>
  <c r="D8" i="41"/>
  <c r="D9" i="41" s="1"/>
  <c r="G11" i="13"/>
  <c r="C8" i="63" s="1"/>
  <c r="F75" i="46" s="1"/>
  <c r="L25" i="18"/>
  <c r="L110" i="18" s="1"/>
  <c r="G8" i="46"/>
  <c r="F8" i="46" s="1"/>
  <c r="G8" i="47"/>
  <c r="G8" i="34"/>
  <c r="G55" i="34" s="1"/>
  <c r="G8" i="18"/>
  <c r="I9" i="41"/>
  <c r="E8" i="38"/>
  <c r="E12" i="38" s="1"/>
  <c r="E7" i="63"/>
  <c r="H74" i="46" s="1"/>
  <c r="L141" i="61" l="1"/>
  <c r="M441" i="62"/>
  <c r="M23" i="62" s="1"/>
  <c r="M421" i="62"/>
  <c r="M439" i="62" s="1"/>
  <c r="L142" i="61"/>
  <c r="L147" i="18"/>
  <c r="H134" i="62"/>
  <c r="H288" i="62" s="1"/>
  <c r="H86" i="62"/>
  <c r="H245" i="62" s="1"/>
  <c r="H235" i="62"/>
  <c r="L149" i="18"/>
  <c r="H237" i="62"/>
  <c r="H46" i="62"/>
  <c r="H196" i="62"/>
  <c r="H350" i="62" s="1"/>
  <c r="H157" i="62"/>
  <c r="H367" i="62"/>
  <c r="H178" i="62"/>
  <c r="H332" i="62" s="1"/>
  <c r="H221" i="62"/>
  <c r="H220" i="62"/>
  <c r="H162" i="62"/>
  <c r="H136" i="62"/>
  <c r="H195" i="62"/>
  <c r="H184" i="62"/>
  <c r="H338" i="62" s="1"/>
  <c r="H225" i="62"/>
  <c r="H379" i="62" s="1"/>
  <c r="H148" i="62"/>
  <c r="H302" i="62" s="1"/>
  <c r="H100" i="62"/>
  <c r="H261" i="62" s="1"/>
  <c r="H121" i="62"/>
  <c r="H282" i="62" s="1"/>
  <c r="H118" i="62"/>
  <c r="H174" i="62"/>
  <c r="H328" i="62" s="1"/>
  <c r="H171" i="62"/>
  <c r="H325" i="62" s="1"/>
  <c r="H163" i="62"/>
  <c r="H317" i="62" s="1"/>
  <c r="H180" i="62"/>
  <c r="H334" i="62" s="1"/>
  <c r="H202" i="62"/>
  <c r="H356" i="62" s="1"/>
  <c r="H141" i="62"/>
  <c r="H295" i="62" s="1"/>
  <c r="H218" i="62"/>
  <c r="H372" i="62" s="1"/>
  <c r="H214" i="62"/>
  <c r="H368" i="62" s="1"/>
  <c r="H191" i="62"/>
  <c r="H345" i="62" s="1"/>
  <c r="H194" i="62"/>
  <c r="H348" i="62" s="1"/>
  <c r="H168" i="62"/>
  <c r="H219" i="62"/>
  <c r="H363" i="62"/>
  <c r="H193" i="62"/>
  <c r="H347" i="62" s="1"/>
  <c r="H146" i="62"/>
  <c r="H189" i="62"/>
  <c r="H343" i="62" s="1"/>
  <c r="H151" i="62"/>
  <c r="H305" i="62" s="1"/>
  <c r="H183" i="62"/>
  <c r="H337" i="62" s="1"/>
  <c r="H160" i="62"/>
  <c r="H147" i="62"/>
  <c r="H85" i="62"/>
  <c r="H224" i="62"/>
  <c r="H378" i="62" s="1"/>
  <c r="H201" i="62"/>
  <c r="H355" i="62" s="1"/>
  <c r="H177" i="62"/>
  <c r="H331" i="62" s="1"/>
  <c r="H154" i="62"/>
  <c r="H308" i="62" s="1"/>
  <c r="H123" i="62"/>
  <c r="H284" i="62" s="1"/>
  <c r="H140" i="62"/>
  <c r="H119" i="62"/>
  <c r="H135" i="62"/>
  <c r="H289" i="62" s="1"/>
  <c r="H99" i="62"/>
  <c r="H112" i="62"/>
  <c r="H108" i="62"/>
  <c r="H269" i="62" s="1"/>
  <c r="H96" i="62"/>
  <c r="H109" i="62"/>
  <c r="H79" i="62"/>
  <c r="H239" i="62" s="1"/>
  <c r="H87" i="62"/>
  <c r="H246" i="62" s="1"/>
  <c r="H208" i="62"/>
  <c r="H187" i="62"/>
  <c r="H341" i="62" s="1"/>
  <c r="H188" i="62"/>
  <c r="H342" i="62" s="1"/>
  <c r="H165" i="62"/>
  <c r="H217" i="62"/>
  <c r="H371" i="62" s="1"/>
  <c r="H190" i="62"/>
  <c r="H344" i="62" s="1"/>
  <c r="H122" i="62"/>
  <c r="H169" i="62"/>
  <c r="H182" i="62"/>
  <c r="H336" i="62" s="1"/>
  <c r="H159" i="62"/>
  <c r="H144" i="62"/>
  <c r="H298" i="62" s="1"/>
  <c r="H227" i="62"/>
  <c r="H223" i="62"/>
  <c r="H377" i="62" s="1"/>
  <c r="H200" i="62"/>
  <c r="H176" i="62"/>
  <c r="H152" i="62"/>
  <c r="H306" i="62" s="1"/>
  <c r="H120" i="62"/>
  <c r="H281" i="62" s="1"/>
  <c r="H139" i="62"/>
  <c r="H278" i="62"/>
  <c r="H116" i="62"/>
  <c r="H277" i="62" s="1"/>
  <c r="H98" i="62"/>
  <c r="H259" i="62" s="1"/>
  <c r="H255" i="62"/>
  <c r="H111" i="62"/>
  <c r="H272" i="62" s="1"/>
  <c r="H107" i="62"/>
  <c r="H253" i="62"/>
  <c r="H153" i="62"/>
  <c r="H206" i="62"/>
  <c r="H360" i="62" s="1"/>
  <c r="H164" i="62"/>
  <c r="H318" i="62" s="1"/>
  <c r="H172" i="62"/>
  <c r="H326" i="62" s="1"/>
  <c r="H145" i="62"/>
  <c r="H299" i="62" s="1"/>
  <c r="H215" i="62"/>
  <c r="H359" i="62"/>
  <c r="H170" i="62"/>
  <c r="H166" i="62"/>
  <c r="H320" i="62" s="1"/>
  <c r="H185" i="62"/>
  <c r="H339" i="62" s="1"/>
  <c r="H181" i="62"/>
  <c r="H335" i="62" s="1"/>
  <c r="H158" i="62"/>
  <c r="H124" i="62"/>
  <c r="H226" i="62"/>
  <c r="H380" i="62" s="1"/>
  <c r="H199" i="62"/>
  <c r="H353" i="62" s="1"/>
  <c r="H175" i="62"/>
  <c r="H150" i="62"/>
  <c r="H304" i="62" s="1"/>
  <c r="H142" i="62"/>
  <c r="H138" i="62"/>
  <c r="H156" i="62"/>
  <c r="H243" i="62"/>
  <c r="H97" i="62"/>
  <c r="H258" i="62" s="1"/>
  <c r="H110" i="62"/>
  <c r="H106" i="62"/>
  <c r="H78" i="62"/>
  <c r="H105" i="62"/>
  <c r="H7" i="46"/>
  <c r="H57" i="46" s="1"/>
  <c r="I9" i="62"/>
  <c r="I45" i="62" s="1"/>
  <c r="F8" i="47"/>
  <c r="G10" i="62"/>
  <c r="F8" i="18"/>
  <c r="F8" i="34"/>
  <c r="F55" i="34" s="1"/>
  <c r="E8" i="63"/>
  <c r="H75" i="46" s="1"/>
  <c r="H7" i="34"/>
  <c r="H54" i="34" s="1"/>
  <c r="J8" i="41"/>
  <c r="G46" i="62" l="1"/>
  <c r="G86" i="62"/>
  <c r="G245" i="62" s="1"/>
  <c r="C44" i="18"/>
  <c r="F126" i="18"/>
  <c r="H56" i="46"/>
  <c r="H65" i="46" s="1"/>
  <c r="H68" i="46" s="1"/>
  <c r="H316" i="62"/>
  <c r="H357" i="62"/>
  <c r="H265" i="62"/>
  <c r="H311" i="62"/>
  <c r="H351" i="62"/>
  <c r="H374" i="62"/>
  <c r="H244" i="62"/>
  <c r="H375" i="62"/>
  <c r="H312" i="62"/>
  <c r="H300" i="62"/>
  <c r="H330" i="62"/>
  <c r="H256" i="62"/>
  <c r="H314" i="62"/>
  <c r="H365" i="62"/>
  <c r="H238" i="62"/>
  <c r="H257" i="62"/>
  <c r="H294" i="62"/>
  <c r="H323" i="62"/>
  <c r="H362" i="62"/>
  <c r="H322" i="62"/>
  <c r="H254" i="62"/>
  <c r="H366" i="62"/>
  <c r="H101" i="62"/>
  <c r="H17" i="62" s="1"/>
  <c r="H290" i="62"/>
  <c r="H292" i="62"/>
  <c r="H296" i="62"/>
  <c r="H381" i="62"/>
  <c r="H369" i="62"/>
  <c r="H113" i="62"/>
  <c r="H18" i="62" s="1"/>
  <c r="G58" i="61" s="1"/>
  <c r="H285" i="62"/>
  <c r="H361" i="62"/>
  <c r="H268" i="62"/>
  <c r="H329" i="62"/>
  <c r="H307" i="62"/>
  <c r="H270" i="62"/>
  <c r="H229" i="62"/>
  <c r="H20" i="62" s="1"/>
  <c r="G60" i="61" s="1"/>
  <c r="H266" i="62"/>
  <c r="H273" i="62"/>
  <c r="H349" i="62"/>
  <c r="H267" i="62"/>
  <c r="H310" i="62"/>
  <c r="H280" i="62"/>
  <c r="H301" i="62"/>
  <c r="H373" i="62"/>
  <c r="H279" i="62"/>
  <c r="H271" i="62"/>
  <c r="H293" i="62"/>
  <c r="H354" i="62"/>
  <c r="H313" i="62"/>
  <c r="H283" i="62"/>
  <c r="H319" i="62"/>
  <c r="H236" i="62"/>
  <c r="H260" i="62"/>
  <c r="H324" i="62"/>
  <c r="H81" i="62"/>
  <c r="H15" i="62" s="1"/>
  <c r="G55" i="61" s="1"/>
  <c r="H125" i="62"/>
  <c r="H19" i="62" s="1"/>
  <c r="G59" i="61" s="1"/>
  <c r="I10" i="62"/>
  <c r="G95" i="62"/>
  <c r="G96" i="62"/>
  <c r="G97" i="62"/>
  <c r="G98" i="62"/>
  <c r="G99" i="62"/>
  <c r="G100" i="62"/>
  <c r="G85" i="62"/>
  <c r="G87" i="62"/>
  <c r="G246" i="62" s="1"/>
  <c r="G79" i="62"/>
  <c r="G119" i="62"/>
  <c r="G121" i="62"/>
  <c r="G134" i="62"/>
  <c r="G138" i="62"/>
  <c r="G139" i="62"/>
  <c r="G140" i="62"/>
  <c r="G141" i="62"/>
  <c r="G142" i="62"/>
  <c r="G78" i="62"/>
  <c r="G144" i="62"/>
  <c r="G145" i="62"/>
  <c r="G146" i="62"/>
  <c r="G107" i="62"/>
  <c r="G109" i="62"/>
  <c r="G111" i="62"/>
  <c r="G124" i="62"/>
  <c r="G147" i="62"/>
  <c r="G157" i="62"/>
  <c r="G158" i="62"/>
  <c r="G159" i="62"/>
  <c r="G160" i="62"/>
  <c r="G180" i="62"/>
  <c r="G181" i="62"/>
  <c r="G182" i="62"/>
  <c r="G183" i="62"/>
  <c r="G184" i="62"/>
  <c r="G185" i="62"/>
  <c r="G151" i="62"/>
  <c r="G153" i="62"/>
  <c r="G162" i="62"/>
  <c r="G163" i="62"/>
  <c r="G164" i="62"/>
  <c r="G165" i="62"/>
  <c r="G166" i="62"/>
  <c r="G187" i="62"/>
  <c r="G188" i="62"/>
  <c r="G189" i="62"/>
  <c r="G190" i="62"/>
  <c r="G191" i="62"/>
  <c r="G106" i="62"/>
  <c r="G116" i="62"/>
  <c r="G120" i="62"/>
  <c r="G122" i="62"/>
  <c r="G150" i="62"/>
  <c r="G170" i="62"/>
  <c r="G174" i="62"/>
  <c r="G175" i="62"/>
  <c r="G176" i="62"/>
  <c r="G177" i="62"/>
  <c r="G178" i="62"/>
  <c r="G202" i="62"/>
  <c r="G215" i="62"/>
  <c r="G217" i="62"/>
  <c r="G219" i="62"/>
  <c r="G221" i="62"/>
  <c r="G112" i="62"/>
  <c r="G136" i="62"/>
  <c r="G171" i="62"/>
  <c r="G224" i="62"/>
  <c r="G226" i="62"/>
  <c r="G108" i="62"/>
  <c r="G152" i="62"/>
  <c r="G154" i="62"/>
  <c r="G156" i="62"/>
  <c r="G220" i="62"/>
  <c r="G223" i="62"/>
  <c r="G123" i="62"/>
  <c r="G218" i="62"/>
  <c r="G168" i="62"/>
  <c r="G172" i="62"/>
  <c r="G148" i="62"/>
  <c r="G196" i="62"/>
  <c r="G169" i="62"/>
  <c r="G135" i="62"/>
  <c r="G110" i="62"/>
  <c r="G227" i="62"/>
  <c r="G225" i="62"/>
  <c r="F7" i="63"/>
  <c r="I74" i="46" s="1"/>
  <c r="H70" i="46"/>
  <c r="E20" i="63" s="1"/>
  <c r="H8" i="46"/>
  <c r="H8" i="47"/>
  <c r="H8" i="34"/>
  <c r="H55" i="34" s="1"/>
  <c r="H8" i="18"/>
  <c r="J9" i="41"/>
  <c r="I134" i="62" l="1"/>
  <c r="I288" i="62" s="1"/>
  <c r="I86" i="62"/>
  <c r="I245" i="62" s="1"/>
  <c r="I235" i="62"/>
  <c r="H79" i="46"/>
  <c r="I85" i="62"/>
  <c r="I244" i="62" s="1"/>
  <c r="I46" i="62"/>
  <c r="G57" i="61"/>
  <c r="G82" i="61" s="1"/>
  <c r="I205" i="62"/>
  <c r="I359" i="62" s="1"/>
  <c r="I122" i="62"/>
  <c r="I283" i="62" s="1"/>
  <c r="I243" i="62"/>
  <c r="I221" i="62"/>
  <c r="I375" i="62" s="1"/>
  <c r="I185" i="62"/>
  <c r="I339" i="62" s="1"/>
  <c r="I194" i="62"/>
  <c r="I348" i="62" s="1"/>
  <c r="I254" i="62"/>
  <c r="I157" i="62"/>
  <c r="I311" i="62" s="1"/>
  <c r="I227" i="62"/>
  <c r="I381" i="62" s="1"/>
  <c r="I142" i="62"/>
  <c r="I296" i="62" s="1"/>
  <c r="I107" i="62"/>
  <c r="I268" i="62" s="1"/>
  <c r="I214" i="62"/>
  <c r="I368" i="62" s="1"/>
  <c r="I156" i="62"/>
  <c r="I310" i="62" s="1"/>
  <c r="I278" i="62"/>
  <c r="I190" i="62"/>
  <c r="I344" i="62" s="1"/>
  <c r="I365" i="62"/>
  <c r="I203" i="62"/>
  <c r="I357" i="62" s="1"/>
  <c r="I184" i="62"/>
  <c r="I338" i="62" s="1"/>
  <c r="I225" i="62"/>
  <c r="I379" i="62" s="1"/>
  <c r="I147" i="62"/>
  <c r="I301" i="62" s="1"/>
  <c r="I220" i="62"/>
  <c r="I374" i="62" s="1"/>
  <c r="I193" i="62"/>
  <c r="I347" i="62" s="1"/>
  <c r="I141" i="62"/>
  <c r="I295" i="62" s="1"/>
  <c r="I154" i="62"/>
  <c r="I308" i="62" s="1"/>
  <c r="I100" i="62"/>
  <c r="I261" i="62" s="1"/>
  <c r="I253" i="62"/>
  <c r="I106" i="62"/>
  <c r="I267" i="62" s="1"/>
  <c r="I116" i="62"/>
  <c r="I277" i="62" s="1"/>
  <c r="I199" i="62"/>
  <c r="I353" i="62" s="1"/>
  <c r="I366" i="62"/>
  <c r="I181" i="62"/>
  <c r="I335" i="62" s="1"/>
  <c r="I208" i="62"/>
  <c r="I362" i="62" s="1"/>
  <c r="I176" i="62"/>
  <c r="I330" i="62" s="1"/>
  <c r="I217" i="62"/>
  <c r="I371" i="62" s="1"/>
  <c r="I170" i="62"/>
  <c r="I324" i="62" s="1"/>
  <c r="I138" i="62"/>
  <c r="I292" i="62" s="1"/>
  <c r="I151" i="62"/>
  <c r="I305" i="62" s="1"/>
  <c r="I97" i="62"/>
  <c r="I258" i="62" s="1"/>
  <c r="I111" i="62"/>
  <c r="I272" i="62" s="1"/>
  <c r="I121" i="62"/>
  <c r="I282" i="62" s="1"/>
  <c r="I237" i="62"/>
  <c r="I164" i="62"/>
  <c r="I318" i="62" s="1"/>
  <c r="I209" i="62"/>
  <c r="I363" i="62" s="1"/>
  <c r="I201" i="62"/>
  <c r="I355" i="62" s="1"/>
  <c r="I202" i="62"/>
  <c r="I356" i="62" s="1"/>
  <c r="I180" i="62"/>
  <c r="I334" i="62" s="1"/>
  <c r="I206" i="62"/>
  <c r="I360" i="62" s="1"/>
  <c r="I175" i="62"/>
  <c r="I329" i="62" s="1"/>
  <c r="I351" i="62"/>
  <c r="I169" i="62"/>
  <c r="I323" i="62" s="1"/>
  <c r="I150" i="62"/>
  <c r="I304" i="62" s="1"/>
  <c r="I96" i="62"/>
  <c r="I257" i="62" s="1"/>
  <c r="I110" i="62"/>
  <c r="I271" i="62" s="1"/>
  <c r="I120" i="62"/>
  <c r="I281" i="62" s="1"/>
  <c r="I236" i="62"/>
  <c r="H286" i="62"/>
  <c r="H240" i="62"/>
  <c r="H247" i="62"/>
  <c r="H262" i="62"/>
  <c r="G81" i="62"/>
  <c r="G15" i="62" s="1"/>
  <c r="F55" i="61" s="1"/>
  <c r="H89" i="62"/>
  <c r="H16" i="62" s="1"/>
  <c r="G56" i="61" s="1"/>
  <c r="I144" i="62"/>
  <c r="I298" i="62" s="1"/>
  <c r="I187" i="62"/>
  <c r="I341" i="62" s="1"/>
  <c r="I207" i="62"/>
  <c r="I361" i="62" s="1"/>
  <c r="I163" i="62"/>
  <c r="I317" i="62" s="1"/>
  <c r="I145" i="62"/>
  <c r="I299" i="62" s="1"/>
  <c r="I160" i="62"/>
  <c r="I314" i="62" s="1"/>
  <c r="I200" i="62"/>
  <c r="I354" i="62" s="1"/>
  <c r="I183" i="62"/>
  <c r="I337" i="62" s="1"/>
  <c r="I166" i="62"/>
  <c r="I320" i="62" s="1"/>
  <c r="I223" i="62"/>
  <c r="I377" i="62" s="1"/>
  <c r="I188" i="62"/>
  <c r="I342" i="62" s="1"/>
  <c r="I178" i="62"/>
  <c r="I332" i="62" s="1"/>
  <c r="I174" i="62"/>
  <c r="I328" i="62" s="1"/>
  <c r="I219" i="62"/>
  <c r="I373" i="62" s="1"/>
  <c r="I196" i="62"/>
  <c r="I350" i="62" s="1"/>
  <c r="I172" i="62"/>
  <c r="I326" i="62" s="1"/>
  <c r="I168" i="62"/>
  <c r="I322" i="62" s="1"/>
  <c r="I140" i="62"/>
  <c r="I294" i="62" s="1"/>
  <c r="I136" i="62"/>
  <c r="I290" i="62" s="1"/>
  <c r="I153" i="62"/>
  <c r="I307" i="62" s="1"/>
  <c r="I124" i="62"/>
  <c r="I285" i="62" s="1"/>
  <c r="I99" i="62"/>
  <c r="I260" i="62" s="1"/>
  <c r="I95" i="62"/>
  <c r="I256" i="62" s="1"/>
  <c r="I87" i="62"/>
  <c r="I246" i="62" s="1"/>
  <c r="I109" i="62"/>
  <c r="I270" i="62" s="1"/>
  <c r="I105" i="62"/>
  <c r="I266" i="62" s="1"/>
  <c r="I119" i="62"/>
  <c r="I280" i="62" s="1"/>
  <c r="I79" i="62"/>
  <c r="I239" i="62" s="1"/>
  <c r="H383" i="62"/>
  <c r="I215" i="62"/>
  <c r="I369" i="62" s="1"/>
  <c r="I159" i="62"/>
  <c r="I313" i="62" s="1"/>
  <c r="I191" i="62"/>
  <c r="I345" i="62" s="1"/>
  <c r="I226" i="62"/>
  <c r="I380" i="62" s="1"/>
  <c r="I224" i="62"/>
  <c r="I378" i="62" s="1"/>
  <c r="I158" i="62"/>
  <c r="I312" i="62" s="1"/>
  <c r="I189" i="62"/>
  <c r="I343" i="62" s="1"/>
  <c r="I182" i="62"/>
  <c r="I336" i="62" s="1"/>
  <c r="I162" i="62"/>
  <c r="I316" i="62" s="1"/>
  <c r="I367" i="62"/>
  <c r="I165" i="62"/>
  <c r="I319" i="62" s="1"/>
  <c r="I177" i="62"/>
  <c r="I331" i="62" s="1"/>
  <c r="I148" i="62"/>
  <c r="I302" i="62" s="1"/>
  <c r="I218" i="62"/>
  <c r="I372" i="62" s="1"/>
  <c r="I195" i="62"/>
  <c r="I349" i="62" s="1"/>
  <c r="I171" i="62"/>
  <c r="I325" i="62" s="1"/>
  <c r="I146" i="62"/>
  <c r="I300" i="62" s="1"/>
  <c r="I139" i="62"/>
  <c r="I293" i="62" s="1"/>
  <c r="I135" i="62"/>
  <c r="I289" i="62" s="1"/>
  <c r="I152" i="62"/>
  <c r="I306" i="62" s="1"/>
  <c r="I123" i="62"/>
  <c r="I284" i="62" s="1"/>
  <c r="I98" i="62"/>
  <c r="I259" i="62" s="1"/>
  <c r="I94" i="62"/>
  <c r="I255" i="62" s="1"/>
  <c r="I112" i="62"/>
  <c r="I273" i="62" s="1"/>
  <c r="I108" i="62"/>
  <c r="I269" i="62" s="1"/>
  <c r="I104" i="62"/>
  <c r="I265" i="62" s="1"/>
  <c r="I118" i="62"/>
  <c r="I279" i="62" s="1"/>
  <c r="I78" i="62"/>
  <c r="I238" i="62" s="1"/>
  <c r="H127" i="62"/>
  <c r="H274" i="62"/>
  <c r="G271" i="62"/>
  <c r="G322" i="62"/>
  <c r="G355" i="62"/>
  <c r="G348" i="62"/>
  <c r="G371" i="62"/>
  <c r="G331" i="62"/>
  <c r="G125" i="62"/>
  <c r="G19" i="62" s="1"/>
  <c r="F59" i="61" s="1"/>
  <c r="G277" i="62"/>
  <c r="G319" i="62"/>
  <c r="G361" i="62"/>
  <c r="G334" i="62"/>
  <c r="G311" i="62"/>
  <c r="G236" i="62"/>
  <c r="G293" i="62"/>
  <c r="G257" i="62"/>
  <c r="I7" i="46"/>
  <c r="I56" i="46" s="1"/>
  <c r="J9" i="62"/>
  <c r="J45" i="62" s="1"/>
  <c r="G289" i="62"/>
  <c r="G357" i="62"/>
  <c r="G372" i="62"/>
  <c r="G284" i="62"/>
  <c r="G310" i="62"/>
  <c r="G380" i="62"/>
  <c r="G325" i="62"/>
  <c r="G237" i="62"/>
  <c r="G369" i="62"/>
  <c r="G351" i="62"/>
  <c r="G330" i="62"/>
  <c r="G304" i="62"/>
  <c r="G267" i="62"/>
  <c r="G342" i="62"/>
  <c r="G318" i="62"/>
  <c r="G305" i="62"/>
  <c r="G360" i="62"/>
  <c r="G337" i="62"/>
  <c r="G314" i="62"/>
  <c r="G301" i="62"/>
  <c r="G270" i="62"/>
  <c r="G300" i="62"/>
  <c r="G296" i="62"/>
  <c r="G292" i="62"/>
  <c r="G278" i="62"/>
  <c r="G260" i="62"/>
  <c r="G256" i="62"/>
  <c r="G379" i="62"/>
  <c r="G323" i="62"/>
  <c r="G349" i="62"/>
  <c r="G367" i="62"/>
  <c r="G377" i="62"/>
  <c r="G308" i="62"/>
  <c r="G378" i="62"/>
  <c r="G290" i="62"/>
  <c r="G375" i="62"/>
  <c r="G365" i="62"/>
  <c r="G347" i="62"/>
  <c r="G329" i="62"/>
  <c r="G283" i="62"/>
  <c r="G345" i="62"/>
  <c r="G341" i="62"/>
  <c r="G317" i="62"/>
  <c r="G363" i="62"/>
  <c r="G359" i="62"/>
  <c r="G336" i="62"/>
  <c r="G313" i="62"/>
  <c r="G285" i="62"/>
  <c r="G268" i="62"/>
  <c r="G299" i="62"/>
  <c r="G295" i="62"/>
  <c r="G229" i="62"/>
  <c r="G20" i="62" s="1"/>
  <c r="F60" i="61" s="1"/>
  <c r="G288" i="62"/>
  <c r="G239" i="62"/>
  <c r="G244" i="62"/>
  <c r="G259" i="62"/>
  <c r="G255" i="62"/>
  <c r="G302" i="62"/>
  <c r="G353" i="62"/>
  <c r="G269" i="62"/>
  <c r="G265" i="62"/>
  <c r="G113" i="62"/>
  <c r="G18" i="62" s="1"/>
  <c r="F58" i="61" s="1"/>
  <c r="G354" i="62"/>
  <c r="G324" i="62"/>
  <c r="G343" i="62"/>
  <c r="G307" i="62"/>
  <c r="G338" i="62"/>
  <c r="G272" i="62"/>
  <c r="G238" i="62"/>
  <c r="G280" i="62"/>
  <c r="G261" i="62"/>
  <c r="G101" i="62"/>
  <c r="G17" i="62" s="1"/>
  <c r="G253" i="62"/>
  <c r="G381" i="62"/>
  <c r="G350" i="62"/>
  <c r="G326" i="62"/>
  <c r="G366" i="62"/>
  <c r="G374" i="62"/>
  <c r="G306" i="62"/>
  <c r="G368" i="62"/>
  <c r="G273" i="62"/>
  <c r="G373" i="62"/>
  <c r="G356" i="62"/>
  <c r="G332" i="62"/>
  <c r="G328" i="62"/>
  <c r="G281" i="62"/>
  <c r="G344" i="62"/>
  <c r="G320" i="62"/>
  <c r="G316" i="62"/>
  <c r="G362" i="62"/>
  <c r="G339" i="62"/>
  <c r="G335" i="62"/>
  <c r="G312" i="62"/>
  <c r="G279" i="62"/>
  <c r="G266" i="62"/>
  <c r="G298" i="62"/>
  <c r="G294" i="62"/>
  <c r="G282" i="62"/>
  <c r="G243" i="62"/>
  <c r="G258" i="62"/>
  <c r="G254" i="62"/>
  <c r="H37" i="18"/>
  <c r="H71" i="46"/>
  <c r="I7" i="34"/>
  <c r="I54" i="34" s="1"/>
  <c r="F8" i="63"/>
  <c r="I75" i="46" s="1"/>
  <c r="I286" i="62" l="1"/>
  <c r="G61" i="61"/>
  <c r="F57" i="61"/>
  <c r="H21" i="62"/>
  <c r="I101" i="62"/>
  <c r="I17" i="62" s="1"/>
  <c r="H57" i="61" s="1"/>
  <c r="H230" i="62"/>
  <c r="I125" i="62"/>
  <c r="I19" i="62" s="1"/>
  <c r="H59" i="61" s="1"/>
  <c r="H128" i="62"/>
  <c r="I229" i="62"/>
  <c r="I20" i="62" s="1"/>
  <c r="H249" i="62"/>
  <c r="H387" i="62" s="1"/>
  <c r="I113" i="62"/>
  <c r="I18" i="62" s="1"/>
  <c r="H58" i="61" s="1"/>
  <c r="I81" i="62"/>
  <c r="I15" i="62" s="1"/>
  <c r="H55" i="61" s="1"/>
  <c r="I57" i="46"/>
  <c r="I70" i="46" s="1"/>
  <c r="G240" i="62"/>
  <c r="G127" i="62"/>
  <c r="G230" i="62" s="1"/>
  <c r="I247" i="62"/>
  <c r="I8" i="34"/>
  <c r="I55" i="34" s="1"/>
  <c r="J10" i="62"/>
  <c r="G262" i="62"/>
  <c r="G89" i="62"/>
  <c r="G16" i="62" s="1"/>
  <c r="G247" i="62"/>
  <c r="G274" i="62"/>
  <c r="G383" i="62"/>
  <c r="G286" i="62"/>
  <c r="F72" i="18"/>
  <c r="F71" i="18"/>
  <c r="F70" i="18"/>
  <c r="F76" i="18"/>
  <c r="F77" i="18" s="1"/>
  <c r="I8" i="46"/>
  <c r="I8" i="18"/>
  <c r="I8" i="47"/>
  <c r="G7" i="63"/>
  <c r="J74" i="46" s="1"/>
  <c r="H394" i="62" l="1"/>
  <c r="H33" i="62" s="1"/>
  <c r="G17" i="34"/>
  <c r="J206" i="62"/>
  <c r="J85" i="62"/>
  <c r="J244" i="62" s="1"/>
  <c r="J235" i="62"/>
  <c r="J86" i="62"/>
  <c r="J245" i="62" s="1"/>
  <c r="G12" i="34"/>
  <c r="J46" i="62"/>
  <c r="J134" i="62"/>
  <c r="J288" i="62" s="1"/>
  <c r="H25" i="62"/>
  <c r="H412" i="62"/>
  <c r="G94" i="61"/>
  <c r="G92" i="61"/>
  <c r="G93" i="61"/>
  <c r="I383" i="62"/>
  <c r="H389" i="62"/>
  <c r="H397" i="62" s="1"/>
  <c r="I37" i="18"/>
  <c r="F20" i="63"/>
  <c r="I65" i="46"/>
  <c r="I68" i="46" s="1"/>
  <c r="I71" i="46" s="1"/>
  <c r="G21" i="62"/>
  <c r="F56" i="61"/>
  <c r="F61" i="61" s="1"/>
  <c r="H406" i="62"/>
  <c r="H443" i="62"/>
  <c r="G34" i="34"/>
  <c r="G67" i="18"/>
  <c r="G23" i="34"/>
  <c r="H60" i="61"/>
  <c r="H82" i="61" s="1"/>
  <c r="I274" i="62"/>
  <c r="I262" i="62"/>
  <c r="I240" i="62"/>
  <c r="I89" i="62"/>
  <c r="I16" i="62" s="1"/>
  <c r="I127" i="62"/>
  <c r="I230" i="62" s="1"/>
  <c r="F79" i="18"/>
  <c r="J243" i="62"/>
  <c r="J87" i="62"/>
  <c r="J246" i="62" s="1"/>
  <c r="J236" i="62"/>
  <c r="J237" i="62"/>
  <c r="J78" i="62"/>
  <c r="J238" i="62" s="1"/>
  <c r="J79" i="62"/>
  <c r="J239" i="62" s="1"/>
  <c r="J116" i="62"/>
  <c r="J277" i="62" s="1"/>
  <c r="J104" i="62"/>
  <c r="J265" i="62" s="1"/>
  <c r="J105" i="62"/>
  <c r="J266" i="62" s="1"/>
  <c r="J267" i="62"/>
  <c r="J107" i="62"/>
  <c r="J268" i="62" s="1"/>
  <c r="J108" i="62"/>
  <c r="J269" i="62" s="1"/>
  <c r="J109" i="62"/>
  <c r="J270" i="62" s="1"/>
  <c r="J110" i="62"/>
  <c r="J271" i="62" s="1"/>
  <c r="J111" i="62"/>
  <c r="J272" i="62" s="1"/>
  <c r="J112" i="62"/>
  <c r="J273" i="62" s="1"/>
  <c r="J118" i="62"/>
  <c r="J279" i="62" s="1"/>
  <c r="J120" i="62"/>
  <c r="J281" i="62" s="1"/>
  <c r="J144" i="62"/>
  <c r="J298" i="62" s="1"/>
  <c r="J145" i="62"/>
  <c r="J299" i="62" s="1"/>
  <c r="J146" i="62"/>
  <c r="J300" i="62" s="1"/>
  <c r="J147" i="62"/>
  <c r="J301" i="62" s="1"/>
  <c r="J148" i="62"/>
  <c r="J302" i="62" s="1"/>
  <c r="J92" i="62"/>
  <c r="J253" i="62" s="1"/>
  <c r="J254" i="62"/>
  <c r="J255" i="62"/>
  <c r="J256" i="62"/>
  <c r="J96" i="62"/>
  <c r="J257" i="62" s="1"/>
  <c r="J97" i="62"/>
  <c r="J258" i="62" s="1"/>
  <c r="J98" i="62"/>
  <c r="J259" i="62" s="1"/>
  <c r="J99" i="62"/>
  <c r="J260" i="62" s="1"/>
  <c r="J100" i="62"/>
  <c r="J261" i="62" s="1"/>
  <c r="J122" i="62"/>
  <c r="J283" i="62" s="1"/>
  <c r="J123" i="62"/>
  <c r="J284" i="62" s="1"/>
  <c r="J124" i="62"/>
  <c r="J285" i="62" s="1"/>
  <c r="J119" i="62"/>
  <c r="J280" i="62" s="1"/>
  <c r="J135" i="62"/>
  <c r="J289" i="62" s="1"/>
  <c r="J136" i="62"/>
  <c r="J290" i="62" s="1"/>
  <c r="J156" i="62"/>
  <c r="J310" i="62" s="1"/>
  <c r="J162" i="62"/>
  <c r="J316" i="62" s="1"/>
  <c r="J163" i="62"/>
  <c r="J317" i="62" s="1"/>
  <c r="J164" i="62"/>
  <c r="J318" i="62" s="1"/>
  <c r="J165" i="62"/>
  <c r="J319" i="62" s="1"/>
  <c r="J166" i="62"/>
  <c r="J320" i="62" s="1"/>
  <c r="J187" i="62"/>
  <c r="J341" i="62" s="1"/>
  <c r="J188" i="62"/>
  <c r="J342" i="62" s="1"/>
  <c r="J189" i="62"/>
  <c r="J343" i="62" s="1"/>
  <c r="J190" i="62"/>
  <c r="J344" i="62" s="1"/>
  <c r="J191" i="62"/>
  <c r="J345" i="62" s="1"/>
  <c r="J365" i="62"/>
  <c r="J366" i="62"/>
  <c r="J213" i="62"/>
  <c r="J367" i="62" s="1"/>
  <c r="J368" i="62"/>
  <c r="J215" i="62"/>
  <c r="J369" i="62" s="1"/>
  <c r="J278" i="62"/>
  <c r="J138" i="62"/>
  <c r="J292" i="62" s="1"/>
  <c r="J139" i="62"/>
  <c r="J293" i="62" s="1"/>
  <c r="J140" i="62"/>
  <c r="J294" i="62" s="1"/>
  <c r="J141" i="62"/>
  <c r="J295" i="62" s="1"/>
  <c r="J142" i="62"/>
  <c r="J296" i="62" s="1"/>
  <c r="J150" i="62"/>
  <c r="J304" i="62" s="1"/>
  <c r="J152" i="62"/>
  <c r="J306" i="62" s="1"/>
  <c r="J154" i="62"/>
  <c r="J308" i="62" s="1"/>
  <c r="J168" i="62"/>
  <c r="J322" i="62" s="1"/>
  <c r="J169" i="62"/>
  <c r="J323" i="62" s="1"/>
  <c r="J170" i="62"/>
  <c r="J324" i="62" s="1"/>
  <c r="J171" i="62"/>
  <c r="J325" i="62" s="1"/>
  <c r="J172" i="62"/>
  <c r="J326" i="62" s="1"/>
  <c r="J193" i="62"/>
  <c r="J347" i="62" s="1"/>
  <c r="J194" i="62"/>
  <c r="J348" i="62" s="1"/>
  <c r="J195" i="62"/>
  <c r="J349" i="62" s="1"/>
  <c r="J196" i="62"/>
  <c r="J350" i="62" s="1"/>
  <c r="J351" i="62"/>
  <c r="J153" i="62"/>
  <c r="J307" i="62" s="1"/>
  <c r="J157" i="62"/>
  <c r="J311" i="62" s="1"/>
  <c r="J158" i="62"/>
  <c r="J312" i="62" s="1"/>
  <c r="J159" i="62"/>
  <c r="J313" i="62" s="1"/>
  <c r="J160" i="62"/>
  <c r="J314" i="62" s="1"/>
  <c r="J199" i="62"/>
  <c r="J353" i="62" s="1"/>
  <c r="J201" i="62"/>
  <c r="J355" i="62" s="1"/>
  <c r="J357" i="62"/>
  <c r="J218" i="62"/>
  <c r="J372" i="62" s="1"/>
  <c r="J220" i="62"/>
  <c r="J374" i="62" s="1"/>
  <c r="J151" i="62"/>
  <c r="J305" i="62" s="1"/>
  <c r="J174" i="62"/>
  <c r="J328" i="62" s="1"/>
  <c r="J175" i="62"/>
  <c r="J329" i="62" s="1"/>
  <c r="J176" i="62"/>
  <c r="J330" i="62" s="1"/>
  <c r="J177" i="62"/>
  <c r="J331" i="62" s="1"/>
  <c r="J178" i="62"/>
  <c r="J332" i="62" s="1"/>
  <c r="J360" i="62"/>
  <c r="J208" i="62"/>
  <c r="J362" i="62" s="1"/>
  <c r="J223" i="62"/>
  <c r="J377" i="62" s="1"/>
  <c r="J225" i="62"/>
  <c r="J379" i="62" s="1"/>
  <c r="J227" i="62"/>
  <c r="J381" i="62" s="1"/>
  <c r="J182" i="62"/>
  <c r="J336" i="62" s="1"/>
  <c r="J202" i="62"/>
  <c r="J356" i="62" s="1"/>
  <c r="J207" i="62"/>
  <c r="J361" i="62" s="1"/>
  <c r="J221" i="62"/>
  <c r="J375" i="62" s="1"/>
  <c r="J226" i="62"/>
  <c r="J380" i="62" s="1"/>
  <c r="J181" i="62"/>
  <c r="J335" i="62" s="1"/>
  <c r="J185" i="62"/>
  <c r="J339" i="62" s="1"/>
  <c r="J200" i="62"/>
  <c r="J354" i="62" s="1"/>
  <c r="J205" i="62"/>
  <c r="J359" i="62" s="1"/>
  <c r="J219" i="62"/>
  <c r="J373" i="62" s="1"/>
  <c r="J224" i="62"/>
  <c r="J378" i="62" s="1"/>
  <c r="J121" i="62"/>
  <c r="J282" i="62" s="1"/>
  <c r="J180" i="62"/>
  <c r="J334" i="62" s="1"/>
  <c r="J184" i="62"/>
  <c r="J338" i="62" s="1"/>
  <c r="J209" i="62"/>
  <c r="J363" i="62" s="1"/>
  <c r="J217" i="62"/>
  <c r="J371" i="62" s="1"/>
  <c r="J183" i="62"/>
  <c r="J337" i="62" s="1"/>
  <c r="G249" i="62"/>
  <c r="G387" i="62" s="1"/>
  <c r="J7" i="46"/>
  <c r="J56" i="46" s="1"/>
  <c r="K9" i="62"/>
  <c r="K45" i="62" s="1"/>
  <c r="G128" i="62"/>
  <c r="G8" i="63"/>
  <c r="J75" i="46" s="1"/>
  <c r="J7" i="34"/>
  <c r="J54" i="34" s="1"/>
  <c r="G394" i="62" l="1"/>
  <c r="G33" i="62" s="1"/>
  <c r="G95" i="61"/>
  <c r="C58" i="62"/>
  <c r="H409" i="62" s="1"/>
  <c r="Q128" i="38"/>
  <c r="M128" i="38"/>
  <c r="I128" i="38"/>
  <c r="J128" i="38"/>
  <c r="P128" i="38"/>
  <c r="L128" i="38"/>
  <c r="H128" i="38"/>
  <c r="O128" i="38"/>
  <c r="K128" i="38"/>
  <c r="G128" i="38"/>
  <c r="N128" i="38"/>
  <c r="F128" i="38"/>
  <c r="J286" i="62"/>
  <c r="I249" i="62"/>
  <c r="G25" i="62"/>
  <c r="H95" i="61"/>
  <c r="G389" i="62"/>
  <c r="G403" i="62" s="1"/>
  <c r="G412" i="62"/>
  <c r="I79" i="46"/>
  <c r="G33" i="34"/>
  <c r="J18" i="34"/>
  <c r="H403" i="62"/>
  <c r="H30" i="62"/>
  <c r="G22" i="34"/>
  <c r="I21" i="62"/>
  <c r="H56" i="61"/>
  <c r="H61" i="61" s="1"/>
  <c r="J57" i="46"/>
  <c r="J65" i="46" s="1"/>
  <c r="J68" i="46" s="1"/>
  <c r="G406" i="62"/>
  <c r="G443" i="62"/>
  <c r="F67" i="18"/>
  <c r="H400" i="62"/>
  <c r="I128" i="62"/>
  <c r="J229" i="62"/>
  <c r="J20" i="62" s="1"/>
  <c r="J125" i="62"/>
  <c r="J19" i="62" s="1"/>
  <c r="I59" i="61" s="1"/>
  <c r="J81" i="62"/>
  <c r="J15" i="62" s="1"/>
  <c r="I55" i="61" s="1"/>
  <c r="J8" i="47"/>
  <c r="K10" i="62"/>
  <c r="J101" i="62"/>
  <c r="J17" i="62" s="1"/>
  <c r="I57" i="61" s="1"/>
  <c r="J113" i="62"/>
  <c r="J18" i="62" s="1"/>
  <c r="I58" i="61" s="1"/>
  <c r="J8" i="34"/>
  <c r="J55" i="34" s="1"/>
  <c r="H7" i="63"/>
  <c r="K74" i="46" s="1"/>
  <c r="J8" i="46"/>
  <c r="J8" i="18"/>
  <c r="J70" i="46"/>
  <c r="G20" i="63" s="1"/>
  <c r="E23" i="38"/>
  <c r="D23" i="38" s="1"/>
  <c r="I394" i="62" l="1"/>
  <c r="H17" i="34"/>
  <c r="K18" i="34" s="1"/>
  <c r="G409" i="62"/>
  <c r="I387" i="62"/>
  <c r="I389" i="62" s="1"/>
  <c r="K235" i="62"/>
  <c r="K86" i="62"/>
  <c r="K245" i="62" s="1"/>
  <c r="H12" i="34"/>
  <c r="K46" i="62"/>
  <c r="K134" i="62"/>
  <c r="K288" i="62" s="1"/>
  <c r="G30" i="62"/>
  <c r="I95" i="61"/>
  <c r="I25" i="62"/>
  <c r="G400" i="62"/>
  <c r="G34" i="62" s="1"/>
  <c r="H94" i="61"/>
  <c r="H92" i="61"/>
  <c r="H93" i="61"/>
  <c r="G397" i="62"/>
  <c r="H414" i="62"/>
  <c r="H445" i="62" s="1"/>
  <c r="H67" i="18"/>
  <c r="I412" i="62"/>
  <c r="J79" i="46"/>
  <c r="H34" i="34"/>
  <c r="I33" i="62"/>
  <c r="H34" i="62"/>
  <c r="I406" i="62"/>
  <c r="H33" i="34"/>
  <c r="I409" i="62"/>
  <c r="H23" i="34"/>
  <c r="H22" i="34"/>
  <c r="I443" i="62"/>
  <c r="I60" i="61"/>
  <c r="I82" i="61" s="1"/>
  <c r="J274" i="62"/>
  <c r="J262" i="62"/>
  <c r="K7" i="46"/>
  <c r="K57" i="46" s="1"/>
  <c r="L9" i="62"/>
  <c r="L45" i="62" s="1"/>
  <c r="J127" i="62"/>
  <c r="J230" i="62" s="1"/>
  <c r="J89" i="62"/>
  <c r="J16" i="62" s="1"/>
  <c r="J247" i="62"/>
  <c r="J240" i="62"/>
  <c r="K92" i="62"/>
  <c r="K253" i="62" s="1"/>
  <c r="K254" i="62"/>
  <c r="K255" i="62"/>
  <c r="K256" i="62"/>
  <c r="K96" i="62"/>
  <c r="K257" i="62" s="1"/>
  <c r="K97" i="62"/>
  <c r="K258" i="62" s="1"/>
  <c r="K98" i="62"/>
  <c r="K259" i="62" s="1"/>
  <c r="K99" i="62"/>
  <c r="K260" i="62" s="1"/>
  <c r="K100" i="62"/>
  <c r="K261" i="62" s="1"/>
  <c r="K243" i="62"/>
  <c r="K85" i="62"/>
  <c r="K244" i="62" s="1"/>
  <c r="K87" i="62"/>
  <c r="K246" i="62" s="1"/>
  <c r="K236" i="62"/>
  <c r="K138" i="62"/>
  <c r="K292" i="62" s="1"/>
  <c r="K139" i="62"/>
  <c r="K293" i="62" s="1"/>
  <c r="K140" i="62"/>
  <c r="K294" i="62" s="1"/>
  <c r="K141" i="62"/>
  <c r="K295" i="62" s="1"/>
  <c r="K142" i="62"/>
  <c r="K296" i="62" s="1"/>
  <c r="K79" i="62"/>
  <c r="K239" i="62" s="1"/>
  <c r="K104" i="62"/>
  <c r="K265" i="62" s="1"/>
  <c r="K105" i="62"/>
  <c r="K266" i="62" s="1"/>
  <c r="K267" i="62"/>
  <c r="K107" i="62"/>
  <c r="K268" i="62" s="1"/>
  <c r="K108" i="62"/>
  <c r="K269" i="62" s="1"/>
  <c r="K109" i="62"/>
  <c r="K270" i="62" s="1"/>
  <c r="K110" i="62"/>
  <c r="K271" i="62" s="1"/>
  <c r="K111" i="62"/>
  <c r="K272" i="62" s="1"/>
  <c r="K112" i="62"/>
  <c r="K273" i="62" s="1"/>
  <c r="K116" i="62"/>
  <c r="K277" i="62" s="1"/>
  <c r="K118" i="62"/>
  <c r="K279" i="62" s="1"/>
  <c r="K120" i="62"/>
  <c r="K281" i="62" s="1"/>
  <c r="K144" i="62"/>
  <c r="K298" i="62" s="1"/>
  <c r="K145" i="62"/>
  <c r="K299" i="62" s="1"/>
  <c r="K146" i="62"/>
  <c r="K300" i="62" s="1"/>
  <c r="K121" i="62"/>
  <c r="K282" i="62" s="1"/>
  <c r="K122" i="62"/>
  <c r="K283" i="62" s="1"/>
  <c r="K151" i="62"/>
  <c r="K305" i="62" s="1"/>
  <c r="K153" i="62"/>
  <c r="K307" i="62" s="1"/>
  <c r="K157" i="62"/>
  <c r="K311" i="62" s="1"/>
  <c r="K158" i="62"/>
  <c r="K312" i="62" s="1"/>
  <c r="K159" i="62"/>
  <c r="K313" i="62" s="1"/>
  <c r="K160" i="62"/>
  <c r="K314" i="62" s="1"/>
  <c r="K180" i="62"/>
  <c r="K334" i="62" s="1"/>
  <c r="K181" i="62"/>
  <c r="K335" i="62" s="1"/>
  <c r="K182" i="62"/>
  <c r="K336" i="62" s="1"/>
  <c r="K183" i="62"/>
  <c r="K337" i="62" s="1"/>
  <c r="K184" i="62"/>
  <c r="K338" i="62" s="1"/>
  <c r="K185" i="62"/>
  <c r="K339" i="62" s="1"/>
  <c r="K205" i="62"/>
  <c r="K359" i="62" s="1"/>
  <c r="K206" i="62"/>
  <c r="K360" i="62" s="1"/>
  <c r="K207" i="62"/>
  <c r="K361" i="62" s="1"/>
  <c r="K208" i="62"/>
  <c r="K362" i="62" s="1"/>
  <c r="K209" i="62"/>
  <c r="K363" i="62" s="1"/>
  <c r="K78" i="62"/>
  <c r="K238" i="62" s="1"/>
  <c r="K119" i="62"/>
  <c r="K280" i="62" s="1"/>
  <c r="K123" i="62"/>
  <c r="K284" i="62" s="1"/>
  <c r="K135" i="62"/>
  <c r="K289" i="62" s="1"/>
  <c r="K136" i="62"/>
  <c r="K290" i="62" s="1"/>
  <c r="K156" i="62"/>
  <c r="K310" i="62" s="1"/>
  <c r="K162" i="62"/>
  <c r="K316" i="62" s="1"/>
  <c r="K163" i="62"/>
  <c r="K317" i="62" s="1"/>
  <c r="K164" i="62"/>
  <c r="K318" i="62" s="1"/>
  <c r="K165" i="62"/>
  <c r="K319" i="62" s="1"/>
  <c r="K166" i="62"/>
  <c r="K320" i="62" s="1"/>
  <c r="K187" i="62"/>
  <c r="K341" i="62" s="1"/>
  <c r="K188" i="62"/>
  <c r="K342" i="62" s="1"/>
  <c r="K189" i="62"/>
  <c r="K343" i="62" s="1"/>
  <c r="K190" i="62"/>
  <c r="K344" i="62" s="1"/>
  <c r="K191" i="62"/>
  <c r="K345" i="62" s="1"/>
  <c r="K148" i="62"/>
  <c r="K302" i="62" s="1"/>
  <c r="K152" i="62"/>
  <c r="K306" i="62" s="1"/>
  <c r="K168" i="62"/>
  <c r="K322" i="62" s="1"/>
  <c r="K172" i="62"/>
  <c r="K326" i="62" s="1"/>
  <c r="K195" i="62"/>
  <c r="K349" i="62" s="1"/>
  <c r="K214" i="62"/>
  <c r="K368" i="62" s="1"/>
  <c r="K224" i="62"/>
  <c r="K378" i="62" s="1"/>
  <c r="K226" i="62"/>
  <c r="K380" i="62" s="1"/>
  <c r="K147" i="62"/>
  <c r="K301" i="62" s="1"/>
  <c r="K150" i="62"/>
  <c r="K304" i="62" s="1"/>
  <c r="K169" i="62"/>
  <c r="K323" i="62" s="1"/>
  <c r="K196" i="62"/>
  <c r="K350" i="62" s="1"/>
  <c r="K199" i="62"/>
  <c r="K353" i="62" s="1"/>
  <c r="K201" i="62"/>
  <c r="K355" i="62" s="1"/>
  <c r="K357" i="62"/>
  <c r="K213" i="62"/>
  <c r="K367" i="62" s="1"/>
  <c r="K218" i="62"/>
  <c r="K372" i="62" s="1"/>
  <c r="K220" i="62"/>
  <c r="K374" i="62" s="1"/>
  <c r="K237" i="62"/>
  <c r="K225" i="62"/>
  <c r="K379" i="62" s="1"/>
  <c r="K278" i="62"/>
  <c r="K154" i="62"/>
  <c r="K308" i="62" s="1"/>
  <c r="K170" i="62"/>
  <c r="K324" i="62" s="1"/>
  <c r="K171" i="62"/>
  <c r="K325" i="62" s="1"/>
  <c r="K175" i="62"/>
  <c r="K329" i="62" s="1"/>
  <c r="K177" i="62"/>
  <c r="K331" i="62" s="1"/>
  <c r="K193" i="62"/>
  <c r="K347" i="62" s="1"/>
  <c r="K194" i="62"/>
  <c r="K348" i="62" s="1"/>
  <c r="K351" i="62"/>
  <c r="K202" i="62"/>
  <c r="K356" i="62" s="1"/>
  <c r="K221" i="62"/>
  <c r="K375" i="62" s="1"/>
  <c r="K223" i="62"/>
  <c r="K377" i="62" s="1"/>
  <c r="K124" i="62"/>
  <c r="K285" i="62" s="1"/>
  <c r="K365" i="62"/>
  <c r="K215" i="62"/>
  <c r="K369" i="62" s="1"/>
  <c r="K217" i="62"/>
  <c r="K371" i="62" s="1"/>
  <c r="K176" i="62"/>
  <c r="K330" i="62" s="1"/>
  <c r="K200" i="62"/>
  <c r="K354" i="62" s="1"/>
  <c r="K174" i="62"/>
  <c r="K328" i="62" s="1"/>
  <c r="K178" i="62"/>
  <c r="K332" i="62" s="1"/>
  <c r="K366" i="62"/>
  <c r="K219" i="62"/>
  <c r="K373" i="62" s="1"/>
  <c r="K227" i="62"/>
  <c r="K381" i="62" s="1"/>
  <c r="J383" i="62"/>
  <c r="J37" i="18"/>
  <c r="J71" i="46"/>
  <c r="K7" i="34"/>
  <c r="K54" i="34" s="1"/>
  <c r="H8" i="63"/>
  <c r="K75" i="46" s="1"/>
  <c r="K70" i="46"/>
  <c r="H20" i="63" s="1"/>
  <c r="I400" i="62" l="1"/>
  <c r="I34" i="62" s="1"/>
  <c r="I403" i="62"/>
  <c r="I30" i="62"/>
  <c r="I397" i="62"/>
  <c r="K286" i="62"/>
  <c r="G414" i="62"/>
  <c r="P129" i="38"/>
  <c r="L129" i="38"/>
  <c r="H129" i="38"/>
  <c r="O129" i="38"/>
  <c r="K129" i="38"/>
  <c r="G129" i="38"/>
  <c r="M129" i="38"/>
  <c r="N129" i="38"/>
  <c r="J129" i="38"/>
  <c r="F129" i="38"/>
  <c r="Q129" i="38"/>
  <c r="I129" i="38"/>
  <c r="K79" i="46"/>
  <c r="H415" i="62"/>
  <c r="H32" i="62"/>
  <c r="H35" i="62"/>
  <c r="J21" i="62"/>
  <c r="I56" i="61"/>
  <c r="I61" i="61" s="1"/>
  <c r="K56" i="46"/>
  <c r="K65" i="46" s="1"/>
  <c r="K68" i="46" s="1"/>
  <c r="K71" i="46" s="1"/>
  <c r="I8" i="63"/>
  <c r="L75" i="46" s="1"/>
  <c r="L10" i="62"/>
  <c r="K101" i="62"/>
  <c r="K17" i="62" s="1"/>
  <c r="J57" i="61" s="1"/>
  <c r="J249" i="62"/>
  <c r="K113" i="62"/>
  <c r="K18" i="62" s="1"/>
  <c r="J58" i="61" s="1"/>
  <c r="J128" i="62"/>
  <c r="K81" i="62"/>
  <c r="K15" i="62" s="1"/>
  <c r="J55" i="61" s="1"/>
  <c r="K229" i="62"/>
  <c r="K20" i="62" s="1"/>
  <c r="K125" i="62"/>
  <c r="K19" i="62" s="1"/>
  <c r="J59" i="61" s="1"/>
  <c r="K8" i="34"/>
  <c r="K55" i="34" s="1"/>
  <c r="K37" i="18"/>
  <c r="K8" i="47"/>
  <c r="K8" i="18"/>
  <c r="K8" i="46"/>
  <c r="J385" i="62" l="1"/>
  <c r="J387" i="62" s="1"/>
  <c r="J389" i="62" s="1"/>
  <c r="J30" i="62" s="1"/>
  <c r="I17" i="34"/>
  <c r="G445" i="62"/>
  <c r="C35" i="38"/>
  <c r="J394" i="62"/>
  <c r="J33" i="62" s="1"/>
  <c r="I414" i="62"/>
  <c r="I445" i="62" s="1"/>
  <c r="G32" i="62"/>
  <c r="G35" i="62"/>
  <c r="G415" i="62"/>
  <c r="L235" i="62"/>
  <c r="L86" i="62"/>
  <c r="L245" i="62" s="1"/>
  <c r="I12" i="34"/>
  <c r="L46" i="62"/>
  <c r="L134" i="62"/>
  <c r="L288" i="62" s="1"/>
  <c r="J95" i="61"/>
  <c r="I93" i="61"/>
  <c r="I94" i="61"/>
  <c r="I92" i="61"/>
  <c r="J412" i="62"/>
  <c r="L7" i="18"/>
  <c r="I7" i="63"/>
  <c r="L74" i="46" s="1"/>
  <c r="G36" i="18"/>
  <c r="H37" i="62"/>
  <c r="I23" i="34"/>
  <c r="I33" i="34"/>
  <c r="I22" i="34"/>
  <c r="J443" i="62"/>
  <c r="L18" i="34"/>
  <c r="J409" i="62"/>
  <c r="I67" i="18"/>
  <c r="I34" i="34"/>
  <c r="J406" i="62"/>
  <c r="J60" i="61"/>
  <c r="J82" i="61" s="1"/>
  <c r="L7" i="34"/>
  <c r="L54" i="34" s="1"/>
  <c r="M10" i="62"/>
  <c r="K262" i="62"/>
  <c r="K274" i="62"/>
  <c r="K127" i="62"/>
  <c r="K230" i="62" s="1"/>
  <c r="K383" i="62"/>
  <c r="L236" i="62"/>
  <c r="L237" i="62"/>
  <c r="L78" i="62"/>
  <c r="L238" i="62" s="1"/>
  <c r="L79" i="62"/>
  <c r="L239" i="62" s="1"/>
  <c r="L104" i="62"/>
  <c r="L265" i="62" s="1"/>
  <c r="L105" i="62"/>
  <c r="L266" i="62" s="1"/>
  <c r="L267" i="62"/>
  <c r="L107" i="62"/>
  <c r="L268" i="62" s="1"/>
  <c r="L108" i="62"/>
  <c r="L269" i="62" s="1"/>
  <c r="L109" i="62"/>
  <c r="L270" i="62" s="1"/>
  <c r="L110" i="62"/>
  <c r="L271" i="62" s="1"/>
  <c r="L111" i="62"/>
  <c r="L272" i="62" s="1"/>
  <c r="L112" i="62"/>
  <c r="L273" i="62" s="1"/>
  <c r="L92" i="62"/>
  <c r="L253" i="62" s="1"/>
  <c r="L254" i="62"/>
  <c r="L255" i="62"/>
  <c r="L256" i="62"/>
  <c r="L257" i="62"/>
  <c r="L97" i="62"/>
  <c r="L258" i="62" s="1"/>
  <c r="L98" i="62"/>
  <c r="L259" i="62" s="1"/>
  <c r="L99" i="62"/>
  <c r="L260" i="62" s="1"/>
  <c r="L100" i="62"/>
  <c r="L261" i="62" s="1"/>
  <c r="L85" i="62"/>
  <c r="L244" i="62" s="1"/>
  <c r="L278" i="62"/>
  <c r="L119" i="62"/>
  <c r="L280" i="62" s="1"/>
  <c r="L121" i="62"/>
  <c r="L282" i="62" s="1"/>
  <c r="L135" i="62"/>
  <c r="L289" i="62" s="1"/>
  <c r="L136" i="62"/>
  <c r="L290" i="62" s="1"/>
  <c r="L156" i="62"/>
  <c r="L310" i="62" s="1"/>
  <c r="L243" i="62"/>
  <c r="L87" i="62"/>
  <c r="L246" i="62" s="1"/>
  <c r="L138" i="62"/>
  <c r="L292" i="62" s="1"/>
  <c r="L139" i="62"/>
  <c r="L293" i="62" s="1"/>
  <c r="L140" i="62"/>
  <c r="L294" i="62" s="1"/>
  <c r="L141" i="62"/>
  <c r="L295" i="62" s="1"/>
  <c r="L142" i="62"/>
  <c r="L296" i="62" s="1"/>
  <c r="L145" i="62"/>
  <c r="L299" i="62" s="1"/>
  <c r="L147" i="62"/>
  <c r="L301" i="62" s="1"/>
  <c r="L174" i="62"/>
  <c r="L328" i="62" s="1"/>
  <c r="L175" i="62"/>
  <c r="L329" i="62" s="1"/>
  <c r="L176" i="62"/>
  <c r="L330" i="62" s="1"/>
  <c r="L177" i="62"/>
  <c r="L331" i="62" s="1"/>
  <c r="L178" i="62"/>
  <c r="L332" i="62" s="1"/>
  <c r="L199" i="62"/>
  <c r="L353" i="62" s="1"/>
  <c r="L200" i="62"/>
  <c r="L354" i="62" s="1"/>
  <c r="L201" i="62"/>
  <c r="L355" i="62" s="1"/>
  <c r="L356" i="62"/>
  <c r="L357" i="62"/>
  <c r="L223" i="62"/>
  <c r="L377" i="62" s="1"/>
  <c r="L224" i="62"/>
  <c r="L378" i="62" s="1"/>
  <c r="L225" i="62"/>
  <c r="L379" i="62" s="1"/>
  <c r="L226" i="62"/>
  <c r="L380" i="62" s="1"/>
  <c r="L227" i="62"/>
  <c r="L381" i="62" s="1"/>
  <c r="L120" i="62"/>
  <c r="L281" i="62" s="1"/>
  <c r="L122" i="62"/>
  <c r="L283" i="62" s="1"/>
  <c r="L146" i="62"/>
  <c r="L300" i="62" s="1"/>
  <c r="L151" i="62"/>
  <c r="L305" i="62" s="1"/>
  <c r="L153" i="62"/>
  <c r="L307" i="62" s="1"/>
  <c r="L157" i="62"/>
  <c r="L311" i="62" s="1"/>
  <c r="L158" i="62"/>
  <c r="L312" i="62" s="1"/>
  <c r="L159" i="62"/>
  <c r="L313" i="62" s="1"/>
  <c r="L160" i="62"/>
  <c r="L314" i="62" s="1"/>
  <c r="L180" i="62"/>
  <c r="L334" i="62" s="1"/>
  <c r="L181" i="62"/>
  <c r="L335" i="62" s="1"/>
  <c r="L182" i="62"/>
  <c r="L336" i="62" s="1"/>
  <c r="L183" i="62"/>
  <c r="L337" i="62" s="1"/>
  <c r="L184" i="62"/>
  <c r="L338" i="62" s="1"/>
  <c r="L185" i="62"/>
  <c r="L339" i="62" s="1"/>
  <c r="L123" i="62"/>
  <c r="L284" i="62" s="1"/>
  <c r="L144" i="62"/>
  <c r="L298" i="62" s="1"/>
  <c r="L154" i="62"/>
  <c r="L308" i="62" s="1"/>
  <c r="L164" i="62"/>
  <c r="L318" i="62" s="1"/>
  <c r="L171" i="62"/>
  <c r="L325" i="62" s="1"/>
  <c r="L187" i="62"/>
  <c r="L341" i="62" s="1"/>
  <c r="L191" i="62"/>
  <c r="L345" i="62" s="1"/>
  <c r="L194" i="62"/>
  <c r="L348" i="62" s="1"/>
  <c r="L205" i="62"/>
  <c r="L359" i="62" s="1"/>
  <c r="L207" i="62"/>
  <c r="L361" i="62" s="1"/>
  <c r="L209" i="62"/>
  <c r="L363" i="62" s="1"/>
  <c r="L365" i="62"/>
  <c r="L215" i="62"/>
  <c r="L369" i="62" s="1"/>
  <c r="L217" i="62"/>
  <c r="L371" i="62" s="1"/>
  <c r="L219" i="62"/>
  <c r="L373" i="62" s="1"/>
  <c r="L221" i="62"/>
  <c r="L375" i="62" s="1"/>
  <c r="L116" i="62"/>
  <c r="L277" i="62" s="1"/>
  <c r="L118" i="62"/>
  <c r="L279" i="62" s="1"/>
  <c r="L148" i="62"/>
  <c r="L302" i="62" s="1"/>
  <c r="L152" i="62"/>
  <c r="L306" i="62" s="1"/>
  <c r="L165" i="62"/>
  <c r="L319" i="62" s="1"/>
  <c r="L168" i="62"/>
  <c r="L322" i="62" s="1"/>
  <c r="L172" i="62"/>
  <c r="L326" i="62" s="1"/>
  <c r="L188" i="62"/>
  <c r="L342" i="62" s="1"/>
  <c r="L195" i="62"/>
  <c r="L349" i="62" s="1"/>
  <c r="L214" i="62"/>
  <c r="L368" i="62" s="1"/>
  <c r="L124" i="62"/>
  <c r="L285" i="62" s="1"/>
  <c r="L360" i="62"/>
  <c r="L150" i="62"/>
  <c r="L304" i="62" s="1"/>
  <c r="L163" i="62"/>
  <c r="L317" i="62" s="1"/>
  <c r="L190" i="62"/>
  <c r="L344" i="62" s="1"/>
  <c r="L170" i="62"/>
  <c r="L324" i="62" s="1"/>
  <c r="L193" i="62"/>
  <c r="L347" i="62" s="1"/>
  <c r="L218" i="62"/>
  <c r="L372" i="62" s="1"/>
  <c r="L220" i="62"/>
  <c r="L374" i="62" s="1"/>
  <c r="L166" i="62"/>
  <c r="L320" i="62" s="1"/>
  <c r="L189" i="62"/>
  <c r="L343" i="62" s="1"/>
  <c r="L350" i="62"/>
  <c r="L162" i="62"/>
  <c r="L316" i="62" s="1"/>
  <c r="L351" i="62"/>
  <c r="L366" i="62"/>
  <c r="L169" i="62"/>
  <c r="L323" i="62" s="1"/>
  <c r="L362" i="62"/>
  <c r="L213" i="62"/>
  <c r="L367" i="62" s="1"/>
  <c r="K89" i="62"/>
  <c r="K16" i="62" s="1"/>
  <c r="K240" i="62"/>
  <c r="K247" i="62"/>
  <c r="L7" i="46"/>
  <c r="M9" i="62"/>
  <c r="M45" i="62" s="1"/>
  <c r="L70" i="46"/>
  <c r="L8" i="46"/>
  <c r="L8" i="47"/>
  <c r="L8" i="18"/>
  <c r="L8" i="34"/>
  <c r="L55" i="34" s="1"/>
  <c r="K10" i="46"/>
  <c r="G37" i="62" l="1"/>
  <c r="C12" i="63" s="1"/>
  <c r="C38" i="63" s="1"/>
  <c r="F127" i="38"/>
  <c r="F130" i="38"/>
  <c r="M127" i="38"/>
  <c r="M130" i="38"/>
  <c r="Q127" i="38"/>
  <c r="Q130" i="38"/>
  <c r="K127" i="38"/>
  <c r="K130" i="38"/>
  <c r="N127" i="38"/>
  <c r="N130" i="38"/>
  <c r="L127" i="38"/>
  <c r="L130" i="38"/>
  <c r="I127" i="38"/>
  <c r="I130" i="38"/>
  <c r="G127" i="38"/>
  <c r="G130" i="38"/>
  <c r="P127" i="38"/>
  <c r="P130" i="38"/>
  <c r="J127" i="38"/>
  <c r="J130" i="38"/>
  <c r="H127" i="38"/>
  <c r="H130" i="38"/>
  <c r="O127" i="38"/>
  <c r="O130" i="38"/>
  <c r="I415" i="62"/>
  <c r="I32" i="62"/>
  <c r="I35" i="62"/>
  <c r="L286" i="62"/>
  <c r="M86" i="62"/>
  <c r="M245" i="62" s="1"/>
  <c r="C245" i="62" s="1"/>
  <c r="M235" i="62"/>
  <c r="F118" i="18"/>
  <c r="E14" i="45"/>
  <c r="M193" i="62"/>
  <c r="M347" i="62" s="1"/>
  <c r="M134" i="62"/>
  <c r="M288" i="62" s="1"/>
  <c r="L17" i="13"/>
  <c r="K16" i="61" s="1"/>
  <c r="K32" i="61" s="1"/>
  <c r="L19" i="13"/>
  <c r="K75" i="18" s="1"/>
  <c r="J403" i="62"/>
  <c r="J397" i="62"/>
  <c r="J400" i="62"/>
  <c r="J34" i="62" s="1"/>
  <c r="D12" i="63"/>
  <c r="K137" i="61"/>
  <c r="H9" i="63"/>
  <c r="E70" i="46"/>
  <c r="I20" i="63"/>
  <c r="I21" i="63" s="1"/>
  <c r="H36" i="18"/>
  <c r="I37" i="62"/>
  <c r="E12" i="63" s="1"/>
  <c r="M243" i="62"/>
  <c r="M46" i="62"/>
  <c r="M207" i="62"/>
  <c r="M361" i="62" s="1"/>
  <c r="K21" i="62"/>
  <c r="J56" i="61"/>
  <c r="J61" i="61" s="1"/>
  <c r="M150" i="62"/>
  <c r="M304" i="62" s="1"/>
  <c r="M201" i="62"/>
  <c r="M355" i="62" s="1"/>
  <c r="M108" i="62"/>
  <c r="M269" i="62" s="1"/>
  <c r="M157" i="62"/>
  <c r="M311" i="62" s="1"/>
  <c r="M181" i="62"/>
  <c r="M335" i="62" s="1"/>
  <c r="M174" i="62"/>
  <c r="M328" i="62" s="1"/>
  <c r="M162" i="62"/>
  <c r="M316" i="62" s="1"/>
  <c r="M220" i="62"/>
  <c r="M374" i="62" s="1"/>
  <c r="M118" i="62"/>
  <c r="M279" i="62" s="1"/>
  <c r="M165" i="62"/>
  <c r="M319" i="62" s="1"/>
  <c r="M142" i="62"/>
  <c r="M296" i="62" s="1"/>
  <c r="M136" i="62"/>
  <c r="M290" i="62" s="1"/>
  <c r="M85" i="62"/>
  <c r="M244" i="62" s="1"/>
  <c r="M146" i="62"/>
  <c r="M300" i="62" s="1"/>
  <c r="M214" i="62"/>
  <c r="M368" i="62" s="1"/>
  <c r="M191" i="62"/>
  <c r="M345" i="62" s="1"/>
  <c r="M138" i="62"/>
  <c r="M292" i="62" s="1"/>
  <c r="M145" i="62"/>
  <c r="M299" i="62" s="1"/>
  <c r="M218" i="62"/>
  <c r="M372" i="62" s="1"/>
  <c r="M171" i="62"/>
  <c r="M325" i="62" s="1"/>
  <c r="M123" i="62"/>
  <c r="M284" i="62" s="1"/>
  <c r="M267" i="62"/>
  <c r="M116" i="62"/>
  <c r="M277" i="62" s="1"/>
  <c r="M185" i="62"/>
  <c r="M339" i="62" s="1"/>
  <c r="M257" i="62"/>
  <c r="M100" i="62"/>
  <c r="M261" i="62" s="1"/>
  <c r="M360" i="62"/>
  <c r="M362" i="62"/>
  <c r="M224" i="62"/>
  <c r="M378" i="62" s="1"/>
  <c r="M164" i="62"/>
  <c r="M318" i="62" s="1"/>
  <c r="M356" i="62"/>
  <c r="M178" i="62"/>
  <c r="M332" i="62" s="1"/>
  <c r="M97" i="62"/>
  <c r="M258" i="62" s="1"/>
  <c r="M351" i="62"/>
  <c r="M169" i="62"/>
  <c r="M323" i="62" s="1"/>
  <c r="M154" i="62"/>
  <c r="M308" i="62" s="1"/>
  <c r="M112" i="62"/>
  <c r="M273" i="62" s="1"/>
  <c r="M104" i="62"/>
  <c r="M265" i="62" s="1"/>
  <c r="M78" i="62"/>
  <c r="M238" i="62" s="1"/>
  <c r="M87" i="62"/>
  <c r="M246" i="62" s="1"/>
  <c r="M184" i="62"/>
  <c r="M338" i="62" s="1"/>
  <c r="M188" i="62"/>
  <c r="M342" i="62" s="1"/>
  <c r="M183" i="62"/>
  <c r="M337" i="62" s="1"/>
  <c r="M365" i="62"/>
  <c r="M159" i="62"/>
  <c r="M313" i="62" s="1"/>
  <c r="M190" i="62"/>
  <c r="M344" i="62" s="1"/>
  <c r="M176" i="62"/>
  <c r="M330" i="62" s="1"/>
  <c r="M254" i="62"/>
  <c r="M195" i="62"/>
  <c r="M349" i="62" s="1"/>
  <c r="M148" i="62"/>
  <c r="M302" i="62" s="1"/>
  <c r="M152" i="62"/>
  <c r="M306" i="62" s="1"/>
  <c r="M110" i="62"/>
  <c r="M271" i="62" s="1"/>
  <c r="M120" i="62"/>
  <c r="M281" i="62" s="1"/>
  <c r="M236" i="62"/>
  <c r="M180" i="62"/>
  <c r="M334" i="62" s="1"/>
  <c r="M255" i="62"/>
  <c r="M223" i="62"/>
  <c r="M377" i="62" s="1"/>
  <c r="M225" i="62"/>
  <c r="M379" i="62" s="1"/>
  <c r="M182" i="62"/>
  <c r="M336" i="62" s="1"/>
  <c r="M213" i="62"/>
  <c r="M367" i="62" s="1"/>
  <c r="M166" i="62"/>
  <c r="M320" i="62" s="1"/>
  <c r="M226" i="62"/>
  <c r="M380" i="62" s="1"/>
  <c r="M209" i="62"/>
  <c r="M363" i="62" s="1"/>
  <c r="M187" i="62"/>
  <c r="M341" i="62" s="1"/>
  <c r="M158" i="62"/>
  <c r="M312" i="62" s="1"/>
  <c r="M366" i="62"/>
  <c r="M163" i="62"/>
  <c r="M317" i="62" s="1"/>
  <c r="M98" i="62"/>
  <c r="M259" i="62" s="1"/>
  <c r="M175" i="62"/>
  <c r="M329" i="62" s="1"/>
  <c r="M99" i="62"/>
  <c r="M260" i="62" s="1"/>
  <c r="M221" i="62"/>
  <c r="M375" i="62" s="1"/>
  <c r="M217" i="62"/>
  <c r="M371" i="62" s="1"/>
  <c r="M194" i="62"/>
  <c r="M348" i="62" s="1"/>
  <c r="M170" i="62"/>
  <c r="M324" i="62" s="1"/>
  <c r="M144" i="62"/>
  <c r="M298" i="62" s="1"/>
  <c r="M151" i="62"/>
  <c r="M305" i="62" s="1"/>
  <c r="M122" i="62"/>
  <c r="M283" i="62" s="1"/>
  <c r="M109" i="62"/>
  <c r="M270" i="62" s="1"/>
  <c r="M105" i="62"/>
  <c r="M266" i="62" s="1"/>
  <c r="M119" i="62"/>
  <c r="M280" i="62" s="1"/>
  <c r="M79" i="62"/>
  <c r="M239" i="62" s="1"/>
  <c r="K76" i="61"/>
  <c r="K80" i="61"/>
  <c r="K90" i="61"/>
  <c r="K114" i="61"/>
  <c r="K73" i="61"/>
  <c r="K79" i="61"/>
  <c r="K113" i="61"/>
  <c r="K77" i="61"/>
  <c r="K81" i="61"/>
  <c r="K87" i="61"/>
  <c r="K91" i="61"/>
  <c r="K72" i="61"/>
  <c r="K71" i="61"/>
  <c r="L69" i="61"/>
  <c r="L84" i="61"/>
  <c r="M141" i="62"/>
  <c r="M295" i="62" s="1"/>
  <c r="M199" i="62"/>
  <c r="M353" i="62" s="1"/>
  <c r="M139" i="62"/>
  <c r="M293" i="62" s="1"/>
  <c r="M357" i="62"/>
  <c r="M227" i="62"/>
  <c r="M381" i="62" s="1"/>
  <c r="M189" i="62"/>
  <c r="M343" i="62" s="1"/>
  <c r="M92" i="62"/>
  <c r="M253" i="62" s="1"/>
  <c r="M215" i="62"/>
  <c r="M369" i="62" s="1"/>
  <c r="M205" i="62"/>
  <c r="M359" i="62" s="1"/>
  <c r="M160" i="62"/>
  <c r="M314" i="62" s="1"/>
  <c r="M156" i="62"/>
  <c r="M310" i="62" s="1"/>
  <c r="M200" i="62"/>
  <c r="M354" i="62" s="1"/>
  <c r="M140" i="62"/>
  <c r="M294" i="62" s="1"/>
  <c r="M177" i="62"/>
  <c r="M331" i="62" s="1"/>
  <c r="M147" i="62"/>
  <c r="M301" i="62" s="1"/>
  <c r="M256" i="62"/>
  <c r="M219" i="62"/>
  <c r="M373" i="62" s="1"/>
  <c r="M350" i="62"/>
  <c r="M172" i="62"/>
  <c r="M326" i="62" s="1"/>
  <c r="M168" i="62"/>
  <c r="M322" i="62" s="1"/>
  <c r="M135" i="62"/>
  <c r="M289" i="62" s="1"/>
  <c r="M153" i="62"/>
  <c r="M307" i="62" s="1"/>
  <c r="M124" i="62"/>
  <c r="M285" i="62" s="1"/>
  <c r="M111" i="62"/>
  <c r="M272" i="62" s="1"/>
  <c r="M107" i="62"/>
  <c r="M268" i="62" s="1"/>
  <c r="M121" i="62"/>
  <c r="M282" i="62" s="1"/>
  <c r="M278" i="62"/>
  <c r="M237" i="62"/>
  <c r="L57" i="46"/>
  <c r="L56" i="46"/>
  <c r="K249" i="62"/>
  <c r="L101" i="62"/>
  <c r="L17" i="62" s="1"/>
  <c r="K57" i="61" s="1"/>
  <c r="L113" i="62"/>
  <c r="L18" i="62" s="1"/>
  <c r="K58" i="61" s="1"/>
  <c r="L125" i="62"/>
  <c r="L19" i="62" s="1"/>
  <c r="K59" i="61" s="1"/>
  <c r="K128" i="62"/>
  <c r="L229" i="62"/>
  <c r="L20" i="62" s="1"/>
  <c r="L81" i="62"/>
  <c r="L15" i="62" s="1"/>
  <c r="K55" i="61" s="1"/>
  <c r="K9" i="46"/>
  <c r="L4" i="53"/>
  <c r="L37" i="18"/>
  <c r="L64" i="13"/>
  <c r="L22" i="18" s="1"/>
  <c r="L137" i="18" s="1"/>
  <c r="L37" i="13"/>
  <c r="K11" i="34"/>
  <c r="L19" i="34" s="1"/>
  <c r="C14" i="63" l="1"/>
  <c r="G39" i="62" s="1"/>
  <c r="K394" i="62"/>
  <c r="K385" i="62"/>
  <c r="J17" i="34"/>
  <c r="K387" i="62"/>
  <c r="K138" i="61"/>
  <c r="L420" i="62" s="1"/>
  <c r="M286" i="62"/>
  <c r="J12" i="34"/>
  <c r="D37" i="18"/>
  <c r="L156" i="18"/>
  <c r="H33" i="63"/>
  <c r="H31" i="63"/>
  <c r="H21" i="63"/>
  <c r="K80" i="46" s="1"/>
  <c r="K95" i="61"/>
  <c r="J414" i="62"/>
  <c r="J93" i="61"/>
  <c r="J94" i="61"/>
  <c r="J92" i="61"/>
  <c r="K389" i="62"/>
  <c r="K30" i="62" s="1"/>
  <c r="J34" i="34"/>
  <c r="K412" i="62"/>
  <c r="K142" i="61"/>
  <c r="L139" i="61"/>
  <c r="L144" i="61" s="1"/>
  <c r="L146" i="61" s="1"/>
  <c r="L28" i="62"/>
  <c r="K56" i="34"/>
  <c r="K76" i="46"/>
  <c r="F63" i="34"/>
  <c r="G41" i="62"/>
  <c r="F83" i="46"/>
  <c r="F51" i="61"/>
  <c r="L79" i="46"/>
  <c r="L80" i="46"/>
  <c r="B20" i="63"/>
  <c r="J22" i="34"/>
  <c r="J67" i="18"/>
  <c r="K33" i="62"/>
  <c r="K443" i="62"/>
  <c r="J33" i="34"/>
  <c r="J23" i="34"/>
  <c r="K409" i="62"/>
  <c r="K406" i="62"/>
  <c r="K60" i="61"/>
  <c r="K82" i="61" s="1"/>
  <c r="C323" i="62"/>
  <c r="C360" i="62"/>
  <c r="C325" i="62"/>
  <c r="C368" i="62"/>
  <c r="C289" i="62"/>
  <c r="C295" i="62"/>
  <c r="C294" i="62"/>
  <c r="C318" i="62"/>
  <c r="C380" i="62"/>
  <c r="C296" i="62"/>
  <c r="C260" i="62"/>
  <c r="C345" i="62"/>
  <c r="C334" i="62"/>
  <c r="C307" i="62"/>
  <c r="C350" i="62"/>
  <c r="C331" i="62"/>
  <c r="C314" i="62"/>
  <c r="C285" i="62"/>
  <c r="C253" i="62"/>
  <c r="C288" i="62"/>
  <c r="C301" i="62"/>
  <c r="K118" i="61"/>
  <c r="C237" i="62"/>
  <c r="C349" i="62"/>
  <c r="C284" i="62"/>
  <c r="M113" i="62"/>
  <c r="M18" i="62" s="1"/>
  <c r="L58" i="61" s="1"/>
  <c r="C254" i="62"/>
  <c r="M81" i="62"/>
  <c r="M15" i="62" s="1"/>
  <c r="L55" i="61" s="1"/>
  <c r="C324" i="62"/>
  <c r="C343" i="62"/>
  <c r="C353" i="62"/>
  <c r="M229" i="62"/>
  <c r="M20" i="62" s="1"/>
  <c r="L60" i="61" s="1"/>
  <c r="M125" i="62"/>
  <c r="M19" i="62" s="1"/>
  <c r="L59" i="61" s="1"/>
  <c r="M101" i="62"/>
  <c r="M17" i="62" s="1"/>
  <c r="L57" i="61" s="1"/>
  <c r="L65" i="46"/>
  <c r="L68" i="46" s="1"/>
  <c r="C268" i="62"/>
  <c r="L383" i="62"/>
  <c r="C359" i="62"/>
  <c r="C256" i="62"/>
  <c r="C356" i="62"/>
  <c r="C341" i="62"/>
  <c r="C332" i="62"/>
  <c r="C326" i="62"/>
  <c r="C330" i="62"/>
  <c r="C357" i="62"/>
  <c r="C335" i="62"/>
  <c r="C293" i="62"/>
  <c r="C366" i="62"/>
  <c r="C375" i="62"/>
  <c r="C267" i="62"/>
  <c r="C369" i="62"/>
  <c r="C273" i="62"/>
  <c r="C278" i="62"/>
  <c r="C311" i="62"/>
  <c r="C362" i="62"/>
  <c r="L89" i="62"/>
  <c r="L16" i="62" s="1"/>
  <c r="C255" i="62"/>
  <c r="C298" i="62"/>
  <c r="C279" i="62"/>
  <c r="C372" i="62"/>
  <c r="C258" i="62"/>
  <c r="C305" i="62"/>
  <c r="C277" i="62"/>
  <c r="C304" i="62"/>
  <c r="L274" i="62"/>
  <c r="C265" i="62"/>
  <c r="C269" i="62"/>
  <c r="C328" i="62"/>
  <c r="C308" i="62"/>
  <c r="C302" i="62"/>
  <c r="C316" i="62"/>
  <c r="C244" i="62"/>
  <c r="C270" i="62"/>
  <c r="L262" i="62"/>
  <c r="C257" i="62"/>
  <c r="C290" i="62"/>
  <c r="C348" i="62"/>
  <c r="C342" i="62"/>
  <c r="C351" i="62"/>
  <c r="C282" i="62"/>
  <c r="C336" i="62"/>
  <c r="C347" i="62"/>
  <c r="C246" i="62"/>
  <c r="C355" i="62"/>
  <c r="C361" i="62"/>
  <c r="C363" i="62"/>
  <c r="C344" i="62"/>
  <c r="M247" i="62"/>
  <c r="C261" i="62"/>
  <c r="C339" i="62"/>
  <c r="C354" i="62"/>
  <c r="L240" i="62"/>
  <c r="C235" i="62"/>
  <c r="C259" i="62"/>
  <c r="C322" i="62"/>
  <c r="C272" i="62"/>
  <c r="L247" i="62"/>
  <c r="C243" i="62"/>
  <c r="C337" i="62"/>
  <c r="C371" i="62"/>
  <c r="C317" i="62"/>
  <c r="C377" i="62"/>
  <c r="C236" i="62"/>
  <c r="C379" i="62"/>
  <c r="C373" i="62"/>
  <c r="C374" i="62"/>
  <c r="C238" i="62"/>
  <c r="C319" i="62"/>
  <c r="L127" i="62"/>
  <c r="L230" i="62" s="1"/>
  <c r="C280" i="62"/>
  <c r="C329" i="62"/>
  <c r="C306" i="62"/>
  <c r="C320" i="62"/>
  <c r="C381" i="62"/>
  <c r="L5" i="53"/>
  <c r="L6" i="53" s="1"/>
  <c r="M16" i="48"/>
  <c r="M32" i="48" s="1"/>
  <c r="I12" i="41"/>
  <c r="I28" i="41" s="1"/>
  <c r="C37" i="18"/>
  <c r="K140" i="61" l="1"/>
  <c r="L441" i="62"/>
  <c r="L23" i="62" s="1"/>
  <c r="L421" i="62"/>
  <c r="L439" i="62" s="1"/>
  <c r="K141" i="61"/>
  <c r="L82" i="61"/>
  <c r="K400" i="62"/>
  <c r="K34" i="62" s="1"/>
  <c r="K403" i="62"/>
  <c r="K397" i="62"/>
  <c r="I28" i="63"/>
  <c r="L42" i="18"/>
  <c r="L161" i="18" s="1"/>
  <c r="E79" i="46"/>
  <c r="M89" i="62"/>
  <c r="M16" i="62" s="1"/>
  <c r="L56" i="61" s="1"/>
  <c r="L61" i="61" s="1"/>
  <c r="J35" i="62"/>
  <c r="J32" i="62"/>
  <c r="L21" i="62"/>
  <c r="K56" i="61"/>
  <c r="K61" i="61" s="1"/>
  <c r="C283" i="62"/>
  <c r="C310" i="62"/>
  <c r="M274" i="62"/>
  <c r="C274" i="62" s="1"/>
  <c r="C300" i="62"/>
  <c r="M262" i="62"/>
  <c r="C271" i="62"/>
  <c r="C266" i="62"/>
  <c r="C299" i="62"/>
  <c r="C313" i="62"/>
  <c r="C378" i="62"/>
  <c r="C367" i="62"/>
  <c r="C365" i="62"/>
  <c r="C292" i="62"/>
  <c r="C312" i="62"/>
  <c r="C286" i="62"/>
  <c r="C281" i="62"/>
  <c r="M240" i="62"/>
  <c r="C338" i="62"/>
  <c r="M383" i="62"/>
  <c r="M127" i="62"/>
  <c r="M230" i="62" s="1"/>
  <c r="C239" i="62"/>
  <c r="E68" i="46"/>
  <c r="L71" i="46"/>
  <c r="J415" i="62"/>
  <c r="L249" i="62"/>
  <c r="L128" i="62"/>
  <c r="C247" i="62"/>
  <c r="K31" i="18"/>
  <c r="K30" i="18"/>
  <c r="K115" i="18" s="1"/>
  <c r="K28" i="18"/>
  <c r="K113" i="18" s="1"/>
  <c r="K24" i="18"/>
  <c r="K109" i="18" s="1"/>
  <c r="K23" i="18"/>
  <c r="K108" i="18" s="1"/>
  <c r="K7" i="18"/>
  <c r="K6" i="18"/>
  <c r="K12" i="18" s="1"/>
  <c r="J31" i="18"/>
  <c r="J30" i="18"/>
  <c r="J28" i="18"/>
  <c r="J113" i="18" s="1"/>
  <c r="J23" i="18"/>
  <c r="J108" i="18" s="1"/>
  <c r="J7" i="18"/>
  <c r="J6" i="18"/>
  <c r="J12" i="18" s="1"/>
  <c r="L32" i="34"/>
  <c r="K32" i="34"/>
  <c r="J10" i="46"/>
  <c r="L394" i="62" l="1"/>
  <c r="L385" i="62"/>
  <c r="K17" i="34"/>
  <c r="L387" i="62"/>
  <c r="K12" i="34"/>
  <c r="C262" i="62"/>
  <c r="M249" i="62"/>
  <c r="I34" i="63"/>
  <c r="I35" i="63" s="1"/>
  <c r="I29" i="63"/>
  <c r="K17" i="13"/>
  <c r="J16" i="61" s="1"/>
  <c r="J32" i="61" s="1"/>
  <c r="K19" i="13"/>
  <c r="J75" i="18" s="1"/>
  <c r="K414" i="62"/>
  <c r="L95" i="61"/>
  <c r="L25" i="62"/>
  <c r="K92" i="61"/>
  <c r="K93" i="61"/>
  <c r="K94" i="61"/>
  <c r="C383" i="62"/>
  <c r="L389" i="62"/>
  <c r="L406" i="62"/>
  <c r="L412" i="62"/>
  <c r="K35" i="18"/>
  <c r="K60" i="18"/>
  <c r="K96" i="18"/>
  <c r="K133" i="18"/>
  <c r="J35" i="18"/>
  <c r="J96" i="18"/>
  <c r="J133" i="18"/>
  <c r="J60" i="18"/>
  <c r="J137" i="61"/>
  <c r="G9" i="63"/>
  <c r="M21" i="62"/>
  <c r="L33" i="62"/>
  <c r="K67" i="18"/>
  <c r="L409" i="62"/>
  <c r="K33" i="34"/>
  <c r="K65" i="61"/>
  <c r="L443" i="62"/>
  <c r="K34" i="34"/>
  <c r="K22" i="34"/>
  <c r="K23" i="34"/>
  <c r="C240" i="62"/>
  <c r="M128" i="62"/>
  <c r="J73" i="61"/>
  <c r="J79" i="61"/>
  <c r="J113" i="61"/>
  <c r="J114" i="61"/>
  <c r="J72" i="61"/>
  <c r="J76" i="61"/>
  <c r="J80" i="61"/>
  <c r="J71" i="61"/>
  <c r="J77" i="61"/>
  <c r="J81" i="61"/>
  <c r="J87" i="61"/>
  <c r="J91" i="61"/>
  <c r="J90" i="61"/>
  <c r="K84" i="61"/>
  <c r="K69" i="61"/>
  <c r="J9" i="46"/>
  <c r="K4" i="53"/>
  <c r="K64" i="13"/>
  <c r="K22" i="18" s="1"/>
  <c r="K37" i="13"/>
  <c r="J11" i="34"/>
  <c r="K96" i="13"/>
  <c r="J19" i="18" s="1"/>
  <c r="K94" i="13"/>
  <c r="J17" i="18" s="1"/>
  <c r="L97" i="13"/>
  <c r="K20" i="18" s="1"/>
  <c r="L94" i="13"/>
  <c r="K17" i="18" s="1"/>
  <c r="J66" i="18"/>
  <c r="K27" i="34"/>
  <c r="L92" i="13"/>
  <c r="K15" i="18" s="1"/>
  <c r="K93" i="13"/>
  <c r="J16" i="18" s="1"/>
  <c r="K92" i="13"/>
  <c r="J15" i="18" s="1"/>
  <c r="K66" i="18"/>
  <c r="L93" i="13"/>
  <c r="K16" i="18" s="1"/>
  <c r="L96" i="13"/>
  <c r="K19" i="18" s="1"/>
  <c r="L98" i="13"/>
  <c r="K21" i="18" s="1"/>
  <c r="K97" i="13"/>
  <c r="J20" i="18" s="1"/>
  <c r="K98" i="13"/>
  <c r="J21" i="18" s="1"/>
  <c r="M394" i="62" l="1"/>
  <c r="M385" i="62"/>
  <c r="L17" i="34"/>
  <c r="J138" i="61"/>
  <c r="K420" i="62" s="1"/>
  <c r="K140" i="18"/>
  <c r="M387" i="62"/>
  <c r="M389" i="62" s="1"/>
  <c r="K138" i="18"/>
  <c r="J143" i="18"/>
  <c r="J138" i="18"/>
  <c r="M25" i="62"/>
  <c r="L12" i="34"/>
  <c r="K143" i="18"/>
  <c r="J140" i="18"/>
  <c r="C249" i="62"/>
  <c r="K141" i="18"/>
  <c r="K139" i="18"/>
  <c r="K163" i="18"/>
  <c r="K144" i="18"/>
  <c r="K159" i="18"/>
  <c r="K156" i="18"/>
  <c r="K151" i="18"/>
  <c r="K145" i="18"/>
  <c r="K93" i="18"/>
  <c r="L69" i="18"/>
  <c r="K162" i="18"/>
  <c r="K150" i="18"/>
  <c r="K148" i="18"/>
  <c r="K146" i="18"/>
  <c r="K137" i="18"/>
  <c r="K142" i="18"/>
  <c r="J141" i="18"/>
  <c r="J142" i="18"/>
  <c r="J139" i="18"/>
  <c r="J163" i="18"/>
  <c r="J159" i="18"/>
  <c r="J151" i="18"/>
  <c r="J93" i="18"/>
  <c r="J148" i="18"/>
  <c r="J156" i="18"/>
  <c r="J145" i="18"/>
  <c r="J162" i="18"/>
  <c r="J150" i="18"/>
  <c r="K69" i="18"/>
  <c r="G33" i="63"/>
  <c r="G31" i="63"/>
  <c r="G21" i="63"/>
  <c r="J80" i="46" s="1"/>
  <c r="K19" i="34"/>
  <c r="L94" i="61"/>
  <c r="L92" i="61"/>
  <c r="L93" i="61"/>
  <c r="K139" i="61"/>
  <c r="K144" i="61" s="1"/>
  <c r="K146" i="61" s="1"/>
  <c r="J141" i="61"/>
  <c r="J140" i="61"/>
  <c r="L33" i="34"/>
  <c r="M412" i="62"/>
  <c r="M443" i="62"/>
  <c r="L23" i="34"/>
  <c r="L35" i="34"/>
  <c r="L67" i="18"/>
  <c r="C67" i="18" s="1"/>
  <c r="M409" i="62"/>
  <c r="J9" i="18"/>
  <c r="K9" i="18"/>
  <c r="L65" i="61"/>
  <c r="M406" i="62"/>
  <c r="M33" i="62"/>
  <c r="L34" i="34"/>
  <c r="L22" i="34"/>
  <c r="J56" i="34"/>
  <c r="J76" i="46"/>
  <c r="K28" i="62"/>
  <c r="K415" i="62"/>
  <c r="K32" i="62"/>
  <c r="K35" i="62"/>
  <c r="L403" i="62"/>
  <c r="L30" i="62"/>
  <c r="L397" i="62"/>
  <c r="L400" i="62"/>
  <c r="L34" i="62" s="1"/>
  <c r="J118" i="61"/>
  <c r="J29" i="18"/>
  <c r="J149" i="18" s="1"/>
  <c r="K29" i="18"/>
  <c r="K149" i="18" s="1"/>
  <c r="L9" i="53"/>
  <c r="K5" i="53"/>
  <c r="L16" i="48"/>
  <c r="L32" i="48" s="1"/>
  <c r="H12" i="41"/>
  <c r="H28" i="41" s="1"/>
  <c r="K25" i="18"/>
  <c r="K147" i="18" s="1"/>
  <c r="J25" i="18"/>
  <c r="J147" i="18" s="1"/>
  <c r="K16" i="34"/>
  <c r="L27" i="34"/>
  <c r="L16" i="34"/>
  <c r="K441" i="62" l="1"/>
  <c r="K23" i="62" s="1"/>
  <c r="K25" i="62" s="1"/>
  <c r="K421" i="62"/>
  <c r="K439" i="62" s="1"/>
  <c r="K445" i="62" s="1"/>
  <c r="J36" i="18" s="1"/>
  <c r="J142" i="61"/>
  <c r="C389" i="62"/>
  <c r="M30" i="62"/>
  <c r="C30" i="62" s="1"/>
  <c r="M403" i="62"/>
  <c r="M397" i="62"/>
  <c r="M400" i="62"/>
  <c r="M34" i="62" s="1"/>
  <c r="K110" i="18"/>
  <c r="J110" i="18"/>
  <c r="K42" i="18"/>
  <c r="K161" i="18" s="1"/>
  <c r="H28" i="63"/>
  <c r="L414" i="62"/>
  <c r="L445" i="62" s="1"/>
  <c r="K6" i="53"/>
  <c r="L11" i="53" s="1"/>
  <c r="L15" i="53" s="1"/>
  <c r="M15" i="53" s="1"/>
  <c r="M29" i="53"/>
  <c r="C443" i="62"/>
  <c r="H28" i="18"/>
  <c r="I28" i="18"/>
  <c r="I113" i="18" s="1"/>
  <c r="K37" i="62" l="1"/>
  <c r="G12" i="63" s="1"/>
  <c r="M414" i="62"/>
  <c r="M445" i="62" s="1"/>
  <c r="M37" i="62" s="1"/>
  <c r="I12" i="63" s="1"/>
  <c r="J155" i="18"/>
  <c r="H34" i="63"/>
  <c r="H35" i="63" s="1"/>
  <c r="H29" i="63"/>
  <c r="H113" i="18"/>
  <c r="D28" i="18"/>
  <c r="M35" i="53"/>
  <c r="M36" i="53" s="1"/>
  <c r="M37" i="53" s="1"/>
  <c r="M38" i="53" s="1"/>
  <c r="L32" i="62"/>
  <c r="L35" i="62"/>
  <c r="L415" i="62"/>
  <c r="C28" i="18"/>
  <c r="M32" i="62" l="1"/>
  <c r="C32" i="62" s="1"/>
  <c r="M35" i="62"/>
  <c r="M415" i="62"/>
  <c r="G13" i="63"/>
  <c r="K38" i="62" s="1"/>
  <c r="I13" i="63"/>
  <c r="M38" i="62" s="1"/>
  <c r="M39" i="53"/>
  <c r="M40" i="53"/>
  <c r="K36" i="18"/>
  <c r="L37" i="62"/>
  <c r="L36" i="18"/>
  <c r="R16" i="35"/>
  <c r="R27" i="35"/>
  <c r="S27" i="35" s="1"/>
  <c r="R28" i="35"/>
  <c r="R29" i="35"/>
  <c r="R30" i="35"/>
  <c r="R31" i="35"/>
  <c r="R32" i="35"/>
  <c r="R33" i="35"/>
  <c r="R34" i="35"/>
  <c r="R35" i="35"/>
  <c r="R36" i="35"/>
  <c r="R37" i="35"/>
  <c r="R38" i="35"/>
  <c r="R39" i="35"/>
  <c r="R40" i="35"/>
  <c r="R41" i="35"/>
  <c r="S41" i="35" s="1"/>
  <c r="R14" i="35"/>
  <c r="K155" i="18" l="1"/>
  <c r="L155" i="18"/>
  <c r="P406" i="35"/>
  <c r="Q406" i="35" s="1"/>
  <c r="S36" i="35"/>
  <c r="AB36" i="35" s="1"/>
  <c r="P398" i="35"/>
  <c r="Q398" i="35" s="1"/>
  <c r="S28" i="35"/>
  <c r="AB28" i="35" s="1"/>
  <c r="P409" i="35"/>
  <c r="Q409" i="35" s="1"/>
  <c r="S39" i="35"/>
  <c r="AB39" i="35" s="1"/>
  <c r="P401" i="35"/>
  <c r="Q401" i="35" s="1"/>
  <c r="S31" i="35"/>
  <c r="AB31" i="35" s="1"/>
  <c r="U31" i="35" s="1"/>
  <c r="V31" i="35" s="1"/>
  <c r="P408" i="35"/>
  <c r="Q408" i="35" s="1"/>
  <c r="S38" i="35"/>
  <c r="AB38" i="35" s="1"/>
  <c r="P400" i="35"/>
  <c r="Q400" i="35" s="1"/>
  <c r="S30" i="35"/>
  <c r="AB30" i="35" s="1"/>
  <c r="U30" i="35" s="1"/>
  <c r="W30" i="35" s="1"/>
  <c r="P396" i="35"/>
  <c r="Q396" i="35" s="1"/>
  <c r="S16" i="35"/>
  <c r="P410" i="35"/>
  <c r="Q410" i="35" s="1"/>
  <c r="S40" i="35"/>
  <c r="AB40" i="35" s="1"/>
  <c r="U40" i="35" s="1"/>
  <c r="P402" i="35"/>
  <c r="Q402" i="35" s="1"/>
  <c r="S32" i="35"/>
  <c r="AB32" i="35" s="1"/>
  <c r="P405" i="35"/>
  <c r="Q405" i="35" s="1"/>
  <c r="S35" i="35"/>
  <c r="AB35" i="35" s="1"/>
  <c r="S14" i="35"/>
  <c r="AB14" i="35" s="1"/>
  <c r="P395" i="35"/>
  <c r="Q395" i="35" s="1"/>
  <c r="P404" i="35"/>
  <c r="Q404" i="35" s="1"/>
  <c r="S34" i="35"/>
  <c r="AB34" i="35" s="1"/>
  <c r="P407" i="35"/>
  <c r="Q407" i="35" s="1"/>
  <c r="S37" i="35"/>
  <c r="AB37" i="35" s="1"/>
  <c r="P403" i="35"/>
  <c r="Q403" i="35" s="1"/>
  <c r="S33" i="35"/>
  <c r="AB33" i="35" s="1"/>
  <c r="U33" i="35" s="1"/>
  <c r="P399" i="35"/>
  <c r="Q399" i="35" s="1"/>
  <c r="S29" i="35"/>
  <c r="AB29" i="35" s="1"/>
  <c r="P397" i="35"/>
  <c r="Q397" i="35" s="1"/>
  <c r="P411" i="35"/>
  <c r="Q411" i="35" s="1"/>
  <c r="AB41" i="35"/>
  <c r="H12" i="63"/>
  <c r="AA14" i="35"/>
  <c r="AA40" i="35"/>
  <c r="AA36" i="35"/>
  <c r="AA34" i="35"/>
  <c r="AA32" i="35"/>
  <c r="AA30" i="35"/>
  <c r="AA28" i="35"/>
  <c r="AA41" i="35"/>
  <c r="AA39" i="35"/>
  <c r="AA37" i="35"/>
  <c r="AA35" i="35"/>
  <c r="AA33" i="35"/>
  <c r="AA31" i="35"/>
  <c r="AA29" i="35"/>
  <c r="AB27" i="35"/>
  <c r="U27" i="35" s="1"/>
  <c r="W27" i="35" s="1"/>
  <c r="AA27" i="35"/>
  <c r="AA38" i="35"/>
  <c r="AA16" i="35"/>
  <c r="X40" i="35"/>
  <c r="Y40" i="35"/>
  <c r="X36" i="35"/>
  <c r="Y36" i="35"/>
  <c r="X32" i="35"/>
  <c r="Y32" i="35"/>
  <c r="X28" i="35"/>
  <c r="Y28" i="35"/>
  <c r="Y41" i="35"/>
  <c r="X41" i="35"/>
  <c r="Y37" i="35"/>
  <c r="X37" i="35"/>
  <c r="Y33" i="35"/>
  <c r="X33" i="35"/>
  <c r="Y29" i="35"/>
  <c r="X29" i="35"/>
  <c r="Y39" i="35"/>
  <c r="X39" i="35"/>
  <c r="Y35" i="35"/>
  <c r="X35" i="35"/>
  <c r="Y31" i="35"/>
  <c r="X31" i="35"/>
  <c r="X27" i="35"/>
  <c r="Y27" i="35"/>
  <c r="Y14" i="35"/>
  <c r="X14" i="35"/>
  <c r="Y38" i="35"/>
  <c r="X38" i="35"/>
  <c r="Y34" i="35"/>
  <c r="X34" i="35"/>
  <c r="Y30" i="35"/>
  <c r="X30" i="35"/>
  <c r="Y16" i="35"/>
  <c r="X16" i="35"/>
  <c r="E41" i="38"/>
  <c r="E46" i="38"/>
  <c r="D46" i="38" s="1"/>
  <c r="E22" i="38"/>
  <c r="T42" i="35"/>
  <c r="W33" i="35" l="1"/>
  <c r="V33" i="35"/>
  <c r="W40" i="35"/>
  <c r="V40" i="35"/>
  <c r="H13" i="63"/>
  <c r="L38" i="62" s="1"/>
  <c r="V30" i="35"/>
  <c r="W31" i="35"/>
  <c r="D41" i="38"/>
  <c r="AB16" i="35"/>
  <c r="AB42" i="35" s="1"/>
  <c r="AA42" i="35"/>
  <c r="V14" i="35"/>
  <c r="W14" i="35"/>
  <c r="J72" i="18"/>
  <c r="J86" i="18" s="1"/>
  <c r="V27" i="35"/>
  <c r="J79" i="18"/>
  <c r="J76" i="18"/>
  <c r="J82" i="18" l="1"/>
  <c r="J77" i="18"/>
  <c r="J83" i="18"/>
  <c r="J80" i="18"/>
  <c r="L70" i="18"/>
  <c r="L84" i="18" s="1"/>
  <c r="R42" i="35"/>
  <c r="I91" i="13" l="1"/>
  <c r="J91" i="13"/>
  <c r="L79" i="18"/>
  <c r="K79" i="18"/>
  <c r="K72" i="18"/>
  <c r="K86" i="18" s="1"/>
  <c r="L72" i="18"/>
  <c r="L86" i="18" s="1"/>
  <c r="K70" i="18"/>
  <c r="K84" i="18" s="1"/>
  <c r="K71" i="18"/>
  <c r="L71" i="18"/>
  <c r="L85" i="18" s="1"/>
  <c r="L76" i="18"/>
  <c r="K76" i="18"/>
  <c r="H7" i="18"/>
  <c r="I7" i="18"/>
  <c r="H23" i="18"/>
  <c r="I23" i="18"/>
  <c r="I108" i="18" s="1"/>
  <c r="H24" i="18"/>
  <c r="I24" i="18"/>
  <c r="H30" i="18"/>
  <c r="I30" i="18"/>
  <c r="H31" i="18"/>
  <c r="I31" i="18"/>
  <c r="H6" i="18"/>
  <c r="H12" i="18" s="1"/>
  <c r="I6" i="18"/>
  <c r="I12" i="18" s="1"/>
  <c r="H32" i="34"/>
  <c r="I32" i="34"/>
  <c r="J32" i="34"/>
  <c r="H10" i="46"/>
  <c r="I10" i="46"/>
  <c r="K91" i="13" l="1"/>
  <c r="J135" i="18"/>
  <c r="M91" i="13"/>
  <c r="L135" i="18"/>
  <c r="L91" i="13"/>
  <c r="K135" i="18"/>
  <c r="K82" i="18"/>
  <c r="K77" i="18"/>
  <c r="K83" i="18"/>
  <c r="K80" i="18"/>
  <c r="L77" i="18"/>
  <c r="L82" i="18"/>
  <c r="L80" i="18"/>
  <c r="L83" i="18"/>
  <c r="G10" i="46"/>
  <c r="I17" i="13"/>
  <c r="H16" i="61" s="1"/>
  <c r="H32" i="61" s="1"/>
  <c r="I19" i="13"/>
  <c r="H75" i="18" s="1"/>
  <c r="H19" i="13"/>
  <c r="G75" i="18" s="1"/>
  <c r="H17" i="13"/>
  <c r="G16" i="61" s="1"/>
  <c r="G32" i="61" s="1"/>
  <c r="J17" i="13"/>
  <c r="I16" i="61" s="1"/>
  <c r="I32" i="61" s="1"/>
  <c r="J19" i="13"/>
  <c r="I75" i="18" s="1"/>
  <c r="D31" i="18"/>
  <c r="D30" i="18"/>
  <c r="H108" i="18"/>
  <c r="D23" i="18"/>
  <c r="D9" i="63"/>
  <c r="H35" i="18"/>
  <c r="H96" i="18"/>
  <c r="H133" i="18"/>
  <c r="H60" i="18"/>
  <c r="I35" i="18"/>
  <c r="I133" i="18"/>
  <c r="I60" i="18"/>
  <c r="I96" i="18"/>
  <c r="H137" i="61"/>
  <c r="H140" i="61" s="1"/>
  <c r="E9" i="63"/>
  <c r="I137" i="61"/>
  <c r="F9" i="63"/>
  <c r="G114" i="61"/>
  <c r="G137" i="61"/>
  <c r="H69" i="61"/>
  <c r="H71" i="61"/>
  <c r="H77" i="61"/>
  <c r="H81" i="61"/>
  <c r="H87" i="61"/>
  <c r="H91" i="61"/>
  <c r="H80" i="61"/>
  <c r="H90" i="61"/>
  <c r="H114" i="61"/>
  <c r="H73" i="61"/>
  <c r="H79" i="61"/>
  <c r="H113" i="61"/>
  <c r="H72" i="61"/>
  <c r="H84" i="61"/>
  <c r="G80" i="61"/>
  <c r="G90" i="61"/>
  <c r="G73" i="61"/>
  <c r="G79" i="61"/>
  <c r="G113" i="61"/>
  <c r="G71" i="61"/>
  <c r="G91" i="61"/>
  <c r="G72" i="61"/>
  <c r="G84" i="61"/>
  <c r="G69" i="61"/>
  <c r="G77" i="61"/>
  <c r="G87" i="61"/>
  <c r="I72" i="61"/>
  <c r="I84" i="61"/>
  <c r="I69" i="61"/>
  <c r="I71" i="61"/>
  <c r="I77" i="61"/>
  <c r="I81" i="61"/>
  <c r="I87" i="61"/>
  <c r="I91" i="61"/>
  <c r="I113" i="61"/>
  <c r="I80" i="61"/>
  <c r="I90" i="61"/>
  <c r="I114" i="61"/>
  <c r="I73" i="61"/>
  <c r="I79" i="61"/>
  <c r="J84" i="61"/>
  <c r="J69" i="61"/>
  <c r="K85" i="18"/>
  <c r="C31" i="18"/>
  <c r="C30" i="18"/>
  <c r="C23" i="18"/>
  <c r="H9" i="46"/>
  <c r="I4" i="53"/>
  <c r="G9" i="46"/>
  <c r="H4" i="53"/>
  <c r="I9" i="46"/>
  <c r="J4" i="53"/>
  <c r="J37" i="13"/>
  <c r="J64" i="13"/>
  <c r="H64" i="13"/>
  <c r="H37" i="13"/>
  <c r="I37" i="13"/>
  <c r="I64" i="13"/>
  <c r="H11" i="34"/>
  <c r="I19" i="34" s="1"/>
  <c r="J20" i="34" s="1"/>
  <c r="G11" i="34"/>
  <c r="G19" i="34" s="1"/>
  <c r="H20" i="34" s="1"/>
  <c r="I11" i="34"/>
  <c r="J19" i="34" s="1"/>
  <c r="K20" i="34" s="1"/>
  <c r="L20" i="34" s="1"/>
  <c r="G66" i="18"/>
  <c r="I94" i="13"/>
  <c r="H17" i="18" s="1"/>
  <c r="I97" i="13"/>
  <c r="H20" i="18" s="1"/>
  <c r="I98" i="13"/>
  <c r="J94" i="13"/>
  <c r="I17" i="18" s="1"/>
  <c r="H91" i="13"/>
  <c r="J96" i="13"/>
  <c r="I19" i="18" s="1"/>
  <c r="I96" i="13"/>
  <c r="J93" i="13"/>
  <c r="I16" i="18" s="1"/>
  <c r="J92" i="13"/>
  <c r="I92" i="13"/>
  <c r="I93" i="13"/>
  <c r="H16" i="18" s="1"/>
  <c r="J98" i="13"/>
  <c r="I21" i="18" s="1"/>
  <c r="I66" i="18"/>
  <c r="C37" i="38"/>
  <c r="H66" i="18"/>
  <c r="J97" i="13"/>
  <c r="P37" i="38" l="1"/>
  <c r="N37" i="38"/>
  <c r="O37" i="38"/>
  <c r="M37" i="38"/>
  <c r="I37" i="38"/>
  <c r="J37" i="38"/>
  <c r="K37" i="38"/>
  <c r="Q37" i="38"/>
  <c r="H37" i="38"/>
  <c r="L37" i="38"/>
  <c r="I138" i="61"/>
  <c r="J420" i="62" s="1"/>
  <c r="N21" i="38"/>
  <c r="O21" i="38"/>
  <c r="P21" i="38"/>
  <c r="Q21" i="38"/>
  <c r="Q16" i="38"/>
  <c r="P16" i="38"/>
  <c r="N16" i="38"/>
  <c r="O16" i="38"/>
  <c r="I109" i="13"/>
  <c r="J109" i="13"/>
  <c r="H109" i="13"/>
  <c r="D10" i="63" s="1"/>
  <c r="D11" i="63" s="1"/>
  <c r="K136" i="18"/>
  <c r="L109" i="13"/>
  <c r="L110" i="13" s="1"/>
  <c r="K33" i="18" s="1"/>
  <c r="L136" i="18"/>
  <c r="M109" i="13"/>
  <c r="M110" i="13" s="1"/>
  <c r="L33" i="18" s="1"/>
  <c r="J136" i="18"/>
  <c r="L102" i="61"/>
  <c r="K102" i="61"/>
  <c r="J22" i="18"/>
  <c r="J137" i="18" s="1"/>
  <c r="I143" i="18"/>
  <c r="H140" i="18"/>
  <c r="I163" i="18"/>
  <c r="I162" i="18"/>
  <c r="I156" i="18"/>
  <c r="I150" i="18"/>
  <c r="I148" i="18"/>
  <c r="I146" i="18"/>
  <c r="I159" i="18"/>
  <c r="I151" i="18"/>
  <c r="I145" i="18"/>
  <c r="I93" i="18"/>
  <c r="I144" i="18"/>
  <c r="J69" i="18"/>
  <c r="I139" i="18"/>
  <c r="C91" i="13"/>
  <c r="I141" i="18"/>
  <c r="I140" i="18"/>
  <c r="H142" i="18"/>
  <c r="H163" i="18"/>
  <c r="H156" i="18"/>
  <c r="H145" i="18"/>
  <c r="H159" i="18"/>
  <c r="H150" i="18"/>
  <c r="H146" i="18"/>
  <c r="H162" i="18"/>
  <c r="H155" i="18"/>
  <c r="H148" i="18"/>
  <c r="H144" i="18"/>
  <c r="H151" i="18"/>
  <c r="H93" i="18"/>
  <c r="I69" i="18"/>
  <c r="H139" i="18"/>
  <c r="G163" i="18"/>
  <c r="G155" i="18"/>
  <c r="G150" i="18"/>
  <c r="G148" i="18"/>
  <c r="G146" i="18"/>
  <c r="G144" i="18"/>
  <c r="H69" i="18"/>
  <c r="G162" i="18"/>
  <c r="G159" i="18"/>
  <c r="G156" i="18"/>
  <c r="G151" i="18"/>
  <c r="G145" i="18"/>
  <c r="E33" i="63"/>
  <c r="E31" i="63"/>
  <c r="E21" i="63"/>
  <c r="H80" i="46" s="1"/>
  <c r="E13" i="63"/>
  <c r="I38" i="62" s="1"/>
  <c r="F33" i="63"/>
  <c r="F31" i="63"/>
  <c r="F21" i="63"/>
  <c r="I80" i="46" s="1"/>
  <c r="G56" i="34"/>
  <c r="D33" i="63"/>
  <c r="D31" i="63"/>
  <c r="D21" i="63"/>
  <c r="G80" i="46" s="1"/>
  <c r="D13" i="63"/>
  <c r="H38" i="62" s="1"/>
  <c r="H19" i="34"/>
  <c r="I20" i="34" s="1"/>
  <c r="H28" i="62"/>
  <c r="H21" i="18"/>
  <c r="H143" i="18" s="1"/>
  <c r="C98" i="13"/>
  <c r="H15" i="18"/>
  <c r="H138" i="18" s="1"/>
  <c r="C92" i="13"/>
  <c r="G76" i="46"/>
  <c r="C102" i="13"/>
  <c r="Q20" i="38"/>
  <c r="C97" i="13"/>
  <c r="Q19" i="38"/>
  <c r="C96" i="13"/>
  <c r="C93" i="13"/>
  <c r="C94" i="13"/>
  <c r="H142" i="61"/>
  <c r="H141" i="61"/>
  <c r="H9" i="18"/>
  <c r="I9" i="18"/>
  <c r="J144" i="61"/>
  <c r="J146" i="61" s="1"/>
  <c r="B9" i="63"/>
  <c r="I28" i="62"/>
  <c r="H56" i="34"/>
  <c r="H76" i="46"/>
  <c r="J28" i="62"/>
  <c r="I56" i="34"/>
  <c r="I76" i="46"/>
  <c r="C66" i="18"/>
  <c r="G118" i="61"/>
  <c r="G140" i="61"/>
  <c r="H118" i="61"/>
  <c r="I118" i="61"/>
  <c r="C25" i="38"/>
  <c r="C26" i="38"/>
  <c r="D26" i="38" s="1"/>
  <c r="H29" i="18"/>
  <c r="H149" i="18" s="1"/>
  <c r="I29" i="18"/>
  <c r="I149" i="18" s="1"/>
  <c r="G93" i="18"/>
  <c r="G9" i="18"/>
  <c r="I22" i="18"/>
  <c r="I137" i="18" s="1"/>
  <c r="D22" i="38"/>
  <c r="J9" i="53"/>
  <c r="I5" i="53"/>
  <c r="I6" i="53" s="1"/>
  <c r="J16" i="48"/>
  <c r="J32" i="48" s="1"/>
  <c r="F12" i="41"/>
  <c r="F28" i="41" s="1"/>
  <c r="H5" i="53"/>
  <c r="H6" i="53" s="1"/>
  <c r="I16" i="48"/>
  <c r="I32" i="48" s="1"/>
  <c r="E12" i="41"/>
  <c r="E28" i="41" s="1"/>
  <c r="J5" i="53"/>
  <c r="J6" i="53" s="1"/>
  <c r="K16" i="48"/>
  <c r="K32" i="48" s="1"/>
  <c r="G12" i="41"/>
  <c r="G28" i="41" s="1"/>
  <c r="J26" i="34"/>
  <c r="G25" i="18"/>
  <c r="G147" i="18" s="1"/>
  <c r="H25" i="18"/>
  <c r="H147" i="18" s="1"/>
  <c r="G16" i="34"/>
  <c r="G27" i="34"/>
  <c r="G16" i="18"/>
  <c r="D16" i="18" s="1"/>
  <c r="G17" i="18"/>
  <c r="G19" i="18"/>
  <c r="G141" i="18" s="1"/>
  <c r="G136" i="18"/>
  <c r="G135" i="18"/>
  <c r="G29" i="18"/>
  <c r="G149" i="18" s="1"/>
  <c r="G20" i="18"/>
  <c r="G142" i="18" s="1"/>
  <c r="G21" i="18"/>
  <c r="G143" i="18" s="1"/>
  <c r="G15" i="18"/>
  <c r="G138" i="18" s="1"/>
  <c r="G22" i="18"/>
  <c r="G137" i="18" s="1"/>
  <c r="E39" i="38"/>
  <c r="H19" i="18"/>
  <c r="I25" i="18"/>
  <c r="I147" i="18" s="1"/>
  <c r="I16" i="34"/>
  <c r="I27" i="34"/>
  <c r="C90" i="13"/>
  <c r="I15" i="18"/>
  <c r="I138" i="18" s="1"/>
  <c r="H16" i="34"/>
  <c r="H27" i="34"/>
  <c r="J27" i="34"/>
  <c r="J16" i="34"/>
  <c r="I20" i="18"/>
  <c r="I142" i="18" s="1"/>
  <c r="H135" i="18"/>
  <c r="E37" i="38" l="1"/>
  <c r="D37" i="38" s="1"/>
  <c r="I141" i="61"/>
  <c r="I142" i="61"/>
  <c r="J441" i="62"/>
  <c r="J23" i="62" s="1"/>
  <c r="J25" i="62" s="1"/>
  <c r="J421" i="62"/>
  <c r="J439" i="62" s="1"/>
  <c r="I140" i="61"/>
  <c r="O18" i="38"/>
  <c r="N18" i="38"/>
  <c r="Q18" i="38"/>
  <c r="P18" i="38"/>
  <c r="N17" i="38"/>
  <c r="Q17" i="38"/>
  <c r="O17" i="38"/>
  <c r="P17" i="38"/>
  <c r="E21" i="38"/>
  <c r="D21" i="38" s="1"/>
  <c r="F25" i="38"/>
  <c r="E25" i="38" s="1"/>
  <c r="D25" i="38" s="1"/>
  <c r="L161" i="61"/>
  <c r="L163" i="61" s="1"/>
  <c r="L20" i="38"/>
  <c r="M20" i="38"/>
  <c r="N20" i="38"/>
  <c r="O20" i="38"/>
  <c r="J20" i="38"/>
  <c r="P20" i="38"/>
  <c r="I20" i="38"/>
  <c r="K20" i="38"/>
  <c r="L19" i="38"/>
  <c r="M19" i="38"/>
  <c r="N19" i="38"/>
  <c r="I19" i="38"/>
  <c r="O19" i="38"/>
  <c r="K19" i="38"/>
  <c r="P19" i="38"/>
  <c r="J19" i="38"/>
  <c r="L45" i="61"/>
  <c r="L46" i="61" s="1"/>
  <c r="J13" i="45"/>
  <c r="K45" i="61"/>
  <c r="K46" i="61" s="1"/>
  <c r="K13" i="45"/>
  <c r="I10" i="63"/>
  <c r="M29" i="62" s="1"/>
  <c r="L103" i="61"/>
  <c r="H10" i="63"/>
  <c r="L29" i="62" s="1"/>
  <c r="K161" i="61"/>
  <c r="K163" i="61" s="1"/>
  <c r="K165" i="61" s="1"/>
  <c r="K38" i="18" s="1"/>
  <c r="K103" i="61"/>
  <c r="G139" i="18"/>
  <c r="C139" i="18" s="1"/>
  <c r="H141" i="18"/>
  <c r="D17" i="18"/>
  <c r="G140" i="18"/>
  <c r="C140" i="18" s="1"/>
  <c r="D56" i="34"/>
  <c r="B33" i="63"/>
  <c r="B31" i="63"/>
  <c r="B21" i="63"/>
  <c r="E80" i="46" s="1"/>
  <c r="C28" i="62"/>
  <c r="C163" i="18"/>
  <c r="H22" i="18"/>
  <c r="H137" i="18" s="1"/>
  <c r="C99" i="13"/>
  <c r="D21" i="18"/>
  <c r="G110" i="18"/>
  <c r="D25" i="18"/>
  <c r="D20" i="18"/>
  <c r="G107" i="18"/>
  <c r="D19" i="18"/>
  <c r="I110" i="18"/>
  <c r="D29" i="18"/>
  <c r="H110" i="18"/>
  <c r="D15" i="18"/>
  <c r="G28" i="63"/>
  <c r="H144" i="61"/>
  <c r="H146" i="61" s="1"/>
  <c r="I144" i="61"/>
  <c r="I146" i="61" s="1"/>
  <c r="E76" i="46"/>
  <c r="J42" i="18"/>
  <c r="J161" i="18" s="1"/>
  <c r="C9" i="18"/>
  <c r="K29" i="53"/>
  <c r="J15" i="53"/>
  <c r="K15" i="53" s="1"/>
  <c r="H29" i="62"/>
  <c r="G77" i="46"/>
  <c r="G57" i="34"/>
  <c r="G144" i="61"/>
  <c r="G146" i="61" s="1"/>
  <c r="C38" i="38" s="1"/>
  <c r="D22" i="63"/>
  <c r="D23" i="63" s="1"/>
  <c r="D14" i="63"/>
  <c r="D15" i="63" s="1"/>
  <c r="G102" i="61"/>
  <c r="G45" i="61"/>
  <c r="D39" i="38"/>
  <c r="F14" i="38"/>
  <c r="F15" i="38" s="1"/>
  <c r="L152" i="18"/>
  <c r="L32" i="18"/>
  <c r="L114" i="18" s="1"/>
  <c r="C138" i="18"/>
  <c r="C15" i="18"/>
  <c r="C150" i="18"/>
  <c r="C149" i="18"/>
  <c r="C29" i="18"/>
  <c r="C25" i="18"/>
  <c r="C19" i="18"/>
  <c r="C20" i="18"/>
  <c r="C143" i="18"/>
  <c r="C21" i="18"/>
  <c r="C148" i="18"/>
  <c r="C17" i="18"/>
  <c r="C16" i="18"/>
  <c r="C156" i="18"/>
  <c r="C145" i="18"/>
  <c r="C162" i="18"/>
  <c r="C151" i="18"/>
  <c r="C159" i="18"/>
  <c r="E10" i="63"/>
  <c r="E11" i="63" s="1"/>
  <c r="G79" i="18"/>
  <c r="H110" i="13"/>
  <c r="G33" i="18" s="1"/>
  <c r="G76" i="18"/>
  <c r="G72" i="18"/>
  <c r="G70" i="18"/>
  <c r="G84" i="18" s="1"/>
  <c r="G71" i="18"/>
  <c r="H70" i="18"/>
  <c r="H84" i="18" s="1"/>
  <c r="F13" i="45"/>
  <c r="F25" i="45" s="1"/>
  <c r="C30" i="38"/>
  <c r="F10" i="63"/>
  <c r="F11" i="63" s="1"/>
  <c r="C93" i="18"/>
  <c r="E42" i="38"/>
  <c r="N30" i="38" l="1"/>
  <c r="N112" i="38" s="1"/>
  <c r="C439" i="62"/>
  <c r="J445" i="62"/>
  <c r="E18" i="38"/>
  <c r="D18" i="38" s="1"/>
  <c r="N78" i="38"/>
  <c r="L165" i="61"/>
  <c r="L38" i="18" s="1"/>
  <c r="L120" i="18" s="1"/>
  <c r="I16" i="63"/>
  <c r="I17" i="63" s="1"/>
  <c r="L48" i="61" s="1"/>
  <c r="K36" i="45"/>
  <c r="K25" i="45"/>
  <c r="J36" i="45"/>
  <c r="J25" i="45"/>
  <c r="N98" i="38"/>
  <c r="N113" i="38"/>
  <c r="F36" i="45"/>
  <c r="N79" i="38"/>
  <c r="N80" i="38"/>
  <c r="N88" i="38"/>
  <c r="N86" i="38"/>
  <c r="N84" i="38"/>
  <c r="N114" i="38"/>
  <c r="N99" i="38"/>
  <c r="N107" i="38"/>
  <c r="N108" i="38"/>
  <c r="N109" i="38"/>
  <c r="N87" i="38"/>
  <c r="N101" i="38"/>
  <c r="N102" i="38"/>
  <c r="N116" i="38"/>
  <c r="N81" i="38"/>
  <c r="N74" i="38"/>
  <c r="N82" i="38"/>
  <c r="N95" i="38"/>
  <c r="N104" i="38"/>
  <c r="N110" i="38"/>
  <c r="N73" i="38"/>
  <c r="N83" i="38"/>
  <c r="N96" i="38"/>
  <c r="N105" i="38"/>
  <c r="N111" i="38"/>
  <c r="N115" i="38"/>
  <c r="N76" i="38"/>
  <c r="N75" i="38"/>
  <c r="N85" i="38"/>
  <c r="N97" i="38"/>
  <c r="N106" i="38"/>
  <c r="M30" i="38"/>
  <c r="E17" i="38"/>
  <c r="D17" i="38" s="1"/>
  <c r="E19" i="38"/>
  <c r="D19" i="38" s="1"/>
  <c r="J30" i="38"/>
  <c r="Q30" i="38"/>
  <c r="N38" i="38"/>
  <c r="N103" i="38" s="1"/>
  <c r="O38" i="38"/>
  <c r="H38" i="38"/>
  <c r="H103" i="38" s="1"/>
  <c r="P38" i="38"/>
  <c r="I38" i="38"/>
  <c r="Q38" i="38"/>
  <c r="J38" i="38"/>
  <c r="K38" i="38"/>
  <c r="L38" i="38"/>
  <c r="M38" i="38"/>
  <c r="K30" i="38"/>
  <c r="E20" i="38"/>
  <c r="D20" i="38" s="1"/>
  <c r="L105" i="18"/>
  <c r="L104" i="18"/>
  <c r="H14" i="63"/>
  <c r="L39" i="62" s="1"/>
  <c r="K57" i="34"/>
  <c r="H11" i="63"/>
  <c r="K78" i="46" s="1"/>
  <c r="H36" i="63"/>
  <c r="H37" i="63" s="1"/>
  <c r="H22" i="63"/>
  <c r="K81" i="46" s="1"/>
  <c r="I11" i="63"/>
  <c r="L78" i="46" s="1"/>
  <c r="I14" i="63"/>
  <c r="M39" i="62" s="1"/>
  <c r="L77" i="46"/>
  <c r="I22" i="63"/>
  <c r="L81" i="46" s="1"/>
  <c r="I36" i="63"/>
  <c r="I37" i="63" s="1"/>
  <c r="K77" i="46"/>
  <c r="L57" i="34"/>
  <c r="K157" i="18"/>
  <c r="H16" i="63"/>
  <c r="G161" i="61"/>
  <c r="G163" i="61" s="1"/>
  <c r="G165" i="61" s="1"/>
  <c r="G103" i="61"/>
  <c r="G83" i="18"/>
  <c r="G80" i="18"/>
  <c r="G82" i="18"/>
  <c r="G77" i="18"/>
  <c r="L89" i="18"/>
  <c r="L99" i="18"/>
  <c r="J99" i="18"/>
  <c r="C13" i="18"/>
  <c r="I135" i="18"/>
  <c r="H136" i="18"/>
  <c r="G34" i="63"/>
  <c r="G29" i="63"/>
  <c r="D22" i="18"/>
  <c r="C22" i="18"/>
  <c r="C142" i="18"/>
  <c r="C147" i="18"/>
  <c r="D13" i="18"/>
  <c r="J103" i="18"/>
  <c r="L107" i="18"/>
  <c r="L101" i="18"/>
  <c r="L106" i="18"/>
  <c r="L102" i="18"/>
  <c r="L98" i="18"/>
  <c r="L100" i="18"/>
  <c r="L103" i="18"/>
  <c r="C146" i="61"/>
  <c r="E28" i="63"/>
  <c r="E29" i="63" s="1"/>
  <c r="D28" i="63"/>
  <c r="D29" i="63" s="1"/>
  <c r="F28" i="63"/>
  <c r="F29" i="63" s="1"/>
  <c r="H42" i="18"/>
  <c r="H161" i="18" s="1"/>
  <c r="I42" i="18"/>
  <c r="I161" i="18" s="1"/>
  <c r="K35" i="53"/>
  <c r="K36" i="53" s="1"/>
  <c r="K37" i="53" s="1"/>
  <c r="K40" i="53" s="1"/>
  <c r="L126" i="18"/>
  <c r="L122" i="18"/>
  <c r="L125" i="18"/>
  <c r="L119" i="18"/>
  <c r="L124" i="18"/>
  <c r="L118" i="18"/>
  <c r="C144" i="61"/>
  <c r="G42" i="18"/>
  <c r="G161" i="18" s="1"/>
  <c r="J29" i="62"/>
  <c r="I57" i="34"/>
  <c r="I77" i="46"/>
  <c r="I29" i="62"/>
  <c r="H57" i="34"/>
  <c r="H77" i="46"/>
  <c r="G58" i="34"/>
  <c r="G78" i="46"/>
  <c r="G82" i="46"/>
  <c r="G81" i="46"/>
  <c r="H40" i="62"/>
  <c r="H39" i="62"/>
  <c r="E22" i="63"/>
  <c r="E23" i="63" s="1"/>
  <c r="E14" i="63"/>
  <c r="E15" i="63" s="1"/>
  <c r="F22" i="63"/>
  <c r="F23" i="63" s="1"/>
  <c r="H102" i="61"/>
  <c r="H45" i="61"/>
  <c r="H46" i="61" s="1"/>
  <c r="I102" i="61"/>
  <c r="I45" i="61"/>
  <c r="I46" i="61" s="1"/>
  <c r="G46" i="61"/>
  <c r="G32" i="18"/>
  <c r="G115" i="18" s="1"/>
  <c r="C141" i="18"/>
  <c r="G13" i="45"/>
  <c r="C137" i="18"/>
  <c r="H87" i="38"/>
  <c r="H112" i="38"/>
  <c r="H111" i="38"/>
  <c r="H110" i="38"/>
  <c r="H114" i="38"/>
  <c r="H116" i="38"/>
  <c r="H109" i="38"/>
  <c r="H108" i="38"/>
  <c r="H107" i="38"/>
  <c r="H106" i="38"/>
  <c r="H105" i="38"/>
  <c r="H104" i="38"/>
  <c r="H102" i="38"/>
  <c r="H101" i="38"/>
  <c r="H99" i="38"/>
  <c r="H98" i="38"/>
  <c r="H97" i="38"/>
  <c r="H96" i="38"/>
  <c r="H95" i="38"/>
  <c r="I14" i="38"/>
  <c r="I15" i="38" s="1"/>
  <c r="I30" i="38" s="1"/>
  <c r="D42" i="38"/>
  <c r="G85" i="18"/>
  <c r="I110" i="13"/>
  <c r="H33" i="18" s="1"/>
  <c r="H79" i="18"/>
  <c r="H13" i="45"/>
  <c r="J110" i="13"/>
  <c r="I33" i="18" s="1"/>
  <c r="G86" i="18"/>
  <c r="K32" i="18"/>
  <c r="K114" i="18" s="1"/>
  <c r="H72" i="18"/>
  <c r="H86" i="18" s="1"/>
  <c r="I70" i="18"/>
  <c r="I84" i="18" s="1"/>
  <c r="H71" i="18"/>
  <c r="H85" i="18" s="1"/>
  <c r="F38" i="45"/>
  <c r="C45" i="38" s="1"/>
  <c r="H84" i="38"/>
  <c r="H86" i="38"/>
  <c r="H88" i="38"/>
  <c r="H85" i="38"/>
  <c r="H83" i="38"/>
  <c r="H76" i="18"/>
  <c r="H82" i="38"/>
  <c r="H81" i="38"/>
  <c r="H80" i="38"/>
  <c r="H79" i="38"/>
  <c r="H78" i="38"/>
  <c r="H77" i="38"/>
  <c r="H76" i="38"/>
  <c r="H75" i="38"/>
  <c r="H74" i="38"/>
  <c r="H73" i="38"/>
  <c r="I136" i="18"/>
  <c r="L47" i="61" l="1"/>
  <c r="N100" i="38"/>
  <c r="N77" i="38"/>
  <c r="I36" i="18"/>
  <c r="J37" i="62"/>
  <c r="C445" i="62"/>
  <c r="L157" i="18"/>
  <c r="I18" i="63"/>
  <c r="I19" i="63" s="1"/>
  <c r="L50" i="61" s="1"/>
  <c r="J38" i="45"/>
  <c r="K38" i="45"/>
  <c r="I161" i="61"/>
  <c r="I163" i="61" s="1"/>
  <c r="I165" i="61" s="1"/>
  <c r="I38" i="18" s="1"/>
  <c r="G38" i="18"/>
  <c r="G157" i="18" s="1"/>
  <c r="H161" i="61"/>
  <c r="H163" i="61" s="1"/>
  <c r="H36" i="45"/>
  <c r="H25" i="45"/>
  <c r="G36" i="45"/>
  <c r="G25" i="45"/>
  <c r="Q45" i="38"/>
  <c r="O45" i="38"/>
  <c r="I45" i="38"/>
  <c r="N89" i="38"/>
  <c r="M103" i="38"/>
  <c r="J103" i="38"/>
  <c r="M110" i="38"/>
  <c r="M114" i="38"/>
  <c r="M105" i="38"/>
  <c r="M85" i="38"/>
  <c r="M80" i="38"/>
  <c r="M73" i="38"/>
  <c r="M116" i="38"/>
  <c r="M113" i="38"/>
  <c r="M102" i="38"/>
  <c r="M86" i="38"/>
  <c r="M79" i="38"/>
  <c r="M109" i="38"/>
  <c r="M111" i="38"/>
  <c r="M115" i="38"/>
  <c r="M100" i="38"/>
  <c r="M99" i="38"/>
  <c r="M88" i="38"/>
  <c r="M78" i="38"/>
  <c r="M108" i="38"/>
  <c r="M97" i="38"/>
  <c r="M95" i="38"/>
  <c r="M84" i="38"/>
  <c r="M77" i="38"/>
  <c r="M74" i="38"/>
  <c r="M106" i="38"/>
  <c r="M81" i="38"/>
  <c r="M107" i="38"/>
  <c r="M96" i="38"/>
  <c r="M76" i="38"/>
  <c r="M87" i="38"/>
  <c r="M101" i="38"/>
  <c r="M82" i="38"/>
  <c r="M98" i="38"/>
  <c r="M104" i="38"/>
  <c r="M112" i="38"/>
  <c r="M83" i="38"/>
  <c r="M75" i="38"/>
  <c r="K115" i="38"/>
  <c r="K102" i="38"/>
  <c r="K111" i="38"/>
  <c r="K84" i="38"/>
  <c r="K82" i="38"/>
  <c r="K74" i="38"/>
  <c r="K79" i="38"/>
  <c r="K109" i="38"/>
  <c r="K101" i="38"/>
  <c r="K110" i="38"/>
  <c r="K86" i="38"/>
  <c r="K83" i="38"/>
  <c r="K81" i="38"/>
  <c r="K73" i="38"/>
  <c r="K108" i="38"/>
  <c r="K100" i="38"/>
  <c r="K114" i="38"/>
  <c r="K88" i="38"/>
  <c r="K80" i="38"/>
  <c r="K107" i="38"/>
  <c r="K99" i="38"/>
  <c r="K95" i="38"/>
  <c r="K87" i="38"/>
  <c r="K106" i="38"/>
  <c r="K98" i="38"/>
  <c r="K78" i="38"/>
  <c r="K116" i="38"/>
  <c r="K113" i="38"/>
  <c r="K105" i="38"/>
  <c r="K97" i="38"/>
  <c r="K77" i="38"/>
  <c r="K85" i="38"/>
  <c r="K112" i="38"/>
  <c r="K104" i="38"/>
  <c r="K96" i="38"/>
  <c r="K76" i="38"/>
  <c r="K75" i="38"/>
  <c r="E38" i="38"/>
  <c r="D38" i="38" s="1"/>
  <c r="K103" i="38"/>
  <c r="Q102" i="38"/>
  <c r="Q105" i="38"/>
  <c r="Q108" i="38"/>
  <c r="Q76" i="38"/>
  <c r="Q98" i="38"/>
  <c r="Q104" i="38"/>
  <c r="Q75" i="38"/>
  <c r="Q73" i="38"/>
  <c r="Q106" i="38"/>
  <c r="Q96" i="38"/>
  <c r="Q101" i="38"/>
  <c r="Q100" i="38"/>
  <c r="Q82" i="38"/>
  <c r="Q74" i="38"/>
  <c r="Q84" i="38"/>
  <c r="Q81" i="38"/>
  <c r="Q113" i="38"/>
  <c r="Q99" i="38"/>
  <c r="Q87" i="38"/>
  <c r="Q111" i="38"/>
  <c r="Q97" i="38"/>
  <c r="Q85" i="38"/>
  <c r="Q80" i="38"/>
  <c r="Q107" i="38"/>
  <c r="Q110" i="38"/>
  <c r="Q77" i="38"/>
  <c r="Q114" i="38"/>
  <c r="Q116" i="38"/>
  <c r="Q95" i="38"/>
  <c r="Q86" i="38"/>
  <c r="Q78" i="38"/>
  <c r="Q115" i="38"/>
  <c r="Q109" i="38"/>
  <c r="Q112" i="38"/>
  <c r="Q88" i="38"/>
  <c r="Q83" i="38"/>
  <c r="J109" i="38"/>
  <c r="J101" i="38"/>
  <c r="J110" i="38"/>
  <c r="J78" i="38"/>
  <c r="J84" i="38"/>
  <c r="J77" i="38"/>
  <c r="J102" i="38"/>
  <c r="J108" i="38"/>
  <c r="J76" i="38"/>
  <c r="J111" i="38"/>
  <c r="J79" i="38"/>
  <c r="J87" i="38"/>
  <c r="J107" i="38"/>
  <c r="J99" i="38"/>
  <c r="J83" i="38"/>
  <c r="J73" i="38"/>
  <c r="J114" i="38"/>
  <c r="J106" i="38"/>
  <c r="J98" i="38"/>
  <c r="J113" i="38"/>
  <c r="J105" i="38"/>
  <c r="J97" i="38"/>
  <c r="J86" i="38"/>
  <c r="J82" i="38"/>
  <c r="J75" i="38"/>
  <c r="J112" i="38"/>
  <c r="J104" i="38"/>
  <c r="J96" i="38"/>
  <c r="J88" i="38"/>
  <c r="J81" i="38"/>
  <c r="J74" i="38"/>
  <c r="J116" i="38"/>
  <c r="J95" i="38"/>
  <c r="J85" i="38"/>
  <c r="J80" i="38"/>
  <c r="J115" i="38"/>
  <c r="Q103" i="38"/>
  <c r="Q79" i="38"/>
  <c r="G114" i="18"/>
  <c r="G109" i="18"/>
  <c r="H23" i="63"/>
  <c r="K82" i="46" s="1"/>
  <c r="K105" i="18"/>
  <c r="K104" i="18"/>
  <c r="H15" i="63"/>
  <c r="L40" i="62" s="1"/>
  <c r="G105" i="18"/>
  <c r="G104" i="18"/>
  <c r="L58" i="34"/>
  <c r="K58" i="34"/>
  <c r="I15" i="63"/>
  <c r="M40" i="62" s="1"/>
  <c r="I23" i="63"/>
  <c r="L82" i="46" s="1"/>
  <c r="H17" i="63"/>
  <c r="K48" i="61" s="1"/>
  <c r="K47" i="61"/>
  <c r="H18" i="63"/>
  <c r="C40" i="38"/>
  <c r="D40" i="38" s="1"/>
  <c r="E40" i="38"/>
  <c r="I103" i="61"/>
  <c r="H82" i="18"/>
  <c r="H77" i="18"/>
  <c r="H83" i="18"/>
  <c r="H80" i="18"/>
  <c r="K89" i="18"/>
  <c r="K99" i="18"/>
  <c r="G100" i="18"/>
  <c r="G99" i="18"/>
  <c r="H103" i="61"/>
  <c r="G35" i="63"/>
  <c r="K38" i="53"/>
  <c r="K39" i="53"/>
  <c r="I152" i="18"/>
  <c r="D42" i="18"/>
  <c r="D14" i="18"/>
  <c r="G106" i="18"/>
  <c r="G102" i="18"/>
  <c r="G98" i="18"/>
  <c r="G101" i="18"/>
  <c r="K100" i="18"/>
  <c r="K106" i="18"/>
  <c r="K101" i="18"/>
  <c r="K107" i="18"/>
  <c r="K102" i="18"/>
  <c r="K98" i="18"/>
  <c r="K103" i="18"/>
  <c r="B28" i="63"/>
  <c r="D34" i="63"/>
  <c r="D35" i="63" s="1"/>
  <c r="E34" i="63"/>
  <c r="E35" i="63" s="1"/>
  <c r="F34" i="63"/>
  <c r="F35" i="63" s="1"/>
  <c r="H152" i="18"/>
  <c r="H32" i="18"/>
  <c r="H115" i="18" s="1"/>
  <c r="K126" i="18"/>
  <c r="K122" i="18"/>
  <c r="K125" i="18"/>
  <c r="K119" i="18"/>
  <c r="K124" i="18"/>
  <c r="K118" i="18"/>
  <c r="K120" i="18"/>
  <c r="G124" i="18"/>
  <c r="G126" i="18"/>
  <c r="G122" i="18"/>
  <c r="G125" i="18"/>
  <c r="G119" i="18"/>
  <c r="G118" i="18"/>
  <c r="H58" i="34"/>
  <c r="H78" i="46"/>
  <c r="I58" i="34"/>
  <c r="I78" i="46"/>
  <c r="I82" i="46"/>
  <c r="I81" i="46"/>
  <c r="H82" i="46"/>
  <c r="H81" i="46"/>
  <c r="I40" i="62"/>
  <c r="I39" i="62"/>
  <c r="G89" i="18"/>
  <c r="G152" i="18"/>
  <c r="L14" i="38"/>
  <c r="L15" i="38" s="1"/>
  <c r="L30" i="38" s="1"/>
  <c r="L79" i="38" s="1"/>
  <c r="C135" i="18"/>
  <c r="I111" i="38"/>
  <c r="I110" i="38"/>
  <c r="I114" i="38"/>
  <c r="I112" i="38"/>
  <c r="I87" i="38"/>
  <c r="I116" i="38"/>
  <c r="I109" i="38"/>
  <c r="I105" i="38"/>
  <c r="I101" i="38"/>
  <c r="I97" i="38"/>
  <c r="I107" i="38"/>
  <c r="I103" i="38"/>
  <c r="I99" i="38"/>
  <c r="I95" i="38"/>
  <c r="I106" i="38"/>
  <c r="I108" i="38"/>
  <c r="I104" i="38"/>
  <c r="I96" i="38"/>
  <c r="I102" i="38"/>
  <c r="I98" i="38"/>
  <c r="I32" i="18"/>
  <c r="I115" i="18" s="1"/>
  <c r="C14" i="18"/>
  <c r="C136" i="18"/>
  <c r="I79" i="18"/>
  <c r="J70" i="18"/>
  <c r="J84" i="18" s="1"/>
  <c r="K152" i="18"/>
  <c r="I72" i="18"/>
  <c r="I71" i="18"/>
  <c r="F10" i="18"/>
  <c r="K10" i="18"/>
  <c r="J71" i="18"/>
  <c r="J85" i="18" s="1"/>
  <c r="H73" i="18"/>
  <c r="K73" i="18"/>
  <c r="I86" i="38"/>
  <c r="I84" i="38"/>
  <c r="I85" i="38"/>
  <c r="I88" i="38"/>
  <c r="I83" i="38"/>
  <c r="H89" i="38"/>
  <c r="I76" i="18"/>
  <c r="I82" i="38"/>
  <c r="I81" i="38"/>
  <c r="I80" i="38"/>
  <c r="I79" i="38"/>
  <c r="I78" i="38"/>
  <c r="I77" i="38"/>
  <c r="I76" i="38"/>
  <c r="I75" i="38"/>
  <c r="I74" i="38"/>
  <c r="I73" i="38"/>
  <c r="F30" i="38"/>
  <c r="L49" i="61" l="1"/>
  <c r="F12" i="63"/>
  <c r="C37" i="62"/>
  <c r="D36" i="18"/>
  <c r="I155" i="18"/>
  <c r="H38" i="45"/>
  <c r="E45" i="38"/>
  <c r="D45" i="38" s="1"/>
  <c r="H165" i="61"/>
  <c r="G38" i="45"/>
  <c r="M89" i="38"/>
  <c r="Q89" i="38"/>
  <c r="K89" i="38"/>
  <c r="J89" i="38"/>
  <c r="I114" i="18"/>
  <c r="I109" i="18"/>
  <c r="H114" i="18"/>
  <c r="H109" i="18"/>
  <c r="I89" i="18"/>
  <c r="I104" i="18"/>
  <c r="I105" i="18"/>
  <c r="H99" i="18"/>
  <c r="H105" i="18"/>
  <c r="H104" i="18"/>
  <c r="D16" i="63"/>
  <c r="G47" i="61" s="1"/>
  <c r="H19" i="63"/>
  <c r="K50" i="61" s="1"/>
  <c r="K49" i="61"/>
  <c r="H81" i="18"/>
  <c r="H78" i="18"/>
  <c r="H74" i="18"/>
  <c r="H87" i="18"/>
  <c r="C72" i="18"/>
  <c r="I86" i="18"/>
  <c r="K81" i="18"/>
  <c r="K78" i="18"/>
  <c r="K74" i="18"/>
  <c r="K87" i="18"/>
  <c r="C76" i="18"/>
  <c r="I82" i="18"/>
  <c r="C82" i="18" s="1"/>
  <c r="I77" i="18"/>
  <c r="C77" i="18" s="1"/>
  <c r="C79" i="18"/>
  <c r="I83" i="18"/>
  <c r="C83" i="18" s="1"/>
  <c r="I80" i="18"/>
  <c r="C80" i="18" s="1"/>
  <c r="I99" i="18"/>
  <c r="B34" i="63"/>
  <c r="B35" i="63" s="1"/>
  <c r="B29" i="63"/>
  <c r="F16" i="63"/>
  <c r="I106" i="18"/>
  <c r="I102" i="18"/>
  <c r="I98" i="18"/>
  <c r="I100" i="18"/>
  <c r="I107" i="18"/>
  <c r="I101" i="18"/>
  <c r="I103" i="18"/>
  <c r="H107" i="18"/>
  <c r="H100" i="18"/>
  <c r="H106" i="18"/>
  <c r="H102" i="18"/>
  <c r="H98" i="18"/>
  <c r="H101" i="18"/>
  <c r="H103" i="18"/>
  <c r="G120" i="18"/>
  <c r="D36" i="63"/>
  <c r="D37" i="63" s="1"/>
  <c r="F36" i="63"/>
  <c r="F37" i="63" s="1"/>
  <c r="E36" i="63"/>
  <c r="E37" i="63" s="1"/>
  <c r="H122" i="18"/>
  <c r="H89" i="18"/>
  <c r="H125" i="18"/>
  <c r="H118" i="18"/>
  <c r="H124" i="18"/>
  <c r="H126" i="18"/>
  <c r="H119" i="18"/>
  <c r="I126" i="18"/>
  <c r="I122" i="18"/>
  <c r="I125" i="18"/>
  <c r="I119" i="18"/>
  <c r="I118" i="18"/>
  <c r="I124" i="18"/>
  <c r="C71" i="18"/>
  <c r="C70" i="18"/>
  <c r="E16" i="63"/>
  <c r="E17" i="63" s="1"/>
  <c r="O14" i="38"/>
  <c r="O15" i="38" s="1"/>
  <c r="F110" i="38"/>
  <c r="F114" i="38"/>
  <c r="F112" i="38"/>
  <c r="F111" i="38"/>
  <c r="L85" i="38"/>
  <c r="L112" i="38"/>
  <c r="L111" i="38"/>
  <c r="L110" i="38"/>
  <c r="L114" i="38"/>
  <c r="L113" i="38"/>
  <c r="L75" i="38"/>
  <c r="L87" i="38"/>
  <c r="L106" i="38"/>
  <c r="L102" i="38"/>
  <c r="L98" i="38"/>
  <c r="L108" i="38"/>
  <c r="L100" i="38"/>
  <c r="L96" i="38"/>
  <c r="L103" i="38"/>
  <c r="L99" i="38"/>
  <c r="L116" i="38"/>
  <c r="L115" i="38"/>
  <c r="L109" i="38"/>
  <c r="L105" i="38"/>
  <c r="L101" i="38"/>
  <c r="L97" i="38"/>
  <c r="L104" i="38"/>
  <c r="L95" i="38"/>
  <c r="L107" i="38"/>
  <c r="L76" i="38"/>
  <c r="L80" i="38"/>
  <c r="L83" i="38"/>
  <c r="L88" i="38"/>
  <c r="F87" i="38"/>
  <c r="F108" i="38"/>
  <c r="F104" i="38"/>
  <c r="F96" i="38"/>
  <c r="F106" i="38"/>
  <c r="F102" i="38"/>
  <c r="F98" i="38"/>
  <c r="F109" i="38"/>
  <c r="F107" i="38"/>
  <c r="F103" i="38"/>
  <c r="F99" i="38"/>
  <c r="F95" i="38"/>
  <c r="F116" i="38"/>
  <c r="F101" i="38"/>
  <c r="F105" i="38"/>
  <c r="F97" i="38"/>
  <c r="L73" i="38"/>
  <c r="L77" i="38"/>
  <c r="L81" i="38"/>
  <c r="L86" i="38"/>
  <c r="L74" i="38"/>
  <c r="L78" i="38"/>
  <c r="L82" i="38"/>
  <c r="L84" i="38"/>
  <c r="I85" i="18"/>
  <c r="C161" i="18"/>
  <c r="L10" i="18"/>
  <c r="J73" i="18"/>
  <c r="L73" i="18"/>
  <c r="K68" i="18"/>
  <c r="K94" i="18" s="1"/>
  <c r="G73" i="18"/>
  <c r="C42" i="18"/>
  <c r="F84" i="38"/>
  <c r="F88" i="38"/>
  <c r="F85" i="38"/>
  <c r="F86" i="38"/>
  <c r="F83" i="38"/>
  <c r="I89" i="38"/>
  <c r="I73" i="18"/>
  <c r="F31" i="38"/>
  <c r="F82" i="38"/>
  <c r="F81" i="38"/>
  <c r="F80" i="38"/>
  <c r="F79" i="38"/>
  <c r="F78" i="38"/>
  <c r="F77" i="38"/>
  <c r="F75" i="38"/>
  <c r="F74" i="38"/>
  <c r="F76" i="38"/>
  <c r="F73" i="38"/>
  <c r="E35" i="38"/>
  <c r="B12" i="63" l="1"/>
  <c r="B13" i="63" s="1"/>
  <c r="F13" i="63"/>
  <c r="J38" i="62" s="1"/>
  <c r="C38" i="62" s="1"/>
  <c r="F14" i="63"/>
  <c r="H38" i="18"/>
  <c r="H157" i="18" s="1"/>
  <c r="D18" i="63"/>
  <c r="D19" i="63" s="1"/>
  <c r="G50" i="61" s="1"/>
  <c r="D17" i="63"/>
  <c r="G48" i="61" s="1"/>
  <c r="I78" i="18"/>
  <c r="I81" i="18"/>
  <c r="I74" i="18"/>
  <c r="I87" i="18"/>
  <c r="G78" i="18"/>
  <c r="G87" i="18"/>
  <c r="G81" i="18"/>
  <c r="G74" i="18"/>
  <c r="J81" i="18"/>
  <c r="J78" i="18"/>
  <c r="J87" i="18"/>
  <c r="J74" i="18"/>
  <c r="L78" i="18"/>
  <c r="L81" i="18"/>
  <c r="L87" i="18"/>
  <c r="L74" i="18"/>
  <c r="I120" i="18"/>
  <c r="I157" i="18"/>
  <c r="I47" i="61"/>
  <c r="F17" i="63"/>
  <c r="I48" i="61" s="1"/>
  <c r="F18" i="63"/>
  <c r="H47" i="61"/>
  <c r="E14" i="38"/>
  <c r="D14" i="38" s="1"/>
  <c r="H48" i="61"/>
  <c r="E18" i="63"/>
  <c r="E19" i="63" s="1"/>
  <c r="L89" i="38"/>
  <c r="E15" i="38"/>
  <c r="D15" i="38" s="1"/>
  <c r="D35" i="38"/>
  <c r="C85" i="18"/>
  <c r="C84" i="18"/>
  <c r="L68" i="18"/>
  <c r="L94" i="18" s="1"/>
  <c r="C86" i="18"/>
  <c r="C73" i="18"/>
  <c r="F89" i="38"/>
  <c r="H120" i="18" l="1"/>
  <c r="F15" i="63"/>
  <c r="J40" i="62" s="1"/>
  <c r="J39" i="62"/>
  <c r="G49" i="61"/>
  <c r="C87" i="18"/>
  <c r="I49" i="61"/>
  <c r="F19" i="63"/>
  <c r="I50" i="61" s="1"/>
  <c r="H50" i="61"/>
  <c r="H49" i="61"/>
  <c r="I68" i="18"/>
  <c r="I94" i="18" s="1"/>
  <c r="I10" i="18"/>
  <c r="H10" i="18"/>
  <c r="H68" i="18"/>
  <c r="H94" i="18" s="1"/>
  <c r="C78" i="18"/>
  <c r="C81" i="18"/>
  <c r="C74" i="18"/>
  <c r="L47" i="38"/>
  <c r="O47" i="38"/>
  <c r="M47" i="38"/>
  <c r="N47" i="38"/>
  <c r="Q47" i="38"/>
  <c r="K47" i="38"/>
  <c r="P47" i="38"/>
  <c r="J68" i="18" l="1"/>
  <c r="J94" i="18" s="1"/>
  <c r="J10" i="18"/>
  <c r="Q48" i="38"/>
  <c r="Q62" i="38" s="1"/>
  <c r="Q121" i="38" s="1"/>
  <c r="N48" i="38"/>
  <c r="N62" i="38" s="1"/>
  <c r="N121" i="38" s="1"/>
  <c r="L48" i="38"/>
  <c r="L62" i="38" s="1"/>
  <c r="L121" i="38" s="1"/>
  <c r="M48" i="38"/>
  <c r="M62" i="38" s="1"/>
  <c r="M121" i="38" s="1"/>
  <c r="K48" i="38"/>
  <c r="K62" i="38" s="1"/>
  <c r="K121" i="38" s="1"/>
  <c r="C131" i="18" l="1"/>
  <c r="L39" i="18" l="1"/>
  <c r="L158" i="18" s="1"/>
  <c r="I39" i="18"/>
  <c r="I158" i="18" s="1"/>
  <c r="K39" i="18"/>
  <c r="G158" i="18"/>
  <c r="H39" i="18"/>
  <c r="K121" i="18" l="1"/>
  <c r="K158" i="18"/>
  <c r="H121" i="18"/>
  <c r="H158" i="18"/>
  <c r="G121" i="18"/>
  <c r="I121" i="18"/>
  <c r="L121" i="18"/>
  <c r="F73" i="18" l="1"/>
  <c r="F78" i="18" s="1"/>
  <c r="F68" i="18" l="1"/>
  <c r="G68" i="18" l="1"/>
  <c r="G10" i="18"/>
  <c r="C10" i="18" s="1"/>
  <c r="G38" i="34"/>
  <c r="H38" i="34"/>
  <c r="E24" i="63" s="1"/>
  <c r="L38" i="34"/>
  <c r="I24" i="63" s="1"/>
  <c r="I38" i="34"/>
  <c r="F24" i="63" s="1"/>
  <c r="J38" i="34"/>
  <c r="G24" i="63" s="1"/>
  <c r="K38" i="34"/>
  <c r="H24" i="63" s="1"/>
  <c r="C68" i="18" l="1"/>
  <c r="G94" i="18"/>
  <c r="C94" i="18" s="1"/>
  <c r="K59" i="34"/>
  <c r="H25" i="63"/>
  <c r="K60" i="34" s="1"/>
  <c r="J59" i="34"/>
  <c r="G25" i="63"/>
  <c r="J60" i="34" s="1"/>
  <c r="I59" i="34"/>
  <c r="F25" i="63"/>
  <c r="I60" i="34" s="1"/>
  <c r="L59" i="34"/>
  <c r="I25" i="63"/>
  <c r="L60" i="34" s="1"/>
  <c r="H59" i="34"/>
  <c r="E25" i="63"/>
  <c r="H60" i="34" s="1"/>
  <c r="F26" i="63"/>
  <c r="F27" i="63" s="1"/>
  <c r="F38" i="63"/>
  <c r="F39" i="63" s="1"/>
  <c r="I26" i="63"/>
  <c r="I27" i="63" s="1"/>
  <c r="I38" i="63"/>
  <c r="I39" i="63" s="1"/>
  <c r="C44" i="38"/>
  <c r="D24" i="63"/>
  <c r="H26" i="63"/>
  <c r="H27" i="63" s="1"/>
  <c r="H38" i="63"/>
  <c r="H39" i="63" s="1"/>
  <c r="E26" i="63"/>
  <c r="E27" i="63" s="1"/>
  <c r="E38" i="63"/>
  <c r="E39" i="63" s="1"/>
  <c r="C36" i="38"/>
  <c r="C155" i="18"/>
  <c r="F36" i="38" l="1"/>
  <c r="G36" i="38"/>
  <c r="H44" i="38"/>
  <c r="G44" i="38"/>
  <c r="F44" i="38"/>
  <c r="G59" i="34"/>
  <c r="D25" i="63"/>
  <c r="G60" i="34" s="1"/>
  <c r="J41" i="62"/>
  <c r="I83" i="46"/>
  <c r="I51" i="61"/>
  <c r="K51" i="61"/>
  <c r="L41" i="62"/>
  <c r="K83" i="46"/>
  <c r="M41" i="62"/>
  <c r="L83" i="46"/>
  <c r="L51" i="61"/>
  <c r="I41" i="62"/>
  <c r="H83" i="46"/>
  <c r="H51" i="61"/>
  <c r="H63" i="34"/>
  <c r="I63" i="34"/>
  <c r="K63" i="34"/>
  <c r="L63" i="34"/>
  <c r="H62" i="34"/>
  <c r="H61" i="34"/>
  <c r="I62" i="34"/>
  <c r="I61" i="34"/>
  <c r="K62" i="34"/>
  <c r="K61" i="34"/>
  <c r="L62" i="34"/>
  <c r="L61" i="34"/>
  <c r="B24" i="63"/>
  <c r="B25" i="63" s="1"/>
  <c r="D26" i="63"/>
  <c r="D27" i="63" s="1"/>
  <c r="D38" i="63"/>
  <c r="D39" i="63" s="1"/>
  <c r="G41" i="18"/>
  <c r="H41" i="18"/>
  <c r="G14" i="45" s="1"/>
  <c r="F113" i="38" l="1"/>
  <c r="F115" i="38"/>
  <c r="H115" i="38"/>
  <c r="H113" i="38"/>
  <c r="G47" i="38"/>
  <c r="H100" i="38"/>
  <c r="H47" i="38"/>
  <c r="H48" i="38" s="1"/>
  <c r="H62" i="38" s="1"/>
  <c r="H121" i="38" s="1"/>
  <c r="G160" i="18"/>
  <c r="F14" i="45"/>
  <c r="H123" i="18"/>
  <c r="H160" i="18"/>
  <c r="D59" i="34"/>
  <c r="D60" i="34"/>
  <c r="G123" i="18"/>
  <c r="H41" i="62"/>
  <c r="G51" i="61"/>
  <c r="G83" i="46"/>
  <c r="I64" i="34"/>
  <c r="J42" i="62"/>
  <c r="I84" i="46"/>
  <c r="I52" i="61"/>
  <c r="K64" i="34"/>
  <c r="K52" i="61"/>
  <c r="K84" i="46"/>
  <c r="L42" i="62"/>
  <c r="H64" i="34"/>
  <c r="H52" i="61"/>
  <c r="I42" i="62"/>
  <c r="H84" i="46"/>
  <c r="L64" i="34"/>
  <c r="L52" i="61"/>
  <c r="M42" i="62"/>
  <c r="L84" i="46"/>
  <c r="G63" i="34"/>
  <c r="G62" i="34"/>
  <c r="G61" i="34"/>
  <c r="H45" i="18"/>
  <c r="G45" i="18"/>
  <c r="C47" i="38"/>
  <c r="I41" i="18"/>
  <c r="H14" i="45" s="1"/>
  <c r="C48" i="38" l="1"/>
  <c r="I123" i="18"/>
  <c r="I160" i="18"/>
  <c r="H127" i="18"/>
  <c r="H90" i="18"/>
  <c r="H91" i="18" s="1"/>
  <c r="G127" i="18"/>
  <c r="G90" i="18"/>
  <c r="G64" i="34"/>
  <c r="G52" i="61"/>
  <c r="G84" i="46"/>
  <c r="H42" i="62"/>
  <c r="I45" i="18"/>
  <c r="G164" i="18"/>
  <c r="H164" i="18"/>
  <c r="H166" i="18" s="1"/>
  <c r="H171" i="18" s="1"/>
  <c r="G47" i="18"/>
  <c r="H47" i="18"/>
  <c r="J41" i="18"/>
  <c r="G61" i="18" l="1"/>
  <c r="G62" i="18" s="1"/>
  <c r="J160" i="18"/>
  <c r="I127" i="18"/>
  <c r="I90" i="18"/>
  <c r="I91" i="18" s="1"/>
  <c r="H61" i="18"/>
  <c r="H62" i="18" s="1"/>
  <c r="H48" i="18"/>
  <c r="H129" i="18" s="1"/>
  <c r="G48" i="18"/>
  <c r="G129" i="18" s="1"/>
  <c r="H128" i="18"/>
  <c r="H57" i="18"/>
  <c r="G128" i="18"/>
  <c r="G57" i="18"/>
  <c r="G58" i="18" s="1"/>
  <c r="G166" i="18"/>
  <c r="C38" i="34"/>
  <c r="I164" i="18"/>
  <c r="I166" i="18" s="1"/>
  <c r="I171" i="18" s="1"/>
  <c r="H167" i="18"/>
  <c r="H169" i="18"/>
  <c r="I47" i="18"/>
  <c r="G91" i="18"/>
  <c r="K41" i="18"/>
  <c r="J14" i="45" s="1"/>
  <c r="L41" i="18"/>
  <c r="K14" i="45" s="1"/>
  <c r="L123" i="18" l="1"/>
  <c r="L160" i="18"/>
  <c r="K123" i="18"/>
  <c r="K160" i="18"/>
  <c r="I61" i="18"/>
  <c r="I62" i="18" s="1"/>
  <c r="I48" i="18"/>
  <c r="I129" i="18" s="1"/>
  <c r="G169" i="18"/>
  <c r="G171" i="18"/>
  <c r="D41" i="18"/>
  <c r="I128" i="18"/>
  <c r="I57" i="18"/>
  <c r="G167" i="18"/>
  <c r="K45" i="18"/>
  <c r="L45" i="18"/>
  <c r="I169" i="18"/>
  <c r="I167" i="18"/>
  <c r="H58" i="18"/>
  <c r="C41" i="18"/>
  <c r="K127" i="18" l="1"/>
  <c r="K90" i="18"/>
  <c r="K91" i="18" s="1"/>
  <c r="L127" i="18"/>
  <c r="L90" i="18"/>
  <c r="L91" i="18" s="1"/>
  <c r="L47" i="18"/>
  <c r="C160" i="18"/>
  <c r="K164" i="18"/>
  <c r="K166" i="18" s="1"/>
  <c r="I58" i="18"/>
  <c r="L164" i="18"/>
  <c r="L166" i="18" s="1"/>
  <c r="L171" i="18" s="1"/>
  <c r="K47" i="18"/>
  <c r="K48" i="18" l="1"/>
  <c r="K129" i="18" s="1"/>
  <c r="K61" i="18"/>
  <c r="K62" i="18" s="1"/>
  <c r="L48" i="18"/>
  <c r="L61" i="18"/>
  <c r="L62" i="18" s="1"/>
  <c r="K167" i="18"/>
  <c r="L167" i="18" s="1"/>
  <c r="K171" i="18"/>
  <c r="L57" i="18"/>
  <c r="K128" i="18"/>
  <c r="K57" i="18"/>
  <c r="L128" i="18"/>
  <c r="L129" i="18" l="1"/>
  <c r="F45" i="18" l="1"/>
  <c r="C36" i="18"/>
  <c r="F47" i="18" l="1"/>
  <c r="F127" i="18"/>
  <c r="E64" i="38" l="1"/>
  <c r="F123" i="38" s="1"/>
  <c r="G51" i="18"/>
  <c r="H51" i="18" s="1"/>
  <c r="I51" i="18" s="1"/>
  <c r="F128" i="18"/>
  <c r="F57" i="18"/>
  <c r="F49" i="18"/>
  <c r="F50" i="18" s="1"/>
  <c r="F63" i="18"/>
  <c r="F131" i="18" s="1"/>
  <c r="F64" i="38" l="1"/>
  <c r="G49" i="18"/>
  <c r="F55" i="18"/>
  <c r="G63" i="18"/>
  <c r="G64" i="18" s="1"/>
  <c r="H49" i="18" l="1"/>
  <c r="H50" i="18" s="1"/>
  <c r="H55" i="18" s="1"/>
  <c r="G50" i="18"/>
  <c r="G55" i="18" s="1"/>
  <c r="H63" i="18"/>
  <c r="H64" i="18" s="1"/>
  <c r="G131" i="18"/>
  <c r="I49" i="18" l="1"/>
  <c r="I50" i="18" s="1"/>
  <c r="I55" i="18" s="1"/>
  <c r="H131" i="18"/>
  <c r="I63" i="18"/>
  <c r="I64" i="18" s="1"/>
  <c r="I131" i="18" l="1"/>
  <c r="F284" i="35" l="1"/>
  <c r="F225" i="35" l="1"/>
  <c r="F199" i="35" l="1"/>
  <c r="F283" i="35"/>
  <c r="I225" i="35"/>
  <c r="I284" i="35"/>
  <c r="H225" i="35"/>
  <c r="H284" i="35"/>
  <c r="G225" i="35"/>
  <c r="G284" i="35"/>
  <c r="J225" i="35" l="1"/>
  <c r="F291" i="35"/>
  <c r="F268" i="35" s="1"/>
  <c r="F200" i="35"/>
  <c r="I283" i="35"/>
  <c r="I199" i="35"/>
  <c r="G283" i="35"/>
  <c r="G199" i="35"/>
  <c r="J283" i="35"/>
  <c r="F287" i="35"/>
  <c r="J287" i="35" s="1"/>
  <c r="F270" i="35"/>
  <c r="H283" i="35"/>
  <c r="H199" i="35"/>
  <c r="J284" i="35"/>
  <c r="F292" i="35" l="1"/>
  <c r="F202" i="35"/>
  <c r="F294" i="35" s="1"/>
  <c r="I291" i="35"/>
  <c r="I268" i="35" s="1"/>
  <c r="I200" i="35"/>
  <c r="H291" i="35"/>
  <c r="H268" i="35" s="1"/>
  <c r="H200" i="35"/>
  <c r="G291" i="35"/>
  <c r="J291" i="35" s="1"/>
  <c r="G200" i="35"/>
  <c r="J199" i="35"/>
  <c r="G270" i="35"/>
  <c r="G287" i="35"/>
  <c r="H270" i="35"/>
  <c r="H287" i="35"/>
  <c r="I270" i="35"/>
  <c r="I287" i="35"/>
  <c r="G268" i="35" l="1"/>
  <c r="J268" i="35" s="1"/>
  <c r="G202" i="35"/>
  <c r="G294" i="35" s="1"/>
  <c r="G271" i="35" s="1"/>
  <c r="G292" i="35"/>
  <c r="G269" i="35" s="1"/>
  <c r="F271" i="35"/>
  <c r="H292" i="35"/>
  <c r="H202" i="35"/>
  <c r="H294" i="35" s="1"/>
  <c r="H271" i="35" s="1"/>
  <c r="J200" i="35"/>
  <c r="J202" i="35" s="1"/>
  <c r="I292" i="35"/>
  <c r="I202" i="35"/>
  <c r="I294" i="35" s="1"/>
  <c r="I271" i="35" s="1"/>
  <c r="F269" i="35"/>
  <c r="F297" i="35"/>
  <c r="F299" i="35" s="1"/>
  <c r="G274" i="35" l="1"/>
  <c r="G276" i="35" s="1"/>
  <c r="J292" i="35"/>
  <c r="G297" i="35"/>
  <c r="G299" i="35" s="1"/>
  <c r="F274" i="35"/>
  <c r="F276" i="35" s="1"/>
  <c r="H269" i="35"/>
  <c r="H274" i="35" s="1"/>
  <c r="H276" i="35" s="1"/>
  <c r="H297" i="35"/>
  <c r="H299" i="35" s="1"/>
  <c r="I269" i="35"/>
  <c r="I274" i="35" s="1"/>
  <c r="I276" i="35" s="1"/>
  <c r="I297" i="35"/>
  <c r="I299" i="35" s="1"/>
  <c r="J294" i="35"/>
  <c r="J271" i="35"/>
  <c r="J269" i="35" l="1"/>
  <c r="J115" i="18"/>
  <c r="J75" i="61"/>
  <c r="J74" i="61"/>
  <c r="C101" i="13"/>
  <c r="J24" i="18"/>
  <c r="J102" i="61" l="1"/>
  <c r="J103" i="61" s="1"/>
  <c r="J27" i="18"/>
  <c r="J32" i="18" s="1"/>
  <c r="J109" i="18" s="1"/>
  <c r="C105" i="13"/>
  <c r="K109" i="13"/>
  <c r="J45" i="61" s="1"/>
  <c r="C45" i="61" s="1"/>
  <c r="D24" i="18"/>
  <c r="J146" i="18"/>
  <c r="C24" i="18"/>
  <c r="J161" i="61" l="1"/>
  <c r="J163" i="61" s="1"/>
  <c r="J165" i="61" s="1"/>
  <c r="J38" i="18" s="1"/>
  <c r="J112" i="18"/>
  <c r="J106" i="18"/>
  <c r="J125" i="18"/>
  <c r="J118" i="18"/>
  <c r="J123" i="18"/>
  <c r="J46" i="61"/>
  <c r="J124" i="18"/>
  <c r="J122" i="18"/>
  <c r="J104" i="18"/>
  <c r="G10" i="63"/>
  <c r="K29" i="62" s="1"/>
  <c r="C29" i="62" s="1"/>
  <c r="J89" i="18"/>
  <c r="C89" i="18" s="1"/>
  <c r="J98" i="18"/>
  <c r="J100" i="18"/>
  <c r="J102" i="18"/>
  <c r="J126" i="18"/>
  <c r="I13" i="45"/>
  <c r="J101" i="18"/>
  <c r="J107" i="18"/>
  <c r="J119" i="18"/>
  <c r="J105" i="18"/>
  <c r="K110" i="13"/>
  <c r="J33" i="18" s="1"/>
  <c r="C109" i="13"/>
  <c r="J114" i="18"/>
  <c r="D32" i="18"/>
  <c r="E43" i="18" s="1"/>
  <c r="D27" i="18"/>
  <c r="C27" i="18"/>
  <c r="C32" i="18" s="1"/>
  <c r="J144" i="18"/>
  <c r="C144" i="18" s="1"/>
  <c r="C146" i="18"/>
  <c r="C163" i="61" l="1"/>
  <c r="G16" i="63"/>
  <c r="G38" i="63" s="1"/>
  <c r="J63" i="34" s="1"/>
  <c r="C165" i="61"/>
  <c r="C109" i="18"/>
  <c r="C107" i="18"/>
  <c r="I36" i="45"/>
  <c r="I25" i="45"/>
  <c r="D25" i="45" s="1"/>
  <c r="D13" i="45"/>
  <c r="G11" i="63"/>
  <c r="J78" i="46" s="1"/>
  <c r="G26" i="63"/>
  <c r="J61" i="34" s="1"/>
  <c r="B10" i="63"/>
  <c r="B14" i="63" s="1"/>
  <c r="B15" i="63" s="1"/>
  <c r="G18" i="63"/>
  <c r="J49" i="61" s="1"/>
  <c r="C49" i="61" s="1"/>
  <c r="E32" i="18"/>
  <c r="E27" i="18"/>
  <c r="E26" i="18"/>
  <c r="G22" i="63"/>
  <c r="G23" i="63" s="1"/>
  <c r="J82" i="46" s="1"/>
  <c r="E22" i="18"/>
  <c r="G36" i="63"/>
  <c r="G37" i="63" s="1"/>
  <c r="E20" i="18"/>
  <c r="J57" i="34"/>
  <c r="J77" i="46"/>
  <c r="G14" i="63"/>
  <c r="G15" i="63" s="1"/>
  <c r="K40" i="62" s="1"/>
  <c r="C40" i="62" s="1"/>
  <c r="E44" i="18"/>
  <c r="J152" i="18"/>
  <c r="C152" i="18" s="1"/>
  <c r="E42" i="18"/>
  <c r="E13" i="18"/>
  <c r="E37" i="18"/>
  <c r="E17" i="18"/>
  <c r="E40" i="18"/>
  <c r="E19" i="18"/>
  <c r="E24" i="18"/>
  <c r="E23" i="18"/>
  <c r="E30" i="18"/>
  <c r="E14" i="18"/>
  <c r="E41" i="18"/>
  <c r="E21" i="18"/>
  <c r="E36" i="18"/>
  <c r="E16" i="18"/>
  <c r="E28" i="18"/>
  <c r="E18" i="18"/>
  <c r="E29" i="18"/>
  <c r="E31" i="18"/>
  <c r="E15" i="18"/>
  <c r="E25" i="18"/>
  <c r="C119" i="18"/>
  <c r="C126" i="18"/>
  <c r="C102" i="18"/>
  <c r="C125" i="18"/>
  <c r="C123" i="18"/>
  <c r="C112" i="18"/>
  <c r="C124" i="18"/>
  <c r="C118" i="18"/>
  <c r="C103" i="18"/>
  <c r="C110" i="18"/>
  <c r="C101" i="18"/>
  <c r="C115" i="18"/>
  <c r="C111" i="18"/>
  <c r="C114" i="18"/>
  <c r="C108" i="18"/>
  <c r="C106" i="18"/>
  <c r="C105" i="18"/>
  <c r="C99" i="18"/>
  <c r="C98" i="18"/>
  <c r="C100" i="18"/>
  <c r="C104" i="18"/>
  <c r="C122" i="18"/>
  <c r="C113" i="18"/>
  <c r="J120" i="18"/>
  <c r="D38" i="18"/>
  <c r="E38" i="18" s="1"/>
  <c r="C38" i="18"/>
  <c r="J157" i="18"/>
  <c r="I14" i="45"/>
  <c r="D14" i="45" s="1"/>
  <c r="G17" i="63"/>
  <c r="J48" i="61" s="1"/>
  <c r="J47" i="61"/>
  <c r="C47" i="61" s="1"/>
  <c r="B16" i="63"/>
  <c r="B17" i="63" s="1"/>
  <c r="C48" i="61" s="1"/>
  <c r="J58" i="34" l="1"/>
  <c r="G27" i="63"/>
  <c r="J62" i="34" s="1"/>
  <c r="I38" i="45"/>
  <c r="B11" i="63"/>
  <c r="E78" i="46" s="1"/>
  <c r="B36" i="63"/>
  <c r="B37" i="63" s="1"/>
  <c r="B26" i="63"/>
  <c r="B27" i="63" s="1"/>
  <c r="D62" i="34" s="1"/>
  <c r="E77" i="46"/>
  <c r="D57" i="34"/>
  <c r="B22" i="63"/>
  <c r="B23" i="63" s="1"/>
  <c r="E82" i="46" s="1"/>
  <c r="G19" i="63"/>
  <c r="J50" i="61" s="1"/>
  <c r="K39" i="62"/>
  <c r="C39" i="62" s="1"/>
  <c r="G39" i="63"/>
  <c r="J64" i="34" s="1"/>
  <c r="J83" i="46"/>
  <c r="J81" i="46"/>
  <c r="K41" i="62"/>
  <c r="C41" i="62" s="1"/>
  <c r="J51" i="61"/>
  <c r="C157" i="18"/>
  <c r="C120" i="18"/>
  <c r="B18" i="63"/>
  <c r="B19" i="63" s="1"/>
  <c r="C50" i="61" s="1"/>
  <c r="B38" i="63"/>
  <c r="D58" i="34" l="1"/>
  <c r="D61" i="34"/>
  <c r="J39" i="18"/>
  <c r="D38" i="45"/>
  <c r="E81" i="46"/>
  <c r="K42" i="62"/>
  <c r="C42" i="62" s="1"/>
  <c r="J52" i="61"/>
  <c r="J84" i="46"/>
  <c r="D63" i="34"/>
  <c r="B39" i="63"/>
  <c r="E83" i="46"/>
  <c r="C51" i="61"/>
  <c r="J158" i="18" l="1"/>
  <c r="D39" i="18"/>
  <c r="E39" i="18" s="1"/>
  <c r="C39" i="18"/>
  <c r="J45" i="18"/>
  <c r="J121" i="18"/>
  <c r="D64" i="34"/>
  <c r="E84" i="46"/>
  <c r="C52" i="61"/>
  <c r="J127" i="18" l="1"/>
  <c r="D45" i="18"/>
  <c r="E45" i="18" s="1"/>
  <c r="J90" i="18"/>
  <c r="J47" i="18"/>
  <c r="J51" i="18" s="1"/>
  <c r="K51" i="18" s="1"/>
  <c r="L51" i="18" s="1"/>
  <c r="C121" i="18"/>
  <c r="C45" i="18"/>
  <c r="C158" i="18"/>
  <c r="J164" i="18"/>
  <c r="C127" i="18" l="1"/>
  <c r="C47" i="18"/>
  <c r="C128" i="18" s="1"/>
  <c r="J48" i="18"/>
  <c r="J129" i="18" s="1"/>
  <c r="J57" i="18"/>
  <c r="J58" i="18" s="1"/>
  <c r="K58" i="18" s="1"/>
  <c r="L58" i="18" s="1"/>
  <c r="J63" i="18"/>
  <c r="J128" i="18"/>
  <c r="J49" i="18"/>
  <c r="J50" i="18" s="1"/>
  <c r="D47" i="18"/>
  <c r="E47" i="18" s="1"/>
  <c r="J61" i="18"/>
  <c r="J62" i="18" s="1"/>
  <c r="J166" i="18"/>
  <c r="C164" i="18"/>
  <c r="C166" i="18" s="1"/>
  <c r="C169" i="18" s="1"/>
  <c r="C90" i="18"/>
  <c r="J91" i="18"/>
  <c r="C91" i="18" s="1"/>
  <c r="J64" i="18" l="1"/>
  <c r="J131" i="18"/>
  <c r="K63" i="18"/>
  <c r="K49" i="18"/>
  <c r="K50" i="18" s="1"/>
  <c r="J55" i="18"/>
  <c r="J167" i="18"/>
  <c r="J169" i="18"/>
  <c r="K169" i="18" s="1"/>
  <c r="L169" i="18" s="1"/>
  <c r="J171" i="18"/>
  <c r="P30" i="38"/>
  <c r="P111" i="38" s="1"/>
  <c r="E16" i="38"/>
  <c r="D16" i="38" s="1"/>
  <c r="O30" i="38"/>
  <c r="O106" i="38" s="1"/>
  <c r="K55" i="18" l="1"/>
  <c r="L49" i="18"/>
  <c r="K64" i="18"/>
  <c r="K131" i="18"/>
  <c r="L63" i="18"/>
  <c r="P81" i="38"/>
  <c r="P116" i="38"/>
  <c r="P87" i="38"/>
  <c r="P82" i="38"/>
  <c r="P109" i="38"/>
  <c r="P95" i="38"/>
  <c r="P76" i="38"/>
  <c r="P98" i="38"/>
  <c r="P84" i="38"/>
  <c r="P113" i="38"/>
  <c r="P115" i="38"/>
  <c r="P108" i="38"/>
  <c r="P96" i="38"/>
  <c r="P103" i="38"/>
  <c r="P102" i="38"/>
  <c r="P105" i="38"/>
  <c r="P97" i="38"/>
  <c r="P77" i="38"/>
  <c r="P74" i="38"/>
  <c r="P114" i="38"/>
  <c r="P78" i="38"/>
  <c r="O78" i="38"/>
  <c r="O115" i="38"/>
  <c r="O111" i="38"/>
  <c r="O102" i="38"/>
  <c r="O98" i="38"/>
  <c r="O86" i="38"/>
  <c r="P48" i="38"/>
  <c r="P62" i="38" s="1"/>
  <c r="P121" i="38" s="1"/>
  <c r="O103" i="38"/>
  <c r="O112" i="38"/>
  <c r="O113" i="38"/>
  <c r="O85" i="38"/>
  <c r="O104" i="38"/>
  <c r="O99" i="38"/>
  <c r="O108" i="38"/>
  <c r="O87" i="38"/>
  <c r="O95" i="38"/>
  <c r="P75" i="38"/>
  <c r="P73" i="38"/>
  <c r="O80" i="38"/>
  <c r="O97" i="38"/>
  <c r="O74" i="38"/>
  <c r="O73" i="38"/>
  <c r="P88" i="38"/>
  <c r="P104" i="38"/>
  <c r="P107" i="38"/>
  <c r="O105" i="38"/>
  <c r="O110" i="38"/>
  <c r="O96" i="38"/>
  <c r="O76" i="38"/>
  <c r="O100" i="38"/>
  <c r="O75" i="38"/>
  <c r="P80" i="38"/>
  <c r="P101" i="38"/>
  <c r="P112" i="38"/>
  <c r="O114" i="38"/>
  <c r="O107" i="38"/>
  <c r="O88" i="38"/>
  <c r="O79" i="38"/>
  <c r="O116" i="38"/>
  <c r="P99" i="38"/>
  <c r="P85" i="38"/>
  <c r="P100" i="38"/>
  <c r="O109" i="38"/>
  <c r="O77" i="38"/>
  <c r="O101" i="38"/>
  <c r="O84" i="38"/>
  <c r="O48" i="38"/>
  <c r="P86" i="38"/>
  <c r="P83" i="38"/>
  <c r="P110" i="38"/>
  <c r="P106" i="38"/>
  <c r="P79" i="38"/>
  <c r="O81" i="38"/>
  <c r="O83" i="38"/>
  <c r="O82" i="38"/>
  <c r="L50" i="18" l="1"/>
  <c r="C50" i="18" s="1"/>
  <c r="L131" i="18"/>
  <c r="L64" i="18"/>
  <c r="O89" i="38"/>
  <c r="P89" i="38"/>
  <c r="O62" i="38"/>
  <c r="L55" i="18" l="1"/>
  <c r="O121" i="38"/>
  <c r="F47" i="38" l="1"/>
  <c r="F49" i="38" s="1"/>
  <c r="F100" i="38"/>
  <c r="F117" i="38" l="1"/>
  <c r="F48" i="38"/>
  <c r="F62" i="38" s="1"/>
  <c r="F66" i="38" s="1"/>
  <c r="G49" i="38"/>
  <c r="G64" i="38" l="1"/>
  <c r="F118" i="38"/>
  <c r="F121" i="38"/>
  <c r="F125" i="38" s="1"/>
  <c r="G123" i="38" s="1"/>
  <c r="H49" i="38"/>
  <c r="G68" i="38" l="1"/>
  <c r="G117" i="38"/>
  <c r="I113" i="38" l="1"/>
  <c r="I115" i="38"/>
  <c r="E44" i="38"/>
  <c r="D44" i="38" l="1"/>
  <c r="G30" i="38" l="1"/>
  <c r="G95" i="38" s="1"/>
  <c r="E29" i="38"/>
  <c r="E30" i="38" s="1"/>
  <c r="G110" i="38" l="1"/>
  <c r="G104" i="38"/>
  <c r="G97" i="38"/>
  <c r="G113" i="38"/>
  <c r="G100" i="38"/>
  <c r="G74" i="38"/>
  <c r="G80" i="38"/>
  <c r="G82" i="38"/>
  <c r="G112" i="38"/>
  <c r="G79" i="38"/>
  <c r="G73" i="38"/>
  <c r="G108" i="38"/>
  <c r="G76" i="38"/>
  <c r="G88" i="38"/>
  <c r="G103" i="38"/>
  <c r="G107" i="38"/>
  <c r="G83" i="38"/>
  <c r="G31" i="38"/>
  <c r="H31" i="38" s="1"/>
  <c r="H90" i="38" s="1"/>
  <c r="G77" i="38"/>
  <c r="G98" i="38"/>
  <c r="G106" i="38"/>
  <c r="G75" i="38"/>
  <c r="G115" i="38"/>
  <c r="G85" i="38"/>
  <c r="G87" i="38"/>
  <c r="G109" i="38"/>
  <c r="G84" i="38"/>
  <c r="G102" i="38"/>
  <c r="G101" i="38"/>
  <c r="G114" i="38"/>
  <c r="G99" i="38"/>
  <c r="D29" i="38"/>
  <c r="E73" i="38"/>
  <c r="E83" i="38"/>
  <c r="E99" i="38"/>
  <c r="E80" i="38"/>
  <c r="E77" i="38"/>
  <c r="E108" i="38"/>
  <c r="E97" i="38"/>
  <c r="E81" i="38"/>
  <c r="E82" i="38"/>
  <c r="E103" i="38"/>
  <c r="E74" i="38"/>
  <c r="F90" i="38"/>
  <c r="E104" i="38"/>
  <c r="F32" i="38"/>
  <c r="E85" i="38"/>
  <c r="E87" i="38"/>
  <c r="E107" i="38"/>
  <c r="E78" i="38"/>
  <c r="E96" i="38"/>
  <c r="E79" i="38"/>
  <c r="E102" i="38"/>
  <c r="E86" i="38"/>
  <c r="E110" i="38"/>
  <c r="E95" i="38"/>
  <c r="E109" i="38"/>
  <c r="E113" i="38"/>
  <c r="E115" i="38"/>
  <c r="E111" i="38"/>
  <c r="E76" i="38"/>
  <c r="E105" i="38"/>
  <c r="E88" i="38"/>
  <c r="D30" i="38"/>
  <c r="D31" i="38" s="1"/>
  <c r="E98" i="38"/>
  <c r="E114" i="38"/>
  <c r="E75" i="38"/>
  <c r="E101" i="38"/>
  <c r="E112" i="38"/>
  <c r="E84" i="38"/>
  <c r="E106" i="38"/>
  <c r="G48" i="38"/>
  <c r="G96" i="38"/>
  <c r="G78" i="38"/>
  <c r="G105" i="38"/>
  <c r="G86" i="38"/>
  <c r="G111" i="38"/>
  <c r="G116" i="38"/>
  <c r="G81" i="38"/>
  <c r="G32" i="38" l="1"/>
  <c r="I31" i="38"/>
  <c r="I32" i="38" s="1"/>
  <c r="H32" i="38"/>
  <c r="G89" i="38"/>
  <c r="G90" i="38"/>
  <c r="J31" i="38"/>
  <c r="I90" i="38"/>
  <c r="G62" i="38"/>
  <c r="E89" i="38"/>
  <c r="E121" i="38" s="1"/>
  <c r="E125" i="38" s="1"/>
  <c r="G66" i="38" l="1"/>
  <c r="G121" i="38"/>
  <c r="G125" i="38" s="1"/>
  <c r="H123" i="38" s="1"/>
  <c r="H125" i="38" s="1"/>
  <c r="I123" i="38" s="1"/>
  <c r="J32" i="38"/>
  <c r="K31" i="38"/>
  <c r="J90" i="38"/>
  <c r="K32" i="38" l="1"/>
  <c r="K90" i="38"/>
  <c r="L31" i="38"/>
  <c r="H64" i="38"/>
  <c r="G118" i="38"/>
  <c r="H117" i="38" l="1"/>
  <c r="H68" i="38"/>
  <c r="H66" i="38"/>
  <c r="L90" i="38"/>
  <c r="M31" i="38"/>
  <c r="L32" i="38"/>
  <c r="N31" i="38" l="1"/>
  <c r="M32" i="38"/>
  <c r="M90" i="38"/>
  <c r="H118" i="38"/>
  <c r="I64" i="38"/>
  <c r="N32" i="38" l="1"/>
  <c r="O31" i="38"/>
  <c r="N90" i="38"/>
  <c r="P31" i="38" l="1"/>
  <c r="O32" i="38"/>
  <c r="O90" i="38"/>
  <c r="P32" i="38" l="1"/>
  <c r="Q31" i="38"/>
  <c r="P90" i="38"/>
  <c r="Q90" i="38" l="1"/>
  <c r="Q32" i="38"/>
  <c r="I47" i="38"/>
  <c r="I117" i="38" s="1"/>
  <c r="J47" i="38"/>
  <c r="J48" i="38" s="1"/>
  <c r="J62" i="38" s="1"/>
  <c r="J121" i="38" s="1"/>
  <c r="J100" i="38"/>
  <c r="I100" i="38"/>
  <c r="E36" i="38"/>
  <c r="E47" i="38" s="1"/>
  <c r="I48" i="38" l="1"/>
  <c r="I62" i="38" s="1"/>
  <c r="I66" i="38" s="1"/>
  <c r="I49" i="38"/>
  <c r="J49" i="38" s="1"/>
  <c r="J50" i="38" s="1"/>
  <c r="J51" i="38" s="1"/>
  <c r="E62" i="38"/>
  <c r="E66" i="38" s="1"/>
  <c r="G50" i="38"/>
  <c r="G51" i="38" s="1"/>
  <c r="F50" i="38"/>
  <c r="F51" i="38" s="1"/>
  <c r="D36" i="38"/>
  <c r="D47" i="38" s="1"/>
  <c r="E100" i="38"/>
  <c r="H50" i="38"/>
  <c r="H51" i="38" s="1"/>
  <c r="I68" i="38"/>
  <c r="K49" i="38" l="1"/>
  <c r="I50" i="38"/>
  <c r="I51" i="38" s="1"/>
  <c r="E48" i="38"/>
  <c r="I121" i="38"/>
  <c r="I125" i="38" s="1"/>
  <c r="J123" i="38" s="1"/>
  <c r="J125" i="38" s="1"/>
  <c r="K123" i="38" s="1"/>
  <c r="K125" i="38" s="1"/>
  <c r="L123" i="38" s="1"/>
  <c r="L125" i="38" s="1"/>
  <c r="M123" i="38" s="1"/>
  <c r="M125" i="38" s="1"/>
  <c r="N123" i="38" s="1"/>
  <c r="N125" i="38" s="1"/>
  <c r="O123" i="38" s="1"/>
  <c r="O125" i="38" s="1"/>
  <c r="P123" i="38" s="1"/>
  <c r="P125" i="38" s="1"/>
  <c r="Q123" i="38" s="1"/>
  <c r="Q125" i="38" s="1"/>
  <c r="L49" i="38"/>
  <c r="K50" i="38"/>
  <c r="K51" i="38" s="1"/>
  <c r="J64" i="38"/>
  <c r="I118" i="38"/>
  <c r="J68" i="38" l="1"/>
  <c r="J66" i="38"/>
  <c r="J117" i="38"/>
  <c r="M49" i="38"/>
  <c r="L50" i="38"/>
  <c r="L51" i="38" s="1"/>
  <c r="N49" i="38" l="1"/>
  <c r="M50" i="38"/>
  <c r="M51" i="38" s="1"/>
  <c r="K64" i="38"/>
  <c r="J118" i="38"/>
  <c r="K117" i="38" l="1"/>
  <c r="K66" i="38"/>
  <c r="K68" i="38"/>
  <c r="N50" i="38"/>
  <c r="N51" i="38" s="1"/>
  <c r="O49" i="38"/>
  <c r="O50" i="38" l="1"/>
  <c r="O51" i="38" s="1"/>
  <c r="P49" i="38"/>
  <c r="K118" i="38"/>
  <c r="L64" i="38"/>
  <c r="L117" i="38" l="1"/>
  <c r="L68" i="38"/>
  <c r="L66" i="38"/>
  <c r="Q49" i="38"/>
  <c r="Q50" i="38" s="1"/>
  <c r="Q51" i="38" s="1"/>
  <c r="P50" i="38"/>
  <c r="P51" i="38" s="1"/>
  <c r="M64" i="38" l="1"/>
  <c r="L118" i="38"/>
  <c r="M117" i="38" l="1"/>
  <c r="M68" i="38"/>
  <c r="M66" i="38"/>
  <c r="N64" i="38" l="1"/>
  <c r="M118" i="38"/>
  <c r="N66" i="38" l="1"/>
  <c r="N68" i="38"/>
  <c r="N117" i="38"/>
  <c r="N118" i="38" l="1"/>
  <c r="O64" i="38"/>
  <c r="O117" i="38" l="1"/>
  <c r="O66" i="38"/>
  <c r="O68" i="38"/>
  <c r="P64" i="38" l="1"/>
  <c r="O118" i="38"/>
  <c r="P68" i="38" l="1"/>
  <c r="P117" i="38"/>
  <c r="P66" i="38"/>
  <c r="P118" i="38" l="1"/>
  <c r="Q64" i="38"/>
  <c r="Q68" i="38" l="1"/>
  <c r="Q66" i="38"/>
  <c r="Q118" i="38" s="1"/>
  <c r="Q11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Collin Raymond</author>
    <author>tc={C9720B80-4DE7-4342-B7EE-57EDC974AF12}</author>
    <author>tc={9909DB41-4054-4051-8E9D-3A06A152DDC1}</author>
    <author>tc={AE8693CC-D799-40D8-BC0A-DDEFCADE3B8B}</author>
    <author>tc={14D4832A-A429-4B66-9D06-54B3C5043617}</author>
    <author>tc={B847000C-AC3D-464A-9FCB-AF07C0B48B0E}</author>
    <author>tc={B6F42B41-A78D-412D-AF3D-9126A5E0D606}</author>
    <author>tc={60129E67-CD70-46E7-91DA-906463589E3F}</author>
    <author>tc={E0B74DCF-2136-4060-977D-5542CAFEBFAB}</author>
  </authors>
  <commentList>
    <comment ref="F6" authorId="0" shapeId="0" xr:uid="{8D695161-D750-4C65-A5A9-44294F9639EB}">
      <text>
        <r>
          <rPr>
            <sz val="9"/>
            <color indexed="81"/>
            <rFont val="Tahoma"/>
            <charset val="1"/>
          </rPr>
          <t>Actuals &amp; projections through 6/30/25</t>
        </r>
      </text>
    </comment>
    <comment ref="C9" authorId="1"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3" authorId="2"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36" authorId="3"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36" authorId="4"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 ref="B114" authorId="5" shapeId="0" xr:uid="{B847000C-AC3D-464A-9FCB-AF07C0B48B0E}">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8" authorId="6"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35" authorId="7"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55" authorId="8"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tc={FC7B4D31-52E5-4D8E-9CFD-7E893C787CAE}</author>
    <author>tc={3148EB90-8AD1-426D-8608-1AB43F281B40}</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H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56" authorId="2" shapeId="0" xr:uid="{FC7B4D31-52E5-4D8E-9CFD-7E893C787CAE}">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H56" authorId="3" shapeId="0" xr:uid="{3148EB90-8AD1-426D-8608-1AB43F281B40}">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Michael Dang</author>
    <author>tc={FAF9EAF0-2408-4BEA-AA7F-D3ED4C6366EF}</author>
    <author>tc={B4A5A7BE-9ECA-44B0-A7A9-E6BB00275A8D}</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E43" authorId="1" shapeId="0" xr:uid="{7846BBB6-DE30-49D3-AECA-8EDEEA206CA0}">
      <text>
        <r>
          <rPr>
            <b/>
            <sz val="9"/>
            <color indexed="81"/>
            <rFont val="Tahoma"/>
            <family val="2"/>
          </rPr>
          <t>Michael Dang:</t>
        </r>
        <r>
          <rPr>
            <sz val="9"/>
            <color indexed="81"/>
            <rFont val="Tahoma"/>
            <family val="2"/>
          </rPr>
          <t xml:space="preserve">
"</t>
        </r>
        <r>
          <rPr>
            <b/>
            <sz val="9"/>
            <color indexed="81"/>
            <rFont val="Tahoma"/>
            <family val="2"/>
          </rPr>
          <t>Estimated Overall Enrollment</t>
        </r>
        <r>
          <rPr>
            <sz val="9"/>
            <color indexed="81"/>
            <rFont val="Tahoma"/>
            <family val="2"/>
          </rPr>
          <t xml:space="preserve">" Enrollment statistics for special populations often count a student in multiple categories, such as SPED &amp; FRL, or SPED, ELL and FRL. The NDE or SPCSA numbers and percentages you typically see are assumed to include multiple category (Duplication) student counts.  Your </t>
        </r>
        <r>
          <rPr>
            <b/>
            <sz val="9"/>
            <color indexed="81"/>
            <rFont val="Tahoma"/>
            <family val="2"/>
          </rPr>
          <t xml:space="preserve">"Estimated Overall Enrollment" </t>
        </r>
        <r>
          <rPr>
            <sz val="9"/>
            <color indexed="81"/>
            <rFont val="Tahoma"/>
            <family val="2"/>
          </rPr>
          <t xml:space="preserve"> estimates should align with the general special population percentage estimates. You can find the NDE Enrollment Excel files and calculate these initial percentages that we generally see here: https://doe.nv.gov/DataCenter/Enrollment/
The PCFP will only pay a school additional funding for one of however many special population groups a student may belong to.  So, these information sets in D40:F47 are designed to help you estimate the likely number of students if they could only be counted in one of their multiple categories.  This is the first time applicants and the SPCSA are estimating this information so do the best you can.  
Your "</t>
        </r>
        <r>
          <rPr>
            <b/>
            <sz val="9"/>
            <color indexed="81"/>
            <rFont val="Tahoma"/>
            <family val="2"/>
          </rPr>
          <t>Estimated % w/Duplication</t>
        </r>
        <r>
          <rPr>
            <sz val="9"/>
            <color indexed="81"/>
            <rFont val="Tahoma"/>
            <family val="2"/>
          </rPr>
          <t>" estimates are your estimates of how much duplication you estimate are likely in each category .  Say you believe 5% of your ELL students may also be SpEd students.  You would enter 5% here.   
Enrollment statistics for special populations often count a student in multiple categories, such as SPED &amp; FRL, or SPED, ELL and FRL. Your "Estimated % w/Duplication" estimates should align with the general special population percentage estimates.  
Since SpEd is the category with the highest additional funding support it is assumed that a school will want all SpEd students to be counted in this SpEd category. That is why this category is grayed out. 
For example, an AR-SpEd cannot be counted in both categories. The SpEd category provides 23% additional funding compared to the 3% additional funding for AR.  So, again, it is assumed the school will select the category with the highest additional funding support--since the school can only be funded additional State support for one of however many State categories the student may qualify for. 
The student may qualify for other federal categories.</t>
        </r>
      </text>
    </comment>
    <comment ref="B51" authorId="1"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C70" authorId="2"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t>
      </text>
    </comment>
    <comment ref="C74" authorId="3" shapeId="0" xr:uid="{B4A5A7BE-9ECA-44B0-A7A9-E6BB00275A8D}">
      <text>
        <t>[Threaded comment]
Your version of Excel allows you to read this threaded comment; however, any edits to it will get removed if the file is opened in a newer version of Excel. Learn more: https://go.microsoft.com/fwlink/?linkid=870924
Comment:
    From $1,500. 2019.11.14</t>
      </text>
    </comment>
    <comment ref="B100" authorId="1"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01" authorId="1"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tc={BDF6EB88-3B12-45EF-B31B-51448D1C1895}</author>
    <author>tc={CC4CE2D3-F1FC-4593-8BE0-D7109E7EAC25}</author>
    <author>tc={747F349B-9CDE-4C7C-8445-7504F225BB0C}</author>
    <author>tc={5F5A5891-0F7E-438F-98FE-D46B19DAAF7A}</author>
    <author>Collin Raymond</author>
    <author>tc={E1B0AABC-FE85-4305-BCDA-D864236FBEFC}</author>
    <author>tc={105A4EF2-9C02-45A7-B312-9628B5927DF1}</author>
    <author>tc={5FEA338C-255D-43F8-9B7C-705D98B58B85}</author>
  </authors>
  <commentList>
    <comment ref="B14"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F14" authorId="1" shapeId="0" xr:uid="{BDF6EB88-3B12-45EF-B31B-51448D1C1895}">
      <text>
        <t>[Threaded comment]
Your version of Excel allows you to read this threaded comment; however, any edits to it will get removed if the file is opened in a newer version of Excel. Learn more: https://go.microsoft.com/fwlink/?linkid=870924
Comment:
    =(B14/4)*0.75 used to reflect not getting full amount in Q1 but getting balance of payments equally for remaining quarters--for those on a quarterly payment plan.
Reply:
    Typically paid ~ 0.75~ of estimate and then the 0.25 is made up over the rest of the year.  See Sage formula; based on enrollment count in May.</t>
      </text>
    </comment>
    <comment ref="I14" authorId="2" shapeId="0" xr:uid="{CC4CE2D3-F1FC-4593-8BE0-D7109E7EAC25}">
      <text>
        <t>[Threaded comment]
Your version of Excel allows you to read this threaded comment; however, any edits to it will get removed if the file is opened in a newer version of Excel. Learn more: https://go.microsoft.com/fwlink/?linkid=870924
Comment:
    used to reflect getting balance of payments equally for remaining quarters--for those on a quarterly payment plan.</t>
      </text>
    </comment>
    <comment ref="B35" authorId="3"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5" authorId="4"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C41" authorId="5" shapeId="0" xr:uid="{05212FB4-ADF4-429F-BC3C-068A0B41609B}">
      <text>
        <r>
          <rPr>
            <b/>
            <sz val="9"/>
            <color indexed="81"/>
            <rFont val="Tahoma"/>
            <family val="2"/>
          </rPr>
          <t>Collin Raymond:</t>
        </r>
        <r>
          <rPr>
            <sz val="9"/>
            <color indexed="81"/>
            <rFont val="Tahoma"/>
            <family val="2"/>
          </rPr>
          <t xml:space="preserve">
$50k noncash from RSF</t>
        </r>
      </text>
    </comment>
    <comment ref="B73" authorId="6"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5" authorId="7"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7" authorId="8" shapeId="0" xr:uid="{5FEA338C-255D-43F8-9B7C-705D98B58B85}">
      <text>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tc={BB876C0D-D72D-40DF-BBA0-A96536A8DE50}</author>
    <author>tc={1CF34B65-6989-4C5E-895F-D702F9E5C6C4}</author>
    <author>tc={DE6D8AEB-CA6E-4A02-9B56-DCBD41232770}</author>
    <author>tc={32620B01-D3E1-43C4-9965-1086B1BE1DD3}</author>
    <author>tc={8B1027DD-1690-4078-BE4E-8CCE2602C947}</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06" authorId="2" shapeId="0" xr:uid="{BB876C0D-D72D-40DF-BBA0-A96536A8DE50}">
      <text>
        <t>[Threaded comment]
Your version of Excel allows you to read this threaded comment; however, any edits to it will get removed if the file is opened in a newer version of Excel. Learn more: https://go.microsoft.com/fwlink/?linkid=870924
Comment:
    Per year</t>
      </text>
    </comment>
    <comment ref="D108" authorId="3" shapeId="0" xr:uid="{1CF34B65-6989-4C5E-895F-D702F9E5C6C4}">
      <text>
        <t>[Threaded comment]
Your version of Excel allows you to read this threaded comment; however, any edits to it will get removed if the file is opened in a newer version of Excel. Learn more: https://go.microsoft.com/fwlink/?linkid=870924
Comment:
    Per year</t>
      </text>
    </comment>
    <comment ref="D113" authorId="4" shapeId="0" xr:uid="{DE6D8AEB-CA6E-4A02-9B56-DCBD41232770}">
      <text>
        <t>[Threaded comment]
Your version of Excel allows you to read this threaded comment; however, any edits to it will get removed if the file is opened in a newer version of Excel. Learn more: https://go.microsoft.com/fwlink/?linkid=870924
Comment:
    Per student</t>
      </text>
    </comment>
    <comment ref="D114" authorId="5" shapeId="0" xr:uid="{32620B01-D3E1-43C4-9965-1086B1BE1DD3}">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15" authorId="6" shapeId="0" xr:uid="{8B1027DD-1690-4078-BE4E-8CCE2602C947}">
      <text>
        <t>[Threaded comment]
Your version of Excel allows you to read this threaded comment; however, any edits to it will get removed if the file is opened in a newer version of Excel. Learn more: https://go.microsoft.com/fwlink/?linkid=870924
Comment:
    Per student</t>
      </text>
    </comment>
    <comment ref="D116" authorId="7"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61" authorId="8"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tc={5A0A3B32-63B9-42AC-8F5E-76D6B93E179E}</author>
    <author>tc={3FB75770-6A7E-41E4-989A-899F878C4E99}</author>
    <author>Collin Raymond</author>
    <author>tc={9FA39296-9023-4041-80FE-8575CCE2873E}</author>
    <author>Michael Dang</author>
    <author>tc={D1F6324D-8682-456C-9C83-BF47E7B5D48E}</author>
  </authors>
  <commentList>
    <comment ref="B55" authorId="0" shapeId="0" xr:uid="{5A0A3B32-63B9-42AC-8F5E-76D6B93E179E}">
      <text>
        <t xml:space="preserve">[Threaded comment]
Your version of Excel allows you to read this threaded comment; however, any edits to it will get removed if the file is opened in a newer version of Excel. Learn more: https://go.microsoft.com/fwlink/?linkid=870924
Comment: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
      </text>
    </comment>
    <comment ref="C57" authorId="1" shapeId="0" xr:uid="{3FB75770-6A7E-41E4-989A-899F878C4E99}">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D77" authorId="2" shapeId="0" xr:uid="{52746C57-2D94-4689-9184-18367ADCA2D9}">
      <text>
        <r>
          <rPr>
            <b/>
            <sz val="9"/>
            <color indexed="81"/>
            <rFont val="Tahoma"/>
            <charset val="1"/>
          </rPr>
          <t>Collin Raymond:</t>
        </r>
        <r>
          <rPr>
            <sz val="9"/>
            <color indexed="81"/>
            <rFont val="Tahoma"/>
            <charset val="1"/>
          </rPr>
          <t xml:space="preserve">
$90k total, paired w/ CTE Teacher #1</t>
        </r>
      </text>
    </comment>
    <comment ref="G133" authorId="3"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87" authorId="4" shapeId="0" xr:uid="{14AC2698-762C-4ABE-A80D-71FA3654B7A1}">
      <text>
        <r>
          <rPr>
            <b/>
            <sz val="9"/>
            <color indexed="81"/>
            <rFont val="Tahoma"/>
            <family val="2"/>
          </rPr>
          <t>Michael Dang:</t>
        </r>
        <r>
          <rPr>
            <sz val="9"/>
            <color indexed="81"/>
            <rFont val="Tahoma"/>
            <family val="2"/>
          </rPr>
          <t xml:space="preserve">
This inflation formula is an estimator.  It provides a simple estimated inflation amount for alll salaries.  It is applied to the salaries for the one year in question--whether or not the salaries for that year have received any due inflation from the prior year.  In other words, there is no compound inflation being applied so the total inflation and salary expenses would be slightly higher w/adjusted fliers.  
In other words, there is no compounded salary increase for a staff who was there the prior year or more.    
This model allows direct or manual data entry into data cells.  Consequently, at this time we don't want the model to appear too complex.  That said, the "error" from not using compounded inflation should be minor.  For one thing, we're modeling only for a six year contract. And </t>
        </r>
      </text>
    </comment>
    <comment ref="B420" authorId="5"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tc={70378DE7-6B40-4D69-A2B5-CDAE21ECCA12}</author>
    <author>tc={4D20B39F-CCD5-40F6-88A7-DA908090EB1A}</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1"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34"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34"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35" authorId="4" shapeId="0" xr:uid="{70378DE7-6B40-4D69-A2B5-CDAE21ECCA1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35"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65" authorId="6"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65" authorId="7"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66" authorId="8"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66" authorId="9"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0" authorId="10"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tc={3FF9201C-DBC8-4F22-A8BB-367D4D170A1D}</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3FF9201C-DBC8-4F22-A8BB-367D4D170A1D}">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Collin Raymond</author>
  </authors>
  <commentList>
    <comment ref="I36" authorId="0" shapeId="0" xr:uid="{78B6F7C5-51AD-423A-880C-EEAF1170B494}">
      <text>
        <r>
          <rPr>
            <b/>
            <sz val="9"/>
            <color indexed="81"/>
            <rFont val="Tahoma"/>
            <family val="2"/>
          </rPr>
          <t>Collin Raymond:</t>
        </r>
        <r>
          <rPr>
            <sz val="9"/>
            <color indexed="81"/>
            <rFont val="Tahoma"/>
            <family val="2"/>
          </rPr>
          <t xml:space="preserve">
$50k noncash inkind from RSF
$10k Mariposa noncash ad buy via O180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tc={AE20A937-C675-4D93-974B-C8C4FB974162}</author>
  </authors>
  <commentList>
    <comment ref="Q13" authorId="0" shapeId="0" xr:uid="{AE20A937-C675-4D93-974B-C8C4FB974162}">
      <text>
        <t>[Threaded comment]
Your version of Excel allows you to read this threaded comment; however, any edits to it will get removed if the file is opened in a newer version of Excel. Learn more: https://go.microsoft.com/fwlink/?linkid=870924
Comment:
    Used SY 2017-18 projections from NDE Budget Template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<sst xmlns="http://schemas.openxmlformats.org/spreadsheetml/2006/main" count="3079" uniqueCount="1443">
  <si>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</si>
  <si>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</si>
  <si>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</si>
  <si>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</si>
  <si>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</si>
  <si>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</si>
  <si>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</si>
  <si>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Summary tab</t>
  </si>
  <si>
    <t>No entry needed on this tab</t>
  </si>
  <si>
    <t>Market tab</t>
  </si>
  <si>
    <t>Use this tab to show your target market, planned enrollments and potential demand and demographics of the "feeder" schools in your  planned service area.</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</si>
  <si>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</si>
  <si>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</si>
  <si>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</si>
  <si>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</si>
  <si>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</si>
  <si>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</si>
  <si>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</si>
  <si>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</si>
  <si>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</si>
  <si>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</si>
  <si>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</si>
  <si>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</si>
  <si>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</si>
  <si>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</si>
  <si>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</si>
  <si>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</si>
  <si>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</si>
  <si>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</si>
  <si>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</si>
  <si>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</si>
  <si>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</si>
  <si>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</si>
  <si>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</si>
  <si>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</si>
  <si>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</si>
  <si>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</si>
  <si>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</si>
  <si>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</si>
  <si>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</si>
  <si>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</si>
  <si>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</si>
  <si>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</si>
  <si>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FFE&amp;T (Furniture, Fixtures, Equipment &amp; Technology) tab</t>
  </si>
  <si>
    <t>See "Note FFE" tab for a note regarding the depreciation approach used in this model.</t>
  </si>
  <si>
    <t>Marketing tab</t>
  </si>
  <si>
    <t>Use this tab to show your marketing plan to reach your target market.</t>
  </si>
  <si>
    <t>Insurance tab</t>
  </si>
  <si>
    <t>Use this tab only for unique pre-opening plan/budget costs. Otherwise, use the other expense sheets.</t>
  </si>
  <si>
    <t>EMO-CMO tab</t>
  </si>
  <si>
    <t>Use this tab to show your plan/budget -- if you use a EMO/CMO.</t>
  </si>
  <si>
    <t>Cashflow Year 1 tab</t>
  </si>
  <si>
    <t>Use this tab to "spread" your year 1 expenses out on a monthly basis.</t>
  </si>
  <si>
    <t>DSA Rates tab</t>
  </si>
  <si>
    <t>FYI</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</si>
  <si>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</si>
  <si>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</si>
  <si>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</si>
  <si>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t>
  </si>
  <si>
    <t>Questions?  Contact:</t>
  </si>
  <si>
    <t xml:space="preserve">Michael Hutchins, 775.687.9239, M.Hutchins@spcsa.nv.gov  </t>
  </si>
  <si>
    <t>Application Cover Sheet</t>
  </si>
  <si>
    <t>Mike Dang</t>
  </si>
  <si>
    <t>702.486.8879</t>
  </si>
  <si>
    <t>Proposed Name of School</t>
  </si>
  <si>
    <t xml:space="preserve">Planned school year starting in August </t>
  </si>
  <si>
    <t>School Year Ending (SYE)</t>
  </si>
  <si>
    <t>Name of lead contact(s)</t>
  </si>
  <si>
    <t>Phone number</t>
  </si>
  <si>
    <t xml:space="preserve">  email address</t>
  </si>
  <si>
    <t>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</si>
  <si>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</si>
  <si>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</si>
  <si>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</si>
  <si>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</si>
  <si>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</si>
  <si>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</si>
  <si>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</si>
  <si>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</si>
  <si>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Complete?</t>
  </si>
  <si>
    <t>/Applicant</t>
  </si>
  <si>
    <t>/SPCSA</t>
  </si>
  <si>
    <t>TOC Notes</t>
  </si>
  <si>
    <t>Comments (Applicant/SPCSA) (Not in print range)</t>
  </si>
  <si>
    <t>NA</t>
  </si>
  <si>
    <t>Cover Page</t>
  </si>
  <si>
    <t>Key Profile Information</t>
  </si>
  <si>
    <t>Beginning School Year entered on Cover Page?</t>
  </si>
  <si>
    <t>Summary</t>
  </si>
  <si>
    <t>Summary and Summary of Key Statistics</t>
  </si>
  <si>
    <t>Market</t>
  </si>
  <si>
    <t>Market (Potential Students Populations)</t>
  </si>
  <si>
    <t>Rev_ Enrol</t>
  </si>
  <si>
    <t>Revenue &amp; Enrollment</t>
  </si>
  <si>
    <t>Staff</t>
  </si>
  <si>
    <t>Expenses: Staff</t>
  </si>
  <si>
    <t>Gen Optg</t>
  </si>
  <si>
    <t>Expenses: General Operating</t>
  </si>
  <si>
    <t>Facilities</t>
  </si>
  <si>
    <t>Expenses: Facility Lease/Purchase</t>
  </si>
  <si>
    <t>FFE&amp;T</t>
  </si>
  <si>
    <t>Expenses: Furniture, Fixtures, Equipment &amp; Technology</t>
  </si>
  <si>
    <t>Ins</t>
  </si>
  <si>
    <t>Expenses: Insurance</t>
  </si>
  <si>
    <t>Marketing</t>
  </si>
  <si>
    <t>Expenses: Marketing Plan &amp; Implementation</t>
  </si>
  <si>
    <t>Incubation</t>
  </si>
  <si>
    <t>Expenses: Year zero, pre planning.</t>
  </si>
  <si>
    <t>EMO-CMO</t>
  </si>
  <si>
    <t xml:space="preserve">Expenses: Education/Charter Management Organization </t>
  </si>
  <si>
    <t>CF Y1 Mo</t>
  </si>
  <si>
    <t>Expenses: Year One--Month to Month</t>
  </si>
  <si>
    <t>Facilities wkst</t>
  </si>
  <si>
    <t>Worksheet which may help calculate Facilities costs (Not required)</t>
  </si>
  <si>
    <t>Applicable Per Pupil Revenue estimates (No completion required)</t>
  </si>
  <si>
    <t>Levers</t>
  </si>
  <si>
    <t>Select Summary Data (Not required, information only)</t>
  </si>
  <si>
    <t>Budget Summary Report</t>
  </si>
  <si>
    <t xml:space="preserve">  </t>
  </si>
  <si>
    <t>Totals/Max'/Avg</t>
  </si>
  <si>
    <t>Number of Students</t>
  </si>
  <si>
    <t>Number of Employees (FTE)</t>
  </si>
  <si>
    <t>REVENUE</t>
  </si>
  <si>
    <t>Total</t>
  </si>
  <si>
    <t>Avg/yr(1-6)</t>
  </si>
  <si>
    <t>%AvTot</t>
  </si>
  <si>
    <t>DSA Funding</t>
  </si>
  <si>
    <t>DSA Sponsorship Fee</t>
  </si>
  <si>
    <t>Title I</t>
  </si>
  <si>
    <t>Title IIA</t>
  </si>
  <si>
    <t>Title III</t>
  </si>
  <si>
    <t>Title IV</t>
  </si>
  <si>
    <t>Federal Breakfast Program</t>
  </si>
  <si>
    <t>Federal Lunch Program</t>
  </si>
  <si>
    <t>IDEA</t>
  </si>
  <si>
    <t>State Special Education Funding</t>
  </si>
  <si>
    <t>"Replication &amp; Expansion" start-up funds</t>
  </si>
  <si>
    <t>Other start-up funds (incl' SEA grants)</t>
  </si>
  <si>
    <t>Student fees</t>
  </si>
  <si>
    <t>Food Services</t>
  </si>
  <si>
    <t>Transportation</t>
  </si>
  <si>
    <t>Investment Income</t>
  </si>
  <si>
    <t>School level fundraising</t>
  </si>
  <si>
    <t>Private fundraising (foundations, corporate)</t>
  </si>
  <si>
    <t>Private fundraising (individuals)</t>
  </si>
  <si>
    <t>TOTAL PCFP REVENUE</t>
  </si>
  <si>
    <t>Total PCFP Revenue PP</t>
  </si>
  <si>
    <t>EXPENSES</t>
  </si>
  <si>
    <t xml:space="preserve">Personnel </t>
  </si>
  <si>
    <t>General Operating Expenses</t>
  </si>
  <si>
    <t>EMO Payments</t>
  </si>
  <si>
    <t>Insurance</t>
  </si>
  <si>
    <t>TOTAL EXPENSES</t>
  </si>
  <si>
    <t>SURPLUS/(DEFICIT)/Period</t>
  </si>
  <si>
    <t>The school operates only with a surplus</t>
  </si>
  <si>
    <t xml:space="preserve">     Per student</t>
  </si>
  <si>
    <t>SURPLUS/(DEFICIT)(Cumu'; capital rqt)</t>
  </si>
  <si>
    <t>Acts as a temporary estimator of cash fund balance</t>
  </si>
  <si>
    <t xml:space="preserve">    Reserves </t>
  </si>
  <si>
    <t>Debt Service Payments-1 (Interest only)</t>
  </si>
  <si>
    <t>Debt Service Payments-2 (Interest only)</t>
  </si>
  <si>
    <t>Total Debt Service</t>
  </si>
  <si>
    <t>SURPLUS/(DEFICIT) After Debt Service &amp; Reserves</t>
  </si>
  <si>
    <t xml:space="preserve">Surplus/(Deficit)-Schl &amp; Pri' Fundraising-S Fees </t>
  </si>
  <si>
    <t>Surplus/(Deficit) (Cumu')</t>
  </si>
  <si>
    <t>KEY STATISTICS</t>
  </si>
  <si>
    <t xml:space="preserve">   # students &gt; Bkeven</t>
  </si>
  <si>
    <t xml:space="preserve">   % students &gt; Bkeven</t>
  </si>
  <si>
    <t>Ending Fund Balance (cumulative)</t>
  </si>
  <si>
    <t>Cumulative Reserve/Expense</t>
  </si>
  <si>
    <t>Number of Employees</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</si>
  <si>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</si>
  <si>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</si>
  <si>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</si>
  <si>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</si>
  <si>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</si>
  <si>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</si>
  <si>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</si>
  <si>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</si>
  <si>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</si>
  <si>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</si>
  <si>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</si>
  <si>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</si>
  <si>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</si>
  <si>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</si>
  <si>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</si>
  <si>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</si>
  <si>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</si>
  <si>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</si>
  <si>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</si>
  <si>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</si>
  <si>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</si>
  <si>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</si>
  <si>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</si>
  <si>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</si>
  <si>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</si>
  <si>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</si>
  <si>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PERCENT TOTAL REVENUE</t>
  </si>
  <si>
    <t>R&amp;E start-up funds</t>
  </si>
  <si>
    <t>Other start-up funds</t>
  </si>
  <si>
    <t>TOTAL REVENUE</t>
  </si>
  <si>
    <t>EMO Payments Net</t>
  </si>
  <si>
    <t>Other Pre-approval &amp; Pre-Opening</t>
  </si>
  <si>
    <t>SURPLUS/(DEFICIT)</t>
  </si>
  <si>
    <t>Ending Fund Balance (Estimator)</t>
  </si>
  <si>
    <t>PER PUPIL (AVERAGES)</t>
  </si>
  <si>
    <t>(Avg y1-6)</t>
  </si>
  <si>
    <t>SURPLUS/(DEFICIT) Per Pupil</t>
  </si>
  <si>
    <t>Ending Fund Balance</t>
  </si>
  <si>
    <t xml:space="preserve">   Surplus/Expenses (aka Annual ration)</t>
  </si>
  <si>
    <t>Market Depth (Potential Students)</t>
  </si>
  <si>
    <t>Location(s) under consideration:</t>
  </si>
  <si>
    <t>Site 1</t>
  </si>
  <si>
    <t>Specific address recommended but not required.</t>
  </si>
  <si>
    <t>SY 0/Incu</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</si>
  <si>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</si>
  <si>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</si>
  <si>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</si>
  <si>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</si>
  <si>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</si>
  <si>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</si>
  <si>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</si>
  <si>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</si>
  <si>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</si>
  <si>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</si>
  <si>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</si>
  <si>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</si>
  <si>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</si>
  <si>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</si>
  <si>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</si>
  <si>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</si>
  <si>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</si>
  <si>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</si>
  <si>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</si>
  <si>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</si>
  <si>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</si>
  <si>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</si>
  <si>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 (You only need to submit 1 site)</t>
  </si>
  <si>
    <t xml:space="preserve">All potential source Public, 
Private, Charter Schools </t>
  </si>
  <si>
    <t>NSPF Rtg</t>
  </si>
  <si>
    <t>Grade
Level(s)</t>
  </si>
  <si>
    <t xml:space="preserve">
Enrollment</t>
  </si>
  <si>
    <t>Distance fr school (mi)</t>
  </si>
  <si>
    <t>This section enables staff to understand the market depth in the area you are considering locating your school.</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</si>
  <si>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</si>
  <si>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</si>
  <si>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applicable)</t>
  </si>
  <si>
    <t>If you have narrowed your site to one location you do not need to fill
out this section.</t>
  </si>
  <si>
    <t>Enrollment &amp; Revenue</t>
  </si>
  <si>
    <t>School Year 1 (Fall Start) Teaching Starts</t>
  </si>
  <si>
    <t>SY Ending</t>
  </si>
  <si>
    <t>Totals</t>
  </si>
  <si>
    <t>Be sure to copy year 1 information from the Cashflow Worksheet</t>
  </si>
  <si>
    <t>Number of Students per Classroom (Goal)</t>
  </si>
  <si>
    <t>Number of classrooms calculated (Estimate)</t>
  </si>
  <si>
    <t>Number of classrooms (Planned)</t>
  </si>
  <si>
    <t>Student / Classroom, calculated</t>
  </si>
  <si>
    <t xml:space="preserve">   Target Reenrollment (NRS 388A.273)</t>
  </si>
  <si>
    <t xml:space="preserve">  Estimated # students to newly enroll (above reenrollment)</t>
  </si>
  <si>
    <t>Est'd</t>
  </si>
  <si>
    <t>(Unique)</t>
  </si>
  <si>
    <t>Overall</t>
  </si>
  <si>
    <t>Est'd %</t>
  </si>
  <si>
    <t>Add'l Funding</t>
  </si>
  <si>
    <t>Enro't</t>
  </si>
  <si>
    <t>w/ Dupl'n</t>
  </si>
  <si>
    <t>w/o Dupl'n</t>
  </si>
  <si>
    <t>Local SPED</t>
  </si>
  <si>
    <t>State Special Education (SPED) (placeholder %)</t>
  </si>
  <si>
    <t>English Language Learners (ELL)</t>
  </si>
  <si>
    <t>Gifted &amp; Talented (GATE)</t>
  </si>
  <si>
    <t>At Risk (AR, fka FRL)</t>
  </si>
  <si>
    <t>General support only</t>
  </si>
  <si>
    <t>The above table for extimating allows applicants to overwrite the estimating formulas if they believe they</t>
  </si>
  <si>
    <t>can be more accurate.  Greater accuracy will reduce over/under payments and payment adjustments.</t>
  </si>
  <si>
    <t>County (In Person) / Distance Ed</t>
  </si>
  <si>
    <t>Distance Education</t>
  </si>
  <si>
    <t xml:space="preserve"> &lt;--Select base PCFP payment category here</t>
  </si>
  <si>
    <t>Payment</t>
  </si>
  <si>
    <t>General support only (All students)</t>
  </si>
  <si>
    <t>Enrollment %</t>
  </si>
  <si>
    <t>At Risk (% of students)</t>
  </si>
  <si>
    <t>ELL (% of students)</t>
  </si>
  <si>
    <t>Special Education (% of students) (contact staff if &gt;25% SPED)</t>
  </si>
  <si>
    <t>Special Education (# of students)</t>
  </si>
  <si>
    <t>Total Distributive School Account, including local 
revenue (funding per student)</t>
  </si>
  <si>
    <t>Base year</t>
  </si>
  <si>
    <t>Inflation adjustor (% per year)</t>
  </si>
  <si>
    <t>Special Education (SPED) Weighted Funding</t>
  </si>
  <si>
    <t>Per student (Placeholder $3,000 6.28.21)</t>
  </si>
  <si>
    <t>Title IA</t>
  </si>
  <si>
    <t>Per student FRL Student</t>
  </si>
  <si>
    <t>Per student FRL Student (note additional $3.50 per non FRL student)</t>
  </si>
  <si>
    <t>Per ELL student</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</si>
  <si>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</si>
  <si>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</si>
  <si>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</si>
  <si>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</si>
  <si>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</si>
  <si>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</si>
  <si>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</si>
  <si>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</si>
  <si>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</si>
  <si>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</si>
  <si>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</si>
  <si>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Core PCFP Funding</t>
  </si>
  <si>
    <t>Initial PCFP Revenue</t>
  </si>
  <si>
    <t>PPR</t>
  </si>
  <si>
    <t>Inflation adjustor</t>
  </si>
  <si>
    <t>Inflation adjusted Revenue</t>
  </si>
  <si>
    <t>PCFP Revenue Net of Sponsor Fee</t>
  </si>
  <si>
    <t>Schools may earn federal revenues in year 1 but not receive it until year 2; plan accordingly</t>
  </si>
  <si>
    <t xml:space="preserve">Federal Lunch Program </t>
  </si>
  <si>
    <t>State SPED Funding</t>
  </si>
  <si>
    <t>SpEd revenue set for prior year SpEd count; Y6 would be received in Y7 (aka Y1 of a renewal)</t>
  </si>
  <si>
    <t>Start-up funds (Federal Replication &amp; Expansion already awarded to operator--not SEA grant)</t>
  </si>
  <si>
    <t>Other start-up grant funds, incl' SEA Grants</t>
  </si>
  <si>
    <t>School level fundraising w/supporting documentation</t>
  </si>
  <si>
    <t>Food Services Revenue</t>
  </si>
  <si>
    <t>Transportation Funding</t>
  </si>
  <si>
    <t>Fundraising / Donations</t>
  </si>
  <si>
    <t>Year 1 Cash Flow Worksheet</t>
  </si>
  <si>
    <t>Fall</t>
  </si>
  <si>
    <t>School Operations Year 1</t>
  </si>
  <si>
    <t xml:space="preserve">Winter, Spring  </t>
  </si>
  <si>
    <t>(This is a year 1 budget.  It is not a pre-opening budget)</t>
  </si>
  <si>
    <t>Sponsorship Fee</t>
  </si>
  <si>
    <t>For those on a quarterly payment plan, the E14 formula of =(B14/4)*0.75 reflects not getting full amount in Q1.  Balance received equally thereafter.</t>
  </si>
  <si>
    <t>(Carry over totals and input to appropriate worksheets)</t>
  </si>
  <si>
    <t>From</t>
  </si>
  <si>
    <t>SY1 Ending</t>
  </si>
  <si>
    <t>Projected</t>
  </si>
  <si>
    <t>Enrol tab</t>
  </si>
  <si>
    <t>Variance</t>
  </si>
  <si>
    <t>July</t>
  </si>
  <si>
    <t>August</t>
  </si>
  <si>
    <t>September</t>
  </si>
  <si>
    <t>October</t>
  </si>
  <si>
    <t>November</t>
  </si>
  <si>
    <t>December</t>
  </si>
  <si>
    <t>January</t>
  </si>
  <si>
    <t>February</t>
  </si>
  <si>
    <t>March</t>
  </si>
  <si>
    <t>April</t>
  </si>
  <si>
    <t xml:space="preserve">May </t>
  </si>
  <si>
    <t>June</t>
  </si>
  <si>
    <t>Comments (out of print range)</t>
  </si>
  <si>
    <t>REVENUES</t>
  </si>
  <si>
    <t>If your enrollment is large enough, NDE may pay you on a monthly</t>
  </si>
  <si>
    <t>basis instead of a quarterly basis.</t>
  </si>
  <si>
    <t>Charter Start up funds</t>
  </si>
  <si>
    <t>Other start-up grant funds</t>
  </si>
  <si>
    <t>Student Fees</t>
  </si>
  <si>
    <t>Private Fundraising (w/Ltr of Support)</t>
  </si>
  <si>
    <t>Fundraising Donations (w/Ltr of Support)</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</si>
  <si>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</si>
  <si>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</si>
  <si>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</si>
  <si>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</si>
  <si>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</si>
  <si>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</si>
  <si>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</si>
  <si>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</si>
  <si>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</si>
  <si>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</si>
  <si>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</si>
  <si>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</si>
  <si>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</si>
  <si>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</si>
  <si>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Total Expenses Y-T-D</t>
  </si>
  <si>
    <t>% Budget YTD</t>
  </si>
  <si>
    <t>YTD (Rev &gt; Exp)</t>
  </si>
  <si>
    <t>FINANCING ACTIVITIES</t>
  </si>
  <si>
    <t>Loans/Financing Acquired</t>
  </si>
  <si>
    <t>Loans/Financing Repaid</t>
  </si>
  <si>
    <t>Loan Balance</t>
  </si>
  <si>
    <t>Interest Expense (assumes 24% APR)</t>
  </si>
  <si>
    <t>Net change in cash from financing</t>
  </si>
  <si>
    <t>Projected Cash Balance Statement</t>
  </si>
  <si>
    <t>Net change in Cash from operations</t>
  </si>
  <si>
    <t>Begin Cash Balance(F/B)</t>
  </si>
  <si>
    <t>End Cash Balance (F/B)</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</si>
  <si>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</si>
  <si>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</si>
  <si>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</si>
  <si>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</si>
  <si>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</si>
  <si>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</si>
  <si>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</si>
  <si>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</si>
  <si>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</si>
  <si>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</si>
  <si>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</si>
  <si>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</si>
  <si>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</si>
  <si>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</si>
  <si>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</si>
  <si>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</si>
  <si>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</si>
  <si>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</si>
  <si>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</si>
  <si>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 of available cash at start of month</t>
  </si>
  <si>
    <t>% of available cash at end of month</t>
  </si>
  <si>
    <t>Benefits/Salaries Exp</t>
  </si>
  <si>
    <t># Employees</t>
  </si>
  <si>
    <t>Benefits/Employee</t>
  </si>
  <si>
    <t>Salaries/Employee</t>
  </si>
  <si>
    <t>Staffing Expenses</t>
  </si>
  <si>
    <t>Summary will populate automatically, please begin data entry below in areas with yellow cells.</t>
  </si>
  <si>
    <t>Personnel Summary</t>
  </si>
  <si>
    <t>STAFF FTE COUNT (FT &amp; PT w/Benefits)</t>
  </si>
  <si>
    <t>FTE - Administrators</t>
  </si>
  <si>
    <t>FTE - Office</t>
  </si>
  <si>
    <t>FTE - SPED Teachers</t>
  </si>
  <si>
    <t>FTE - ELL Teachers</t>
  </si>
  <si>
    <t>FTE - Guidance Counselors &amp; Other</t>
  </si>
  <si>
    <t>FTE - Grade Level Teachers</t>
  </si>
  <si>
    <t xml:space="preserve">   FTE - Total </t>
  </si>
  <si>
    <t>Part-Time Staff w/o benefits (FTE count)</t>
  </si>
  <si>
    <t>Total Staff Count w &amp; w/o benefits (FTE count)</t>
  </si>
  <si>
    <t>Avg (no SY 0)</t>
  </si>
  <si>
    <t>Enrollment</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</si>
  <si>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</si>
  <si>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</si>
  <si>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</si>
  <si>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</si>
  <si>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</si>
  <si>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</si>
  <si>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</si>
  <si>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</si>
  <si>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</si>
  <si>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</si>
  <si>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</si>
  <si>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</si>
  <si>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</si>
  <si>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</si>
  <si>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</si>
  <si>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</si>
  <si>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</si>
  <si>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</si>
  <si>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</si>
  <si>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</si>
  <si>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</si>
  <si>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</si>
  <si>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Per employee per year</t>
  </si>
  <si>
    <t>FICA</t>
  </si>
  <si>
    <t>Percentage of Salary</t>
  </si>
  <si>
    <t>State Retirement (PERS, Required)</t>
  </si>
  <si>
    <t>Life Insurance</t>
  </si>
  <si>
    <t>GASB 75 (replaces GASB 45)</t>
  </si>
  <si>
    <t>Per employee</t>
  </si>
  <si>
    <t>Unemployment Insurance</t>
  </si>
  <si>
    <t>Workers' Compensation</t>
  </si>
  <si>
    <t>Per employee per month</t>
  </si>
  <si>
    <t>Performance Bonus</t>
  </si>
  <si>
    <t>Enter row ~379</t>
  </si>
  <si>
    <t>Inflation (Salaries &amp; related, COLA)</t>
  </si>
  <si>
    <t>Medical benefits costs tied to salaries, rise w/Inflation.</t>
  </si>
  <si>
    <t>Instructional days per year</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</si>
  <si>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</si>
  <si>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</si>
  <si>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</si>
  <si>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</si>
  <si>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</si>
  <si>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</si>
  <si>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</si>
  <si>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</si>
  <si>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FTE Count</t>
  </si>
  <si>
    <t>You can overwrite input area formulas with your formula or lump sum amounts.</t>
  </si>
  <si>
    <t>Administrators (Full-time &amp; Part-Time w/benefits)</t>
  </si>
  <si>
    <t>If you do, explain your approach below.</t>
  </si>
  <si>
    <t>year</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</si>
  <si>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</si>
  <si>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</si>
  <si>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</si>
  <si>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</si>
  <si>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</si>
  <si>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</si>
  <si>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</si>
  <si>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</si>
  <si>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Special Education Director 1</t>
  </si>
  <si>
    <t>Total Special EducationTeachers</t>
  </si>
  <si>
    <t>English Language Learner (ELL) Teachers (Full-time &amp; Part-Time w/benefits)</t>
  </si>
  <si>
    <t>Total ELL Teachers</t>
  </si>
  <si>
    <t>Guidance Counselor &amp; Other (Full-time &amp; Part-Time w/benefits)</t>
  </si>
  <si>
    <t>Nurse</t>
  </si>
  <si>
    <t>Guidance Counselor</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</si>
  <si>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</si>
  <si>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</si>
  <si>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</si>
  <si>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</si>
  <si>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</si>
  <si>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</si>
  <si>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</si>
  <si>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</si>
  <si>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</si>
  <si>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</si>
  <si>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</si>
  <si>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</si>
  <si>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</si>
  <si>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</si>
  <si>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</si>
  <si>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</si>
  <si>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</si>
  <si>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</si>
  <si>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</si>
  <si>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</si>
  <si>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</si>
  <si>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Total Grade Level Teachers (Count)</t>
  </si>
  <si>
    <t>Total Teachers (SPED, ELL, Grade + Counselors)</t>
  </si>
  <si>
    <t>SALARIES</t>
  </si>
  <si>
    <t xml:space="preserve">   Subtotal</t>
  </si>
  <si>
    <t xml:space="preserve">   Subtotal Office Staff</t>
  </si>
  <si>
    <t>Total Grade Level Teacher Salaries</t>
  </si>
  <si>
    <t>Total Medical Benefits</t>
  </si>
  <si>
    <t>Total FICA</t>
  </si>
  <si>
    <t>State Retirement (PERS-Required)</t>
  </si>
  <si>
    <t>TOTAL STATE RETIREMENT COSTS</t>
  </si>
  <si>
    <t>TOTAL LIFE INSURANCE</t>
  </si>
  <si>
    <t>GASB 45</t>
  </si>
  <si>
    <t>Total GASB 45</t>
  </si>
  <si>
    <t>Unuemployment Insurance</t>
  </si>
  <si>
    <t>TOTAL UNEMPLOYMENT INSURANCE</t>
  </si>
  <si>
    <t>Workers' Compensation Insurance</t>
  </si>
  <si>
    <t>Total Workers' Comp</t>
  </si>
  <si>
    <t>TOTAL BENEFITS</t>
  </si>
  <si>
    <t xml:space="preserve">     % of Salaries</t>
  </si>
  <si>
    <t>Part-Time Employees (w/o benefits)</t>
  </si>
  <si>
    <t>Input Part-Time Employee(s) (PTE)</t>
  </si>
  <si>
    <t xml:space="preserve">     Count of PTE (FTE equivalent)</t>
  </si>
  <si>
    <t xml:space="preserve">     Annualized salary</t>
  </si>
  <si>
    <t>Input part-time employee</t>
  </si>
  <si>
    <t xml:space="preserve">     Count of PTE (FTE equivalence)</t>
  </si>
  <si>
    <t>PART TIME WAGES</t>
  </si>
  <si>
    <t>Total Part-Time Employees (w/o benefits)(FTE Count)</t>
  </si>
  <si>
    <t>PAYROLL SERVICES</t>
  </si>
  <si>
    <t>PERSONNEL (W/PAYROLL)</t>
  </si>
  <si>
    <t xml:space="preserve">General Operating &amp; Transp' Expenses </t>
  </si>
  <si>
    <t>SY 0/Incubation</t>
  </si>
  <si>
    <t>Fall, Winter</t>
  </si>
  <si>
    <t>Be sure year 1 information below matches with your Year 1 Cashflow Worksheet totals</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</si>
  <si>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</si>
  <si>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</si>
  <si>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</si>
  <si>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</si>
  <si>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</si>
  <si>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</si>
  <si>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</si>
  <si>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</si>
  <si>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</si>
  <si>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</si>
  <si>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</si>
  <si>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GENERAL OPERATING EXPENSES</t>
  </si>
  <si>
    <t>Instruction</t>
  </si>
  <si>
    <t>Assumptions</t>
  </si>
  <si>
    <t>You may overide these formulas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</si>
  <si>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</si>
  <si>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</si>
  <si>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</si>
  <si>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</si>
  <si>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</si>
  <si>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</si>
  <si>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</si>
  <si>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</si>
  <si>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</si>
  <si>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</si>
  <si>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</si>
  <si>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</si>
  <si>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</si>
  <si>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</si>
  <si>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</si>
  <si>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t>
  </si>
  <si>
    <t>Licensing fees</t>
  </si>
  <si>
    <t>Office Supplies</t>
  </si>
  <si>
    <t>Assessment costs</t>
  </si>
  <si>
    <t>Supplies for students</t>
  </si>
  <si>
    <t>Yearbook</t>
  </si>
  <si>
    <t>School store</t>
  </si>
  <si>
    <t>Contracted SPED</t>
  </si>
  <si>
    <t>Instuctional supplies - Teachers (just teaching faculty)</t>
  </si>
  <si>
    <t>Per Instructional FTE</t>
  </si>
  <si>
    <t>General office supplies</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</si>
  <si>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</si>
  <si>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</si>
  <si>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</si>
  <si>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</si>
  <si>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</si>
  <si>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</si>
  <si>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</si>
  <si>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</si>
  <si>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</si>
  <si>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</si>
  <si>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</si>
  <si>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</si>
  <si>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</si>
  <si>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</si>
  <si>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</si>
  <si>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</si>
  <si>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</si>
  <si>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</si>
  <si>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</si>
  <si>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</si>
  <si>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</si>
  <si>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</si>
  <si>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Parent &amp; staff meetings</t>
  </si>
  <si>
    <t>Saturday School (contractors for instruction)</t>
  </si>
  <si>
    <t>no</t>
  </si>
  <si>
    <t>Input "yes" or "no"</t>
  </si>
  <si>
    <t>Total Instructional Supplies</t>
  </si>
  <si>
    <t>Contracted Services</t>
  </si>
  <si>
    <t>Annual audit</t>
  </si>
  <si>
    <t>Legal funds</t>
  </si>
  <si>
    <t>Total Contract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</si>
  <si>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</si>
  <si>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</si>
  <si>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</si>
  <si>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</si>
  <si>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</si>
  <si>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</si>
  <si>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</si>
  <si>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</si>
  <si>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</si>
  <si>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</si>
  <si>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transported</t>
  </si>
  <si>
    <t>Students per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</si>
  <si>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</si>
  <si>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</si>
  <si>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</si>
  <si>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</si>
  <si>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</si>
  <si>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</si>
  <si>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</si>
  <si>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</si>
  <si>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</si>
  <si>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</si>
  <si>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</si>
  <si>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</si>
  <si>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participating</t>
  </si>
  <si>
    <t>Number of buses required</t>
  </si>
  <si>
    <t>Bus purchasing costs</t>
  </si>
  <si>
    <t>Fuel costs</t>
  </si>
  <si>
    <t>Maintenance costs</t>
  </si>
  <si>
    <t>TOTAL TRANSPORTATION COSTS</t>
  </si>
  <si>
    <t>NET TRANSPORTATION CASHFLOW</t>
  </si>
  <si>
    <t>Costs stated as positive number to be consistent with other costs shown; credit if T' revenues &gt; T' costs</t>
  </si>
  <si>
    <t>Athletic Costs detail (subtotal posted above) (not in print range)</t>
  </si>
  <si>
    <t>TOTAL ATHLETIC COSTS</t>
  </si>
  <si>
    <t>Inflation (compounded/year)</t>
  </si>
  <si>
    <t>TOTAL GENERAL OPERATING EXPENSES</t>
  </si>
  <si>
    <t>Potential location(s) under consideration: (Address or cross street, City, County)</t>
  </si>
  <si>
    <t>FACILITIES</t>
  </si>
  <si>
    <t>SELECT "Purchase" or "Lease"</t>
  </si>
  <si>
    <t>Lease</t>
  </si>
  <si>
    <t>LEASE OPTION</t>
  </si>
  <si>
    <t>SF/pupil</t>
  </si>
  <si>
    <t>Lease area (conditioned space)(sq ft)</t>
  </si>
  <si>
    <t>Lease rate w/o escalator/sf/mo (Contract--before waivers/deferrals)</t>
  </si>
  <si>
    <t>Lease rate no escalator/sf/yr (Contract--before waivers/deferrals)</t>
  </si>
  <si>
    <t>Lease rate w/o escalator/sf/mo (after waivers)</t>
  </si>
  <si>
    <t>Lease rate no escalator/sf/yr (after waivers)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</si>
  <si>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</si>
  <si>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</si>
  <si>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</si>
  <si>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</si>
  <si>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</si>
  <si>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</si>
  <si>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</si>
  <si>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</si>
  <si>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</si>
  <si>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</si>
  <si>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</si>
  <si>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</si>
  <si>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</si>
  <si>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</si>
  <si>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</si>
  <si>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</si>
  <si>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</si>
  <si>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</si>
  <si>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</si>
  <si>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Initial Capital Outlay for Occupancy</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</si>
  <si>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</si>
  <si>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</si>
  <si>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</si>
  <si>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</si>
  <si>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</si>
  <si>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</si>
  <si>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</si>
  <si>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</si>
  <si>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</si>
  <si>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</si>
  <si>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</si>
  <si>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</si>
  <si>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</si>
  <si>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</si>
  <si>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</si>
  <si>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</si>
  <si>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</si>
  <si>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</si>
  <si>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</si>
  <si>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</si>
  <si>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</si>
  <si>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</si>
  <si>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</si>
  <si>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</si>
  <si>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</si>
  <si>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</si>
  <si>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</si>
  <si>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</si>
  <si>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</si>
  <si>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</si>
  <si>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</si>
  <si>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</si>
  <si>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</si>
  <si>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</si>
  <si>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</si>
  <si>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</si>
  <si>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</si>
  <si>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1</t>
  </si>
  <si>
    <t>SY 2</t>
  </si>
  <si>
    <t>SY 3</t>
  </si>
  <si>
    <t>SY 4</t>
  </si>
  <si>
    <t>SY 5</t>
  </si>
  <si>
    <t>SY 6</t>
  </si>
  <si>
    <t>Square Feet</t>
  </si>
  <si>
    <t>Furnishings, Fixtures, Equipment 
&amp; Technology (FFE&amp;T)</t>
  </si>
  <si>
    <t>Comments (Applicant/SPCSA) (Not in print range)(Explain formula overrides)</t>
  </si>
  <si>
    <t>Student enrollment</t>
  </si>
  <si>
    <t>FTE Total (PT not incl)</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</si>
  <si>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</si>
  <si>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</si>
  <si>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</si>
  <si>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</si>
  <si>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</si>
  <si>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</si>
  <si>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</si>
  <si>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</si>
  <si>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</si>
  <si>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</si>
  <si>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</si>
  <si>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</si>
  <si>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</si>
  <si>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</si>
  <si>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</si>
  <si>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</si>
  <si>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</si>
  <si>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</si>
  <si>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</si>
  <si>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Other Equipment (security system, 
Hardware costs, setup fees)</t>
  </si>
  <si>
    <t>Other Equipment replacement</t>
  </si>
  <si>
    <t>Expected years</t>
  </si>
  <si>
    <t>Monthly equipment cost</t>
  </si>
  <si>
    <t>Computer Hardware (Other)</t>
  </si>
  <si>
    <t>Computer Software</t>
  </si>
  <si>
    <t>Faculty furniture</t>
  </si>
  <si>
    <t>Student furniture</t>
  </si>
  <si>
    <t>TOTAL FFE &amp; T COSTS 
(book expense, e.g., full accrual)</t>
  </si>
  <si>
    <t>Comments (Row #, you can include calculations in this workspace area; you can also insert Comments in cells above)</t>
  </si>
  <si>
    <t>Total Enrollment</t>
  </si>
  <si>
    <t>Rev per student</t>
  </si>
  <si>
    <t>Total FFE&amp;T</t>
  </si>
  <si>
    <t>FFE&amp;T per Student</t>
  </si>
  <si>
    <t>Net Surplus after FFE&amp;T</t>
  </si>
  <si>
    <t>Net Surplus after FFE&amp;T per Student</t>
  </si>
  <si>
    <t>Insurance Coverage</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</si>
  <si>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</si>
  <si>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</si>
  <si>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</si>
  <si>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</si>
  <si>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</si>
  <si>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</si>
  <si>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</si>
  <si>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</si>
  <si>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</si>
  <si>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</si>
  <si>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NAC 388A.190</t>
  </si>
  <si>
    <t>Indicate below if required coverages are included, e.g., "in (c)"</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</si>
  <si>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</si>
  <si>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</si>
  <si>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</si>
  <si>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</si>
  <si>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</si>
  <si>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</si>
  <si>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</si>
  <si>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</si>
  <si>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</si>
  <si>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</si>
  <si>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</si>
  <si>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</si>
  <si>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</si>
  <si>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</si>
  <si>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Commercial Property/Campus Liability</t>
  </si>
  <si>
    <t>Excess/Umbrella Liability</t>
  </si>
  <si>
    <t>Student Accident Liability per accident</t>
  </si>
  <si>
    <t>Total Insurance Expense b4 Inflation</t>
  </si>
  <si>
    <t>Inflation</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</si>
  <si>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</si>
  <si>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</si>
  <si>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</si>
  <si>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Recruiting 
Plan/Implementation</t>
  </si>
  <si>
    <t>Charter Contract Operations Term</t>
  </si>
  <si>
    <t>SY 0</t>
  </si>
  <si>
    <t>STUDENT RECRUITMENT AND MARKETING</t>
  </si>
  <si>
    <t>Marketing/Recruitment Method</t>
  </si>
  <si>
    <t>Schedule estimate</t>
  </si>
  <si>
    <t>Marketing complete</t>
  </si>
  <si>
    <t>Sample two months prior to open enrollment</t>
  </si>
  <si>
    <t>Total Cost</t>
  </si>
  <si>
    <t>Incubation Year Expenses</t>
  </si>
  <si>
    <t>Nevada State Public Charter School Authority</t>
  </si>
  <si>
    <t>Other (one time) Pre-Approval &amp; Pre-Opening</t>
  </si>
  <si>
    <t>Staff Recruitment/Hiring</t>
  </si>
  <si>
    <t>Board Recruitment and Screening</t>
  </si>
  <si>
    <t>Website Development</t>
  </si>
  <si>
    <t>TOTAL USES THROUGH PRE-OPENING</t>
  </si>
  <si>
    <t>Use this tab only for unique pre-opening plan/budget costs. Otherwise, use another expense sheet.</t>
  </si>
  <si>
    <t>EMO-CMO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</si>
  <si>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</si>
  <si>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</si>
  <si>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</si>
  <si>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</si>
  <si>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</si>
  <si>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</si>
  <si>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</si>
  <si>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Total Expenses (w/o EMO/CMO Fees)</t>
  </si>
  <si>
    <t>Do you plan to contract with a EMO/CMO during this term?</t>
  </si>
  <si>
    <t>EMO/CMO Services/Fee basis/Type (Check largest applicable)</t>
  </si>
  <si>
    <t xml:space="preserve">    Per Pupil</t>
  </si>
  <si>
    <t xml:space="preserve">    Total Federal, State &amp; Local Revenue</t>
  </si>
  <si>
    <t>Estimated EMO, CMO, and/or BOSP Fees</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</si>
  <si>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</si>
  <si>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</si>
  <si>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Incl'd</t>
  </si>
  <si>
    <t>Perform</t>
  </si>
  <si>
    <t>in fee?</t>
  </si>
  <si>
    <t>Service?</t>
  </si>
  <si>
    <t>Pass Thru?</t>
  </si>
  <si>
    <t>EMO, CMO, BOSP services to charter school</t>
  </si>
  <si>
    <t>Y/N</t>
  </si>
  <si>
    <t>"Back office" functions (Accounting, A/P, A/R, Payroll, Inventory, financial, compliance, reporting)</t>
  </si>
  <si>
    <t>Accounting</t>
  </si>
  <si>
    <t xml:space="preserve">Bond Financing, </t>
  </si>
  <si>
    <t xml:space="preserve">Capital Loans, </t>
  </si>
  <si>
    <t xml:space="preserve">Cash Advances For Startup Funds, </t>
  </si>
  <si>
    <t>Computer/Other Leasing</t>
  </si>
  <si>
    <t>Compliance Mgt</t>
  </si>
  <si>
    <t>Contract Mgt</t>
  </si>
  <si>
    <t>Curriculum</t>
  </si>
  <si>
    <t xml:space="preserve">Development of Curriculum and Instruction, </t>
  </si>
  <si>
    <t xml:space="preserve">Establishment of College Guidance &amp; Counseling Program. </t>
  </si>
  <si>
    <t xml:space="preserve">Facility Leasing, </t>
  </si>
  <si>
    <t>Finance</t>
  </si>
  <si>
    <t>Food Servicing</t>
  </si>
  <si>
    <t xml:space="preserve">Furnishings, Fixtures, </t>
  </si>
  <si>
    <t>Safety</t>
  </si>
  <si>
    <t>HR Management</t>
  </si>
  <si>
    <t>Internal Control Process Development</t>
  </si>
  <si>
    <t>Manage or Operate aspects of a charter school</t>
  </si>
  <si>
    <t xml:space="preserve">Professional Development and </t>
  </si>
  <si>
    <t>Purchasing</t>
  </si>
  <si>
    <t xml:space="preserve">Supervision of building Design &amp; Remodeling, </t>
  </si>
  <si>
    <t xml:space="preserve">Technology Contracting, </t>
  </si>
  <si>
    <t xml:space="preserve">Textbooks, Other Transactions, </t>
  </si>
  <si>
    <t>Total EMO-CMO-ESP Planned Expenses</t>
  </si>
  <si>
    <t>Does the EMO provide the service or do they help you choose the service which you will pay for--separate</t>
  </si>
  <si>
    <t>from the EMO fee?</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</si>
  <si>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</si>
  <si>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</si>
  <si>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</si>
  <si>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</si>
  <si>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</si>
  <si>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</si>
  <si>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</si>
  <si>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</si>
  <si>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</si>
  <si>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</si>
  <si>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</si>
  <si>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</si>
  <si>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</si>
  <si>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</si>
  <si>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</si>
  <si>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</si>
  <si>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</si>
  <si>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</si>
  <si>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</si>
  <si>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</si>
  <si>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</si>
  <si>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</si>
  <si>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</si>
  <si>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</si>
  <si>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</si>
  <si>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</si>
  <si>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</si>
  <si>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</si>
  <si>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</si>
  <si>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</si>
  <si>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</si>
  <si>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</si>
  <si>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</si>
  <si>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</si>
  <si>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</si>
  <si>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</si>
  <si>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</si>
  <si>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</si>
  <si>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</si>
  <si>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</si>
  <si>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</si>
  <si>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</si>
  <si>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</si>
  <si>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</si>
  <si>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</si>
  <si>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</si>
  <si>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</si>
  <si>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</si>
  <si>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</si>
  <si>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</si>
  <si>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</si>
  <si>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</si>
  <si>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</si>
  <si>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</si>
  <si>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</si>
  <si>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</si>
  <si>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</si>
  <si>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</si>
  <si>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</si>
  <si>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</si>
  <si>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</si>
  <si>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</si>
  <si>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</si>
  <si>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</si>
  <si>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</si>
  <si>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</si>
  <si>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</si>
  <si>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</si>
  <si>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</si>
  <si>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</si>
  <si>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</si>
  <si>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</si>
  <si>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</si>
  <si>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</si>
  <si>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</si>
  <si>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</si>
  <si>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</si>
  <si>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</si>
  <si>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</si>
  <si>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</si>
  <si>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</si>
  <si>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</si>
  <si>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</si>
  <si>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</si>
  <si>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</si>
  <si>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'Thu 6/25/2020 em from Kristin dietz</t>
  </si>
  <si>
    <t>Jun 25 image vs Jul 13 image</t>
  </si>
  <si>
    <t>x</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</si>
  <si>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</si>
  <si>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</si>
  <si>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</si>
  <si>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</si>
  <si>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</si>
  <si>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</si>
  <si>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</si>
  <si>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</si>
  <si>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</si>
  <si>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</si>
  <si>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</si>
  <si>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</si>
  <si>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</si>
  <si>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</si>
  <si>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</si>
  <si>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</si>
  <si>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</si>
  <si>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</si>
  <si>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</si>
  <si>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</si>
  <si>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</si>
  <si>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</si>
  <si>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</si>
  <si>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</si>
  <si>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</si>
  <si>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</si>
  <si>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</si>
  <si>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</si>
  <si>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</si>
  <si>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</si>
  <si>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</si>
  <si>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</si>
  <si>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</si>
  <si>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</si>
  <si>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</si>
  <si>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</si>
  <si>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</si>
  <si>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</si>
  <si>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</si>
  <si>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</si>
  <si>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</si>
  <si>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</si>
  <si>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</si>
  <si>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</si>
  <si>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</si>
  <si>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</si>
  <si>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</si>
  <si>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</si>
  <si>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</si>
  <si>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</si>
  <si>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</si>
  <si>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</si>
  <si>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</si>
  <si>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</si>
  <si>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</si>
  <si>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</si>
  <si>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</si>
  <si>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</si>
  <si>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</si>
  <si>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</si>
  <si>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</si>
  <si>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</si>
  <si>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</si>
  <si>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</si>
  <si>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</si>
  <si>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</si>
  <si>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</si>
  <si>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</si>
  <si>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</si>
  <si>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</si>
  <si>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</si>
  <si>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</si>
  <si>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</si>
  <si>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</si>
  <si>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Outside Revenue rates may change throughout the year as they are recalculated based on available funding.  Plan accordingly.</t>
  </si>
  <si>
    <t>For the SYE 22 &amp; SYE 23 Biennium</t>
  </si>
  <si>
    <t>We've seen differences in the 0% to 11% range--depending on the district.  So, your final rates may vary.</t>
  </si>
  <si>
    <t>PCFP Virtual</t>
  </si>
  <si>
    <t>PPRev</t>
  </si>
  <si>
    <t>SYE-20 Rates</t>
  </si>
  <si>
    <t xml:space="preserve">Total </t>
  </si>
  <si>
    <t>Period Pmt Amounts</t>
  </si>
  <si>
    <t>Index</t>
  </si>
  <si>
    <t>NDE Adjustment Factor</t>
  </si>
  <si>
    <t>SYE 22</t>
  </si>
  <si>
    <t>SYE 23</t>
  </si>
  <si>
    <t>District-County</t>
  </si>
  <si>
    <t>DSA</t>
  </si>
  <si>
    <t>Outside Revenue</t>
  </si>
  <si>
    <t>Planned
Enrollment</t>
  </si>
  <si>
    <t>Payment 
Frequency</t>
  </si>
  <si>
    <t>Qrtr</t>
  </si>
  <si>
    <t>Mon</t>
  </si>
  <si>
    <t>OSRev/Tot</t>
  </si>
  <si>
    <t>Rev/CCSD</t>
  </si>
  <si>
    <t>Total
Virtual</t>
  </si>
  <si>
    <t>Inf' Total
(w/o redux)</t>
  </si>
  <si>
    <t>Total/yr</t>
  </si>
  <si>
    <t>Distance Ed SB 458.5.5 &amp; 6.5</t>
  </si>
  <si>
    <t>Carson City</t>
  </si>
  <si>
    <t>Distance Ed SB 458.5.5...w/Adj</t>
  </si>
  <si>
    <t>Churchill</t>
  </si>
  <si>
    <t>In person</t>
  </si>
  <si>
    <t>Final adjusted base PPR SYE 22, SB 458.5-6</t>
  </si>
  <si>
    <t>Charter</t>
  </si>
  <si>
    <t xml:space="preserve">Carson City </t>
  </si>
  <si>
    <t xml:space="preserve">Churchill </t>
  </si>
  <si>
    <t xml:space="preserve">Clark </t>
  </si>
  <si>
    <t xml:space="preserve">Elko </t>
  </si>
  <si>
    <t xml:space="preserve">Washoe </t>
  </si>
  <si>
    <t xml:space="preserve">White Pine </t>
  </si>
  <si>
    <t>Clark</t>
  </si>
  <si>
    <t>Douglas</t>
  </si>
  <si>
    <t>Elko</t>
  </si>
  <si>
    <t>Esmeralda</t>
  </si>
  <si>
    <t>Eureka</t>
  </si>
  <si>
    <t>Humboldt</t>
  </si>
  <si>
    <t>Lander</t>
  </si>
  <si>
    <t>Lincoln</t>
  </si>
  <si>
    <t>Lyon</t>
  </si>
  <si>
    <t>Mineral</t>
  </si>
  <si>
    <t>Special Populations</t>
  </si>
  <si>
    <t>Nye</t>
  </si>
  <si>
    <t>Additional weighted PPR, SB 458.5-7</t>
  </si>
  <si>
    <t>Pershing</t>
  </si>
  <si>
    <t>SpEd (TEST INPUT)</t>
  </si>
  <si>
    <t>Storey</t>
  </si>
  <si>
    <t>English learners</t>
  </si>
  <si>
    <t>Washoe</t>
  </si>
  <si>
    <t>At-risk pupils (FRL)</t>
  </si>
  <si>
    <t>White Pine</t>
  </si>
  <si>
    <t>Gifted and talented</t>
  </si>
  <si>
    <t xml:space="preserve">   Multi-District weighted average</t>
  </si>
  <si>
    <t>Enrollments</t>
  </si>
  <si>
    <t>In Person</t>
  </si>
  <si>
    <t>Ask RF &amp; MM if schools will be allowed to do a hybrid; I've heard of at least one app' and one school that has discussed this.</t>
  </si>
  <si>
    <t>Distance Ed'</t>
  </si>
  <si>
    <t>The school discussing this is saying their parents want the option because of Covid.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</si>
  <si>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</si>
  <si>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</si>
  <si>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</si>
  <si>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</si>
  <si>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</si>
  <si>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</si>
  <si>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</si>
  <si>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</si>
  <si>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</si>
  <si>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</si>
  <si>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</si>
  <si>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</si>
  <si>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</si>
  <si>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</si>
  <si>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</si>
  <si>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</si>
  <si>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</si>
  <si>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</si>
  <si>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</si>
  <si>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</si>
  <si>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</si>
  <si>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</si>
  <si>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</si>
  <si>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</si>
  <si>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</si>
  <si>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</si>
  <si>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</si>
  <si>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</si>
  <si>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</si>
  <si>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</si>
  <si>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</si>
  <si>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</si>
  <si>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</si>
  <si>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</si>
  <si>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</si>
  <si>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</si>
  <si>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</si>
  <si>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</si>
  <si>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</si>
  <si>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</si>
  <si>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</si>
  <si>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Adjusted w/NDE Adj' Factor</t>
  </si>
  <si>
    <t>Full Adj Base</t>
  </si>
  <si>
    <t>Area</t>
  </si>
  <si>
    <t>Funding</t>
  </si>
  <si>
    <t>IN PERSON</t>
  </si>
  <si>
    <t>"y/n"</t>
  </si>
  <si>
    <t>Additional Funding</t>
  </si>
  <si>
    <t>y</t>
  </si>
  <si>
    <t>(All Counties)</t>
  </si>
  <si>
    <t>School Year Ending</t>
  </si>
  <si>
    <t>Full Base</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</si>
  <si>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</si>
  <si>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</si>
  <si>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</si>
  <si>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</si>
  <si>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</si>
  <si>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</si>
  <si>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</si>
  <si>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</si>
  <si>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</si>
  <si>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</si>
  <si>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</si>
  <si>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</si>
  <si>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</si>
  <si>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</si>
  <si>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</si>
  <si>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</si>
  <si>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District</t>
  </si>
  <si>
    <t xml:space="preserve">Douglas </t>
  </si>
  <si>
    <t xml:space="preserve">Esmeralda </t>
  </si>
  <si>
    <t xml:space="preserve">Eureka </t>
  </si>
  <si>
    <t>Distance Ed</t>
  </si>
  <si>
    <t xml:space="preserve">Humboldt </t>
  </si>
  <si>
    <t xml:space="preserve">Lander </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</si>
  <si>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</si>
  <si>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</si>
  <si>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</si>
  <si>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</si>
  <si>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</si>
  <si>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</si>
  <si>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</si>
  <si>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</si>
  <si>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</si>
  <si>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</si>
  <si>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</si>
  <si>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</si>
  <si>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</si>
  <si>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</si>
  <si>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There is discussion that virtual schools will only receive a base fixed amount per pupil regardless of the school district the pupil lives in.</t>
  </si>
  <si>
    <t xml:space="preserve">Enrollment levels at which NDE may switch payments from quarterly to monthly. </t>
  </si>
  <si>
    <t>PP Rev</t>
  </si>
  <si>
    <t>Switchpoint
Enrollments</t>
  </si>
  <si>
    <t>When enrollment levels exceed the above levels NDE switches the school to monthly payments.</t>
  </si>
  <si>
    <t>% Chg YOY</t>
  </si>
  <si>
    <t>PUPIL CENTERED FUNDING PLAN SYE 22 &amp; SYE 23</t>
  </si>
  <si>
    <t>Final adjusted base PPR, SB 458.5-6</t>
  </si>
  <si>
    <t>Final adjusted base PPR, SB 458.5-6--w/NDE Adj Factor</t>
  </si>
  <si>
    <t>Placeholders for testing @ 33%</t>
  </si>
  <si>
    <t>PCFP Rates</t>
  </si>
  <si>
    <t>PCFP Revenue</t>
  </si>
  <si>
    <t>CS Sponsorship Fee @ 0.0125</t>
  </si>
  <si>
    <t xml:space="preserve">    Total PCFP Revenue</t>
  </si>
  <si>
    <t xml:space="preserve">    Other State &amp; Local Revenue</t>
  </si>
  <si>
    <t xml:space="preserve">    Total Federal, State &amp; Local Revenue, Grants, other funds </t>
  </si>
  <si>
    <t>Check Fee Base</t>
  </si>
  <si>
    <t>% of PCFP &amp; Other Grant funds</t>
  </si>
  <si>
    <t>Applies to PCFP and Sponsorship fee</t>
  </si>
  <si>
    <t>PCFP Sponsorship Fee</t>
  </si>
  <si>
    <t>CS Sponsorship Fee</t>
  </si>
  <si>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</si>
  <si>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Enrol &amp; Rev tab</t>
  </si>
  <si>
    <t>Basic Information</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</si>
  <si>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</si>
  <si>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Staff tab</t>
  </si>
  <si>
    <t>Instructional Days (Staff tab, row 65)</t>
  </si>
  <si>
    <t>General Operating ("Gen Optg") Expense tab</t>
  </si>
  <si>
    <t>Transportation and Food Services are not funded for charter schools.</t>
  </si>
  <si>
    <t>This tab differs from the Market tab. This  focuses not on where your pupils will come from but on marketing expenses to reach them.</t>
  </si>
  <si>
    <t>Use this tab to show your insurance plan/budget. Note legal insurance requirements</t>
  </si>
  <si>
    <t>Incubation, Other Pre-appr, Pre-Opening</t>
  </si>
  <si>
    <t>Incubation tab (Pre-Approval, Pre-Opening)</t>
  </si>
  <si>
    <t xml:space="preserve">Mike Dang, 949.229.2145 (cell) 702.486.8879 (office), mdang@spcsa.nv.gov </t>
  </si>
  <si>
    <t>Federal funding estimates provided by Opportunity180</t>
  </si>
  <si>
    <t>Crime</t>
  </si>
  <si>
    <t>Estimate based on quote received from Scholastic First. Year 1-3 per quote, Year 4 increase based on 33% enrollment increase, Year 5-6, based on 3% inflation increase</t>
  </si>
  <si>
    <t>Legal Expense retainer</t>
  </si>
  <si>
    <t>School Leader</t>
  </si>
  <si>
    <t>Director of Operations</t>
  </si>
  <si>
    <t>Director of CTE</t>
  </si>
  <si>
    <t>Special Education Teacher 1</t>
  </si>
  <si>
    <t>Special Education Teacher 2</t>
  </si>
  <si>
    <t>Special Education Teacher 3</t>
  </si>
  <si>
    <t>Special Education Director &amp; Social Worker will be a 50/50 role in Years 1 &amp; 2</t>
  </si>
  <si>
    <t>ELL Teacher 1</t>
  </si>
  <si>
    <t>ELL Teacher 2</t>
  </si>
  <si>
    <t>ELL Teacher 3</t>
  </si>
  <si>
    <t>Dean of Culture</t>
  </si>
  <si>
    <t>English Teacher 1</t>
  </si>
  <si>
    <t>English Teacher 2</t>
  </si>
  <si>
    <t>English Teacher 3</t>
  </si>
  <si>
    <t>English Teacher 4</t>
  </si>
  <si>
    <t>Humanities Teacher</t>
  </si>
  <si>
    <t>Math Teacher 1</t>
  </si>
  <si>
    <t>Math Teacher 2</t>
  </si>
  <si>
    <t>Math Teacher 3</t>
  </si>
  <si>
    <t>Math Teacher 4</t>
  </si>
  <si>
    <t>STEM Teacher</t>
  </si>
  <si>
    <t>Science Teacher 1</t>
  </si>
  <si>
    <t>Science Teacher 2</t>
  </si>
  <si>
    <t>Social Studies Teacher 1</t>
  </si>
  <si>
    <t>Social Studies Teacher 2</t>
  </si>
  <si>
    <t>Phys Ed/ Health Teacher 1</t>
  </si>
  <si>
    <t>CTE Teacher 1</t>
  </si>
  <si>
    <t>CTE Teacher 2</t>
  </si>
  <si>
    <t>9/10th</t>
  </si>
  <si>
    <t>11/12th</t>
  </si>
  <si>
    <t>CTE Teacher 3</t>
  </si>
  <si>
    <t>9th/10th</t>
  </si>
  <si>
    <t>School Nurse @ $30 per hour</t>
  </si>
  <si>
    <t>2020 - 2021</t>
  </si>
  <si>
    <t>Notes</t>
  </si>
  <si>
    <t>Actuals Spent through Feb</t>
  </si>
  <si>
    <t>Use in Nevada</t>
  </si>
  <si>
    <t>Per Student Cost</t>
  </si>
  <si>
    <t>PD Services</t>
  </si>
  <si>
    <t>Achieve 3000</t>
  </si>
  <si>
    <t>input real number from invoice</t>
  </si>
  <si>
    <t>Delgado Dual Enrollment partnership</t>
  </si>
  <si>
    <t>?</t>
  </si>
  <si>
    <t>years 2-5, 3 &amp; 4 definitely</t>
  </si>
  <si>
    <t>Biozone: Science Curriculum</t>
  </si>
  <si>
    <t>real number</t>
  </si>
  <si>
    <t>Sown to Grow</t>
  </si>
  <si>
    <t>real number- increase of 1250</t>
  </si>
  <si>
    <t>maybe</t>
  </si>
  <si>
    <t>The DBQ Project</t>
  </si>
  <si>
    <t>real number increase of 650</t>
  </si>
  <si>
    <t>The Choices Program (Social Studies)</t>
  </si>
  <si>
    <t>real number decreased from 1760</t>
  </si>
  <si>
    <t>USA Test Prep</t>
  </si>
  <si>
    <t>real number decreased from 3000</t>
  </si>
  <si>
    <t>Admin Texts</t>
  </si>
  <si>
    <t>UnBoundEd</t>
  </si>
  <si>
    <t>Texts10th</t>
  </si>
  <si>
    <t>7 sets of 40 unpurchased</t>
  </si>
  <si>
    <t>Texts 9th</t>
  </si>
  <si>
    <t>6 sets of 60 unpurchased</t>
  </si>
  <si>
    <t>Culture texts</t>
  </si>
  <si>
    <t>STEM Library Partnership</t>
  </si>
  <si>
    <t>real number increase from 2000</t>
  </si>
  <si>
    <t>Partnership with 826 Writing Workshop</t>
  </si>
  <si>
    <t>Illustrative Math</t>
  </si>
  <si>
    <t>unpurchased</t>
  </si>
  <si>
    <t>Mathalicious</t>
  </si>
  <si>
    <t>Securly</t>
  </si>
  <si>
    <t>Cialfo</t>
  </si>
  <si>
    <t>year 3 &amp; 4</t>
  </si>
  <si>
    <t>Edgenuity</t>
  </si>
  <si>
    <t>iXl</t>
  </si>
  <si>
    <t>Peardeck</t>
  </si>
  <si>
    <t>virtual</t>
  </si>
  <si>
    <t>Materials/Supplies</t>
  </si>
  <si>
    <t>Autodesk Inventor Certiport Testing License</t>
  </si>
  <si>
    <t>Yes</t>
  </si>
  <si>
    <t>Year 1</t>
  </si>
  <si>
    <t>Solid Professor Inventor Curriculum</t>
  </si>
  <si>
    <t>Adobe Creativity Suite</t>
  </si>
  <si>
    <t>CompTIA Certification A+</t>
  </si>
  <si>
    <t>Year 3-4</t>
  </si>
  <si>
    <t>CompTIA CertMaster Learn for A+ Core Series (220-1001 and 220-1002)</t>
  </si>
  <si>
    <t>CompTIA Labs for A+ Core 2 (220-1002)</t>
  </si>
  <si>
    <t>CompTIA CertMaster Practice A+ 220-1001</t>
  </si>
  <si>
    <t>CompTIA CertMaster Practice A+ 220-1002</t>
  </si>
  <si>
    <t>BUFFER</t>
  </si>
  <si>
    <t>Infinite Campus - flat</t>
  </si>
  <si>
    <t>Infinite Campus - per student</t>
  </si>
  <si>
    <t>4 year replacement schedule</t>
  </si>
  <si>
    <t>projector &amp; doc cam</t>
  </si>
  <si>
    <t>Instructional software is included in student supplies line item</t>
  </si>
  <si>
    <t>Microsoft Office &amp; Adobe</t>
  </si>
  <si>
    <t>Infinite Campus Implementation</t>
  </si>
  <si>
    <t>Office Space &amp; Utilities</t>
  </si>
  <si>
    <t>Office Furniture</t>
  </si>
  <si>
    <t>Finance Services</t>
  </si>
  <si>
    <t>Travel (Staff)</t>
  </si>
  <si>
    <t>Safeschools &amp; background checks + job postings</t>
  </si>
  <si>
    <t>BoardOnTrack</t>
  </si>
  <si>
    <t>Using prior estimates</t>
  </si>
  <si>
    <t>Misc travel (recruiting, PD)</t>
  </si>
  <si>
    <t>Per quote from Infinite Campus, training</t>
  </si>
  <si>
    <t>N</t>
  </si>
  <si>
    <t>Y</t>
  </si>
  <si>
    <t>Other (Fundraising)</t>
  </si>
  <si>
    <t>Other (Board Advising and Coaching)</t>
  </si>
  <si>
    <t>Other (School Leader Advising and Coaching)</t>
  </si>
  <si>
    <t xml:space="preserve">Service Fee during Incubation Year </t>
  </si>
  <si>
    <t>Using Average Salary of $45k</t>
  </si>
  <si>
    <t>plan to share services with Nevada Prep in Y1</t>
  </si>
  <si>
    <t>Rooted does not offer athletic extracurricular activities</t>
  </si>
  <si>
    <t>per quote from CLA</t>
  </si>
  <si>
    <t>Engagement with CLA for audit services</t>
  </si>
  <si>
    <t>Most of Rooted's staff professional development will be in house, plan for $100 per FTE for software related technical professional development</t>
  </si>
  <si>
    <t>.05% of salaries - estimated</t>
  </si>
  <si>
    <t>Based on average per FTE cost from estimated provided by Scholastic First</t>
  </si>
  <si>
    <t>$15k in Y1, $20 per new student in future years, Rooted Foundation will provide schools with general marketing materials.  Cost is designated for school specific recruitment events</t>
  </si>
  <si>
    <t>Rooted School Clark County</t>
  </si>
  <si>
    <t xml:space="preserve">Split role with Director of CTE </t>
  </si>
  <si>
    <t>Director of CTE role will be a split teacher role</t>
  </si>
  <si>
    <t>Bus Driver @ $17 per hour * .40 FTE * # of bus drivers required in Gen Optg tab</t>
  </si>
  <si>
    <t>Estimates based on rates at other Rooted campuses + consult with health insurance broker</t>
  </si>
  <si>
    <t>Paylocity rates</t>
  </si>
  <si>
    <t>Nurse will be part time contracted services, calculated below</t>
  </si>
  <si>
    <t>Part-time role calculated below</t>
  </si>
  <si>
    <t xml:space="preserve">4 year replacement schedule, replace 1/2 of devices </t>
  </si>
  <si>
    <t xml:space="preserve">anticipated 33% of funds in receviable </t>
  </si>
  <si>
    <t>https://www.fdacs.gov/Food-Nutrition/Nutrition-Programs/National-School-Lunch-Program/Financial-Management/Reimbursement-Rates</t>
  </si>
  <si>
    <t>Assumes $1k monthly for temporary office space starting in January 2022</t>
  </si>
  <si>
    <t>Estimate from vendor working with other Rooted schools</t>
  </si>
  <si>
    <t>In July, only Principal &amp; DOO on payroll</t>
  </si>
  <si>
    <t>6-8</t>
  </si>
  <si>
    <t>Jonathan Johnson</t>
  </si>
  <si>
    <t>504-208-6571</t>
  </si>
  <si>
    <t>jjohnson@rootedschool.org</t>
  </si>
  <si>
    <t>Nevada Prep - 2525 Emerson Avenue, Las Vegas, NV 89121 (shared space arrangement)</t>
  </si>
  <si>
    <t>Rooted's target at risk demographic is 100% at Risk and will seek CEP eligible status, using 85% as base per Clark County school district demographics (https://doe.nv.gov/DataCenter/Enrollment/)</t>
  </si>
  <si>
    <t>Mack Middle School, 4250 Karen Ave. Las Vegas, NV 89121</t>
  </si>
  <si>
    <t>Miller Middle School, 3840 Pecos-McLeod Interconnect, Las Vegas, NV 89121</t>
  </si>
  <si>
    <t>Woodbury Middle School, 3875 E. Harmon Ave., Las Vegas, NV 89121</t>
  </si>
  <si>
    <t>Data source: https://greatschoolsallkids.org/searchresults.php?school=89121&amp;order=School | Grade Level specific 8th grade enrollment obtained from: https://doe.nv.gov/DataCenter/Enrollment/</t>
  </si>
  <si>
    <t xml:space="preserve">funds raised through annual Board member campaigns.  Estimated at $100 per student. Rooted School Foundation has experience raising private funds to support school programming and will support the school in meeting this goal. </t>
  </si>
  <si>
    <t>Estimate based on Rooted's experience in operational cost projections</t>
  </si>
  <si>
    <t>Asssessments are included in the student supplies budget line as most curriculum providers include with costs</t>
  </si>
  <si>
    <t xml:space="preserve">Includes projections for all software subscriptions, student database, credential courses, etc. </t>
  </si>
  <si>
    <t>Projection accounts for 5+ mailings per year to students + 1  mailing to new staff members</t>
  </si>
  <si>
    <t>Inflation is accounted for in above projections</t>
  </si>
  <si>
    <t>Estimated based on consult with Opportunity 180 &amp; Nevada Prep</t>
  </si>
  <si>
    <t xml:space="preserve">Estimate based on other charter applicant information available </t>
  </si>
  <si>
    <t xml:space="preserve">*This is a placeholder as we have not yet finalized financial details regarding a shared space arrangement with Nevada Prep. </t>
  </si>
  <si>
    <t>Copier lease starting in January 2022</t>
  </si>
  <si>
    <t xml:space="preserve">planned for Y2 when in single facility, Estimate based on other charter applicant information available </t>
  </si>
  <si>
    <t>Assumes furniture for School Leader, DOO &amp; Main Office</t>
  </si>
  <si>
    <t xml:space="preserve">CMO Agreement with Rooted School Foundation: </t>
  </si>
  <si>
    <t>Ed Ops - BOSP</t>
  </si>
  <si>
    <t>Rooted School Foundation - CMO</t>
  </si>
  <si>
    <t>Anticipating most items will be purchased in July, August, September</t>
  </si>
  <si>
    <t>RSF will accommodate cash flow in collection of school fees</t>
  </si>
  <si>
    <t>food service reimbursements will be dealyed by one month</t>
  </si>
  <si>
    <t>school will submit CSP reimbursements on an ongoing basis (every other month)</t>
  </si>
  <si>
    <t>Frank Ingargiola</t>
  </si>
  <si>
    <t>fingargiola@rootedschool.org</t>
  </si>
  <si>
    <t>Sherah LeBoeuf</t>
  </si>
  <si>
    <t>sherah@ed-ops.com</t>
  </si>
  <si>
    <t>504-495-6900</t>
  </si>
  <si>
    <t>504-383-4654</t>
  </si>
  <si>
    <t>n</t>
  </si>
  <si>
    <t>4% of surplus held for reserves</t>
  </si>
  <si>
    <t>*We do not have a potential site 2. These schools are nearby Potential Site 1. They are included here so that the market formula calculates properly</t>
  </si>
  <si>
    <t xml:space="preserve">We did not have adequate information to make an assumption for local SPED funding. For conservatism, we have modeled it at $0. </t>
  </si>
  <si>
    <t xml:space="preserve">We did not have adequate information to make an assumption for Title IV funding. For conservatism, we have modeled it at $0. </t>
  </si>
  <si>
    <t>January 2022 start date for Director of Operations</t>
  </si>
  <si>
    <t>3% of revenue in ongoing operational years</t>
  </si>
  <si>
    <t>BOSP Contract with EdOps (Full Service)</t>
  </si>
  <si>
    <t>Back office startup support (finance, data, HR) through Ed Ops</t>
  </si>
  <si>
    <t>based on Rooted experience at its other schools</t>
  </si>
  <si>
    <t>9-12th</t>
  </si>
  <si>
    <t xml:space="preserve">   TOT GEN OPERATING EXPENSES w/o Trans</t>
  </si>
  <si>
    <t>Need to redo SY and confirm bank balance and available funds, then redo FY25-26 w/ updated planner figures, then revise cash flow</t>
  </si>
  <si>
    <t>no longer co-locating, no payments FY25, FY26 will be $400k rent, FY27 $555k, see email for further escalations</t>
  </si>
  <si>
    <t>initial charter = Jul 23 - jun 29</t>
  </si>
  <si>
    <t>First Year Operation</t>
  </si>
  <si>
    <t>End of Charter</t>
  </si>
  <si>
    <t>New Charter</t>
  </si>
  <si>
    <t>PreOpening Years</t>
  </si>
  <si>
    <t>Yr 1 was originally 90 enrolled, but with facilities change, will need 150</t>
  </si>
  <si>
    <t>non-cash</t>
  </si>
  <si>
    <t>CMO provides</t>
  </si>
  <si>
    <t>ELL/SPED Intervention Split role</t>
  </si>
  <si>
    <t>SYE 26</t>
  </si>
  <si>
    <t>Using FY25 PPR rate from O180's resource, unclear what FY26 rate will be</t>
  </si>
  <si>
    <t>5 year replacement schedule, server purchase in Y1 when in single facility</t>
  </si>
  <si>
    <t>Cash adj</t>
  </si>
  <si>
    <t>quick cash adj to give basic idea of cash balance per year</t>
  </si>
  <si>
    <t>Moved this cost to Gen Optg tab as will be covered by school directly per CMO</t>
  </si>
  <si>
    <t>School responsible for cost (was previously in EMO-CMO tab)</t>
  </si>
  <si>
    <t>hardcoded lease costs based on email thread from Jonathan</t>
  </si>
  <si>
    <t>per new staff role</t>
  </si>
  <si>
    <t>Role split between Math &amp; Science in Year 2 &amp; Years 5 and on, covered by CTE in year 1</t>
  </si>
  <si>
    <t>Estimate based on consulting with surrounding schools in Nevada, includes art therapists, starting Year 2</t>
  </si>
  <si>
    <t>Year 0 and Year 1 fees will be waived; somewhat flexible based on enrollment, could defer payment if necessary, scale upwards; Plus CMO expenses incurred which are eventually due to school to pay back CMO = $2500/mo Jan 25-Aug 25 (2500*8)</t>
  </si>
  <si>
    <t>Not required, was $7500 to start, 3% escalation thereafter</t>
  </si>
  <si>
    <t>AP: 2500 edtec, 5k legal</t>
  </si>
  <si>
    <t>Role split between ELA/Humanities &amp; Social Studies in Year 2 &amp; Years 5 and on</t>
  </si>
  <si>
    <t>Using Average Salary of $45k, part-time in Year 1</t>
  </si>
  <si>
    <t>was 0.9931 but Ray Fraser advised not required in this instance</t>
  </si>
  <si>
    <t>bank bal:</t>
  </si>
  <si>
    <t>cut/not needed</t>
  </si>
  <si>
    <t>Updated notes</t>
  </si>
  <si>
    <t>value was $5.00</t>
  </si>
  <si>
    <t>value was $1700.00</t>
  </si>
  <si>
    <t>value was $320.00</t>
  </si>
  <si>
    <t>value was $1350.00</t>
  </si>
  <si>
    <t>no value originally</t>
  </si>
  <si>
    <t>~125 student furniture purchased already, another 25 needed for increased enrollment Year One</t>
  </si>
  <si>
    <t>Lectern, desk, chair, locking cabinet</t>
  </si>
  <si>
    <t>balance of CSP based on total available from O180, $365k may be available for 22 months if O180 receives next CSP grant</t>
  </si>
  <si>
    <t>Transfer of grant funds from Rooted School Foundation's Op180 Grant for startup costs; Fundraising from Rooted School Foundation; noncash - $50k in-kind donation via marketing program for recruitment
noncash $10k - Mariposa ad buy via O180 grant</t>
  </si>
  <si>
    <t>Using contracted bus services in Year 1</t>
  </si>
  <si>
    <t>Based on DBAE quote for 70 students</t>
  </si>
  <si>
    <t>Contracted bus service in Year 1</t>
  </si>
  <si>
    <t>Part time Year 1</t>
  </si>
  <si>
    <t>RSF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</si>
</sst>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quot;SY &quot;General"/>
    <numFmt numFmtId="190" formatCode="0.00%;[Red]\(0.00%\);&quot;-%&quot;"/>
    <numFmt numFmtId="191" formatCode="#,##0_)&quot;sf/p&quot;;\(#,##0\)&quot;sf&quot;;_(* &quot;-&quot;_);_(@_)"/>
    <numFmt numFmtId="192" formatCode="_(#,##0_)&quot;sf/p&quot;;[Red]_(\(#,##0\);_(&quot;-&quot;_);_(@_)"/>
    <numFmt numFmtId="193" formatCode="General&quot; s&quot;"/>
    <numFmt numFmtId="194" formatCode="_(#,##0.0_)&quot;mi&quot;;[Red]_(\(#,##0.0\);_(&quot;-&quot;_);_(@_)"/>
    <numFmt numFmtId="195" formatCode="&quot;Yr &quot;General"/>
    <numFmt numFmtId="196" formatCode="0.0%;[Red]\(0.0%\);&quot;-%&quot;"/>
    <numFmt numFmtId="197" formatCode="_(#,##0_)&quot;s&quot;;[Red]_(\(#,##0\)&quot; s&quot;;_(&quot;-&quot;_);_(@_)"/>
    <numFmt numFmtId="198" formatCode="&quot;max &quot;#,##0_);[Red]\(#,##0\)"/>
    <numFmt numFmtId="199" formatCode="&quot;av &quot;_(&quot;$&quot;#,##0_);[Red]_(&quot;$&quot;\(#,##0\);_(&quot;$&quot;\ &quot;-&quot;_);_(@_)"/>
    <numFmt numFmtId="200" formatCode="&quot;min &quot;_(#,##0_);[Red]_(\(#,##0\);_(&quot;-&quot;_);_(@_)"/>
    <numFmt numFmtId="201" formatCode="_(#,##0_)&quot;s&quot;;[Red]_(\(#,##0\);_(&quot;-&quot;_);_(@_)"/>
    <numFmt numFmtId="202" formatCode="&quot;Plan max &quot;#,##0_);[Red]\(#,##0\)"/>
    <numFmt numFmtId="203" formatCode="_(#,##0.00_);[Red]_(\(#,##0.00\);_(&quot;-&quot;_);_(@_)"/>
    <numFmt numFmtId="204" formatCode="&quot;$&quot;#,##0_)&quot;/pp&quot;;[Red]\(&quot;$&quot;#,##0\);&quot;$-/pp&quot;"/>
    <numFmt numFmtId="205" formatCode="&quot;max &quot;#,##0_);[Red]\(#,##0\);&quot;max -&quot;"/>
    <numFmt numFmtId="206" formatCode="&quot;Plan max &quot;#,##0_);[Red]\(#,##0\);&quot;Plan max -&quot;"/>
    <numFmt numFmtId="207" formatCode="General;;&quot;-s&quot;"/>
    <numFmt numFmtId="208" formatCode="&quot;av&quot;_(&quot;$&quot;* #,##0_);_(&quot;$&quot;* \(#,##0\);_(&quot;$&quot;* &quot;-&quot;??_);_(@_)"/>
    <numFmt numFmtId="209" formatCode="#,##0_)&quot;Ss&quot;;[Red]\(#,##0\);&quot;- Ss&quot;"/>
    <numFmt numFmtId="210" formatCode="_(&quot;$&quot;#,##0.0_);[Red]_(&quot;$&quot;\(#,##0.0\);_(&quot;$&quot;\ &quot;-&quot;_);_(@_)"/>
    <numFmt numFmtId="211" formatCode="&quot;avg &quot;&quot;$&quot;#,##0_);[Red]\(&quot;$&quot;#,##0\);&quot;avg $-&quot;"/>
    <numFmt numFmtId="212" formatCode="&quot;$&quot;#,##0.00_);[Red]\(&quot;$&quot;#,##0.00\);&quot;$ -&quot;"/>
    <numFmt numFmtId="213" formatCode="0.00%;[Red]\(0.00%\);&quot;% -&quot;"/>
    <numFmt numFmtId="214" formatCode="#,##0.00;[Red]\(#,##0.00\);&quot;-&quot;"/>
    <numFmt numFmtId="215" formatCode="_(#,##0.0_)&quot;sf&quot;;[Red]_(\(#,##0.0\);_(&quot;-&quot;_);_(@_)"/>
    <numFmt numFmtId="216" formatCode="&quot;July 1, 20&quot;##"/>
  </numFmts>
  <fonts count="176">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rgb="FF0000FF"/>
      <name val="Times New Roman"/>
      <family val="1"/>
    </font>
    <font>
      <b/>
      <sz val="12"/>
      <color theme="1"/>
      <name val="Calibri"/>
      <family val="2"/>
      <scheme val="minor"/>
    </font>
    <font>
      <i/>
      <sz val="12"/>
      <color theme="1"/>
      <name val="Calibri"/>
      <family val="2"/>
      <scheme val="minor"/>
    </font>
    <font>
      <i/>
      <sz val="12"/>
      <color indexed="8"/>
      <name val="Times New Roman"/>
      <family val="1"/>
    </font>
    <font>
      <sz val="12"/>
      <color theme="1"/>
      <name val="Arial"/>
      <family val="2"/>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b/>
      <i/>
      <sz val="11"/>
      <color theme="1"/>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sz val="8"/>
      <name val="Calibri"/>
      <family val="2"/>
      <scheme val="minor"/>
    </font>
    <font>
      <b/>
      <sz val="11"/>
      <color theme="1"/>
      <name val="Arial"/>
      <family val="2"/>
    </font>
    <font>
      <i/>
      <sz val="11"/>
      <color theme="1"/>
      <name val="Arial"/>
      <family val="2"/>
    </font>
    <font>
      <sz val="11"/>
      <color rgb="FF222222"/>
      <name val="Arial"/>
      <family val="2"/>
    </font>
    <font>
      <b/>
      <u/>
      <sz val="11"/>
      <color rgb="FF0000FF"/>
      <name val="Times New Roman"/>
      <family val="1"/>
    </font>
    <font>
      <b/>
      <sz val="11"/>
      <color rgb="FF7030A0"/>
      <name val="Times New Roman"/>
      <family val="1"/>
    </font>
    <font>
      <sz val="9"/>
      <color indexed="81"/>
      <name val="Tahoma"/>
      <charset val="1"/>
    </font>
    <font>
      <b/>
      <sz val="9"/>
      <color indexed="81"/>
      <name val="Tahoma"/>
      <charset val="1"/>
    </font>
    <font>
      <sz val="11"/>
      <color rgb="FF7030A0"/>
      <name val="Times New Roman"/>
      <family val="1"/>
    </font>
  </fonts>
  <fills count="7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rgb="FF00FF00"/>
        <bgColor indexed="64"/>
      </patternFill>
    </fill>
    <fill>
      <patternFill patternType="solid">
        <fgColor rgb="FFFF00FF"/>
        <bgColor indexed="64"/>
      </patternFill>
    </fill>
    <fill>
      <patternFill patternType="solid">
        <fgColor rgb="FFFFFFFF"/>
        <bgColor indexed="64"/>
      </patternFill>
    </fill>
    <fill>
      <patternFill patternType="solid">
        <fgColor rgb="FFFFC000"/>
        <bgColor indexed="64"/>
      </patternFill>
    </fill>
  </fills>
  <borders count="155">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22"/>
      </top>
      <bottom style="hair">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dotted">
        <color indexed="22"/>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right style="dotted">
        <color rgb="FFC0C0C0"/>
      </right>
      <top style="dotted">
        <color rgb="FFC0C0C0"/>
      </top>
      <bottom style="dotted">
        <color rgb="FFC0C0C0"/>
      </bottom>
      <diagonal/>
    </border>
    <border>
      <left/>
      <right style="dotted">
        <color rgb="FFC0C0C0"/>
      </right>
      <top/>
      <bottom style="dotted">
        <color rgb="FFC0C0C0"/>
      </bottom>
      <diagonal/>
    </border>
    <border>
      <left/>
      <right style="medium">
        <color rgb="FF000000"/>
      </right>
      <top/>
      <bottom style="dotted">
        <color rgb="FFC0C0C0"/>
      </bottom>
      <diagonal/>
    </border>
    <border>
      <left/>
      <right style="medium">
        <color rgb="FF000000"/>
      </right>
      <top/>
      <bottom/>
      <diagonal/>
    </border>
    <border>
      <left/>
      <right style="dotted">
        <color rgb="FFC0C0C0"/>
      </right>
      <top/>
      <bottom style="medium">
        <color rgb="FF000000"/>
      </bottom>
      <diagonal/>
    </border>
    <border>
      <left/>
      <right style="medium">
        <color rgb="FF000000"/>
      </right>
      <top/>
      <bottom style="medium">
        <color rgb="FF000000"/>
      </bottom>
      <diagonal/>
    </border>
    <border>
      <left/>
      <right/>
      <top style="dotted">
        <color rgb="FFC0C0C0"/>
      </top>
      <bottom style="dotted">
        <color rgb="FFC0C0C0"/>
      </bottom>
      <diagonal/>
    </border>
    <border>
      <left/>
      <right/>
      <top/>
      <bottom style="dotted">
        <color rgb="FFC0C0C0"/>
      </bottom>
      <diagonal/>
    </border>
    <border>
      <left/>
      <right/>
      <top/>
      <bottom style="medium">
        <color rgb="FF000000"/>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23" applyNumberFormat="0" applyAlignment="0" applyProtection="0"/>
    <xf numFmtId="0" fontId="26" fillId="11" borderId="24" applyNumberFormat="0" applyAlignment="0" applyProtection="0"/>
    <xf numFmtId="0" fontId="27" fillId="11"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7"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2"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4" borderId="0" applyNumberFormat="0" applyBorder="0" applyAlignment="0" applyProtection="0"/>
    <xf numFmtId="0" fontId="23" fillId="8" borderId="0" applyNumberFormat="0" applyBorder="0" applyAlignment="0" applyProtection="0"/>
    <xf numFmtId="0" fontId="27" fillId="11"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7"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10" borderId="23" applyNumberFormat="0" applyAlignment="0" applyProtection="0"/>
    <xf numFmtId="0" fontId="28" fillId="0" borderId="25" applyNumberFormat="0" applyFill="0" applyAlignment="0" applyProtection="0"/>
    <xf numFmtId="0" fontId="24" fillId="9" borderId="0" applyNumberFormat="0" applyBorder="0" applyAlignment="0" applyProtection="0"/>
    <xf numFmtId="0" fontId="8" fillId="0" borderId="0"/>
    <xf numFmtId="0" fontId="8" fillId="13" borderId="27" applyNumberFormat="0" applyFont="0" applyAlignment="0" applyProtection="0"/>
    <xf numFmtId="0" fontId="26" fillId="11"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17" borderId="0" applyNumberFormat="0" applyBorder="0" applyAlignment="0" applyProtection="0"/>
    <xf numFmtId="0" fontId="31"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6" borderId="0" applyNumberFormat="0" applyBorder="0" applyAlignment="0" applyProtection="0"/>
    <xf numFmtId="0" fontId="31" fillId="29" borderId="0" applyNumberFormat="0" applyBorder="0" applyAlignment="0" applyProtection="0"/>
    <xf numFmtId="0" fontId="31" fillId="39" borderId="0" applyNumberFormat="0" applyBorder="0" applyAlignment="0" applyProtection="0"/>
    <xf numFmtId="0" fontId="31" fillId="33" borderId="0" applyNumberFormat="0" applyBorder="0" applyAlignment="0" applyProtection="0"/>
    <xf numFmtId="0" fontId="31" fillId="43"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0" fontId="31" fillId="22" borderId="0" applyNumberFormat="0" applyBorder="0" applyAlignment="0" applyProtection="0"/>
    <xf numFmtId="0" fontId="31" fillId="46" borderId="0" applyNumberFormat="0" applyBorder="0" applyAlignment="0" applyProtection="0"/>
    <xf numFmtId="0" fontId="31" fillId="26" borderId="0" applyNumberFormat="0" applyBorder="0" applyAlignment="0" applyProtection="0"/>
    <xf numFmtId="0" fontId="31" fillId="48" borderId="0" applyNumberFormat="0" applyBorder="0" applyAlignment="0" applyProtection="0"/>
    <xf numFmtId="0" fontId="31" fillId="34" borderId="0" applyNumberFormat="0" applyBorder="0" applyAlignment="0" applyProtection="0"/>
    <xf numFmtId="0" fontId="31" fillId="49" borderId="0" applyNumberFormat="0" applyBorder="0" applyAlignment="0" applyProtection="0"/>
    <xf numFmtId="0" fontId="23" fillId="8" borderId="0" applyNumberFormat="0" applyBorder="0" applyAlignment="0" applyProtection="0"/>
    <xf numFmtId="0" fontId="23" fillId="50" borderId="0" applyNumberFormat="0" applyBorder="0" applyAlignment="0" applyProtection="0"/>
    <xf numFmtId="0" fontId="27" fillId="1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7" borderId="0" applyNumberFormat="0" applyBorder="0" applyAlignment="0" applyProtection="0"/>
    <xf numFmtId="0" fontId="22" fillId="43"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10"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9" borderId="0" applyNumberFormat="0" applyBorder="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11" borderId="24" applyNumberFormat="0" applyAlignment="0" applyProtection="0"/>
    <xf numFmtId="0" fontId="26" fillId="51"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4" borderId="36" applyNumberFormat="0" applyProtection="0">
      <alignment vertical="center"/>
    </xf>
    <xf numFmtId="4" fontId="60" fillId="44" borderId="36" applyNumberFormat="0" applyProtection="0">
      <alignment vertical="center"/>
    </xf>
    <xf numFmtId="4" fontId="51" fillId="44" borderId="36" applyNumberFormat="0" applyProtection="0">
      <alignment horizontal="left" vertical="center" indent="1"/>
    </xf>
    <xf numFmtId="0" fontId="51" fillId="44" borderId="36" applyNumberFormat="0" applyProtection="0">
      <alignment horizontal="left" vertical="top" indent="1"/>
    </xf>
    <xf numFmtId="4" fontId="51" fillId="52" borderId="0" applyNumberFormat="0" applyProtection="0">
      <alignment horizontal="left" vertical="center" indent="1"/>
    </xf>
    <xf numFmtId="4" fontId="45" fillId="39" borderId="36" applyNumberFormat="0" applyProtection="0">
      <alignment horizontal="right" vertical="center"/>
    </xf>
    <xf numFmtId="4" fontId="45" fillId="40" borderId="36" applyNumberFormat="0" applyProtection="0">
      <alignment horizontal="right" vertical="center"/>
    </xf>
    <xf numFmtId="4" fontId="45" fillId="49" borderId="36" applyNumberFormat="0" applyProtection="0">
      <alignment horizontal="right" vertical="center"/>
    </xf>
    <xf numFmtId="4" fontId="45" fillId="46" borderId="36" applyNumberFormat="0" applyProtection="0">
      <alignment horizontal="right" vertical="center"/>
    </xf>
    <xf numFmtId="4" fontId="45" fillId="53" borderId="36" applyNumberFormat="0" applyProtection="0">
      <alignment horizontal="right" vertical="center"/>
    </xf>
    <xf numFmtId="4" fontId="45" fillId="45"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45" fillId="56" borderId="36" applyNumberFormat="0" applyProtection="0">
      <alignment horizontal="right" vertical="center"/>
    </xf>
    <xf numFmtId="4" fontId="51" fillId="57" borderId="37" applyNumberFormat="0" applyProtection="0">
      <alignment horizontal="left" vertical="center" indent="1"/>
    </xf>
    <xf numFmtId="4" fontId="45" fillId="58" borderId="0" applyNumberFormat="0" applyProtection="0">
      <alignment horizontal="left" vertical="center" indent="1"/>
    </xf>
    <xf numFmtId="4" fontId="61" fillId="48" borderId="0" applyNumberFormat="0" applyProtection="0">
      <alignment horizontal="left" vertical="center" indent="1"/>
    </xf>
    <xf numFmtId="4" fontId="45" fillId="52" borderId="36" applyNumberFormat="0" applyProtection="0">
      <alignment horizontal="right" vertical="center"/>
    </xf>
    <xf numFmtId="4" fontId="45" fillId="58" borderId="0" applyNumberFormat="0" applyProtection="0">
      <alignment horizontal="left" vertical="center" indent="1"/>
    </xf>
    <xf numFmtId="4" fontId="45" fillId="52" borderId="0" applyNumberFormat="0" applyProtection="0">
      <alignment horizontal="left" vertical="center" indent="1"/>
    </xf>
    <xf numFmtId="0" fontId="2" fillId="48" borderId="36" applyNumberFormat="0" applyProtection="0">
      <alignment horizontal="left" vertical="center" indent="1"/>
    </xf>
    <xf numFmtId="0" fontId="2" fillId="48" borderId="36" applyNumberFormat="0" applyProtection="0">
      <alignment horizontal="left" vertical="top" indent="1"/>
    </xf>
    <xf numFmtId="0" fontId="2" fillId="52" borderId="36" applyNumberFormat="0" applyProtection="0">
      <alignment horizontal="left" vertical="center" indent="1"/>
    </xf>
    <xf numFmtId="0" fontId="2" fillId="52" borderId="36" applyNumberFormat="0" applyProtection="0">
      <alignment horizontal="left" vertical="top" indent="1"/>
    </xf>
    <xf numFmtId="0" fontId="2" fillId="38" borderId="36" applyNumberFormat="0" applyProtection="0">
      <alignment horizontal="left" vertical="center" indent="1"/>
    </xf>
    <xf numFmtId="0" fontId="2" fillId="38" borderId="36" applyNumberFormat="0" applyProtection="0">
      <alignment horizontal="left" vertical="top" indent="1"/>
    </xf>
    <xf numFmtId="0" fontId="2" fillId="58" borderId="36" applyNumberFormat="0" applyProtection="0">
      <alignment horizontal="left" vertical="center" indent="1"/>
    </xf>
    <xf numFmtId="0" fontId="2" fillId="58" borderId="36" applyNumberFormat="0" applyProtection="0">
      <alignment horizontal="left" vertical="top" indent="1"/>
    </xf>
    <xf numFmtId="0" fontId="2" fillId="51" borderId="29" applyNumberFormat="0">
      <protection locked="0"/>
    </xf>
    <xf numFmtId="4" fontId="45" fillId="41" borderId="36" applyNumberFormat="0" applyProtection="0">
      <alignment vertical="center"/>
    </xf>
    <xf numFmtId="4" fontId="62" fillId="41" borderId="36" applyNumberFormat="0" applyProtection="0">
      <alignment vertical="center"/>
    </xf>
    <xf numFmtId="4" fontId="45" fillId="41" borderId="36" applyNumberFormat="0" applyProtection="0">
      <alignment horizontal="left" vertical="center" indent="1"/>
    </xf>
    <xf numFmtId="0" fontId="45" fillId="41" borderId="36" applyNumberFormat="0" applyProtection="0">
      <alignment horizontal="left" vertical="top" indent="1"/>
    </xf>
    <xf numFmtId="4" fontId="45" fillId="58" borderId="36" applyNumberFormat="0" applyProtection="0">
      <alignment horizontal="right" vertical="center"/>
    </xf>
    <xf numFmtId="4" fontId="62" fillId="58" borderId="36" applyNumberFormat="0" applyProtection="0">
      <alignment horizontal="right" vertical="center"/>
    </xf>
    <xf numFmtId="4" fontId="45" fillId="52" borderId="36" applyNumberFormat="0" applyProtection="0">
      <alignment horizontal="left" vertical="center" indent="1"/>
    </xf>
    <xf numFmtId="0" fontId="45" fillId="52" borderId="36" applyNumberFormat="0" applyProtection="0">
      <alignment horizontal="left" vertical="top" indent="1"/>
    </xf>
    <xf numFmtId="4" fontId="63" fillId="59" borderId="0" applyNumberFormat="0" applyProtection="0">
      <alignment horizontal="left" vertical="center" indent="1"/>
    </xf>
    <xf numFmtId="4" fontId="41" fillId="58" borderId="36" applyNumberFormat="0" applyProtection="0">
      <alignment horizontal="right" vertical="center"/>
    </xf>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5" borderId="0" applyNumberFormat="0" applyBorder="0" applyAlignment="0" applyProtection="0"/>
    <xf numFmtId="0" fontId="8" fillId="16" borderId="0" applyNumberFormat="0" applyBorder="0" applyAlignment="0" applyProtection="0"/>
    <xf numFmtId="0" fontId="2" fillId="0" borderId="0"/>
    <xf numFmtId="0" fontId="2" fillId="0" borderId="0"/>
    <xf numFmtId="0" fontId="8" fillId="19" borderId="0" applyNumberFormat="0" applyBorder="0" applyAlignment="0" applyProtection="0"/>
    <xf numFmtId="0" fontId="2" fillId="0" borderId="0"/>
    <xf numFmtId="0" fontId="2" fillId="0" borderId="0"/>
    <xf numFmtId="0" fontId="8" fillId="23" borderId="0" applyNumberFormat="0" applyBorder="0" applyAlignment="0" applyProtection="0"/>
    <xf numFmtId="0" fontId="8" fillId="24" borderId="0" applyNumberFormat="0" applyBorder="0" applyAlignment="0" applyProtection="0"/>
    <xf numFmtId="0" fontId="2" fillId="0" borderId="0"/>
    <xf numFmtId="0" fontId="2" fillId="0" borderId="0"/>
    <xf numFmtId="0" fontId="8" fillId="27" borderId="0" applyNumberFormat="0" applyBorder="0" applyAlignment="0" applyProtection="0"/>
    <xf numFmtId="0" fontId="8" fillId="28" borderId="0" applyNumberFormat="0" applyBorder="0" applyAlignment="0" applyProtection="0"/>
    <xf numFmtId="0" fontId="2" fillId="0" borderId="0"/>
    <xf numFmtId="0" fontId="8" fillId="32" borderId="0" applyNumberFormat="0" applyBorder="0" applyAlignment="0" applyProtection="0"/>
    <xf numFmtId="0" fontId="2" fillId="0" borderId="0"/>
    <xf numFmtId="0" fontId="2" fillId="0" borderId="0"/>
    <xf numFmtId="0" fontId="8" fillId="35" borderId="0" applyNumberFormat="0" applyBorder="0" applyAlignment="0" applyProtection="0"/>
    <xf numFmtId="0" fontId="8" fillId="36"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0" borderId="0" applyNumberFormat="0" applyBorder="0" applyAlignment="0" applyProtection="0"/>
    <xf numFmtId="0" fontId="2" fillId="0" borderId="0"/>
    <xf numFmtId="0" fontId="8" fillId="3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2" borderId="26" applyNumberFormat="0" applyAlignment="0" applyProtection="0"/>
    <xf numFmtId="0" fontId="29" fillId="0" borderId="0" applyNumberFormat="0" applyFill="0" applyBorder="0" applyAlignment="0" applyProtection="0"/>
    <xf numFmtId="0" fontId="8" fillId="13" borderId="27" applyNumberFormat="0" applyFont="0" applyAlignment="0" applyProtection="0"/>
    <xf numFmtId="0" fontId="30" fillId="0" borderId="0" applyNumberFormat="0" applyFill="0" applyBorder="0" applyAlignment="0" applyProtection="0"/>
    <xf numFmtId="0" fontId="31" fillId="30"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0" applyNumberFormat="0" applyBorder="0" applyAlignment="0" applyProtection="0"/>
    <xf numFmtId="0" fontId="72" fillId="10" borderId="23" applyNumberFormat="0" applyAlignment="0" applyProtection="0"/>
    <xf numFmtId="0" fontId="73" fillId="11" borderId="24" applyNumberFormat="0" applyAlignment="0" applyProtection="0"/>
    <xf numFmtId="0" fontId="74" fillId="11" borderId="23" applyNumberFormat="0" applyAlignment="0" applyProtection="0"/>
    <xf numFmtId="0" fontId="75" fillId="0" borderId="25" applyNumberFormat="0" applyFill="0" applyAlignment="0" applyProtection="0"/>
    <xf numFmtId="0" fontId="76" fillId="12" borderId="26" applyNumberFormat="0" applyAlignment="0" applyProtection="0"/>
    <xf numFmtId="0" fontId="77" fillId="0" borderId="0" applyNumberFormat="0" applyFill="0" applyBorder="0" applyAlignment="0" applyProtection="0"/>
    <xf numFmtId="0" fontId="65" fillId="13"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80" fillId="37"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4" fontId="8" fillId="0" borderId="0" applyFont="0" applyFill="0" applyBorder="0" applyAlignment="0" applyProtection="0"/>
    <xf numFmtId="0" fontId="119" fillId="0" borderId="0"/>
  </cellStyleXfs>
  <cellXfs count="1714">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5" borderId="0" xfId="0" applyFont="1" applyFill="1"/>
    <xf numFmtId="0" fontId="64" fillId="6" borderId="0" xfId="0" applyFont="1" applyFill="1"/>
    <xf numFmtId="0" fontId="99" fillId="65" borderId="0" xfId="0" quotePrefix="1" applyFont="1" applyFill="1"/>
    <xf numFmtId="43" fontId="88" fillId="65" borderId="0" xfId="4" applyFont="1" applyFill="1" applyProtection="1"/>
    <xf numFmtId="43" fontId="16" fillId="6" borderId="0" xfId="4" applyFont="1" applyFill="1" applyProtection="1"/>
    <xf numFmtId="0" fontId="15" fillId="0" borderId="0" xfId="6628" applyFont="1"/>
    <xf numFmtId="0" fontId="98" fillId="6" borderId="0" xfId="6628" applyFont="1" applyFill="1"/>
    <xf numFmtId="0" fontId="64" fillId="6" borderId="0" xfId="6628" applyFont="1" applyFill="1"/>
    <xf numFmtId="0" fontId="14" fillId="0" borderId="0" xfId="8" applyFont="1" applyAlignment="1">
      <alignment horizontal="center"/>
    </xf>
    <xf numFmtId="0" fontId="14" fillId="0" borderId="0" xfId="8" applyFont="1" applyAlignment="1">
      <alignment horizontal="left"/>
    </xf>
    <xf numFmtId="0" fontId="15" fillId="6"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8" fontId="92" fillId="0" borderId="0" xfId="0" applyNumberFormat="1" applyFont="1"/>
    <xf numFmtId="0" fontId="104" fillId="65" borderId="0" xfId="0" applyFont="1" applyFill="1"/>
    <xf numFmtId="0" fontId="94" fillId="0" borderId="0" xfId="6628" applyFont="1"/>
    <xf numFmtId="0" fontId="104" fillId="6" borderId="0" xfId="0" applyFont="1" applyFill="1"/>
    <xf numFmtId="0" fontId="92" fillId="6"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6" fontId="91" fillId="0" borderId="0" xfId="0" applyNumberFormat="1" applyFont="1" applyAlignment="1">
      <alignment horizontal="center"/>
    </xf>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64" fontId="92" fillId="0" borderId="0" xfId="0" applyNumberFormat="1" applyFont="1" applyAlignment="1">
      <alignment horizontal="left"/>
    </xf>
    <xf numFmtId="172" fontId="91" fillId="0" borderId="0" xfId="0" applyNumberFormat="1" applyFont="1" applyAlignment="1">
      <alignment horizontal="center" vertical="top"/>
    </xf>
    <xf numFmtId="174" fontId="91" fillId="0" borderId="0" xfId="0" applyNumberFormat="1" applyFont="1"/>
    <xf numFmtId="0" fontId="92" fillId="60" borderId="0" xfId="0" applyFont="1" applyFill="1"/>
    <xf numFmtId="0" fontId="92" fillId="0" borderId="1" xfId="0" applyFont="1" applyBorder="1" applyAlignment="1">
      <alignment horizontal="center"/>
    </xf>
    <xf numFmtId="1" fontId="91" fillId="0" borderId="0" xfId="0" applyNumberFormat="1" applyFont="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3"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44" fontId="94" fillId="0" borderId="0" xfId="6" applyFont="1" applyProtection="1"/>
    <xf numFmtId="0" fontId="94" fillId="63" borderId="0" xfId="8" applyFont="1" applyFill="1"/>
    <xf numFmtId="0" fontId="94" fillId="60" borderId="0" xfId="8" applyFont="1" applyFill="1"/>
    <xf numFmtId="0" fontId="92" fillId="0" borderId="0" xfId="8" applyFont="1" applyAlignment="1">
      <alignment horizontal="center"/>
    </xf>
    <xf numFmtId="44" fontId="95" fillId="0" borderId="1" xfId="8" applyNumberFormat="1" applyFont="1" applyBorder="1"/>
    <xf numFmtId="44" fontId="95" fillId="0" borderId="1" xfId="6" applyFont="1" applyBorder="1" applyProtection="1"/>
    <xf numFmtId="44" fontId="94" fillId="0" borderId="0" xfId="6" applyFont="1" applyBorder="1" applyProtection="1"/>
    <xf numFmtId="0" fontId="94" fillId="61" borderId="0" xfId="8" applyFont="1" applyFill="1"/>
    <xf numFmtId="44" fontId="94" fillId="61" borderId="0" xfId="6" applyFont="1" applyFill="1" applyBorder="1" applyProtection="1"/>
    <xf numFmtId="173" fontId="94" fillId="61" borderId="0" xfId="6" applyNumberFormat="1" applyFont="1" applyFill="1" applyBorder="1" applyProtection="1"/>
    <xf numFmtId="0" fontId="94" fillId="63" borderId="0" xfId="8" applyFont="1" applyFill="1" applyAlignment="1">
      <alignment horizontal="center" wrapText="1"/>
    </xf>
    <xf numFmtId="44" fontId="94" fillId="63" borderId="0" xfId="6" applyFont="1" applyFill="1" applyBorder="1" applyAlignment="1" applyProtection="1">
      <alignment horizontal="center"/>
    </xf>
    <xf numFmtId="9" fontId="95" fillId="0" borderId="0" xfId="10" applyFont="1" applyProtection="1"/>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10" fontId="91" fillId="3" borderId="0" xfId="9" applyNumberFormat="1" applyFont="1" applyFill="1" applyBorder="1" applyAlignment="1">
      <alignment horizontal="center" vertical="top"/>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82" fontId="91" fillId="0" borderId="0" xfId="0" applyNumberFormat="1" applyFont="1" applyAlignment="1">
      <alignment horizontal="center"/>
    </xf>
    <xf numFmtId="182" fontId="91" fillId="0" borderId="0" xfId="0" applyNumberFormat="1" applyFont="1"/>
    <xf numFmtId="1" fontId="92" fillId="3" borderId="0" xfId="11" applyNumberFormat="1" applyFont="1" applyFill="1" applyBorder="1" applyAlignment="1">
      <alignment horizontal="center"/>
    </xf>
    <xf numFmtId="164" fontId="92" fillId="3" borderId="0" xfId="11" applyNumberFormat="1" applyFont="1" applyFill="1" applyBorder="1" applyAlignment="1">
      <alignment horizontal="center"/>
    </xf>
    <xf numFmtId="1" fontId="92" fillId="0" borderId="0" xfId="0" applyNumberFormat="1" applyFont="1" applyAlignment="1">
      <alignment horizontal="center"/>
    </xf>
    <xf numFmtId="0" fontId="104" fillId="62"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165" fontId="92" fillId="0" borderId="0" xfId="11" applyNumberFormat="1" applyFont="1" applyFill="1" applyBorder="1" applyAlignment="1">
      <alignment horizontal="center"/>
    </xf>
    <xf numFmtId="0" fontId="109" fillId="65" borderId="0" xfId="0" applyFont="1" applyFill="1"/>
    <xf numFmtId="0" fontId="61" fillId="65" borderId="0" xfId="0" applyFont="1" applyFill="1"/>
    <xf numFmtId="0" fontId="61" fillId="6" borderId="0" xfId="0" applyFont="1" applyFill="1"/>
    <xf numFmtId="0" fontId="110" fillId="6"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6" borderId="0" xfId="0" applyFont="1" applyFill="1"/>
    <xf numFmtId="0" fontId="106" fillId="3" borderId="0" xfId="0" applyFont="1" applyFill="1"/>
    <xf numFmtId="0" fontId="113" fillId="65" borderId="0" xfId="0" quotePrefix="1" applyFont="1" applyFill="1"/>
    <xf numFmtId="172" fontId="91" fillId="3" borderId="0" xfId="13330" applyNumberFormat="1" applyFont="1" applyFill="1" applyBorder="1" applyAlignment="1">
      <alignment horizontal="center" vertical="top"/>
    </xf>
    <xf numFmtId="0" fontId="91" fillId="0" borderId="56" xfId="0" applyFont="1" applyBorder="1"/>
    <xf numFmtId="172" fontId="92" fillId="3" borderId="56" xfId="0" applyNumberFormat="1" applyFont="1" applyFill="1" applyBorder="1" applyAlignment="1">
      <alignment horizontal="center"/>
    </xf>
    <xf numFmtId="9" fontId="91" fillId="0" borderId="0" xfId="9" applyFont="1" applyFill="1" applyBorder="1" applyAlignment="1">
      <alignment horizontal="center" vertical="top"/>
    </xf>
    <xf numFmtId="0" fontId="92" fillId="0" borderId="56" xfId="0" applyFont="1" applyBorder="1"/>
    <xf numFmtId="1" fontId="92" fillId="0" borderId="56"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2" fillId="0" borderId="0" xfId="11" applyNumberFormat="1" applyFont="1" applyFill="1" applyBorder="1" applyAlignment="1">
      <alignment horizontal="right"/>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0" fontId="96" fillId="0" borderId="0" xfId="0" applyFont="1"/>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6" fillId="0" borderId="0" xfId="0" applyFont="1" applyAlignment="1">
      <alignment horizontal="left"/>
    </xf>
    <xf numFmtId="0" fontId="91" fillId="3" borderId="56" xfId="0" applyFont="1" applyFill="1" applyBorder="1"/>
    <xf numFmtId="172" fontId="91" fillId="0" borderId="0" xfId="0" quotePrefix="1" applyNumberFormat="1" applyFont="1"/>
    <xf numFmtId="1" fontId="96" fillId="0" borderId="0" xfId="0" applyNumberFormat="1" applyFont="1" applyAlignment="1">
      <alignment horizontal="center"/>
    </xf>
    <xf numFmtId="0" fontId="96" fillId="0" borderId="0" xfId="0" applyFont="1" applyAlignment="1">
      <alignment horizontal="center"/>
    </xf>
    <xf numFmtId="174" fontId="96" fillId="0" borderId="0" xfId="0" applyNumberFormat="1" applyFont="1" applyAlignment="1">
      <alignment horizontal="center"/>
    </xf>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4" xfId="11" applyNumberFormat="1" applyFont="1" applyBorder="1" applyAlignment="1" applyProtection="1">
      <alignment horizontal="center"/>
      <protection locked="0"/>
    </xf>
    <xf numFmtId="172" fontId="96" fillId="4" borderId="54" xfId="11" applyNumberFormat="1" applyFont="1" applyBorder="1" applyAlignment="1" applyProtection="1">
      <alignment horizontal="center" vertical="top"/>
      <protection locked="0"/>
    </xf>
    <xf numFmtId="182" fontId="96" fillId="4" borderId="54" xfId="11" applyNumberFormat="1" applyFont="1" applyBorder="1" applyAlignment="1" applyProtection="1">
      <alignment horizontal="center" vertical="top"/>
      <protection locked="0"/>
    </xf>
    <xf numFmtId="0" fontId="96" fillId="4" borderId="54" xfId="11" applyFont="1" applyBorder="1" applyAlignment="1" applyProtection="1">
      <protection locked="0"/>
    </xf>
    <xf numFmtId="1" fontId="96" fillId="4" borderId="54" xfId="11" applyNumberFormat="1" applyFont="1" applyBorder="1" applyAlignment="1" applyProtection="1">
      <alignment horizontal="center"/>
      <protection locked="0"/>
    </xf>
    <xf numFmtId="1" fontId="96" fillId="4" borderId="54" xfId="11" applyNumberFormat="1" applyFont="1" applyBorder="1" applyAlignment="1">
      <alignment horizontal="center"/>
    </xf>
    <xf numFmtId="0" fontId="91" fillId="0" borderId="1" xfId="0" applyFont="1" applyBorder="1" applyAlignment="1">
      <alignment horizontal="center" wrapText="1"/>
    </xf>
    <xf numFmtId="172" fontId="96" fillId="4" borderId="54" xfId="11" applyNumberFormat="1" applyFont="1" applyBorder="1" applyAlignment="1" applyProtection="1">
      <alignment horizontal="right"/>
      <protection locked="0"/>
    </xf>
    <xf numFmtId="172" fontId="96" fillId="4" borderId="54" xfId="11" applyNumberFormat="1" applyFont="1" applyBorder="1" applyAlignment="1">
      <alignment horizontal="right"/>
    </xf>
    <xf numFmtId="172" fontId="96" fillId="4" borderId="3" xfId="11" applyNumberFormat="1" applyFont="1" applyAlignment="1" applyProtection="1">
      <alignment horizontal="right"/>
      <protection locked="0"/>
    </xf>
    <xf numFmtId="172" fontId="91" fillId="0" borderId="0" xfId="0" applyNumberFormat="1" applyFont="1" applyAlignment="1">
      <alignment horizontal="right" wrapText="1"/>
    </xf>
    <xf numFmtId="172" fontId="92" fillId="6" borderId="0" xfId="0" applyNumberFormat="1" applyFont="1" applyFill="1" applyAlignment="1">
      <alignment horizontal="center"/>
    </xf>
    <xf numFmtId="172" fontId="91" fillId="3" borderId="0" xfId="0" applyNumberFormat="1" applyFont="1" applyFill="1"/>
    <xf numFmtId="172" fontId="89" fillId="0" borderId="51" xfId="0" applyNumberFormat="1" applyFont="1" applyBorder="1" applyAlignment="1">
      <alignment horizontal="center"/>
    </xf>
    <xf numFmtId="172" fontId="89" fillId="0" borderId="65" xfId="0" applyNumberFormat="1" applyFont="1" applyBorder="1" applyAlignment="1">
      <alignment horizontal="center"/>
    </xf>
    <xf numFmtId="0" fontId="92" fillId="0" borderId="56" xfId="0" applyFont="1" applyBorder="1" applyAlignment="1">
      <alignment horizontal="center"/>
    </xf>
    <xf numFmtId="0" fontId="105" fillId="3" borderId="0" xfId="0" applyFont="1" applyFill="1"/>
    <xf numFmtId="172" fontId="89" fillId="0" borderId="51" xfId="0" applyNumberFormat="1" applyFont="1" applyBorder="1" applyAlignment="1">
      <alignment horizontal="left"/>
    </xf>
    <xf numFmtId="172" fontId="89" fillId="0" borderId="65" xfId="0" applyNumberFormat="1" applyFont="1" applyBorder="1" applyAlignment="1">
      <alignment horizontal="left"/>
    </xf>
    <xf numFmtId="0" fontId="91" fillId="0" borderId="56" xfId="0" applyFont="1" applyBorder="1" applyProtection="1">
      <protection hidden="1"/>
    </xf>
    <xf numFmtId="172" fontId="91" fillId="0" borderId="0" xfId="0" applyNumberFormat="1" applyFont="1" applyAlignment="1">
      <alignment horizontal="left"/>
    </xf>
    <xf numFmtId="0" fontId="91" fillId="62" borderId="0" xfId="0" applyFont="1" applyFill="1"/>
    <xf numFmtId="182" fontId="91" fillId="62" borderId="0" xfId="0" applyNumberFormat="1" applyFont="1" applyFill="1"/>
    <xf numFmtId="172" fontId="91" fillId="62" borderId="0" xfId="0" applyNumberFormat="1" applyFont="1" applyFill="1" applyAlignment="1">
      <alignment horizontal="center" vertical="top"/>
    </xf>
    <xf numFmtId="0" fontId="92" fillId="62" borderId="0" xfId="0" applyFont="1" applyFill="1"/>
    <xf numFmtId="0" fontId="92" fillId="62" borderId="0" xfId="0" applyFont="1" applyFill="1" applyAlignment="1">
      <alignment horizontal="center"/>
    </xf>
    <xf numFmtId="0" fontId="91" fillId="62" borderId="0" xfId="0" applyFont="1" applyFill="1" applyAlignment="1">
      <alignment horizontal="center" wrapText="1"/>
    </xf>
    <xf numFmtId="0" fontId="92" fillId="3" borderId="56" xfId="0" applyFont="1" applyFill="1" applyBorder="1"/>
    <xf numFmtId="0" fontId="92" fillId="0" borderId="1" xfId="0" applyFont="1" applyBorder="1"/>
    <xf numFmtId="164" fontId="91" fillId="62" borderId="0" xfId="0" applyNumberFormat="1" applyFont="1" applyFill="1" applyAlignment="1">
      <alignment horizontal="center"/>
    </xf>
    <xf numFmtId="172" fontId="92" fillId="62" borderId="0" xfId="0" applyNumberFormat="1" applyFont="1" applyFill="1" applyAlignment="1">
      <alignment horizontal="center" vertical="top"/>
    </xf>
    <xf numFmtId="182" fontId="91" fillId="62" borderId="0" xfId="0" applyNumberFormat="1" applyFont="1" applyFill="1" applyAlignment="1">
      <alignment horizontal="center"/>
    </xf>
    <xf numFmtId="165" fontId="91" fillId="0" borderId="0" xfId="11" applyNumberFormat="1" applyFont="1" applyFill="1" applyBorder="1" applyAlignment="1" applyProtection="1">
      <alignment horizontal="center" vertical="top"/>
    </xf>
    <xf numFmtId="182" fontId="91" fillId="0" borderId="56" xfId="0" applyNumberFormat="1" applyFont="1" applyBorder="1" applyAlignment="1">
      <alignment horizontal="center"/>
    </xf>
    <xf numFmtId="182" fontId="91" fillId="0" borderId="56" xfId="0" applyNumberFormat="1" applyFont="1" applyBorder="1"/>
    <xf numFmtId="174" fontId="96" fillId="0" borderId="0" xfId="0" applyNumberFormat="1" applyFont="1"/>
    <xf numFmtId="0" fontId="104" fillId="0" borderId="1" xfId="0" applyFont="1" applyBorder="1"/>
    <xf numFmtId="172" fontId="91" fillId="0" borderId="1" xfId="0" applyNumberFormat="1" applyFont="1" applyBorder="1" applyAlignment="1">
      <alignment horizontal="center" vertical="top"/>
    </xf>
    <xf numFmtId="0" fontId="104" fillId="0" borderId="56" xfId="0" applyFont="1" applyBorder="1"/>
    <xf numFmtId="174" fontId="92" fillId="0" borderId="56" xfId="0" applyNumberFormat="1" applyFont="1" applyBorder="1" applyAlignment="1">
      <alignment horizontal="right"/>
    </xf>
    <xf numFmtId="0" fontId="92" fillId="0" borderId="56" xfId="0" applyFont="1" applyBorder="1" applyProtection="1">
      <protection hidden="1"/>
    </xf>
    <xf numFmtId="174" fontId="92" fillId="0" borderId="56"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182" fontId="91" fillId="0" borderId="1" xfId="0" applyNumberFormat="1" applyFont="1" applyBorder="1" applyAlignment="1">
      <alignment horizontal="center"/>
    </xf>
    <xf numFmtId="164" fontId="91" fillId="0" borderId="1" xfId="0" applyNumberFormat="1" applyFont="1" applyBorder="1" applyAlignment="1">
      <alignment horizontal="center"/>
    </xf>
    <xf numFmtId="0" fontId="96" fillId="4" borderId="53" xfId="11" applyFont="1" applyBorder="1" applyAlignment="1" applyProtection="1">
      <protection locked="0"/>
    </xf>
    <xf numFmtId="1" fontId="96" fillId="2" borderId="53" xfId="0" applyNumberFormat="1" applyFont="1" applyFill="1" applyBorder="1" applyAlignment="1" applyProtection="1">
      <alignment horizontal="center"/>
      <protection locked="0"/>
    </xf>
    <xf numFmtId="182" fontId="96" fillId="4" borderId="53" xfId="11" applyNumberFormat="1" applyFont="1" applyBorder="1" applyAlignment="1" applyProtection="1">
      <alignment horizontal="center"/>
      <protection locked="0"/>
    </xf>
    <xf numFmtId="1" fontId="96" fillId="4" borderId="54" xfId="11" applyNumberFormat="1" applyFont="1" applyBorder="1" applyAlignment="1" applyProtection="1">
      <alignment horizontal="left"/>
      <protection locked="0"/>
    </xf>
    <xf numFmtId="174" fontId="96" fillId="4" borderId="54"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91" fillId="0" borderId="68" xfId="0" applyFont="1" applyBorder="1" applyAlignment="1">
      <alignment horizontal="left" indent="1"/>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5" borderId="0" xfId="33111" applyFont="1" applyFill="1" applyAlignment="1">
      <alignment horizontal="left" vertical="top"/>
    </xf>
    <xf numFmtId="0" fontId="64" fillId="6" borderId="0" xfId="33111" applyFont="1" applyFill="1" applyAlignment="1">
      <alignment horizontal="left" vertical="top"/>
    </xf>
    <xf numFmtId="0" fontId="91" fillId="0" borderId="56" xfId="33111" applyFont="1" applyBorder="1" applyAlignment="1">
      <alignment horizontal="left" vertical="top" wrapText="1"/>
    </xf>
    <xf numFmtId="172" fontId="91" fillId="0" borderId="56" xfId="33111" applyNumberFormat="1" applyFont="1" applyBorder="1" applyAlignment="1">
      <alignment horizontal="right" vertical="top" wrapText="1"/>
    </xf>
    <xf numFmtId="0" fontId="91" fillId="0" borderId="56" xfId="33111" applyFont="1" applyBorder="1" applyAlignment="1">
      <alignment horizontal="right" vertical="top" wrapText="1"/>
    </xf>
    <xf numFmtId="0" fontId="91" fillId="0" borderId="1" xfId="33111" applyFont="1" applyBorder="1" applyAlignment="1">
      <alignment horizontal="left" vertical="top" wrapText="1"/>
    </xf>
    <xf numFmtId="172" fontId="91" fillId="0" borderId="1" xfId="33111" applyNumberFormat="1" applyFont="1" applyBorder="1" applyAlignment="1">
      <alignment horizontal="right" vertical="top" wrapText="1"/>
    </xf>
    <xf numFmtId="0" fontId="91" fillId="0" borderId="1" xfId="33111" applyFont="1" applyBorder="1" applyAlignment="1">
      <alignment horizontal="right" vertical="top" wrapText="1"/>
    </xf>
    <xf numFmtId="0" fontId="121" fillId="0" borderId="0" xfId="33111" applyFont="1" applyAlignment="1">
      <alignment vertical="top" wrapText="1"/>
    </xf>
    <xf numFmtId="192" fontId="90" fillId="0" borderId="78" xfId="33111" applyNumberFormat="1" applyFont="1" applyBorder="1" applyAlignment="1">
      <alignment horizontal="right" vertical="top" wrapText="1"/>
    </xf>
    <xf numFmtId="0" fontId="90" fillId="0" borderId="79" xfId="33111" applyFont="1" applyBorder="1" applyAlignment="1">
      <alignment horizontal="left" vertical="top" wrapText="1"/>
    </xf>
    <xf numFmtId="0" fontId="91" fillId="0" borderId="56" xfId="33111" applyFont="1" applyBorder="1" applyAlignment="1">
      <alignment vertical="top" wrapText="1"/>
    </xf>
    <xf numFmtId="172" fontId="91" fillId="0" borderId="56" xfId="33111" applyNumberFormat="1" applyFont="1" applyBorder="1" applyAlignment="1">
      <alignment vertical="top" wrapText="1"/>
    </xf>
    <xf numFmtId="0" fontId="91" fillId="68" borderId="73" xfId="33111" applyFont="1" applyFill="1" applyBorder="1" applyAlignment="1">
      <alignment vertical="center" wrapText="1"/>
    </xf>
    <xf numFmtId="172" fontId="91" fillId="68" borderId="73" xfId="33111" applyNumberFormat="1" applyFont="1" applyFill="1" applyBorder="1" applyAlignment="1">
      <alignment vertical="center" wrapText="1"/>
    </xf>
    <xf numFmtId="172" fontId="91" fillId="68" borderId="75" xfId="33111" applyNumberFormat="1" applyFont="1" applyFill="1" applyBorder="1" applyAlignment="1">
      <alignment vertical="center" wrapText="1"/>
    </xf>
    <xf numFmtId="0" fontId="91" fillId="0" borderId="80" xfId="33111" applyFont="1" applyBorder="1" applyAlignment="1">
      <alignment horizontal="left" vertical="top" wrapText="1"/>
    </xf>
    <xf numFmtId="0" fontId="91" fillId="0" borderId="81" xfId="33111" applyFont="1" applyBorder="1" applyAlignment="1">
      <alignment vertical="top" wrapText="1"/>
    </xf>
    <xf numFmtId="0" fontId="91" fillId="0" borderId="76" xfId="33111" applyFont="1" applyBorder="1" applyAlignment="1">
      <alignment horizontal="left" vertical="top" wrapText="1"/>
    </xf>
    <xf numFmtId="0" fontId="91" fillId="0" borderId="77" xfId="33111" applyFont="1" applyBorder="1" applyAlignment="1">
      <alignment vertical="top" wrapText="1"/>
    </xf>
    <xf numFmtId="0" fontId="64" fillId="62" borderId="74" xfId="33111" applyFont="1" applyFill="1" applyBorder="1" applyAlignment="1">
      <alignment horizontal="left" vertical="top" wrapText="1"/>
    </xf>
    <xf numFmtId="0" fontId="91" fillId="68" borderId="84" xfId="33111" applyFont="1" applyFill="1" applyBorder="1" applyAlignment="1">
      <alignment vertical="center" wrapText="1"/>
    </xf>
    <xf numFmtId="0" fontId="64" fillId="62" borderId="85" xfId="33111" applyFont="1" applyFill="1" applyBorder="1" applyAlignment="1">
      <alignment horizontal="center" vertical="top" wrapText="1"/>
    </xf>
    <xf numFmtId="0" fontId="64" fillId="62" borderId="86" xfId="33111" applyFont="1" applyFill="1" applyBorder="1" applyAlignment="1">
      <alignment horizontal="center" vertical="top" wrapText="1"/>
    </xf>
    <xf numFmtId="0" fontId="64" fillId="62" borderId="87" xfId="33111" applyFont="1" applyFill="1" applyBorder="1" applyAlignment="1">
      <alignment horizontal="center" vertical="top" wrapText="1"/>
    </xf>
    <xf numFmtId="181" fontId="91" fillId="68" borderId="73" xfId="33111" applyNumberFormat="1" applyFont="1" applyFill="1" applyBorder="1" applyAlignment="1">
      <alignment vertical="center" wrapText="1"/>
    </xf>
    <xf numFmtId="0" fontId="122" fillId="0" borderId="54" xfId="33111" applyFont="1" applyBorder="1" applyAlignment="1">
      <alignment horizontal="center" vertical="top"/>
    </xf>
    <xf numFmtId="0" fontId="120" fillId="0" borderId="0" xfId="33111" applyFont="1" applyAlignment="1">
      <alignment horizontal="left" vertical="top" wrapText="1"/>
    </xf>
    <xf numFmtId="172" fontId="122" fillId="0" borderId="54" xfId="33111" applyNumberFormat="1" applyFont="1" applyBorder="1" applyAlignment="1">
      <alignment horizontal="center" vertical="top"/>
    </xf>
    <xf numFmtId="0" fontId="123" fillId="0" borderId="0" xfId="33111" applyFont="1" applyAlignment="1">
      <alignment horizontal="left" vertical="top"/>
    </xf>
    <xf numFmtId="181" fontId="89" fillId="0" borderId="82" xfId="33111" applyNumberFormat="1" applyFont="1" applyBorder="1" applyAlignment="1">
      <alignment horizontal="right" vertical="top" wrapText="1"/>
    </xf>
    <xf numFmtId="0" fontId="89" fillId="0" borderId="83" xfId="33111" applyFont="1" applyBorder="1" applyAlignment="1">
      <alignment horizontal="left" vertical="top" wrapText="1"/>
    </xf>
    <xf numFmtId="0" fontId="94" fillId="0" borderId="0" xfId="8" applyFont="1" applyAlignment="1">
      <alignment horizontal="center"/>
    </xf>
    <xf numFmtId="175" fontId="91" fillId="0" borderId="0" xfId="0" applyNumberFormat="1" applyFont="1"/>
    <xf numFmtId="0" fontId="104" fillId="68" borderId="0" xfId="0" applyFont="1" applyFill="1"/>
    <xf numFmtId="0" fontId="92" fillId="68" borderId="0" xfId="0" applyFont="1" applyFill="1"/>
    <xf numFmtId="0" fontId="91" fillId="62" borderId="56" xfId="0" applyFont="1" applyFill="1" applyBorder="1" applyAlignment="1">
      <alignment horizontal="center" wrapText="1"/>
    </xf>
    <xf numFmtId="0" fontId="91" fillId="62" borderId="56" xfId="0" applyFont="1" applyFill="1" applyBorder="1"/>
    <xf numFmtId="0" fontId="92" fillId="0" borderId="74" xfId="33111" applyFont="1" applyBorder="1" applyAlignment="1">
      <alignment horizontal="left" vertical="center" wrapText="1"/>
    </xf>
    <xf numFmtId="0" fontId="91" fillId="0" borderId="74" xfId="33111" applyFont="1" applyBorder="1" applyAlignment="1">
      <alignment horizontal="left" vertical="center" wrapText="1"/>
    </xf>
    <xf numFmtId="0" fontId="91" fillId="0" borderId="88" xfId="33111" applyFont="1" applyBorder="1" applyAlignment="1">
      <alignment horizontal="left" vertical="center" wrapText="1"/>
    </xf>
    <xf numFmtId="0" fontId="91" fillId="68" borderId="89" xfId="33111" applyFont="1" applyFill="1" applyBorder="1" applyAlignment="1">
      <alignment vertical="center" wrapText="1"/>
    </xf>
    <xf numFmtId="0" fontId="91" fillId="0" borderId="90" xfId="33111" applyFont="1" applyBorder="1" applyAlignment="1">
      <alignment vertical="center" wrapText="1"/>
    </xf>
    <xf numFmtId="0" fontId="91" fillId="68" borderId="91" xfId="33111" applyFont="1" applyFill="1" applyBorder="1" applyAlignment="1">
      <alignment vertical="center" wrapText="1"/>
    </xf>
    <xf numFmtId="0" fontId="91" fillId="0" borderId="92" xfId="33111" applyFont="1" applyBorder="1" applyAlignment="1">
      <alignment vertical="center" wrapText="1"/>
    </xf>
    <xf numFmtId="172" fontId="91" fillId="0" borderId="92" xfId="33111" applyNumberFormat="1" applyFont="1" applyBorder="1" applyAlignment="1">
      <alignment vertical="center" wrapText="1"/>
    </xf>
    <xf numFmtId="172" fontId="90" fillId="0" borderId="92" xfId="33111" quotePrefix="1" applyNumberFormat="1" applyFont="1" applyBorder="1" applyAlignment="1">
      <alignment vertical="center" wrapText="1"/>
    </xf>
    <xf numFmtId="0" fontId="91" fillId="68" borderId="93" xfId="33111" applyFont="1" applyFill="1" applyBorder="1" applyAlignment="1">
      <alignment vertical="center" wrapText="1"/>
    </xf>
    <xf numFmtId="0" fontId="91" fillId="0" borderId="58" xfId="33111" applyFont="1" applyBorder="1" applyAlignment="1">
      <alignment vertical="top" wrapText="1"/>
    </xf>
    <xf numFmtId="0" fontId="91" fillId="0" borderId="57" xfId="33111" applyFont="1" applyBorder="1" applyAlignment="1">
      <alignment vertical="top" wrapText="1"/>
    </xf>
    <xf numFmtId="0" fontId="91" fillId="0" borderId="16" xfId="33111" applyFont="1" applyBorder="1" applyAlignment="1">
      <alignment horizontal="left" vertical="center"/>
    </xf>
    <xf numFmtId="0" fontId="91" fillId="0" borderId="91" xfId="33111" applyFont="1" applyBorder="1" applyAlignment="1">
      <alignment horizontal="right" vertical="center" wrapText="1"/>
    </xf>
    <xf numFmtId="0" fontId="91" fillId="0" borderId="69" xfId="33111" applyFont="1" applyBorder="1" applyAlignment="1">
      <alignment horizontal="left" vertical="center"/>
    </xf>
    <xf numFmtId="172" fontId="91" fillId="0" borderId="69" xfId="33111" applyNumberFormat="1" applyFont="1" applyBorder="1" applyAlignment="1">
      <alignment horizontal="right" vertical="center"/>
    </xf>
    <xf numFmtId="0" fontId="96" fillId="0" borderId="91" xfId="33111" applyFont="1" applyBorder="1" applyAlignment="1">
      <alignment horizontal="right" vertical="center" wrapText="1"/>
    </xf>
    <xf numFmtId="181" fontId="91" fillId="0" borderId="92" xfId="33111" applyNumberFormat="1" applyFont="1" applyBorder="1" applyAlignment="1">
      <alignment horizontal="right" vertical="center" wrapText="1"/>
    </xf>
    <xf numFmtId="172" fontId="91" fillId="0" borderId="92" xfId="33111" applyNumberFormat="1" applyFont="1" applyBorder="1" applyAlignment="1">
      <alignment horizontal="right" vertical="center" wrapText="1"/>
    </xf>
    <xf numFmtId="172" fontId="91" fillId="0" borderId="98" xfId="33111" applyNumberFormat="1" applyFont="1" applyBorder="1" applyAlignment="1">
      <alignment horizontal="right" vertical="center" wrapText="1"/>
    </xf>
    <xf numFmtId="0" fontId="91" fillId="0" borderId="92" xfId="33111" applyFont="1" applyBorder="1" applyAlignment="1">
      <alignment horizontal="right" vertical="center" wrapText="1"/>
    </xf>
    <xf numFmtId="0" fontId="91" fillId="0" borderId="71" xfId="33111" applyFont="1" applyBorder="1" applyAlignment="1">
      <alignment horizontal="right" vertical="center" wrapText="1"/>
    </xf>
    <xf numFmtId="0" fontId="91" fillId="0" borderId="69" xfId="33111" applyFont="1" applyBorder="1" applyAlignment="1">
      <alignment horizontal="right" vertical="center" wrapText="1"/>
    </xf>
    <xf numFmtId="0" fontId="91" fillId="0" borderId="1"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2" borderId="1" xfId="0" applyFont="1" applyFill="1" applyBorder="1"/>
    <xf numFmtId="0" fontId="91" fillId="62" borderId="1" xfId="0" applyFont="1" applyFill="1" applyBorder="1"/>
    <xf numFmtId="3" fontId="92" fillId="62" borderId="1" xfId="11" applyNumberFormat="1" applyFont="1" applyFill="1" applyBorder="1" applyAlignment="1" applyProtection="1">
      <alignment horizontal="center"/>
    </xf>
    <xf numFmtId="174" fontId="104" fillId="64" borderId="56" xfId="0" applyNumberFormat="1" applyFont="1" applyFill="1" applyBorder="1"/>
    <xf numFmtId="0" fontId="0" fillId="68" borderId="0" xfId="0" applyFill="1"/>
    <xf numFmtId="172" fontId="96" fillId="0" borderId="0" xfId="0" applyNumberFormat="1" applyFont="1" applyAlignment="1">
      <alignment horizontal="right"/>
    </xf>
    <xf numFmtId="172" fontId="96" fillId="0" borderId="0" xfId="0" applyNumberFormat="1" applyFont="1"/>
    <xf numFmtId="172" fontId="90" fillId="0" borderId="0" xfId="0" applyNumberFormat="1" applyFont="1"/>
    <xf numFmtId="172" fontId="90" fillId="0" borderId="47" xfId="0" applyNumberFormat="1" applyFont="1" applyBorder="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6"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0" xfId="0" applyFont="1" applyFill="1" applyBorder="1" applyProtection="1">
      <protection locked="0"/>
    </xf>
    <xf numFmtId="0" fontId="96" fillId="2" borderId="54" xfId="0" applyFont="1" applyFill="1" applyBorder="1" applyAlignment="1" applyProtection="1">
      <alignment horizont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49" xfId="0" applyNumberFormat="1" applyFont="1" applyFill="1" applyBorder="1" applyProtection="1">
      <protection locked="0"/>
    </xf>
    <xf numFmtId="0" fontId="91" fillId="0" borderId="65" xfId="0" applyFont="1" applyBorder="1" applyAlignment="1">
      <alignment horizontal="center" vertical="top"/>
    </xf>
    <xf numFmtId="0" fontId="115" fillId="0" borderId="0" xfId="0" applyFont="1" applyAlignment="1">
      <alignment horizontal="center" vertical="top"/>
    </xf>
    <xf numFmtId="174" fontId="96" fillId="2" borderId="56"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1" xfId="33111" applyFont="1" applyFill="1" applyBorder="1" applyAlignment="1" applyProtection="1">
      <alignment horizontal="right" vertical="center" wrapText="1"/>
      <protection locked="0"/>
    </xf>
    <xf numFmtId="193" fontId="96" fillId="2" borderId="91" xfId="33111" applyNumberFormat="1" applyFont="1" applyFill="1" applyBorder="1" applyAlignment="1" applyProtection="1">
      <alignment horizontal="right" vertical="center" wrapText="1"/>
      <protection locked="0"/>
    </xf>
    <xf numFmtId="181" fontId="91" fillId="2" borderId="92" xfId="33111" applyNumberFormat="1" applyFont="1" applyFill="1" applyBorder="1" applyAlignment="1" applyProtection="1">
      <alignment vertical="center" wrapText="1"/>
      <protection locked="0"/>
    </xf>
    <xf numFmtId="172" fontId="90" fillId="2" borderId="92" xfId="33111" applyNumberFormat="1" applyFont="1" applyFill="1" applyBorder="1" applyAlignment="1" applyProtection="1">
      <alignment vertical="center" wrapText="1"/>
      <protection locked="0"/>
    </xf>
    <xf numFmtId="172" fontId="96" fillId="2" borderId="91" xfId="33111" applyNumberFormat="1" applyFont="1" applyFill="1" applyBorder="1" applyAlignment="1" applyProtection="1">
      <alignment horizontal="right" vertical="center" wrapText="1"/>
      <protection locked="0"/>
    </xf>
    <xf numFmtId="0" fontId="96" fillId="2" borderId="91" xfId="33111" applyFont="1" applyFill="1" applyBorder="1" applyAlignment="1" applyProtection="1">
      <alignment vertical="center" wrapText="1"/>
      <protection locked="0"/>
    </xf>
    <xf numFmtId="191" fontId="96" fillId="2" borderId="91" xfId="33111" applyNumberFormat="1" applyFont="1" applyFill="1" applyBorder="1" applyAlignment="1" applyProtection="1">
      <alignment vertical="center" wrapText="1"/>
      <protection locked="0"/>
    </xf>
    <xf numFmtId="0" fontId="96" fillId="2" borderId="97" xfId="33111" applyFont="1" applyFill="1" applyBorder="1" applyAlignment="1" applyProtection="1">
      <alignment vertical="center" wrapText="1"/>
      <protection locked="0"/>
    </xf>
    <xf numFmtId="172" fontId="90" fillId="2" borderId="94" xfId="33111" applyNumberFormat="1" applyFont="1" applyFill="1" applyBorder="1" applyAlignment="1" applyProtection="1">
      <alignment vertical="center" wrapText="1"/>
      <protection locked="0"/>
    </xf>
    <xf numFmtId="0" fontId="96" fillId="2" borderId="71" xfId="33111" applyFont="1" applyFill="1" applyBorder="1" applyAlignment="1" applyProtection="1">
      <alignment horizontal="right" vertical="center" wrapText="1"/>
      <protection locked="0"/>
    </xf>
    <xf numFmtId="193" fontId="96" fillId="2" borderId="71" xfId="33111" applyNumberFormat="1" applyFont="1" applyFill="1" applyBorder="1" applyAlignment="1" applyProtection="1">
      <alignment horizontal="right" vertical="center" wrapText="1"/>
      <protection locked="0"/>
    </xf>
    <xf numFmtId="0" fontId="96" fillId="2" borderId="97" xfId="33111" applyFont="1" applyFill="1" applyBorder="1" applyAlignment="1" applyProtection="1">
      <alignment horizontal="right" vertical="center" wrapText="1"/>
      <protection locked="0"/>
    </xf>
    <xf numFmtId="173" fontId="96" fillId="2" borderId="91" xfId="33111" applyNumberFormat="1" applyFont="1" applyFill="1" applyBorder="1" applyAlignment="1" applyProtection="1">
      <alignment horizontal="right" vertical="center" wrapText="1"/>
      <protection locked="0"/>
    </xf>
    <xf numFmtId="173" fontId="96" fillId="2" borderId="97" xfId="33111" applyNumberFormat="1" applyFont="1" applyFill="1" applyBorder="1" applyAlignment="1" applyProtection="1">
      <alignment horizontal="right" vertical="center" wrapText="1"/>
      <protection locked="0"/>
    </xf>
    <xf numFmtId="172" fontId="96" fillId="2" borderId="71"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4"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0" xfId="0" applyNumberFormat="1" applyFont="1" applyBorder="1" applyAlignment="1">
      <alignment horizontal="center" vertical="top"/>
    </xf>
    <xf numFmtId="172" fontId="90" fillId="0" borderId="61"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82" fontId="96" fillId="0" borderId="0" xfId="0" applyNumberFormat="1" applyFont="1" applyAlignment="1">
      <alignment horizontal="center"/>
    </xf>
    <xf numFmtId="172" fontId="96" fillId="0" borderId="0" xfId="11" applyNumberFormat="1" applyFont="1" applyFill="1" applyBorder="1" applyAlignment="1" applyProtection="1">
      <alignment horizontal="right"/>
    </xf>
    <xf numFmtId="182" fontId="96" fillId="0" borderId="0" xfId="11" applyNumberFormat="1" applyFont="1" applyFill="1" applyBorder="1" applyAlignment="1" applyProtection="1">
      <alignment horizontal="center"/>
    </xf>
    <xf numFmtId="3" fontId="92" fillId="0" borderId="0" xfId="0" applyNumberFormat="1" applyFont="1" applyAlignment="1">
      <alignment horizontal="center"/>
    </xf>
    <xf numFmtId="172" fontId="90" fillId="0" borderId="59"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4" xfId="0" applyFont="1" applyFill="1" applyBorder="1" applyAlignment="1" applyProtection="1">
      <alignment horizontal="center"/>
      <protection locked="0"/>
    </xf>
    <xf numFmtId="186" fontId="96" fillId="2" borderId="50"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8" borderId="0" xfId="0" applyFill="1" applyAlignment="1">
      <alignment wrapText="1"/>
    </xf>
    <xf numFmtId="0" fontId="126" fillId="68" borderId="0" xfId="0" applyFont="1" applyFill="1"/>
    <xf numFmtId="0" fontId="88" fillId="65" borderId="0" xfId="6628" applyFont="1" applyFill="1"/>
    <xf numFmtId="0" fontId="91" fillId="3" borderId="65" xfId="0" applyFont="1" applyFill="1" applyBorder="1"/>
    <xf numFmtId="0" fontId="91" fillId="0" borderId="0" xfId="0" applyFont="1" applyProtection="1">
      <protection locked="0"/>
    </xf>
    <xf numFmtId="0" fontId="64" fillId="69" borderId="0" xfId="6628" applyFont="1" applyFill="1"/>
    <xf numFmtId="172" fontId="91" fillId="0" borderId="56"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64" fontId="104" fillId="62" borderId="0" xfId="0" applyNumberFormat="1" applyFont="1" applyFill="1" applyAlignment="1">
      <alignment horizontal="center"/>
    </xf>
    <xf numFmtId="172" fontId="104" fillId="62" borderId="0" xfId="0" applyNumberFormat="1" applyFont="1" applyFill="1" applyAlignment="1">
      <alignment horizontal="center"/>
    </xf>
    <xf numFmtId="172" fontId="92" fillId="0" borderId="0" xfId="0" applyNumberFormat="1" applyFont="1" applyAlignment="1">
      <alignment horizontal="center" wrapText="1"/>
    </xf>
    <xf numFmtId="194" fontId="91" fillId="3" borderId="0" xfId="0" quotePrefix="1" applyNumberFormat="1" applyFont="1" applyFill="1" applyAlignment="1">
      <alignment horizontal="center"/>
    </xf>
    <xf numFmtId="1" fontId="96" fillId="0" borderId="0" xfId="0" applyNumberFormat="1" applyFont="1" applyAlignment="1">
      <alignment horizontal="right"/>
    </xf>
    <xf numFmtId="0" fontId="61" fillId="65" borderId="0" xfId="0" applyFont="1" applyFill="1" applyProtection="1">
      <protection locked="0"/>
    </xf>
    <xf numFmtId="0" fontId="91" fillId="0" borderId="1" xfId="0" applyFont="1" applyBorder="1" applyAlignment="1">
      <alignment horizontal="center" vertical="top"/>
    </xf>
    <xf numFmtId="174" fontId="96" fillId="4" borderId="54" xfId="11" applyNumberFormat="1" applyFont="1" applyBorder="1" applyAlignment="1" applyProtection="1">
      <alignment horizontal="right"/>
      <protection locked="0"/>
    </xf>
    <xf numFmtId="172" fontId="91" fillId="2" borderId="54" xfId="0" applyNumberFormat="1" applyFont="1" applyFill="1" applyBorder="1" applyProtection="1">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7" xfId="0" applyFont="1" applyFill="1" applyBorder="1"/>
    <xf numFmtId="0" fontId="96" fillId="2" borderId="47" xfId="0" quotePrefix="1" applyFont="1" applyFill="1" applyBorder="1" applyAlignment="1" applyProtection="1">
      <alignment vertical="center"/>
      <protection locked="0"/>
    </xf>
    <xf numFmtId="174" fontId="119" fillId="0" borderId="0" xfId="33111" applyNumberFormat="1" applyAlignment="1">
      <alignment horizontal="right" vertical="top"/>
    </xf>
    <xf numFmtId="0" fontId="128" fillId="0" borderId="0" xfId="33111" applyFont="1" applyAlignment="1">
      <alignment horizontal="left" vertical="top"/>
    </xf>
    <xf numFmtId="187" fontId="128" fillId="2" borderId="0" xfId="33111" applyNumberFormat="1" applyFont="1" applyFill="1" applyAlignment="1">
      <alignment horizontal="right" vertical="top"/>
    </xf>
    <xf numFmtId="174" fontId="128" fillId="0" borderId="0" xfId="33111" applyNumberFormat="1" applyFont="1" applyAlignment="1">
      <alignment horizontal="right" vertical="top"/>
    </xf>
    <xf numFmtId="0" fontId="128" fillId="0" borderId="0" xfId="33111" quotePrefix="1" applyFont="1" applyAlignment="1">
      <alignment horizontal="left" vertical="top"/>
    </xf>
    <xf numFmtId="172" fontId="2" fillId="0" borderId="56"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0" xfId="6628" applyNumberFormat="1" applyBorder="1"/>
    <xf numFmtId="172" fontId="2" fillId="0" borderId="66" xfId="6628" applyNumberFormat="1" applyBorder="1"/>
    <xf numFmtId="172" fontId="2" fillId="0" borderId="47" xfId="6628" applyNumberFormat="1" applyBorder="1"/>
    <xf numFmtId="172" fontId="2" fillId="0" borderId="54"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6"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4" xfId="11" applyNumberFormat="1" applyFont="1" applyBorder="1" applyAlignment="1" applyProtection="1">
      <alignment horizontal="center"/>
      <protection locked="0"/>
    </xf>
    <xf numFmtId="174" fontId="91" fillId="0" borderId="56" xfId="0" applyNumberFormat="1" applyFont="1" applyBorder="1" applyAlignment="1">
      <alignment horizontal="right" wrapText="1"/>
    </xf>
    <xf numFmtId="174" fontId="91" fillId="0" borderId="56" xfId="0" applyNumberFormat="1" applyFont="1" applyBorder="1" applyAlignment="1">
      <alignment horizontal="right"/>
    </xf>
    <xf numFmtId="172" fontId="91" fillId="0" borderId="56"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0" fontId="90" fillId="0" borderId="56" xfId="0" applyFont="1" applyBorder="1" applyProtection="1">
      <protection locked="0"/>
    </xf>
    <xf numFmtId="172" fontId="96" fillId="0" borderId="56" xfId="0" applyNumberFormat="1" applyFont="1" applyBorder="1" applyProtection="1">
      <protection locked="0"/>
    </xf>
    <xf numFmtId="172" fontId="91" fillId="0" borderId="56" xfId="0" applyNumberFormat="1" applyFont="1" applyBorder="1"/>
    <xf numFmtId="172" fontId="90" fillId="0" borderId="100" xfId="0" applyNumberFormat="1" applyFont="1" applyBorder="1"/>
    <xf numFmtId="0" fontId="105" fillId="0" borderId="0" xfId="0" quotePrefix="1" applyFont="1"/>
    <xf numFmtId="9" fontId="95" fillId="0" borderId="0" xfId="10" applyFont="1" applyFill="1" applyProtection="1"/>
    <xf numFmtId="174" fontId="104" fillId="63" borderId="56" xfId="0" applyNumberFormat="1" applyFont="1" applyFill="1" applyBorder="1"/>
    <xf numFmtId="174" fontId="107" fillId="63" borderId="56" xfId="0" applyNumberFormat="1" applyFont="1" applyFill="1" applyBorder="1"/>
    <xf numFmtId="182" fontId="92" fillId="63" borderId="56" xfId="0" applyNumberFormat="1" applyFont="1" applyFill="1" applyBorder="1" applyAlignment="1">
      <alignment horizontal="center" vertical="top"/>
    </xf>
    <xf numFmtId="0" fontId="91" fillId="70" borderId="0" xfId="0" applyFont="1" applyFill="1"/>
    <xf numFmtId="0" fontId="91" fillId="70"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4" fillId="0" borderId="0" xfId="0" applyFont="1" applyAlignment="1">
      <alignment horizontal="left"/>
    </xf>
    <xf numFmtId="0" fontId="104" fillId="0" borderId="0" xfId="0" applyFont="1"/>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15" fillId="0" borderId="0" xfId="8" applyFont="1" applyAlignment="1">
      <alignment horizontal="center"/>
    </xf>
    <xf numFmtId="0" fontId="83" fillId="0" borderId="0" xfId="0" applyFont="1"/>
    <xf numFmtId="0" fontId="120" fillId="0" borderId="0" xfId="8" applyFont="1" applyAlignment="1">
      <alignment horizontal="left"/>
    </xf>
    <xf numFmtId="0" fontId="120" fillId="0" borderId="0" xfId="8" applyFont="1" applyAlignment="1">
      <alignment horizontal="center"/>
    </xf>
    <xf numFmtId="172" fontId="83" fillId="0" borderId="0" xfId="0" applyNumberFormat="1" applyFont="1"/>
    <xf numFmtId="175" fontId="120" fillId="2" borderId="0" xfId="8" applyNumberFormat="1" applyFont="1" applyFill="1" applyAlignment="1">
      <alignment horizontal="center"/>
    </xf>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6" xfId="4" applyFont="1" applyBorder="1" applyProtection="1"/>
    <xf numFmtId="0" fontId="107" fillId="0" borderId="0" xfId="8" applyFont="1" applyAlignment="1">
      <alignment horizontal="right"/>
    </xf>
    <xf numFmtId="166" fontId="107" fillId="0" borderId="0" xfId="6" applyNumberFormat="1" applyFont="1" applyFill="1" applyBorder="1" applyAlignment="1" applyProtection="1">
      <alignment horizontal="center"/>
    </xf>
    <xf numFmtId="43" fontId="107" fillId="0" borderId="0" xfId="4" applyFont="1" applyBorder="1" applyProtection="1"/>
    <xf numFmtId="172" fontId="107" fillId="0" borderId="0" xfId="5" applyNumberFormat="1" applyFont="1" applyBorder="1" applyAlignment="1" applyProtection="1">
      <alignment horizontal="center"/>
    </xf>
    <xf numFmtId="0" fontId="104" fillId="0" borderId="0" xfId="8" quotePrefix="1" applyFont="1" applyAlignment="1">
      <alignment horizontal="right"/>
    </xf>
    <xf numFmtId="174" fontId="107" fillId="0" borderId="0" xfId="5" applyNumberFormat="1" applyFont="1" applyBorder="1" applyAlignment="1" applyProtection="1">
      <alignment horizontal="right"/>
    </xf>
    <xf numFmtId="43" fontId="83" fillId="0" borderId="0" xfId="4" applyFont="1" applyProtection="1"/>
    <xf numFmtId="0" fontId="136" fillId="0" borderId="0" xfId="0" applyFont="1"/>
    <xf numFmtId="0" fontId="135" fillId="0" borderId="0" xfId="0" applyFont="1"/>
    <xf numFmtId="0" fontId="135" fillId="0" borderId="68" xfId="0" applyFont="1" applyBorder="1" applyAlignment="1">
      <alignment horizontal="center"/>
    </xf>
    <xf numFmtId="0" fontId="135" fillId="0" borderId="65" xfId="0" applyFont="1" applyBorder="1" applyAlignment="1">
      <alignment horizontal="center"/>
    </xf>
    <xf numFmtId="0" fontId="135" fillId="0" borderId="65" xfId="0" applyFont="1" applyBorder="1" applyAlignment="1">
      <alignment horizontal="center" wrapText="1"/>
    </xf>
    <xf numFmtId="0" fontId="107" fillId="0" borderId="50" xfId="0" applyFont="1" applyBorder="1"/>
    <xf numFmtId="166" fontId="107" fillId="0" borderId="50" xfId="0" applyNumberFormat="1" applyFont="1" applyBorder="1"/>
    <xf numFmtId="172" fontId="107" fillId="0" borderId="50" xfId="0" applyNumberFormat="1" applyFont="1" applyBorder="1"/>
    <xf numFmtId="172" fontId="107" fillId="0" borderId="47" xfId="0" applyNumberFormat="1" applyFont="1" applyBorder="1"/>
    <xf numFmtId="174" fontId="107" fillId="0" borderId="47" xfId="0" applyNumberFormat="1" applyFont="1" applyBorder="1"/>
    <xf numFmtId="0" fontId="137" fillId="0" borderId="0" xfId="0" applyFont="1"/>
    <xf numFmtId="174" fontId="120" fillId="2" borderId="0" xfId="8" applyNumberFormat="1" applyFont="1" applyFill="1" applyAlignment="1">
      <alignment horizontal="center"/>
    </xf>
    <xf numFmtId="174" fontId="120" fillId="0" borderId="0" xfId="8" applyNumberFormat="1" applyFont="1" applyAlignment="1">
      <alignment horizontal="center"/>
    </xf>
    <xf numFmtId="0" fontId="107" fillId="0" borderId="56" xfId="8" applyFont="1" applyBorder="1" applyAlignment="1">
      <alignment horizontal="left"/>
    </xf>
    <xf numFmtId="0" fontId="107" fillId="0" borderId="47" xfId="0" applyFont="1" applyBorder="1" applyAlignment="1">
      <alignment horizontal="center"/>
    </xf>
    <xf numFmtId="172" fontId="96" fillId="2" borderId="50" xfId="0" applyNumberFormat="1" applyFont="1" applyFill="1" applyBorder="1" applyProtection="1">
      <protection locked="0"/>
    </xf>
    <xf numFmtId="172" fontId="96" fillId="0" borderId="72" xfId="0" applyNumberFormat="1" applyFont="1" applyBorder="1" applyProtection="1">
      <protection locked="0"/>
    </xf>
    <xf numFmtId="0" fontId="96" fillId="0" borderId="50" xfId="0" applyFont="1" applyBorder="1" applyProtection="1">
      <protection locked="0"/>
    </xf>
    <xf numFmtId="174" fontId="96" fillId="0" borderId="50" xfId="0" applyNumberFormat="1" applyFont="1" applyBorder="1" applyProtection="1">
      <protection locked="0"/>
    </xf>
    <xf numFmtId="172" fontId="96" fillId="0" borderId="47" xfId="0" applyNumberFormat="1" applyFont="1" applyBorder="1" applyProtection="1">
      <protection locked="0"/>
    </xf>
    <xf numFmtId="0" fontId="89" fillId="0" borderId="72" xfId="0" applyFont="1" applyBorder="1" applyAlignment="1" applyProtection="1">
      <alignment vertical="center"/>
      <protection locked="0"/>
    </xf>
    <xf numFmtId="174" fontId="90" fillId="0" borderId="54"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131" fillId="0" borderId="50" xfId="7" applyFont="1" applyBorder="1" applyAlignment="1" applyProtection="1">
      <alignment horizontal="left"/>
    </xf>
    <xf numFmtId="0" fontId="107" fillId="0" borderId="50" xfId="0" applyFont="1" applyBorder="1" applyAlignment="1">
      <alignment horizontal="center"/>
    </xf>
    <xf numFmtId="0" fontId="91" fillId="0" borderId="50" xfId="0" applyFont="1" applyBorder="1"/>
    <xf numFmtId="0" fontId="0" fillId="0" borderId="50" xfId="0" applyBorder="1"/>
    <xf numFmtId="0" fontId="112" fillId="0" borderId="1" xfId="0" applyFont="1" applyBorder="1"/>
    <xf numFmtId="0" fontId="0" fillId="0" borderId="1" xfId="0" applyBorder="1"/>
    <xf numFmtId="0" fontId="12" fillId="71" borderId="0" xfId="0" applyFont="1" applyFill="1"/>
    <xf numFmtId="0" fontId="139" fillId="71"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1" fontId="91" fillId="0" borderId="56"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5" fontId="92"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6" xfId="0" applyNumberFormat="1" applyFont="1" applyBorder="1" applyAlignment="1">
      <alignment horizontal="center"/>
    </xf>
    <xf numFmtId="1" fontId="92" fillId="0" borderId="56"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6"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3" borderId="1" xfId="0" applyFont="1" applyFill="1" applyBorder="1"/>
    <xf numFmtId="0" fontId="130" fillId="0" borderId="0" xfId="0" applyFont="1"/>
    <xf numFmtId="183" fontId="92" fillId="0" borderId="1" xfId="4" applyNumberFormat="1" applyFont="1" applyFill="1" applyBorder="1"/>
    <xf numFmtId="183" fontId="92" fillId="0" borderId="1" xfId="4" applyNumberFormat="1" applyFont="1" applyFill="1" applyBorder="1" applyAlignment="1">
      <alignment horizontal="center"/>
    </xf>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5" borderId="0" xfId="0" applyFont="1" applyFill="1"/>
    <xf numFmtId="0" fontId="105" fillId="0" borderId="47" xfId="0" applyFont="1" applyBorder="1"/>
    <xf numFmtId="174" fontId="92" fillId="60" borderId="0" xfId="0" applyNumberFormat="1" applyFont="1" applyFill="1" applyAlignment="1">
      <alignment horizontal="right"/>
    </xf>
    <xf numFmtId="0" fontId="92" fillId="60" borderId="0" xfId="0" applyFont="1" applyFill="1" applyAlignment="1">
      <alignment horizontal="center"/>
    </xf>
    <xf numFmtId="0" fontId="92" fillId="60" borderId="5" xfId="0" applyFont="1" applyFill="1" applyBorder="1"/>
    <xf numFmtId="174" fontId="92" fillId="60" borderId="6" xfId="0" applyNumberFormat="1" applyFont="1" applyFill="1" applyBorder="1" applyAlignment="1">
      <alignment horizontal="right"/>
    </xf>
    <xf numFmtId="0" fontId="92" fillId="60"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70" xfId="9" applyNumberFormat="1" applyFont="1" applyFill="1" applyBorder="1" applyAlignment="1" applyProtection="1">
      <alignment horizontal="right" vertical="top"/>
      <protection locked="0"/>
    </xf>
    <xf numFmtId="174" fontId="90" fillId="0" borderId="47" xfId="0" applyNumberFormat="1" applyFont="1" applyBorder="1" applyAlignment="1">
      <alignment horizontal="right"/>
    </xf>
    <xf numFmtId="174" fontId="90" fillId="0" borderId="70" xfId="9" applyNumberFormat="1" applyFont="1" applyFill="1" applyBorder="1" applyAlignment="1" applyProtection="1">
      <alignment horizontal="right" vertical="top"/>
    </xf>
    <xf numFmtId="174" fontId="91" fillId="0" borderId="70" xfId="9" applyNumberFormat="1" applyFont="1" applyFill="1" applyBorder="1" applyAlignment="1" applyProtection="1">
      <alignment horizontal="right" vertical="top"/>
      <protection locked="0"/>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4" xfId="0" applyNumberFormat="1" applyFont="1" applyFill="1" applyBorder="1" applyProtection="1">
      <protection locked="0"/>
    </xf>
    <xf numFmtId="172" fontId="96" fillId="2" borderId="99" xfId="0" applyNumberFormat="1" applyFont="1" applyFill="1" applyBorder="1" applyProtection="1">
      <protection locked="0"/>
    </xf>
    <xf numFmtId="172" fontId="91" fillId="0" borderId="91" xfId="33111" applyNumberFormat="1" applyFont="1" applyBorder="1" applyAlignment="1">
      <alignment horizontal="right" vertical="center" wrapText="1"/>
    </xf>
    <xf numFmtId="0" fontId="91" fillId="2" borderId="50" xfId="0" applyFont="1" applyFill="1" applyBorder="1" applyProtection="1">
      <protection locked="0"/>
    </xf>
    <xf numFmtId="0" fontId="140" fillId="0" borderId="0" xfId="0" applyFont="1" applyAlignment="1">
      <alignment horizontal="center"/>
    </xf>
    <xf numFmtId="164" fontId="91" fillId="67" borderId="0" xfId="0" applyNumberFormat="1" applyFont="1" applyFill="1" applyAlignment="1">
      <alignment horizontal="center"/>
    </xf>
    <xf numFmtId="0" fontId="91" fillId="67" borderId="0" xfId="0" applyFont="1" applyFill="1"/>
    <xf numFmtId="174" fontId="107" fillId="0" borderId="51"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2" xfId="0" applyFont="1" applyBorder="1"/>
    <xf numFmtId="172" fontId="96" fillId="0" borderId="72" xfId="0" applyNumberFormat="1" applyFont="1" applyBorder="1"/>
    <xf numFmtId="0" fontId="90" fillId="0" borderId="50"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0" fontId="90" fillId="0" borderId="47" xfId="0" applyFont="1" applyBorder="1" applyAlignment="1">
      <alignment vertical="center"/>
    </xf>
    <xf numFmtId="198" fontId="91" fillId="0" borderId="56" xfId="0" applyNumberFormat="1" applyFont="1" applyBorder="1" applyAlignment="1">
      <alignment horizontal="center"/>
    </xf>
    <xf numFmtId="198" fontId="91" fillId="0" borderId="0" xfId="0" applyNumberFormat="1" applyFont="1" applyAlignment="1">
      <alignment horizontal="center"/>
    </xf>
    <xf numFmtId="199" fontId="91" fillId="0" borderId="0" xfId="0" applyNumberFormat="1" applyFont="1" applyAlignment="1">
      <alignment horizontal="center" vertical="top"/>
    </xf>
    <xf numFmtId="199" fontId="91" fillId="0" borderId="56" xfId="0" applyNumberFormat="1" applyFont="1" applyBorder="1" applyAlignment="1">
      <alignment horizontal="center" vertical="top"/>
    </xf>
    <xf numFmtId="200" fontId="91" fillId="0" borderId="0" xfId="0" applyNumberFormat="1" applyFont="1" applyAlignment="1">
      <alignment horizontal="center" vertical="top"/>
    </xf>
    <xf numFmtId="0" fontId="129" fillId="0" borderId="0" xfId="0" applyFont="1" applyAlignment="1">
      <alignment horizontal="left" indent="1"/>
    </xf>
    <xf numFmtId="0" fontId="141"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2"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4" xfId="0" applyFont="1" applyFill="1" applyBorder="1" applyAlignment="1" applyProtection="1">
      <alignment horizontal="center" vertical="top"/>
      <protection locked="0"/>
    </xf>
    <xf numFmtId="1" fontId="96" fillId="2" borderId="54" xfId="0" applyNumberFormat="1" applyFont="1" applyFill="1" applyBorder="1" applyAlignment="1" applyProtection="1">
      <alignment horizontal="center" vertical="top"/>
      <protection locked="0"/>
    </xf>
    <xf numFmtId="0" fontId="90" fillId="0" borderId="54" xfId="0" applyFont="1" applyBorder="1" applyAlignment="1">
      <alignment horizontal="center" vertical="top"/>
    </xf>
    <xf numFmtId="172" fontId="90" fillId="0" borderId="54" xfId="0" applyNumberFormat="1" applyFont="1" applyBorder="1" applyAlignment="1">
      <alignment horizontal="center" vertical="top"/>
    </xf>
    <xf numFmtId="9" fontId="92" fillId="0" borderId="54" xfId="9" applyFont="1" applyFill="1" applyBorder="1" applyAlignment="1" applyProtection="1">
      <alignment horizontal="center" vertical="top"/>
      <protection locked="0"/>
    </xf>
    <xf numFmtId="172" fontId="91" fillId="0" borderId="54" xfId="9" applyNumberFormat="1" applyFont="1" applyFill="1" applyBorder="1" applyAlignment="1" applyProtection="1">
      <alignment horizontal="center" vertical="top"/>
    </xf>
    <xf numFmtId="174" fontId="0" fillId="0" borderId="0" xfId="33110" applyNumberFormat="1" applyFont="1"/>
    <xf numFmtId="174" fontId="0" fillId="0" borderId="0" xfId="0" applyNumberFormat="1"/>
    <xf numFmtId="0" fontId="143" fillId="0" borderId="0" xfId="0" applyFont="1" applyAlignment="1">
      <alignment horizontal="center"/>
    </xf>
    <xf numFmtId="0" fontId="144" fillId="0" borderId="0" xfId="0" applyFont="1"/>
    <xf numFmtId="0" fontId="92" fillId="60" borderId="0" xfId="0" applyFont="1" applyFill="1" applyAlignment="1">
      <alignment horizontal="right"/>
    </xf>
    <xf numFmtId="195" fontId="92" fillId="60" borderId="0" xfId="0" applyNumberFormat="1" applyFont="1" applyFill="1" applyAlignment="1">
      <alignment horizontal="right"/>
    </xf>
    <xf numFmtId="0" fontId="92" fillId="68"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5" fontId="92" fillId="0" borderId="0" xfId="0" applyNumberFormat="1" applyFont="1" applyAlignment="1">
      <alignment horizontal="right"/>
    </xf>
    <xf numFmtId="173" fontId="91" fillId="0" borderId="0" xfId="0" applyNumberFormat="1" applyFont="1" applyAlignment="1">
      <alignment horizontal="right" vertical="top"/>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4" xfId="11" applyNumberFormat="1" applyFont="1" applyBorder="1" applyAlignment="1" applyProtection="1">
      <alignment horizontal="right"/>
      <protection locked="0"/>
    </xf>
    <xf numFmtId="187" fontId="96" fillId="4" borderId="54" xfId="11" applyNumberFormat="1" applyFont="1" applyBorder="1" applyAlignment="1" applyProtection="1">
      <alignment horizontal="right"/>
      <protection locked="0"/>
    </xf>
    <xf numFmtId="187" fontId="90" fillId="0" borderId="54" xfId="11" applyNumberFormat="1" applyFont="1" applyFill="1" applyBorder="1" applyAlignment="1" applyProtection="1">
      <alignment horizontal="right"/>
    </xf>
    <xf numFmtId="175" fontId="96" fillId="4" borderId="54" xfId="11" applyNumberFormat="1" applyFont="1" applyBorder="1" applyAlignment="1" applyProtection="1">
      <alignment horizontal="right"/>
      <protection locked="0"/>
    </xf>
    <xf numFmtId="178" fontId="90" fillId="0" borderId="54" xfId="0" applyNumberFormat="1" applyFont="1" applyBorder="1" applyAlignment="1">
      <alignment horizontal="right"/>
    </xf>
    <xf numFmtId="0" fontId="104" fillId="0" borderId="40" xfId="0" applyFont="1" applyBorder="1" applyAlignment="1">
      <alignment horizontal="right" vertical="top"/>
    </xf>
    <xf numFmtId="195" fontId="92" fillId="0" borderId="1" xfId="0" applyNumberFormat="1" applyFont="1" applyBorder="1" applyAlignment="1">
      <alignment horizontal="right"/>
    </xf>
    <xf numFmtId="0" fontId="91" fillId="0" borderId="1" xfId="0" applyFont="1" applyBorder="1" applyAlignment="1">
      <alignment horizontal="right"/>
    </xf>
    <xf numFmtId="0" fontId="92" fillId="0" borderId="49" xfId="0" applyFont="1" applyBorder="1"/>
    <xf numFmtId="0" fontId="91" fillId="0" borderId="49" xfId="0" applyFont="1" applyBorder="1"/>
    <xf numFmtId="174" fontId="91" fillId="0" borderId="49" xfId="0" applyNumberFormat="1" applyFont="1" applyBorder="1" applyAlignment="1">
      <alignment horizontal="right"/>
    </xf>
    <xf numFmtId="177" fontId="92" fillId="0" borderId="49" xfId="0" applyNumberFormat="1" applyFont="1" applyBorder="1" applyAlignment="1">
      <alignment horizontal="right"/>
    </xf>
    <xf numFmtId="177" fontId="92" fillId="0" borderId="49" xfId="0" quotePrefix="1" applyNumberFormat="1" applyFont="1" applyBorder="1" applyAlignment="1">
      <alignment horizontal="right"/>
    </xf>
    <xf numFmtId="0" fontId="92" fillId="0" borderId="51" xfId="0" applyFont="1" applyBorder="1"/>
    <xf numFmtId="0" fontId="91" fillId="0" borderId="51" xfId="0" applyFont="1" applyBorder="1"/>
    <xf numFmtId="174" fontId="91" fillId="0" borderId="51" xfId="0" applyNumberFormat="1" applyFont="1" applyBorder="1" applyAlignment="1">
      <alignment horizontal="right"/>
    </xf>
    <xf numFmtId="177" fontId="92" fillId="0" borderId="51" xfId="0" applyNumberFormat="1" applyFont="1" applyBorder="1" applyAlignment="1">
      <alignment horizontal="right"/>
    </xf>
    <xf numFmtId="174" fontId="90" fillId="0" borderId="50" xfId="0" applyNumberFormat="1" applyFont="1" applyBorder="1"/>
    <xf numFmtId="174" fontId="96" fillId="2" borderId="50" xfId="0" applyNumberFormat="1" applyFont="1" applyFill="1" applyBorder="1" applyProtection="1">
      <protection locked="0"/>
    </xf>
    <xf numFmtId="174" fontId="96" fillId="2" borderId="54" xfId="0" applyNumberFormat="1" applyFont="1" applyFill="1" applyBorder="1" applyProtection="1">
      <protection locked="0"/>
    </xf>
    <xf numFmtId="172" fontId="96" fillId="0" borderId="54" xfId="0" applyNumberFormat="1" applyFont="1" applyBorder="1" applyProtection="1">
      <protection locked="0"/>
    </xf>
    <xf numFmtId="172" fontId="95" fillId="0" borderId="54" xfId="8" applyNumberFormat="1" applyFont="1" applyBorder="1"/>
    <xf numFmtId="172" fontId="116" fillId="2" borderId="54" xfId="6" applyNumberFormat="1" applyFont="1" applyFill="1" applyBorder="1" applyProtection="1">
      <protection locked="0"/>
    </xf>
    <xf numFmtId="172" fontId="116" fillId="2" borderId="54" xfId="6" applyNumberFormat="1" applyFont="1" applyFill="1" applyBorder="1" applyAlignment="1" applyProtection="1">
      <protection locked="0"/>
    </xf>
    <xf numFmtId="172" fontId="95" fillId="0" borderId="99" xfId="8" applyNumberFormat="1" applyFont="1" applyBorder="1"/>
    <xf numFmtId="172" fontId="116" fillId="2" borderId="99" xfId="6" applyNumberFormat="1" applyFont="1" applyFill="1" applyBorder="1" applyProtection="1">
      <protection locked="0"/>
    </xf>
    <xf numFmtId="0" fontId="94" fillId="0" borderId="105" xfId="8" applyFont="1" applyBorder="1" applyAlignment="1">
      <alignment horizontal="center" wrapText="1"/>
    </xf>
    <xf numFmtId="0" fontId="94" fillId="0" borderId="106" xfId="8" applyFont="1" applyBorder="1" applyAlignment="1">
      <alignment horizontal="center" wrapText="1"/>
    </xf>
    <xf numFmtId="44" fontId="95" fillId="66" borderId="106" xfId="6" applyFont="1" applyFill="1" applyBorder="1" applyAlignment="1" applyProtection="1">
      <alignment horizontal="center"/>
    </xf>
    <xf numFmtId="44" fontId="95" fillId="66" borderId="107" xfId="6" applyFont="1" applyFill="1" applyBorder="1" applyAlignment="1" applyProtection="1">
      <alignment horizontal="center"/>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60"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xf numFmtId="174" fontId="94" fillId="0" borderId="63" xfId="6" applyNumberFormat="1" applyFont="1" applyBorder="1" applyAlignment="1" applyProtection="1">
      <alignment horizontal="right"/>
    </xf>
    <xf numFmtId="172" fontId="95" fillId="0" borderId="108" xfId="8" applyNumberFormat="1" applyFont="1" applyBorder="1"/>
    <xf numFmtId="172" fontId="116" fillId="2" borderId="108" xfId="6" applyNumberFormat="1" applyFont="1" applyFill="1" applyBorder="1" applyProtection="1">
      <protection locked="0"/>
    </xf>
    <xf numFmtId="174" fontId="95" fillId="0" borderId="54" xfId="8" applyNumberFormat="1" applyFont="1" applyBorder="1"/>
    <xf numFmtId="9" fontId="95" fillId="0" borderId="0" xfId="10" applyFont="1" applyBorder="1" applyProtection="1"/>
    <xf numFmtId="38" fontId="95" fillId="0" borderId="56" xfId="8" applyNumberFormat="1" applyFont="1" applyBorder="1"/>
    <xf numFmtId="172" fontId="95" fillId="0" borderId="56" xfId="6" applyNumberFormat="1" applyFont="1" applyBorder="1" applyProtection="1"/>
    <xf numFmtId="175" fontId="95" fillId="0" borderId="99" xfId="6" applyNumberFormat="1" applyFont="1" applyFill="1" applyBorder="1" applyProtection="1"/>
    <xf numFmtId="175" fontId="95" fillId="0" borderId="99" xfId="6" applyNumberFormat="1" applyFont="1" applyFill="1" applyBorder="1" applyAlignment="1" applyProtection="1"/>
    <xf numFmtId="175" fontId="95" fillId="0" borderId="54" xfId="6" applyNumberFormat="1" applyFont="1" applyFill="1" applyBorder="1" applyProtection="1"/>
    <xf numFmtId="175" fontId="95" fillId="0" borderId="54" xfId="6" applyNumberFormat="1" applyFont="1" applyFill="1" applyBorder="1" applyAlignment="1" applyProtection="1"/>
    <xf numFmtId="175" fontId="95" fillId="0" borderId="108"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175" fontId="95" fillId="0" borderId="54" xfId="9" applyNumberFormat="1" applyFont="1" applyFill="1" applyBorder="1" applyProtection="1"/>
    <xf numFmtId="9" fontId="95" fillId="0" borderId="54" xfId="10" applyFont="1" applyFill="1" applyBorder="1" applyProtection="1"/>
    <xf numFmtId="175" fontId="95" fillId="0" borderId="54" xfId="10" applyNumberFormat="1" applyFont="1" applyFill="1" applyBorder="1" applyProtection="1"/>
    <xf numFmtId="44" fontId="95" fillId="0" borderId="54" xfId="8" applyNumberFormat="1" applyFont="1" applyBorder="1"/>
    <xf numFmtId="38" fontId="95" fillId="0" borderId="66" xfId="8" applyNumberFormat="1" applyFont="1" applyBorder="1"/>
    <xf numFmtId="175" fontId="95" fillId="0" borderId="66" xfId="9" applyNumberFormat="1" applyFont="1" applyFill="1" applyBorder="1" applyProtection="1"/>
    <xf numFmtId="175" fontId="95" fillId="0" borderId="65" xfId="6" applyNumberFormat="1" applyFont="1" applyFill="1" applyBorder="1" applyProtection="1"/>
    <xf numFmtId="172" fontId="95" fillId="2" borderId="99" xfId="8" applyNumberFormat="1" applyFont="1" applyFill="1" applyBorder="1" applyProtection="1">
      <protection locked="0"/>
    </xf>
    <xf numFmtId="172" fontId="116" fillId="2" borderId="54" xfId="8" applyNumberFormat="1" applyFont="1" applyFill="1" applyBorder="1" applyProtection="1">
      <protection locked="0"/>
    </xf>
    <xf numFmtId="172" fontId="95" fillId="2" borderId="54" xfId="8" applyNumberFormat="1" applyFont="1" applyFill="1" applyBorder="1" applyProtection="1">
      <protection locked="0"/>
    </xf>
    <xf numFmtId="173" fontId="95" fillId="0" borderId="56" xfId="8" applyNumberFormat="1" applyFont="1" applyBorder="1"/>
    <xf numFmtId="172" fontId="95" fillId="0" borderId="56" xfId="8" applyNumberFormat="1" applyFont="1" applyBorder="1"/>
    <xf numFmtId="38" fontId="95" fillId="0" borderId="99" xfId="6" applyNumberFormat="1" applyFont="1" applyBorder="1" applyProtection="1"/>
    <xf numFmtId="38" fontId="95" fillId="0" borderId="99" xfId="8" applyNumberFormat="1" applyFont="1" applyBorder="1"/>
    <xf numFmtId="38" fontId="95" fillId="0" borderId="108" xfId="6" applyNumberFormat="1" applyFont="1" applyBorder="1" applyProtection="1"/>
    <xf numFmtId="38" fontId="95" fillId="0" borderId="54" xfId="6" applyNumberFormat="1" applyFont="1" applyBorder="1" applyProtection="1"/>
    <xf numFmtId="38" fontId="95" fillId="0" borderId="54" xfId="8" applyNumberFormat="1" applyFont="1" applyBorder="1"/>
    <xf numFmtId="175" fontId="95" fillId="0" borderId="100" xfId="6" applyNumberFormat="1" applyFont="1" applyFill="1" applyBorder="1" applyAlignment="1" applyProtection="1">
      <alignment horizontal="right"/>
    </xf>
    <xf numFmtId="44" fontId="95" fillId="0" borderId="0" xfId="6" applyFont="1" applyBorder="1" applyProtection="1"/>
    <xf numFmtId="172" fontId="95" fillId="0" borderId="99" xfId="6" applyNumberFormat="1" applyFont="1" applyBorder="1" applyProtection="1"/>
    <xf numFmtId="38" fontId="95" fillId="0" borderId="54" xfId="6" applyNumberFormat="1" applyFont="1" applyFill="1" applyBorder="1" applyProtection="1"/>
    <xf numFmtId="172" fontId="95" fillId="0" borderId="54" xfId="6" applyNumberFormat="1" applyFont="1" applyBorder="1" applyProtection="1"/>
    <xf numFmtId="38" fontId="94" fillId="0" borderId="100" xfId="6" applyNumberFormat="1" applyFont="1" applyBorder="1" applyProtection="1"/>
    <xf numFmtId="172" fontId="94" fillId="0" borderId="100" xfId="6" applyNumberFormat="1" applyFont="1" applyBorder="1" applyProtection="1"/>
    <xf numFmtId="38" fontId="95" fillId="0" borderId="66" xfId="6" applyNumberFormat="1" applyFont="1" applyBorder="1" applyProtection="1"/>
    <xf numFmtId="174" fontId="91" fillId="0" borderId="0" xfId="0" applyNumberFormat="1" applyFont="1" applyAlignment="1">
      <alignment horizontal="right" vertical="top"/>
    </xf>
    <xf numFmtId="0" fontId="107" fillId="63" borderId="1" xfId="0" applyFont="1" applyFill="1" applyBorder="1" applyAlignment="1">
      <alignment horizontal="right" vertical="top"/>
    </xf>
    <xf numFmtId="0" fontId="104" fillId="63" borderId="1" xfId="0" applyFont="1" applyFill="1" applyBorder="1" applyAlignment="1">
      <alignment horizontal="right" vertical="top"/>
    </xf>
    <xf numFmtId="0" fontId="107" fillId="0" borderId="0" xfId="0" applyFont="1" applyAlignment="1">
      <alignment horizontal="right" vertical="top"/>
    </xf>
    <xf numFmtId="172" fontId="96" fillId="70" borderId="42" xfId="0" applyNumberFormat="1" applyFont="1" applyFill="1" applyBorder="1" applyAlignment="1" applyProtection="1">
      <alignment horizontal="right" vertical="top"/>
      <protection locked="0"/>
    </xf>
    <xf numFmtId="172" fontId="96" fillId="70" borderId="43" xfId="0" applyNumberFormat="1" applyFont="1" applyFill="1" applyBorder="1" applyAlignment="1" applyProtection="1">
      <alignment horizontal="right" vertical="top"/>
      <protection locked="0"/>
    </xf>
    <xf numFmtId="172" fontId="96" fillId="70" borderId="70" xfId="0" applyNumberFormat="1" applyFont="1" applyFill="1" applyBorder="1" applyAlignment="1" applyProtection="1">
      <alignment horizontal="right" vertical="top"/>
      <protection locked="0"/>
    </xf>
    <xf numFmtId="172" fontId="90" fillId="70" borderId="43" xfId="0" applyNumberFormat="1" applyFont="1" applyFill="1" applyBorder="1" applyAlignment="1" applyProtection="1">
      <alignment horizontal="right" vertical="top"/>
      <protection locked="0"/>
    </xf>
    <xf numFmtId="172" fontId="90" fillId="70" borderId="70" xfId="0" applyNumberFormat="1" applyFont="1" applyFill="1" applyBorder="1" applyAlignment="1" applyProtection="1">
      <alignment horizontal="right" vertical="top"/>
      <protection locked="0"/>
    </xf>
    <xf numFmtId="172" fontId="90" fillId="70" borderId="3" xfId="0" applyNumberFormat="1" applyFont="1" applyFill="1" applyBorder="1" applyAlignment="1" applyProtection="1">
      <alignment horizontal="right" vertical="top"/>
      <protection locked="0"/>
    </xf>
    <xf numFmtId="172" fontId="90" fillId="70" borderId="44" xfId="0" applyNumberFormat="1" applyFont="1" applyFill="1" applyBorder="1" applyAlignment="1" applyProtection="1">
      <alignment horizontal="right" vertical="top"/>
      <protection locked="0"/>
    </xf>
    <xf numFmtId="172" fontId="90" fillId="70" borderId="39" xfId="0" applyNumberFormat="1" applyFont="1" applyFill="1" applyBorder="1" applyAlignment="1" applyProtection="1">
      <alignment horizontal="right" vertical="top"/>
      <protection locked="0"/>
    </xf>
    <xf numFmtId="172" fontId="90" fillId="0" borderId="47" xfId="13330" applyNumberFormat="1" applyFont="1" applyFill="1" applyBorder="1" applyAlignment="1">
      <alignment horizontal="right" vertical="top"/>
    </xf>
    <xf numFmtId="9" fontId="90" fillId="0" borderId="70" xfId="9" applyFont="1" applyFill="1" applyBorder="1" applyAlignment="1" applyProtection="1">
      <alignment horizontal="right" vertical="top"/>
      <protection locked="0"/>
    </xf>
    <xf numFmtId="9" fontId="90" fillId="0" borderId="62" xfId="9"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70" xfId="9" applyNumberFormat="1" applyFont="1" applyFill="1" applyBorder="1" applyAlignment="1" applyProtection="1">
      <alignment horizontal="right" vertical="top"/>
    </xf>
    <xf numFmtId="172" fontId="96" fillId="0" borderId="70" xfId="9" applyNumberFormat="1" applyFont="1" applyFill="1" applyBorder="1" applyAlignment="1" applyProtection="1">
      <alignment horizontal="right" vertical="top"/>
      <protection locked="0"/>
    </xf>
    <xf numFmtId="172" fontId="96" fillId="0" borderId="62" xfId="9" applyNumberFormat="1" applyFont="1" applyFill="1" applyBorder="1" applyAlignment="1" applyProtection="1">
      <alignment horizontal="right" vertical="top"/>
      <protection locked="0"/>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72" fontId="91" fillId="0" borderId="56" xfId="0" applyNumberFormat="1" applyFont="1" applyBorder="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8" xfId="0" applyFont="1" applyBorder="1" applyAlignment="1">
      <alignment horizontal="center" vertical="top"/>
    </xf>
    <xf numFmtId="0" fontId="107" fillId="0" borderId="65"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4" xfId="11" applyNumberFormat="1" applyFont="1" applyBorder="1" applyAlignment="1" applyProtection="1">
      <alignment horizontal="center" wrapText="1"/>
      <protection locked="0"/>
    </xf>
    <xf numFmtId="165" fontId="92" fillId="4" borderId="54" xfId="11" applyNumberFormat="1" applyFont="1" applyBorder="1" applyAlignment="1" applyProtection="1">
      <alignment horizontal="center"/>
      <protection locked="0"/>
    </xf>
    <xf numFmtId="0" fontId="91" fillId="0" borderId="56" xfId="0" applyFont="1" applyBorder="1" applyAlignment="1">
      <alignment horizontal="center" vertical="top"/>
    </xf>
    <xf numFmtId="172" fontId="91" fillId="0" borderId="54" xfId="0" applyNumberFormat="1" applyFont="1" applyBorder="1" applyAlignment="1">
      <alignment horizontal="center" vertical="top"/>
    </xf>
    <xf numFmtId="172" fontId="91" fillId="0" borderId="100" xfId="0" applyNumberFormat="1" applyFont="1" applyBorder="1" applyAlignment="1">
      <alignment horizontal="center" vertical="top"/>
    </xf>
    <xf numFmtId="172" fontId="91" fillId="0" borderId="108" xfId="0" applyNumberFormat="1" applyFont="1" applyBorder="1" applyAlignment="1">
      <alignment horizontal="center" vertical="top"/>
    </xf>
    <xf numFmtId="0" fontId="129" fillId="0" borderId="55"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172" fontId="90" fillId="0" borderId="1" xfId="0" applyNumberFormat="1" applyFont="1" applyBorder="1"/>
    <xf numFmtId="0" fontId="96" fillId="2" borderId="56" xfId="0" applyFont="1" applyFill="1" applyBorder="1" applyProtection="1">
      <protection locked="0"/>
    </xf>
    <xf numFmtId="174" fontId="90" fillId="0" borderId="56" xfId="0" applyNumberFormat="1" applyFont="1" applyBorder="1"/>
    <xf numFmtId="0" fontId="104" fillId="0" borderId="0" xfId="0" applyFont="1" applyAlignment="1">
      <alignment horizontal="right" vertical="top"/>
    </xf>
    <xf numFmtId="172" fontId="90" fillId="0" borderId="51" xfId="0" applyNumberFormat="1" applyFont="1" applyBorder="1" applyAlignment="1">
      <alignment horizontal="right" vertical="top"/>
    </xf>
    <xf numFmtId="0" fontId="92" fillId="0" borderId="47" xfId="0" applyFont="1" applyBorder="1"/>
    <xf numFmtId="0" fontId="91" fillId="0" borderId="49" xfId="0" applyFont="1" applyBorder="1" applyAlignment="1">
      <alignment horizontal="right"/>
    </xf>
    <xf numFmtId="9" fontId="91" fillId="0" borderId="49" xfId="9" applyFont="1" applyFill="1" applyBorder="1" applyAlignment="1">
      <alignment horizontal="right" vertical="top"/>
    </xf>
    <xf numFmtId="174" fontId="91" fillId="0" borderId="51" xfId="0" applyNumberFormat="1" applyFont="1" applyBorder="1" applyAlignment="1">
      <alignment horizontal="right" vertical="top"/>
    </xf>
    <xf numFmtId="172" fontId="91" fillId="0" borderId="51"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4" xfId="0" applyNumberFormat="1" applyFont="1" applyFill="1" applyBorder="1" applyAlignment="1" applyProtection="1">
      <alignment horizontal="right" vertical="top"/>
      <protection locked="0"/>
    </xf>
    <xf numFmtId="172" fontId="96" fillId="2" borderId="108"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174" fontId="91" fillId="0" borderId="54" xfId="0" applyNumberFormat="1" applyFont="1" applyBorder="1" applyAlignment="1">
      <alignment horizontal="right" vertical="top"/>
    </xf>
    <xf numFmtId="174" fontId="91" fillId="0" borderId="108" xfId="0" applyNumberFormat="1" applyFont="1" applyBorder="1" applyAlignment="1">
      <alignment horizontal="right" vertical="top"/>
    </xf>
    <xf numFmtId="0" fontId="100" fillId="0" borderId="51" xfId="7" applyFont="1" applyBorder="1" applyAlignment="1" applyProtection="1">
      <alignment horizontal="right" wrapText="1" indent="1"/>
    </xf>
    <xf numFmtId="0" fontId="107" fillId="0" borderId="51" xfId="0" applyFont="1" applyBorder="1" applyAlignment="1">
      <alignment horizontal="right" vertical="top"/>
    </xf>
    <xf numFmtId="0" fontId="107" fillId="0" borderId="0" xfId="0" applyFont="1" applyAlignment="1" applyProtection="1">
      <alignment horizontal="center" vertical="top"/>
      <protection locked="0"/>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6" xfId="0" applyNumberFormat="1" applyFont="1" applyBorder="1" applyAlignment="1">
      <alignment horizontal="right"/>
    </xf>
    <xf numFmtId="197" fontId="92" fillId="0" borderId="56"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2" fontId="92" fillId="0" borderId="0" xfId="0" applyNumberFormat="1" applyFont="1" applyAlignment="1">
      <alignment horizontal="right" vertical="top"/>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1" fontId="91" fillId="0" borderId="65" xfId="0" applyNumberFormat="1" applyFont="1" applyBorder="1" applyAlignment="1">
      <alignment horizontal="right"/>
    </xf>
    <xf numFmtId="172" fontId="91" fillId="2" borderId="109"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9" xfId="0" applyNumberFormat="1" applyFont="1" applyFill="1" applyBorder="1" applyAlignment="1" applyProtection="1">
      <alignment horizontal="right" wrapText="1"/>
      <protection locked="0"/>
    </xf>
    <xf numFmtId="190" fontId="96" fillId="4" borderId="110" xfId="11" applyNumberFormat="1" applyFont="1" applyBorder="1" applyAlignment="1" applyProtection="1">
      <alignment horizontal="center"/>
      <protection locked="0"/>
    </xf>
    <xf numFmtId="0" fontId="91" fillId="0" borderId="56" xfId="0" quotePrefix="1" applyFont="1" applyBorder="1"/>
    <xf numFmtId="172" fontId="91" fillId="0" borderId="56" xfId="0" applyNumberFormat="1" applyFont="1" applyBorder="1" applyAlignment="1">
      <alignment horizontal="right" wrapText="1"/>
    </xf>
    <xf numFmtId="172" fontId="96" fillId="2" borderId="100" xfId="0" applyNumberFormat="1" applyFont="1" applyFill="1" applyBorder="1" applyAlignment="1" applyProtection="1">
      <alignment horizontal="right" wrapText="1"/>
      <protection locked="0"/>
    </xf>
    <xf numFmtId="174" fontId="92" fillId="0" borderId="56" xfId="0" applyNumberFormat="1" applyFont="1" applyBorder="1"/>
    <xf numFmtId="174" fontId="96" fillId="2" borderId="54" xfId="0" applyNumberFormat="1" applyFont="1" applyFill="1" applyBorder="1" applyAlignment="1" applyProtection="1">
      <alignment horizontal="right"/>
      <protection locked="0"/>
    </xf>
    <xf numFmtId="172" fontId="96" fillId="2" borderId="54" xfId="0" applyNumberFormat="1" applyFont="1" applyFill="1" applyBorder="1" applyAlignment="1" applyProtection="1">
      <alignment horizontal="right"/>
      <protection locked="0"/>
    </xf>
    <xf numFmtId="172" fontId="96" fillId="2" borderId="108" xfId="0" applyNumberFormat="1" applyFont="1" applyFill="1" applyBorder="1" applyAlignment="1" applyProtection="1">
      <alignment horizontal="right"/>
      <protection locked="0"/>
    </xf>
    <xf numFmtId="0" fontId="91" fillId="3" borderId="72" xfId="0" applyFont="1" applyFill="1" applyBorder="1"/>
    <xf numFmtId="0" fontId="91" fillId="3" borderId="51" xfId="0" applyFont="1" applyFill="1" applyBorder="1"/>
    <xf numFmtId="0" fontId="90" fillId="0" borderId="100" xfId="0" applyFont="1" applyBorder="1" applyAlignment="1">
      <alignment horizontal="center" vertical="top"/>
    </xf>
    <xf numFmtId="175" fontId="92" fillId="0" borderId="65" xfId="0" applyNumberFormat="1" applyFont="1" applyBorder="1" applyAlignment="1">
      <alignment horizontal="center" vertical="top"/>
    </xf>
    <xf numFmtId="175" fontId="92" fillId="0" borderId="65" xfId="0" applyNumberFormat="1" applyFont="1" applyBorder="1" applyAlignment="1">
      <alignment horizontal="right" vertical="top"/>
    </xf>
    <xf numFmtId="0" fontId="92" fillId="0" borderId="111" xfId="0" applyFont="1" applyBorder="1"/>
    <xf numFmtId="175" fontId="92" fillId="0" borderId="0" xfId="0" applyNumberFormat="1" applyFont="1" applyAlignment="1">
      <alignment horizontal="right" vertical="top"/>
    </xf>
    <xf numFmtId="202" fontId="91" fillId="0" borderId="0" xfId="0" applyNumberFormat="1" applyFont="1" applyAlignment="1">
      <alignment horizontal="center"/>
    </xf>
    <xf numFmtId="172" fontId="96" fillId="0" borderId="72" xfId="0" applyNumberFormat="1" applyFont="1" applyBorder="1" applyAlignment="1">
      <alignment horizontal="right" vertical="top"/>
    </xf>
    <xf numFmtId="172" fontId="90" fillId="0" borderId="72" xfId="0" applyNumberFormat="1" applyFont="1" applyBorder="1" applyAlignment="1">
      <alignment horizontal="right" vertical="top"/>
    </xf>
    <xf numFmtId="201" fontId="107" fillId="0" borderId="0" xfId="0" applyNumberFormat="1" applyFont="1" applyAlignment="1">
      <alignment horizontal="right" vertical="top"/>
    </xf>
    <xf numFmtId="174" fontId="107" fillId="0" borderId="51"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1"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18" fillId="2" borderId="47" xfId="0" applyFont="1" applyFill="1" applyBorder="1" applyAlignment="1" applyProtection="1">
      <alignment horizontal="center"/>
      <protection locked="0"/>
    </xf>
    <xf numFmtId="0" fontId="104" fillId="0" borderId="0" xfId="6628" applyFont="1"/>
    <xf numFmtId="0" fontId="96" fillId="2" borderId="100" xfId="0" applyFont="1" applyFill="1" applyBorder="1" applyAlignment="1" applyProtection="1">
      <alignment horizontal="center" vertical="top"/>
      <protection locked="0"/>
    </xf>
    <xf numFmtId="0" fontId="91" fillId="0" borderId="72" xfId="0" applyFont="1" applyBorder="1"/>
    <xf numFmtId="172" fontId="91" fillId="3" borderId="108" xfId="13330" applyNumberFormat="1" applyFont="1" applyFill="1" applyBorder="1" applyAlignment="1">
      <alignment horizontal="center" vertical="top"/>
    </xf>
    <xf numFmtId="173" fontId="92" fillId="0" borderId="56" xfId="0" applyNumberFormat="1" applyFont="1" applyBorder="1" applyAlignment="1">
      <alignment horizontal="right" vertical="top"/>
    </xf>
    <xf numFmtId="0" fontId="92" fillId="62" borderId="0" xfId="0" applyFont="1" applyFill="1" applyAlignment="1">
      <alignment horizontal="left"/>
    </xf>
    <xf numFmtId="10" fontId="91" fillId="3" borderId="0" xfId="9" quotePrefix="1" applyNumberFormat="1" applyFont="1" applyFill="1" applyBorder="1" applyAlignment="1">
      <alignment horizontal="center" vertical="top"/>
    </xf>
    <xf numFmtId="0" fontId="106" fillId="0" borderId="0" xfId="0" applyFont="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5" fillId="0" borderId="0" xfId="0" applyFont="1" applyAlignment="1">
      <alignment wrapText="1"/>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175" fontId="105" fillId="0" borderId="0" xfId="9" applyNumberFormat="1" applyFont="1" applyAlignment="1" applyProtection="1">
      <alignment horizontal="right"/>
    </xf>
    <xf numFmtId="0" fontId="91" fillId="64" borderId="0" xfId="0" applyFont="1" applyFill="1" applyAlignment="1">
      <alignment wrapText="1"/>
    </xf>
    <xf numFmtId="0" fontId="106" fillId="0" borderId="65" xfId="0" applyFont="1" applyBorder="1" applyAlignment="1">
      <alignment horizontal="left"/>
    </xf>
    <xf numFmtId="174" fontId="92" fillId="0" borderId="65" xfId="0" applyNumberFormat="1" applyFont="1" applyBorder="1" applyAlignment="1">
      <alignment horizontal="center"/>
    </xf>
    <xf numFmtId="175" fontId="92" fillId="0" borderId="65" xfId="0" applyNumberFormat="1" applyFont="1" applyBorder="1" applyAlignment="1">
      <alignment horizontal="center"/>
    </xf>
    <xf numFmtId="174" fontId="101" fillId="0" borderId="0" xfId="0" applyNumberFormat="1" applyFont="1" applyAlignment="1">
      <alignment horizontal="center"/>
    </xf>
    <xf numFmtId="175" fontId="101" fillId="0" borderId="0" xfId="0" applyNumberFormat="1" applyFont="1" applyAlignment="1">
      <alignment horizontal="center"/>
    </xf>
    <xf numFmtId="203" fontId="92" fillId="0" borderId="56" xfId="0" applyNumberFormat="1" applyFont="1" applyBorder="1" applyAlignment="1">
      <alignment horizontal="right"/>
    </xf>
    <xf numFmtId="203" fontId="91" fillId="0" borderId="56" xfId="0" applyNumberFormat="1" applyFont="1" applyBorder="1"/>
    <xf numFmtId="0" fontId="102" fillId="0" borderId="1" xfId="0" applyFont="1" applyBorder="1"/>
    <xf numFmtId="165" fontId="91" fillId="0" borderId="0" xfId="0" quotePrefix="1" applyNumberFormat="1" applyFont="1" applyAlignment="1">
      <alignment horizontal="right" vertical="top"/>
    </xf>
    <xf numFmtId="0" fontId="91" fillId="0" borderId="47" xfId="0" quotePrefix="1" applyFont="1" applyBorder="1"/>
    <xf numFmtId="0" fontId="0" fillId="2" borderId="47" xfId="0" applyFill="1" applyBorder="1" applyProtection="1">
      <protection locked="0"/>
    </xf>
    <xf numFmtId="0" fontId="104" fillId="0" borderId="0" xfId="0" applyFont="1" applyAlignment="1">
      <alignment horizontal="center"/>
    </xf>
    <xf numFmtId="0" fontId="104" fillId="0" borderId="1" xfId="0" applyFont="1" applyBorder="1" applyAlignment="1">
      <alignment horizontal="center"/>
    </xf>
    <xf numFmtId="0" fontId="104" fillId="0" borderId="1" xfId="0" applyFont="1" applyBorder="1" applyAlignment="1">
      <alignment horizontal="left"/>
    </xf>
    <xf numFmtId="172" fontId="91" fillId="2" borderId="54" xfId="0" applyNumberFormat="1" applyFont="1" applyFill="1" applyBorder="1" applyAlignment="1" applyProtection="1">
      <alignment horizontal="center"/>
      <protection locked="0"/>
    </xf>
    <xf numFmtId="172" fontId="91" fillId="2" borderId="54" xfId="0" applyNumberFormat="1" applyFont="1" applyFill="1" applyBorder="1" applyAlignment="1" applyProtection="1">
      <alignment horizontal="center" vertical="top"/>
      <protection locked="0"/>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0" xfId="0" applyNumberFormat="1" applyFont="1" applyFill="1" applyBorder="1" applyAlignment="1" applyProtection="1">
      <alignment horizontal="right"/>
      <protection locked="0"/>
    </xf>
    <xf numFmtId="10" fontId="96" fillId="4" borderId="54" xfId="11" applyNumberFormat="1" applyFont="1" applyBorder="1" applyAlignment="1" applyProtection="1">
      <alignment horizontal="center" vertical="top"/>
      <protection locked="0"/>
    </xf>
    <xf numFmtId="173" fontId="91" fillId="2" borderId="54" xfId="0" applyNumberFormat="1" applyFont="1" applyFill="1" applyBorder="1" applyAlignment="1" applyProtection="1">
      <alignment horizontal="center" vertical="top"/>
      <protection locked="0"/>
    </xf>
    <xf numFmtId="173" fontId="91" fillId="2" borderId="100" xfId="0" applyNumberFormat="1" applyFont="1" applyFill="1" applyBorder="1" applyAlignment="1" applyProtection="1">
      <alignment horizontal="center" vertical="top"/>
      <protection locked="0"/>
    </xf>
    <xf numFmtId="173" fontId="91" fillId="2" borderId="108" xfId="0" applyNumberFormat="1" applyFont="1" applyFill="1" applyBorder="1" applyAlignment="1" applyProtection="1">
      <alignment horizontal="center" vertical="top"/>
      <protection locked="0"/>
    </xf>
    <xf numFmtId="172" fontId="96" fillId="2" borderId="100"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4" fontId="92" fillId="0" borderId="6" xfId="0" applyNumberFormat="1" applyFont="1" applyBorder="1" applyAlignment="1">
      <alignment horizontal="center"/>
    </xf>
    <xf numFmtId="204" fontId="92" fillId="0" borderId="6" xfId="0" applyNumberFormat="1" applyFont="1" applyBorder="1" applyAlignment="1">
      <alignment horizontal="right"/>
    </xf>
    <xf numFmtId="205" fontId="91" fillId="0" borderId="0" xfId="0" applyNumberFormat="1" applyFont="1" applyAlignment="1">
      <alignment horizontal="center"/>
    </xf>
    <xf numFmtId="205" fontId="91" fillId="0" borderId="56" xfId="0" applyNumberFormat="1" applyFont="1" applyBorder="1" applyAlignment="1">
      <alignment horizontal="center"/>
    </xf>
    <xf numFmtId="205" fontId="91" fillId="0" borderId="1" xfId="0" applyNumberFormat="1" applyFont="1" applyBorder="1" applyAlignment="1">
      <alignment horizontal="center"/>
    </xf>
    <xf numFmtId="205" fontId="91" fillId="0" borderId="65" xfId="0" applyNumberFormat="1" applyFont="1" applyBorder="1" applyAlignment="1">
      <alignment horizontal="center"/>
    </xf>
    <xf numFmtId="206" fontId="91" fillId="0" borderId="0" xfId="0" applyNumberFormat="1" applyFont="1" applyAlignment="1">
      <alignment horizontal="center"/>
    </xf>
    <xf numFmtId="0" fontId="92" fillId="63" borderId="65" xfId="0" applyFont="1" applyFill="1" applyBorder="1" applyAlignment="1">
      <alignment horizontal="right"/>
    </xf>
    <xf numFmtId="0" fontId="92" fillId="63" borderId="65" xfId="0" applyFont="1" applyFill="1" applyBorder="1" applyAlignment="1">
      <alignment horizontal="right" wrapText="1"/>
    </xf>
    <xf numFmtId="0" fontId="92" fillId="63" borderId="57" xfId="0" applyFont="1" applyFill="1" applyBorder="1" applyAlignment="1">
      <alignment horizontal="center" wrapText="1"/>
    </xf>
    <xf numFmtId="0" fontId="92" fillId="63" borderId="0" xfId="0" applyFont="1" applyFill="1"/>
    <xf numFmtId="0" fontId="91" fillId="63" borderId="0" xfId="0" applyFont="1" applyFill="1"/>
    <xf numFmtId="0" fontId="92" fillId="64" borderId="68" xfId="0" applyFont="1" applyFill="1" applyBorder="1" applyAlignment="1">
      <alignment horizontal="right"/>
    </xf>
    <xf numFmtId="195" fontId="92" fillId="64" borderId="65" xfId="0" applyNumberFormat="1" applyFont="1" applyFill="1" applyBorder="1" applyAlignment="1">
      <alignment horizontal="right"/>
    </xf>
    <xf numFmtId="0" fontId="92" fillId="64" borderId="101" xfId="0" applyFont="1" applyFill="1" applyBorder="1" applyAlignment="1">
      <alignment horizontal="right"/>
    </xf>
    <xf numFmtId="0" fontId="92" fillId="64" borderId="102" xfId="0" applyFont="1" applyFill="1" applyBorder="1" applyAlignment="1">
      <alignment horizontal="right"/>
    </xf>
    <xf numFmtId="0" fontId="92" fillId="64" borderId="103" xfId="0" applyFont="1" applyFill="1" applyBorder="1" applyAlignment="1">
      <alignment horizontal="right"/>
    </xf>
    <xf numFmtId="0" fontId="92" fillId="64" borderId="15" xfId="0" applyFont="1" applyFill="1" applyBorder="1" applyAlignment="1">
      <alignment horizontal="right"/>
    </xf>
    <xf numFmtId="0" fontId="92" fillId="64" borderId="1" xfId="0" applyFont="1" applyFill="1" applyBorder="1" applyAlignment="1">
      <alignment horizontal="right"/>
    </xf>
    <xf numFmtId="0" fontId="92" fillId="64" borderId="14" xfId="0" applyFont="1" applyFill="1" applyBorder="1" applyAlignment="1">
      <alignment horizontal="right"/>
    </xf>
    <xf numFmtId="0" fontId="102" fillId="63" borderId="65" xfId="7" applyFont="1" applyFill="1" applyBorder="1" applyAlignment="1" applyProtection="1">
      <alignment horizontal="left" wrapText="1" indent="1"/>
    </xf>
    <xf numFmtId="0" fontId="104" fillId="63" borderId="65" xfId="0" applyFont="1" applyFill="1" applyBorder="1" applyAlignment="1">
      <alignment horizontal="center" vertical="top"/>
    </xf>
    <xf numFmtId="0" fontId="107" fillId="63" borderId="65" xfId="0" applyFont="1" applyFill="1" applyBorder="1" applyAlignment="1">
      <alignment horizontal="center" vertical="top"/>
    </xf>
    <xf numFmtId="0" fontId="92" fillId="64" borderId="68" xfId="0" applyFont="1" applyFill="1" applyBorder="1" applyAlignment="1">
      <alignment horizontal="center"/>
    </xf>
    <xf numFmtId="174" fontId="92" fillId="0" borderId="51" xfId="0" applyNumberFormat="1" applyFont="1" applyBorder="1" applyAlignment="1">
      <alignment horizontal="right"/>
    </xf>
    <xf numFmtId="0" fontId="107" fillId="64" borderId="17" xfId="0" applyFont="1" applyFill="1" applyBorder="1" applyAlignment="1">
      <alignment horizontal="right" vertical="top"/>
    </xf>
    <xf numFmtId="0" fontId="107" fillId="64" borderId="59" xfId="0" applyFont="1" applyFill="1" applyBorder="1" applyAlignment="1">
      <alignment horizontal="right" vertical="top"/>
    </xf>
    <xf numFmtId="0" fontId="107" fillId="64" borderId="60" xfId="0" applyFont="1" applyFill="1" applyBorder="1" applyAlignment="1">
      <alignment horizontal="right" vertical="top"/>
    </xf>
    <xf numFmtId="0" fontId="107" fillId="64" borderId="61" xfId="0" applyFont="1" applyFill="1" applyBorder="1" applyAlignment="1">
      <alignment horizontal="right" vertical="top"/>
    </xf>
    <xf numFmtId="0" fontId="104" fillId="64" borderId="40" xfId="0" applyFont="1" applyFill="1" applyBorder="1" applyAlignment="1">
      <alignment horizontal="right" vertical="top"/>
    </xf>
    <xf numFmtId="0" fontId="104" fillId="64" borderId="45" xfId="0" applyFont="1" applyFill="1" applyBorder="1" applyAlignment="1">
      <alignment horizontal="right" vertical="top"/>
    </xf>
    <xf numFmtId="0" fontId="104" fillId="64" borderId="41" xfId="0" applyFont="1" applyFill="1" applyBorder="1" applyAlignment="1">
      <alignment horizontal="right" vertical="top"/>
    </xf>
    <xf numFmtId="0" fontId="104" fillId="64" borderId="46" xfId="0" applyFont="1" applyFill="1" applyBorder="1" applyAlignment="1">
      <alignment horizontal="right" vertical="top"/>
    </xf>
    <xf numFmtId="207" fontId="104" fillId="0" borderId="0" xfId="33110" applyNumberFormat="1" applyFont="1" applyAlignment="1">
      <alignment horizontal="right" vertical="top"/>
    </xf>
    <xf numFmtId="207"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4" borderId="0" xfId="0" applyFont="1" applyFill="1" applyAlignment="1">
      <alignment horizontal="center"/>
    </xf>
    <xf numFmtId="0" fontId="92" fillId="64" borderId="15" xfId="0" applyFont="1" applyFill="1" applyBorder="1" applyAlignment="1">
      <alignment horizontal="center"/>
    </xf>
    <xf numFmtId="0" fontId="92" fillId="64" borderId="1" xfId="0" applyFont="1" applyFill="1" applyBorder="1" applyAlignment="1">
      <alignment horizontal="center"/>
    </xf>
    <xf numFmtId="0" fontId="92" fillId="64" borderId="14" xfId="0" applyFont="1" applyFill="1" applyBorder="1" applyAlignment="1">
      <alignment horizontal="center"/>
    </xf>
    <xf numFmtId="0" fontId="92" fillId="64" borderId="58" xfId="0" applyFont="1" applyFill="1" applyBorder="1" applyAlignment="1">
      <alignment horizontal="center"/>
    </xf>
    <xf numFmtId="195" fontId="92" fillId="64" borderId="56" xfId="0" applyNumberFormat="1" applyFont="1" applyFill="1" applyBorder="1" applyAlignment="1">
      <alignment horizontal="center"/>
    </xf>
    <xf numFmtId="195" fontId="92" fillId="64" borderId="57" xfId="0" applyNumberFormat="1" applyFont="1" applyFill="1" applyBorder="1" applyAlignment="1">
      <alignment horizontal="center"/>
    </xf>
    <xf numFmtId="0" fontId="92" fillId="64" borderId="101" xfId="0" applyFont="1" applyFill="1" applyBorder="1" applyAlignment="1">
      <alignment horizontal="center"/>
    </xf>
    <xf numFmtId="0" fontId="92" fillId="64" borderId="102" xfId="0" applyFont="1" applyFill="1" applyBorder="1" applyAlignment="1">
      <alignment horizontal="center"/>
    </xf>
    <xf numFmtId="0" fontId="92" fillId="64" borderId="103" xfId="0" applyFont="1" applyFill="1" applyBorder="1" applyAlignment="1">
      <alignment horizontal="center"/>
    </xf>
    <xf numFmtId="188" fontId="92" fillId="64" borderId="65" xfId="0" applyNumberFormat="1" applyFont="1" applyFill="1" applyBorder="1" applyAlignment="1">
      <alignment horizontal="center"/>
    </xf>
    <xf numFmtId="189" fontId="92" fillId="64" borderId="65" xfId="0" applyNumberFormat="1" applyFont="1" applyFill="1" applyBorder="1" applyAlignment="1">
      <alignment horizontal="center"/>
    </xf>
    <xf numFmtId="189" fontId="92" fillId="64" borderId="63" xfId="0" applyNumberFormat="1" applyFont="1" applyFill="1" applyBorder="1" applyAlignment="1">
      <alignment horizontal="center"/>
    </xf>
    <xf numFmtId="188" fontId="92" fillId="64" borderId="15" xfId="0" applyNumberFormat="1" applyFont="1" applyFill="1" applyBorder="1" applyAlignment="1">
      <alignment horizontal="center"/>
    </xf>
    <xf numFmtId="188" fontId="92" fillId="64" borderId="1" xfId="0" applyNumberFormat="1" applyFont="1" applyFill="1" applyBorder="1" applyAlignment="1">
      <alignment horizontal="center"/>
    </xf>
    <xf numFmtId="188" fontId="92" fillId="64" borderId="14" xfId="0" applyNumberFormat="1"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0" borderId="58" xfId="0" applyFont="1" applyFill="1" applyBorder="1"/>
    <xf numFmtId="0" fontId="92" fillId="60" borderId="56" xfId="0" applyFont="1" applyFill="1" applyBorder="1" applyAlignment="1">
      <alignment horizontal="center"/>
    </xf>
    <xf numFmtId="0" fontId="92" fillId="60" borderId="40" xfId="0" applyFont="1" applyFill="1" applyBorder="1" applyAlignment="1">
      <alignment horizontal="center"/>
    </xf>
    <xf numFmtId="188" fontId="92" fillId="60" borderId="63" xfId="0" applyNumberFormat="1" applyFont="1" applyFill="1" applyBorder="1" applyAlignment="1">
      <alignment horizontal="center"/>
    </xf>
    <xf numFmtId="0" fontId="104" fillId="60" borderId="15" xfId="0" applyFont="1" applyFill="1" applyBorder="1"/>
    <xf numFmtId="0" fontId="92" fillId="60" borderId="1" xfId="0" applyFont="1" applyFill="1" applyBorder="1" applyAlignment="1">
      <alignment horizontal="center"/>
    </xf>
    <xf numFmtId="0" fontId="92" fillId="60" borderId="17" xfId="0" quotePrefix="1" applyFont="1" applyFill="1" applyBorder="1" applyAlignment="1">
      <alignment horizontal="center"/>
    </xf>
    <xf numFmtId="0" fontId="92" fillId="60" borderId="13" xfId="0" applyFont="1" applyFill="1" applyBorder="1"/>
    <xf numFmtId="0" fontId="92" fillId="60" borderId="11" xfId="0" applyFont="1" applyFill="1" applyBorder="1"/>
    <xf numFmtId="0" fontId="92" fillId="60" borderId="9" xfId="0" applyFont="1" applyFill="1" applyBorder="1"/>
    <xf numFmtId="0" fontId="92" fillId="60" borderId="10" xfId="0" applyFont="1" applyFill="1" applyBorder="1"/>
    <xf numFmtId="0" fontId="92" fillId="60" borderId="12" xfId="0" applyFont="1" applyFill="1" applyBorder="1"/>
    <xf numFmtId="0" fontId="104" fillId="64" borderId="45" xfId="0" applyFont="1" applyFill="1" applyBorder="1" applyAlignment="1">
      <alignment horizontal="center" vertical="top"/>
    </xf>
    <xf numFmtId="0" fontId="104" fillId="64" borderId="41" xfId="0" applyFont="1" applyFill="1" applyBorder="1" applyAlignment="1">
      <alignment horizontal="center" vertical="top"/>
    </xf>
    <xf numFmtId="0" fontId="104" fillId="64" borderId="46" xfId="0" applyFont="1" applyFill="1" applyBorder="1" applyAlignment="1">
      <alignment horizontal="center" vertical="top"/>
    </xf>
    <xf numFmtId="0" fontId="102" fillId="63" borderId="0" xfId="0" applyFont="1" applyFill="1"/>
    <xf numFmtId="0" fontId="108" fillId="63" borderId="0" xfId="7" applyFont="1" applyFill="1" applyBorder="1" applyAlignment="1" applyProtection="1">
      <alignment wrapText="1"/>
    </xf>
    <xf numFmtId="0" fontId="100" fillId="63" borderId="0" xfId="7" applyFont="1" applyFill="1" applyBorder="1" applyAlignment="1" applyProtection="1">
      <alignment horizontal="right" wrapText="1" indent="1"/>
    </xf>
    <xf numFmtId="164" fontId="91" fillId="63" borderId="0" xfId="0" applyNumberFormat="1" applyFont="1" applyFill="1" applyAlignment="1">
      <alignment horizontal="center" vertical="top"/>
    </xf>
    <xf numFmtId="164" fontId="91" fillId="63" borderId="1" xfId="0" applyNumberFormat="1" applyFont="1" applyFill="1" applyBorder="1" applyAlignment="1">
      <alignment horizontal="center" vertical="top"/>
    </xf>
    <xf numFmtId="188" fontId="92" fillId="64" borderId="0" xfId="0" applyNumberFormat="1" applyFont="1" applyFill="1" applyAlignment="1">
      <alignment horizontal="center" wrapText="1"/>
    </xf>
    <xf numFmtId="0" fontId="91" fillId="60" borderId="0" xfId="0" applyFont="1" applyFill="1"/>
    <xf numFmtId="0" fontId="92" fillId="60" borderId="0" xfId="0" applyFont="1" applyFill="1" applyAlignment="1">
      <alignment horizontal="right" wrapText="1"/>
    </xf>
    <xf numFmtId="185" fontId="94" fillId="64" borderId="64" xfId="6628" applyNumberFormat="1" applyFont="1" applyFill="1" applyBorder="1"/>
    <xf numFmtId="185" fontId="94" fillId="64" borderId="17" xfId="6628" applyNumberFormat="1" applyFont="1" applyFill="1" applyBorder="1"/>
    <xf numFmtId="0" fontId="92" fillId="64" borderId="65" xfId="0" applyFont="1" applyFill="1" applyBorder="1" applyAlignment="1">
      <alignment horizontal="right"/>
    </xf>
    <xf numFmtId="0" fontId="104" fillId="64" borderId="18" xfId="0" applyFont="1" applyFill="1" applyBorder="1" applyAlignment="1">
      <alignment horizontal="right" vertical="top"/>
    </xf>
    <xf numFmtId="0" fontId="104" fillId="64" borderId="0" xfId="0" quotePrefix="1" applyFont="1" applyFill="1" applyAlignment="1">
      <alignment horizontal="right" vertical="top"/>
    </xf>
    <xf numFmtId="0" fontId="104" fillId="64" borderId="0" xfId="0" applyFont="1" applyFill="1" applyAlignment="1">
      <alignment horizontal="right" vertical="top"/>
    </xf>
    <xf numFmtId="0" fontId="104" fillId="64" borderId="16" xfId="0" applyFont="1" applyFill="1" applyBorder="1" applyAlignment="1">
      <alignment horizontal="right" vertical="top"/>
    </xf>
    <xf numFmtId="0" fontId="104" fillId="64" borderId="15" xfId="0" applyFont="1" applyFill="1" applyBorder="1" applyAlignment="1">
      <alignment horizontal="right" vertical="top"/>
    </xf>
    <xf numFmtId="0" fontId="104" fillId="64" borderId="1" xfId="0" applyFont="1" applyFill="1" applyBorder="1" applyAlignment="1">
      <alignment horizontal="right" vertical="top"/>
    </xf>
    <xf numFmtId="0" fontId="104" fillId="64" borderId="14" xfId="0" applyFont="1" applyFill="1" applyBorder="1" applyAlignment="1">
      <alignment horizontal="right" vertical="top"/>
    </xf>
    <xf numFmtId="0" fontId="94" fillId="64" borderId="106" xfId="8" applyFont="1" applyFill="1" applyBorder="1" applyAlignment="1">
      <alignment horizontal="center" wrapText="1"/>
    </xf>
    <xf numFmtId="44" fontId="95" fillId="64" borderId="106" xfId="6" applyFont="1" applyFill="1" applyBorder="1" applyAlignment="1" applyProtection="1">
      <alignment horizontal="center"/>
    </xf>
    <xf numFmtId="44" fontId="95" fillId="63" borderId="0" xfId="8" applyNumberFormat="1" applyFont="1" applyFill="1"/>
    <xf numFmtId="173" fontId="95" fillId="63" borderId="0" xfId="8" applyNumberFormat="1" applyFont="1" applyFill="1"/>
    <xf numFmtId="0" fontId="107" fillId="64" borderId="59" xfId="0" applyFont="1" applyFill="1" applyBorder="1" applyAlignment="1">
      <alignment horizontal="center" vertical="top"/>
    </xf>
    <xf numFmtId="0" fontId="107" fillId="64" borderId="60" xfId="0" applyFont="1" applyFill="1" applyBorder="1" applyAlignment="1">
      <alignment horizontal="center" vertical="top"/>
    </xf>
    <xf numFmtId="0" fontId="107" fillId="64" borderId="61" xfId="0" applyFont="1" applyFill="1" applyBorder="1" applyAlignment="1">
      <alignment horizontal="center" vertical="top"/>
    </xf>
    <xf numFmtId="0" fontId="102" fillId="72" borderId="0" xfId="33111" applyFont="1" applyFill="1" applyAlignment="1">
      <alignment horizontal="left" vertical="top"/>
    </xf>
    <xf numFmtId="0" fontId="120" fillId="72"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6" xfId="8" applyFont="1" applyBorder="1" applyAlignment="1">
      <alignment horizontal="left"/>
    </xf>
    <xf numFmtId="175" fontId="92" fillId="0" borderId="0" xfId="0" applyNumberFormat="1" applyFont="1" applyAlignment="1">
      <alignment horizontal="right"/>
    </xf>
    <xf numFmtId="195" fontId="92" fillId="64" borderId="65" xfId="0" applyNumberFormat="1" applyFont="1" applyFill="1" applyBorder="1" applyAlignment="1">
      <alignment horizontal="center"/>
    </xf>
    <xf numFmtId="195" fontId="92" fillId="64" borderId="63" xfId="0" applyNumberFormat="1" applyFont="1" applyFill="1" applyBorder="1" applyAlignment="1">
      <alignment horizontal="center"/>
    </xf>
    <xf numFmtId="0" fontId="107" fillId="64" borderId="40" xfId="0" applyFont="1" applyFill="1" applyBorder="1" applyAlignment="1">
      <alignment horizontal="center" vertical="top"/>
    </xf>
    <xf numFmtId="0" fontId="104" fillId="64" borderId="40" xfId="0" applyFont="1" applyFill="1" applyBorder="1" applyAlignment="1">
      <alignment horizontal="center" vertical="top"/>
    </xf>
    <xf numFmtId="0" fontId="102" fillId="60" borderId="1" xfId="0" applyFont="1" applyFill="1" applyBorder="1"/>
    <xf numFmtId="0" fontId="92" fillId="60" borderId="1" xfId="0" applyFont="1" applyFill="1" applyBorder="1"/>
    <xf numFmtId="0" fontId="92" fillId="60" borderId="1" xfId="0" applyFont="1" applyFill="1" applyBorder="1" applyAlignment="1">
      <alignment horizontal="right"/>
    </xf>
    <xf numFmtId="0" fontId="104" fillId="67" borderId="0" xfId="0" applyFont="1" applyFill="1"/>
    <xf numFmtId="174" fontId="95" fillId="2" borderId="54" xfId="6" applyNumberFormat="1" applyFont="1" applyFill="1" applyBorder="1" applyProtection="1">
      <protection locked="0"/>
    </xf>
    <xf numFmtId="174" fontId="95" fillId="0" borderId="100" xfId="6" applyNumberFormat="1" applyFont="1" applyBorder="1" applyProtection="1"/>
    <xf numFmtId="174" fontId="95" fillId="0" borderId="99" xfId="8" applyNumberFormat="1" applyFont="1" applyBorder="1"/>
    <xf numFmtId="174" fontId="95" fillId="0" borderId="56" xfId="8" applyNumberFormat="1" applyFont="1" applyBorder="1"/>
    <xf numFmtId="0" fontId="92" fillId="62" borderId="56" xfId="0" applyFont="1" applyFill="1" applyBorder="1"/>
    <xf numFmtId="0" fontId="104" fillId="63" borderId="49" xfId="0" applyFont="1" applyFill="1" applyBorder="1"/>
    <xf numFmtId="0" fontId="100" fillId="63" borderId="49" xfId="7" applyFont="1" applyFill="1" applyBorder="1" applyAlignment="1" applyProtection="1">
      <alignment horizontal="right" wrapText="1" indent="1"/>
    </xf>
    <xf numFmtId="0" fontId="107" fillId="63" borderId="49" xfId="0" applyFont="1" applyFill="1" applyBorder="1" applyAlignment="1">
      <alignment horizontal="center" vertical="top"/>
    </xf>
    <xf numFmtId="182" fontId="91" fillId="0" borderId="54" xfId="0" applyNumberFormat="1" applyFont="1" applyBorder="1" applyAlignment="1">
      <alignment horizontal="center" vertical="top"/>
    </xf>
    <xf numFmtId="172" fontId="91" fillId="0" borderId="54" xfId="0" applyNumberFormat="1" applyFont="1" applyBorder="1" applyAlignment="1">
      <alignment horizontal="right" vertical="top"/>
    </xf>
    <xf numFmtId="172" fontId="91" fillId="68" borderId="54" xfId="0" applyNumberFormat="1" applyFont="1" applyFill="1" applyBorder="1" applyAlignment="1">
      <alignment horizontal="center" vertical="top"/>
    </xf>
    <xf numFmtId="172" fontId="91" fillId="2" borderId="54" xfId="0" applyNumberFormat="1" applyFont="1" applyFill="1" applyBorder="1" applyAlignment="1" applyProtection="1">
      <alignment horizontal="right" vertical="top"/>
      <protection locked="0"/>
    </xf>
    <xf numFmtId="190" fontId="148" fillId="0" borderId="54" xfId="11" applyNumberFormat="1" applyFont="1" applyFill="1" applyBorder="1" applyAlignment="1" applyProtection="1">
      <alignment horizontal="center" vertical="top"/>
      <protection locked="0"/>
    </xf>
    <xf numFmtId="165" fontId="90" fillId="0" borderId="54" xfId="11" applyNumberFormat="1" applyFont="1" applyFill="1" applyBorder="1" applyAlignment="1" applyProtection="1">
      <alignment horizontal="center" vertical="top"/>
      <protection locked="0"/>
    </xf>
    <xf numFmtId="164" fontId="96" fillId="4" borderId="54"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2" borderId="0" xfId="0" applyFont="1" applyFill="1"/>
    <xf numFmtId="0" fontId="92" fillId="68" borderId="112" xfId="0" applyFont="1" applyFill="1" applyBorder="1" applyAlignment="1">
      <alignment horizontal="right"/>
    </xf>
    <xf numFmtId="209" fontId="91" fillId="0" borderId="47" xfId="0" applyNumberFormat="1" applyFont="1" applyBorder="1" applyAlignment="1">
      <alignment horizontal="right" vertical="top"/>
    </xf>
    <xf numFmtId="174" fontId="91" fillId="2" borderId="47" xfId="0" applyNumberFormat="1" applyFont="1" applyFill="1" applyBorder="1" applyAlignment="1" applyProtection="1">
      <alignment horizontal="right" vertical="top"/>
      <protection locked="0"/>
    </xf>
    <xf numFmtId="172" fontId="91" fillId="3" borderId="47" xfId="9" applyNumberFormat="1" applyFont="1" applyFill="1" applyBorder="1" applyAlignment="1" applyProtection="1">
      <alignment horizontal="center" vertical="top"/>
    </xf>
    <xf numFmtId="187" fontId="91" fillId="3" borderId="47" xfId="0" applyNumberFormat="1" applyFont="1" applyFill="1" applyBorder="1" applyAlignment="1">
      <alignment horizontal="center" vertical="top"/>
    </xf>
    <xf numFmtId="174" fontId="91" fillId="3" borderId="47" xfId="0" applyNumberFormat="1" applyFont="1" applyFill="1" applyBorder="1" applyAlignment="1">
      <alignment horizontal="center"/>
    </xf>
    <xf numFmtId="203" fontId="92" fillId="0" borderId="56" xfId="0" applyNumberFormat="1" applyFont="1" applyBorder="1"/>
    <xf numFmtId="211" fontId="91" fillId="0" borderId="1" xfId="33110" applyNumberFormat="1" applyFont="1" applyFill="1" applyBorder="1"/>
    <xf numFmtId="211" fontId="91" fillId="0" borderId="47" xfId="33110" applyNumberFormat="1" applyFont="1" applyFill="1" applyBorder="1"/>
    <xf numFmtId="211" fontId="91" fillId="0" borderId="51" xfId="33110" applyNumberFormat="1" applyFont="1" applyFill="1" applyBorder="1"/>
    <xf numFmtId="174" fontId="96" fillId="4" borderId="54" xfId="11" applyNumberFormat="1" applyFont="1" applyBorder="1" applyAlignment="1" applyProtection="1">
      <alignment horizontal="center" vertical="top"/>
      <protection locked="0"/>
    </xf>
    <xf numFmtId="175" fontId="96" fillId="4" borderId="54" xfId="11" applyNumberFormat="1" applyFont="1" applyBorder="1" applyAlignment="1" applyProtection="1">
      <alignment horizontal="center" vertical="top"/>
      <protection locked="0"/>
    </xf>
    <xf numFmtId="174" fontId="92" fillId="3" borderId="0" xfId="9" applyNumberFormat="1" applyFont="1" applyFill="1" applyBorder="1" applyAlignment="1">
      <alignment horizontal="center" vertical="top"/>
    </xf>
    <xf numFmtId="174" fontId="96" fillId="2" borderId="54"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2" fontId="96" fillId="4" borderId="54" xfId="11" applyNumberFormat="1" applyFont="1" applyBorder="1" applyAlignment="1" applyProtection="1">
      <alignment horizontal="center"/>
      <protection locked="0"/>
    </xf>
    <xf numFmtId="212" fontId="96" fillId="4" borderId="66" xfId="11" applyNumberFormat="1" applyFont="1" applyBorder="1" applyAlignment="1" applyProtection="1">
      <alignment horizontal="center"/>
      <protection locked="0"/>
    </xf>
    <xf numFmtId="190"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214" fontId="96" fillId="4" borderId="3" xfId="11" applyNumberFormat="1" applyFont="1" applyAlignment="1" applyProtection="1">
      <alignment horizontal="center"/>
      <protection locked="0"/>
    </xf>
    <xf numFmtId="215" fontId="96" fillId="4" borderId="3" xfId="11" applyNumberFormat="1" applyFont="1" applyAlignment="1" applyProtection="1">
      <alignment horizontal="center"/>
      <protection locked="0"/>
    </xf>
    <xf numFmtId="174" fontId="90" fillId="0" borderId="0" xfId="0" applyNumberFormat="1" applyFont="1" applyAlignment="1">
      <alignment horizontal="center"/>
    </xf>
    <xf numFmtId="174" fontId="92" fillId="0" borderId="65" xfId="0" applyNumberFormat="1" applyFont="1" applyBorder="1" applyAlignment="1">
      <alignment horizontal="right"/>
    </xf>
    <xf numFmtId="172" fontId="90" fillId="0" borderId="100" xfId="0" applyNumberFormat="1" applyFont="1" applyBorder="1" applyAlignment="1">
      <alignment horizontal="right" vertical="top"/>
    </xf>
    <xf numFmtId="172" fontId="90" fillId="0" borderId="54"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8" xfId="13330" applyNumberFormat="1" applyFont="1" applyFill="1" applyBorder="1" applyAlignment="1">
      <alignment horizontal="right" vertical="top"/>
    </xf>
    <xf numFmtId="172" fontId="96" fillId="2" borderId="100" xfId="0" applyNumberFormat="1" applyFont="1" applyFill="1" applyBorder="1" applyAlignment="1" applyProtection="1">
      <alignment horizontal="right" vertical="top"/>
      <protection locked="0"/>
    </xf>
    <xf numFmtId="9" fontId="101" fillId="2" borderId="54" xfId="9" applyFont="1" applyFill="1" applyBorder="1" applyAlignment="1" applyProtection="1">
      <alignment horizontal="right" vertical="top"/>
      <protection locked="0"/>
    </xf>
    <xf numFmtId="0" fontId="91" fillId="3" borderId="0" xfId="0" applyFont="1" applyFill="1" applyAlignment="1">
      <alignment horizontal="right"/>
    </xf>
    <xf numFmtId="172" fontId="91" fillId="0" borderId="54" xfId="9" applyNumberFormat="1" applyFont="1" applyFill="1" applyBorder="1" applyAlignment="1" applyProtection="1">
      <alignment horizontal="right" vertical="top"/>
    </xf>
    <xf numFmtId="1" fontId="96" fillId="2" borderId="108" xfId="0" applyNumberFormat="1" applyFont="1" applyFill="1" applyBorder="1" applyAlignment="1" applyProtection="1">
      <alignment horizontal="center" vertical="top"/>
      <protection locked="0"/>
    </xf>
    <xf numFmtId="0" fontId="95" fillId="0" borderId="99" xfId="0" applyFont="1" applyBorder="1"/>
    <xf numFmtId="0" fontId="95" fillId="0" borderId="54" xfId="8" applyFont="1" applyBorder="1"/>
    <xf numFmtId="0" fontId="95" fillId="0" borderId="54" xfId="0" applyFont="1" applyBorder="1"/>
    <xf numFmtId="0" fontId="91" fillId="0" borderId="54" xfId="0" applyFont="1" applyBorder="1"/>
    <xf numFmtId="0" fontId="95" fillId="0" borderId="100" xfId="8" applyFont="1" applyBorder="1"/>
    <xf numFmtId="174" fontId="95" fillId="0" borderId="100" xfId="8" applyNumberFormat="1" applyFont="1" applyBorder="1"/>
    <xf numFmtId="172" fontId="116" fillId="2" borderId="100" xfId="6" applyNumberFormat="1" applyFont="1" applyFill="1" applyBorder="1" applyProtection="1">
      <protection locked="0"/>
    </xf>
    <xf numFmtId="172" fontId="116" fillId="2" borderId="108" xfId="6" applyNumberFormat="1" applyFont="1" applyFill="1" applyBorder="1" applyAlignment="1" applyProtection="1">
      <protection locked="0"/>
    </xf>
    <xf numFmtId="0" fontId="94" fillId="0" borderId="114" xfId="8" applyFont="1" applyBorder="1" applyAlignment="1">
      <alignment horizontal="center" wrapText="1"/>
    </xf>
    <xf numFmtId="0" fontId="94" fillId="0" borderId="115" xfId="8" quotePrefix="1" applyFont="1" applyBorder="1" applyAlignment="1">
      <alignment horizontal="center" wrapText="1"/>
    </xf>
    <xf numFmtId="0" fontId="94" fillId="64" borderId="115" xfId="8" applyFont="1" applyFill="1" applyBorder="1" applyAlignment="1">
      <alignment horizontal="center" wrapText="1"/>
    </xf>
    <xf numFmtId="44" fontId="94" fillId="64" borderId="115" xfId="6" applyFont="1" applyFill="1" applyBorder="1" applyAlignment="1" applyProtection="1">
      <alignment horizontal="center"/>
    </xf>
    <xf numFmtId="44" fontId="94" fillId="66" borderId="115" xfId="6" applyFont="1" applyFill="1" applyBorder="1" applyAlignment="1" applyProtection="1">
      <alignment horizontal="center"/>
    </xf>
    <xf numFmtId="44" fontId="94" fillId="66" borderId="116" xfId="6" applyFont="1" applyFill="1" applyBorder="1" applyAlignment="1" applyProtection="1">
      <alignment horizontal="center"/>
    </xf>
    <xf numFmtId="174" fontId="95" fillId="0" borderId="66" xfId="8" applyNumberFormat="1" applyFont="1" applyBorder="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3" borderId="65" xfId="8" applyFont="1" applyFill="1" applyBorder="1"/>
    <xf numFmtId="0" fontId="94" fillId="63" borderId="113" xfId="8" applyFont="1" applyFill="1" applyBorder="1" applyAlignment="1">
      <alignment horizontal="center" wrapText="1"/>
    </xf>
    <xf numFmtId="44" fontId="94" fillId="63" borderId="113" xfId="6" applyFont="1" applyFill="1" applyBorder="1" applyAlignment="1" applyProtection="1">
      <alignment horizontal="center"/>
    </xf>
    <xf numFmtId="0" fontId="94" fillId="60" borderId="65" xfId="8" applyFont="1" applyFill="1" applyBorder="1"/>
    <xf numFmtId="0" fontId="95" fillId="60" borderId="65" xfId="8" applyFont="1" applyFill="1" applyBorder="1"/>
    <xf numFmtId="44" fontId="95" fillId="60" borderId="65" xfId="6" applyFont="1" applyFill="1" applyBorder="1" applyProtection="1"/>
    <xf numFmtId="0" fontId="91" fillId="2" borderId="100" xfId="0" applyFont="1" applyFill="1" applyBorder="1" applyAlignment="1">
      <alignment horizontal="center" vertical="top"/>
    </xf>
    <xf numFmtId="0" fontId="91" fillId="2" borderId="54" xfId="0" applyFont="1" applyFill="1" applyBorder="1" applyAlignment="1">
      <alignment horizontal="center" vertical="top"/>
    </xf>
    <xf numFmtId="0" fontId="91" fillId="2" borderId="108" xfId="0" applyFont="1" applyFill="1" applyBorder="1" applyAlignment="1">
      <alignment horizontal="center" vertical="top"/>
    </xf>
    <xf numFmtId="172" fontId="91" fillId="2" borderId="54" xfId="0" applyNumberFormat="1" applyFont="1" applyFill="1" applyBorder="1" applyAlignment="1">
      <alignment horizontal="center" vertical="top"/>
    </xf>
    <xf numFmtId="0" fontId="96" fillId="2" borderId="54" xfId="0" applyFont="1" applyFill="1" applyBorder="1" applyProtection="1">
      <protection locked="0"/>
    </xf>
    <xf numFmtId="175" fontId="96" fillId="2" borderId="54" xfId="0" applyNumberFormat="1" applyFont="1" applyFill="1" applyBorder="1" applyProtection="1">
      <protection locked="0"/>
    </xf>
    <xf numFmtId="0" fontId="96" fillId="2" borderId="108" xfId="0" applyFont="1" applyFill="1" applyBorder="1" applyProtection="1">
      <protection locked="0"/>
    </xf>
    <xf numFmtId="175" fontId="96" fillId="2" borderId="108" xfId="0" applyNumberFormat="1" applyFont="1" applyFill="1" applyBorder="1" applyProtection="1">
      <protection locked="0"/>
    </xf>
    <xf numFmtId="174" fontId="96" fillId="2" borderId="100" xfId="0" applyNumberFormat="1" applyFont="1" applyFill="1" applyBorder="1" applyProtection="1">
      <protection locked="0"/>
    </xf>
    <xf numFmtId="174" fontId="91" fillId="0" borderId="100" xfId="0" applyNumberFormat="1" applyFont="1" applyBorder="1" applyAlignment="1">
      <alignment horizontal="right" vertical="top"/>
    </xf>
    <xf numFmtId="0" fontId="92" fillId="0" borderId="65" xfId="0" applyFont="1" applyBorder="1"/>
    <xf numFmtId="0" fontId="91" fillId="3" borderId="117" xfId="0" applyFont="1" applyFill="1" applyBorder="1"/>
    <xf numFmtId="0" fontId="91" fillId="3" borderId="118" xfId="0" applyFont="1" applyFill="1" applyBorder="1"/>
    <xf numFmtId="0" fontId="91" fillId="0" borderId="58" xfId="0" applyFont="1" applyBorder="1" applyAlignment="1">
      <alignment horizontal="left" indent="1"/>
    </xf>
    <xf numFmtId="0" fontId="92" fillId="63" borderId="56" xfId="0" applyFont="1" applyFill="1" applyBorder="1" applyAlignment="1">
      <alignment horizontal="right"/>
    </xf>
    <xf numFmtId="0" fontId="92" fillId="63" borderId="56" xfId="0" applyFont="1" applyFill="1" applyBorder="1" applyAlignment="1">
      <alignment horizontal="right" wrapText="1"/>
    </xf>
    <xf numFmtId="0" fontId="129" fillId="0" borderId="120" xfId="0" applyFont="1" applyBorder="1" applyAlignment="1">
      <alignment horizontal="left" indent="1"/>
    </xf>
    <xf numFmtId="194" fontId="96" fillId="2" borderId="121" xfId="0" applyNumberFormat="1" applyFont="1" applyFill="1" applyBorder="1" applyAlignment="1" applyProtection="1">
      <alignment horizontal="center"/>
      <protection locked="0"/>
    </xf>
    <xf numFmtId="173" fontId="96" fillId="2" borderId="122" xfId="0" applyNumberFormat="1" applyFont="1" applyFill="1" applyBorder="1" applyAlignment="1" applyProtection="1">
      <alignment horizontal="center"/>
      <protection locked="0"/>
    </xf>
    <xf numFmtId="0" fontId="92" fillId="63" borderId="65" xfId="0" applyFont="1" applyFill="1" applyBorder="1"/>
    <xf numFmtId="0" fontId="91" fillId="63" borderId="65" xfId="0" applyFont="1" applyFill="1" applyBorder="1"/>
    <xf numFmtId="172" fontId="91" fillId="0" borderId="49" xfId="0" applyNumberFormat="1" applyFont="1" applyBorder="1"/>
    <xf numFmtId="172" fontId="91" fillId="0" borderId="47" xfId="0" applyNumberFormat="1" applyFont="1" applyBorder="1"/>
    <xf numFmtId="174" fontId="91" fillId="0" borderId="51" xfId="0" applyNumberFormat="1" applyFont="1" applyBorder="1"/>
    <xf numFmtId="172" fontId="91" fillId="0" borderId="51" xfId="0" applyNumberFormat="1" applyFont="1" applyBorder="1"/>
    <xf numFmtId="174" fontId="90" fillId="0" borderId="67" xfId="0" applyNumberFormat="1" applyFont="1" applyBorder="1"/>
    <xf numFmtId="172" fontId="96" fillId="2" borderId="67" xfId="0" applyNumberFormat="1" applyFont="1" applyFill="1" applyBorder="1" applyProtection="1">
      <protection locked="0"/>
    </xf>
    <xf numFmtId="172" fontId="96" fillId="0" borderId="67" xfId="0" applyNumberFormat="1" applyFont="1" applyBorder="1" applyProtection="1">
      <protection locked="0"/>
    </xf>
    <xf numFmtId="172" fontId="96" fillId="2" borderId="123" xfId="0" applyNumberFormat="1" applyFont="1" applyFill="1" applyBorder="1" applyProtection="1">
      <protection locked="0"/>
    </xf>
    <xf numFmtId="172" fontId="90" fillId="0" borderId="117" xfId="0" applyNumberFormat="1" applyFont="1" applyBorder="1"/>
    <xf numFmtId="188" fontId="92" fillId="64" borderId="57" xfId="0" applyNumberFormat="1" applyFont="1" applyFill="1" applyBorder="1" applyAlignment="1">
      <alignment horizontal="center"/>
    </xf>
    <xf numFmtId="0" fontId="92" fillId="64" borderId="58" xfId="0" applyFont="1" applyFill="1" applyBorder="1" applyAlignment="1">
      <alignment horizontal="right"/>
    </xf>
    <xf numFmtId="195" fontId="92" fillId="64" borderId="56" xfId="0" applyNumberFormat="1" applyFont="1" applyFill="1" applyBorder="1" applyAlignment="1">
      <alignment horizontal="right"/>
    </xf>
    <xf numFmtId="195" fontId="92" fillId="64" borderId="57" xfId="0" applyNumberFormat="1" applyFont="1" applyFill="1" applyBorder="1" applyAlignment="1">
      <alignment horizontal="right"/>
    </xf>
    <xf numFmtId="0" fontId="92" fillId="64" borderId="56" xfId="0" applyFont="1" applyFill="1" applyBorder="1" applyAlignment="1">
      <alignment horizontal="right"/>
    </xf>
    <xf numFmtId="0" fontId="92" fillId="64" borderId="57" xfId="0" applyFont="1" applyFill="1" applyBorder="1" applyAlignment="1">
      <alignment horizontal="right"/>
    </xf>
    <xf numFmtId="0" fontId="95" fillId="0" borderId="117" xfId="8" applyFont="1" applyBorder="1"/>
    <xf numFmtId="0" fontId="95" fillId="0" borderId="67" xfId="8" applyFont="1" applyBorder="1"/>
    <xf numFmtId="0" fontId="95" fillId="0" borderId="123" xfId="8" applyFont="1" applyBorder="1"/>
    <xf numFmtId="0" fontId="94" fillId="0" borderId="65" xfId="8" applyFont="1" applyBorder="1"/>
    <xf numFmtId="174" fontId="94" fillId="0" borderId="65" xfId="8" applyNumberFormat="1" applyFont="1" applyBorder="1"/>
    <xf numFmtId="174" fontId="94" fillId="0" borderId="65" xfId="6" applyNumberFormat="1" applyFont="1" applyBorder="1" applyProtection="1"/>
    <xf numFmtId="0" fontId="111" fillId="0" borderId="14" xfId="0" applyFont="1" applyBorder="1"/>
    <xf numFmtId="174" fontId="94" fillId="0" borderId="52" xfId="6" applyNumberFormat="1" applyFont="1" applyBorder="1" applyProtection="1"/>
    <xf numFmtId="175" fontId="95" fillId="0" borderId="66" xfId="6" applyNumberFormat="1" applyFont="1" applyFill="1" applyBorder="1" applyProtection="1"/>
    <xf numFmtId="0" fontId="129" fillId="0" borderId="0" xfId="0" applyFont="1" applyAlignment="1">
      <alignment horizontal="left" vertical="center" indent="1"/>
    </xf>
    <xf numFmtId="190" fontId="101" fillId="4" borderId="54" xfId="11" applyNumberFormat="1" applyFont="1" applyBorder="1" applyAlignment="1" applyProtection="1">
      <alignment horizontal="center"/>
      <protection locked="0"/>
    </xf>
    <xf numFmtId="172" fontId="101" fillId="4" borderId="54" xfId="11" applyNumberFormat="1" applyFont="1" applyBorder="1" applyAlignment="1" applyProtection="1">
      <alignment horizontal="center" vertical="top"/>
      <protection locked="0"/>
    </xf>
    <xf numFmtId="174" fontId="101" fillId="4" borderId="54" xfId="11" applyNumberFormat="1" applyFont="1" applyBorder="1" applyAlignment="1" applyProtection="1">
      <alignment horizontal="center" vertical="top"/>
      <protection locked="0"/>
    </xf>
    <xf numFmtId="173" fontId="101" fillId="4" borderId="54" xfId="11" applyNumberFormat="1" applyFont="1" applyBorder="1" applyAlignment="1" applyProtection="1">
      <alignment horizontal="center" vertical="top"/>
      <protection locked="0"/>
    </xf>
    <xf numFmtId="210" fontId="101" fillId="4" borderId="54" xfId="11" applyNumberFormat="1" applyFont="1" applyBorder="1" applyAlignment="1" applyProtection="1">
      <alignment horizontal="center" vertical="top"/>
      <protection locked="0"/>
    </xf>
    <xf numFmtId="187" fontId="101" fillId="4" borderId="54" xfId="11" applyNumberFormat="1" applyFont="1" applyBorder="1" applyAlignment="1" applyProtection="1">
      <alignment horizontal="center" vertical="top"/>
      <protection locked="0"/>
    </xf>
    <xf numFmtId="172" fontId="96" fillId="0" borderId="123" xfId="0" applyNumberFormat="1" applyFont="1" applyBorder="1" applyProtection="1">
      <protection locked="0"/>
    </xf>
    <xf numFmtId="172" fontId="96" fillId="0" borderId="99" xfId="0" applyNumberFormat="1" applyFont="1" applyBorder="1" applyProtection="1">
      <protection locked="0"/>
    </xf>
    <xf numFmtId="172" fontId="96" fillId="2" borderId="117" xfId="0" applyNumberFormat="1" applyFont="1" applyFill="1" applyBorder="1" applyProtection="1">
      <protection locked="0"/>
    </xf>
    <xf numFmtId="172" fontId="96" fillId="2" borderId="100" xfId="0" applyNumberFormat="1" applyFont="1" applyFill="1" applyBorder="1" applyProtection="1">
      <protection locked="0"/>
    </xf>
    <xf numFmtId="172" fontId="90" fillId="0" borderId="123" xfId="0" applyNumberFormat="1" applyFont="1" applyBorder="1" applyProtection="1">
      <protection locked="0"/>
    </xf>
    <xf numFmtId="172" fontId="90" fillId="0" borderId="99" xfId="0" applyNumberFormat="1" applyFont="1" applyBorder="1" applyProtection="1">
      <protection locked="0"/>
    </xf>
    <xf numFmtId="174" fontId="96" fillId="2" borderId="117" xfId="0" applyNumberFormat="1" applyFont="1" applyFill="1" applyBorder="1" applyProtection="1">
      <protection locked="0"/>
    </xf>
    <xf numFmtId="196" fontId="96" fillId="2" borderId="72" xfId="0" applyNumberFormat="1" applyFont="1" applyFill="1" applyBorder="1" applyProtection="1">
      <protection locked="0"/>
    </xf>
    <xf numFmtId="172" fontId="91" fillId="0" borderId="72" xfId="0" applyNumberFormat="1" applyFont="1" applyBorder="1"/>
    <xf numFmtId="0" fontId="114" fillId="0" borderId="0" xfId="0" applyFont="1" applyAlignment="1">
      <alignment horizontal="center" vertical="center"/>
    </xf>
    <xf numFmtId="172" fontId="91" fillId="2" borderId="100" xfId="0" applyNumberFormat="1" applyFont="1" applyFill="1" applyBorder="1" applyAlignment="1">
      <alignment horizontal="center" vertical="top"/>
    </xf>
    <xf numFmtId="0" fontId="92" fillId="64" borderId="58" xfId="0" applyFont="1" applyFill="1" applyBorder="1"/>
    <xf numFmtId="0" fontId="91" fillId="64" borderId="56" xfId="0" applyFont="1" applyFill="1" applyBorder="1"/>
    <xf numFmtId="0" fontId="91" fillId="64" borderId="57" xfId="0" applyFont="1" applyFill="1" applyBorder="1"/>
    <xf numFmtId="0" fontId="92" fillId="64" borderId="65" xfId="0" applyFont="1" applyFill="1" applyBorder="1" applyAlignment="1">
      <alignment horizontal="center"/>
    </xf>
    <xf numFmtId="0" fontId="92" fillId="64" borderId="63" xfId="0" applyFont="1" applyFill="1" applyBorder="1" applyAlignment="1">
      <alignment horizontal="center"/>
    </xf>
    <xf numFmtId="0" fontId="104" fillId="64" borderId="59" xfId="0" applyFont="1" applyFill="1" applyBorder="1" applyAlignment="1">
      <alignment horizontal="center" vertical="top"/>
    </xf>
    <xf numFmtId="0" fontId="104" fillId="64" borderId="59" xfId="0" quotePrefix="1" applyFont="1" applyFill="1" applyBorder="1" applyAlignment="1">
      <alignment horizontal="center" vertical="top"/>
    </xf>
    <xf numFmtId="0" fontId="104" fillId="64" borderId="60" xfId="0" applyFont="1" applyFill="1" applyBorder="1" applyAlignment="1">
      <alignment horizontal="center" vertical="top"/>
    </xf>
    <xf numFmtId="0" fontId="104" fillId="64" borderId="61" xfId="0" applyFont="1" applyFill="1" applyBorder="1" applyAlignment="1">
      <alignment horizontal="center" vertical="top"/>
    </xf>
    <xf numFmtId="0" fontId="129" fillId="0" borderId="0" xfId="0" applyFont="1" applyAlignment="1">
      <alignment horizontal="center" vertical="center"/>
    </xf>
    <xf numFmtId="0" fontId="92" fillId="0" borderId="5" xfId="0" applyFont="1" applyBorder="1"/>
    <xf numFmtId="174" fontId="92" fillId="0" borderId="6" xfId="0" applyNumberFormat="1" applyFont="1" applyBorder="1" applyAlignment="1">
      <alignment horizontal="right"/>
    </xf>
    <xf numFmtId="0" fontId="96" fillId="0" borderId="49" xfId="0" applyFont="1" applyBorder="1" applyAlignment="1" applyProtection="1">
      <alignment vertical="center"/>
      <protection locked="0"/>
    </xf>
    <xf numFmtId="172" fontId="96" fillId="0" borderId="49" xfId="0" applyNumberFormat="1" applyFont="1" applyBorder="1" applyProtection="1">
      <protection locked="0"/>
    </xf>
    <xf numFmtId="0" fontId="90" fillId="0" borderId="49" xfId="0" applyFont="1" applyBorder="1" applyAlignment="1" applyProtection="1">
      <alignment vertical="center"/>
      <protection locked="0"/>
    </xf>
    <xf numFmtId="172" fontId="91" fillId="2" borderId="54" xfId="0" applyNumberFormat="1" applyFont="1" applyFill="1" applyBorder="1" applyAlignment="1">
      <alignment horizontal="right" vertical="top"/>
    </xf>
    <xf numFmtId="174" fontId="96" fillId="2" borderId="124" xfId="0" applyNumberFormat="1" applyFont="1" applyFill="1" applyBorder="1" applyProtection="1">
      <protection locked="0"/>
    </xf>
    <xf numFmtId="172" fontId="96" fillId="2" borderId="71" xfId="0" applyNumberFormat="1" applyFont="1" applyFill="1" applyBorder="1" applyProtection="1">
      <protection locked="0"/>
    </xf>
    <xf numFmtId="172" fontId="96" fillId="0" borderId="71" xfId="0" applyNumberFormat="1" applyFont="1" applyBorder="1" applyProtection="1">
      <protection locked="0"/>
    </xf>
    <xf numFmtId="172" fontId="96" fillId="0" borderId="125" xfId="0" applyNumberFormat="1" applyFont="1" applyBorder="1" applyProtection="1">
      <protection locked="0"/>
    </xf>
    <xf numFmtId="172" fontId="96" fillId="2" borderId="124" xfId="0" applyNumberFormat="1" applyFont="1" applyFill="1" applyBorder="1" applyProtection="1">
      <protection locked="0"/>
    </xf>
    <xf numFmtId="172" fontId="96" fillId="2" borderId="126" xfId="0" applyNumberFormat="1" applyFont="1" applyFill="1" applyBorder="1" applyProtection="1">
      <protection locked="0"/>
    </xf>
    <xf numFmtId="174" fontId="91" fillId="0" borderId="47" xfId="0" applyNumberFormat="1" applyFont="1" applyBorder="1"/>
    <xf numFmtId="0" fontId="91" fillId="2" borderId="47" xfId="0" quotePrefix="1" applyFont="1" applyFill="1" applyBorder="1" applyProtection="1">
      <protection locked="0"/>
    </xf>
    <xf numFmtId="0" fontId="92" fillId="0" borderId="56" xfId="0" applyFont="1" applyBorder="1" applyAlignment="1">
      <alignment horizontal="left" wrapText="1"/>
    </xf>
    <xf numFmtId="174" fontId="91" fillId="68" borderId="54" xfId="0" applyNumberFormat="1" applyFont="1" applyFill="1" applyBorder="1" applyAlignment="1">
      <alignment horizontal="right" vertical="top"/>
    </xf>
    <xf numFmtId="172" fontId="92" fillId="0" borderId="56" xfId="0" quotePrefix="1" applyNumberFormat="1" applyFont="1" applyBorder="1" applyAlignment="1">
      <alignment horizontal="right"/>
    </xf>
    <xf numFmtId="0" fontId="0" fillId="0" borderId="54" xfId="0" applyBorder="1"/>
    <xf numFmtId="0" fontId="96" fillId="2" borderId="49" xfId="0" applyFont="1" applyFill="1" applyBorder="1" applyAlignment="1" applyProtection="1">
      <alignment horizontal="center"/>
      <protection locked="0"/>
    </xf>
    <xf numFmtId="49" fontId="96" fillId="2" borderId="49" xfId="0" applyNumberFormat="1" applyFont="1" applyFill="1" applyBorder="1" applyAlignment="1" applyProtection="1">
      <alignment horizontal="center"/>
      <protection locked="0"/>
    </xf>
    <xf numFmtId="173" fontId="96" fillId="2" borderId="127" xfId="0" applyNumberFormat="1" applyFont="1" applyFill="1" applyBorder="1" applyAlignment="1" applyProtection="1">
      <alignment horizontal="center"/>
      <protection locked="0"/>
    </xf>
    <xf numFmtId="172" fontId="91" fillId="3" borderId="56" xfId="0" applyNumberFormat="1" applyFont="1" applyFill="1" applyBorder="1"/>
    <xf numFmtId="194" fontId="91" fillId="3" borderId="56" xfId="0" quotePrefix="1" applyNumberFormat="1" applyFont="1" applyFill="1" applyBorder="1" applyAlignment="1">
      <alignment horizontal="center"/>
    </xf>
    <xf numFmtId="0" fontId="129" fillId="0" borderId="119" xfId="0" applyFont="1" applyBorder="1" applyAlignment="1">
      <alignment horizontal="left" indent="1"/>
    </xf>
    <xf numFmtId="0" fontId="91" fillId="2" borderId="47" xfId="0" applyFont="1" applyFill="1" applyBorder="1" applyAlignment="1" applyProtection="1">
      <alignment wrapText="1"/>
      <protection locked="0"/>
    </xf>
    <xf numFmtId="0" fontId="107" fillId="3" borderId="0" xfId="0" applyFont="1" applyFill="1"/>
    <xf numFmtId="0" fontId="91" fillId="0" borderId="0" xfId="0" applyFont="1" applyAlignment="1">
      <alignment horizontal="right" vertical="top"/>
    </xf>
    <xf numFmtId="174" fontId="96" fillId="4" borderId="54" xfId="11" applyNumberFormat="1" applyFont="1" applyBorder="1" applyAlignment="1" applyProtection="1">
      <alignment horizontal="right" vertical="center"/>
      <protection locked="0"/>
    </xf>
    <xf numFmtId="0" fontId="106" fillId="0" borderId="56" xfId="0" applyFont="1" applyBorder="1"/>
    <xf numFmtId="0" fontId="92" fillId="61" borderId="47" xfId="0" applyFont="1" applyFill="1" applyBorder="1" applyAlignment="1">
      <alignment horizontal="center" vertical="top"/>
    </xf>
    <xf numFmtId="0" fontId="104" fillId="72" borderId="0" xfId="0" applyFont="1" applyFill="1"/>
    <xf numFmtId="174" fontId="104" fillId="72" borderId="0" xfId="0" applyNumberFormat="1" applyFont="1" applyFill="1" applyAlignment="1">
      <alignment horizontal="right"/>
    </xf>
    <xf numFmtId="0" fontId="104" fillId="72" borderId="0" xfId="0" applyFont="1" applyFill="1" applyAlignment="1">
      <alignment horizontal="right"/>
    </xf>
    <xf numFmtId="164" fontId="104" fillId="72" borderId="0" xfId="0" applyNumberFormat="1" applyFont="1" applyFill="1" applyAlignment="1">
      <alignment horizontal="right"/>
    </xf>
    <xf numFmtId="0" fontId="149" fillId="0" borderId="0" xfId="0" applyFont="1" applyAlignment="1">
      <alignment horizontal="left"/>
    </xf>
    <xf numFmtId="0" fontId="150" fillId="61" borderId="1" xfId="0" applyFont="1" applyFill="1" applyBorder="1"/>
    <xf numFmtId="0" fontId="151" fillId="61" borderId="1" xfId="0" applyFont="1" applyFill="1" applyBorder="1"/>
    <xf numFmtId="0" fontId="61" fillId="61" borderId="1" xfId="0" applyFont="1" applyFill="1" applyBorder="1"/>
    <xf numFmtId="195" fontId="61" fillId="61" borderId="1" xfId="0" applyNumberFormat="1" applyFont="1" applyFill="1" applyBorder="1"/>
    <xf numFmtId="0" fontId="150" fillId="60" borderId="1" xfId="0" applyFont="1" applyFill="1" applyBorder="1"/>
    <xf numFmtId="164" fontId="61" fillId="60" borderId="1" xfId="0" applyNumberFormat="1" applyFont="1" applyFill="1" applyBorder="1" applyAlignment="1">
      <alignment horizontal="center" vertical="top"/>
    </xf>
    <xf numFmtId="165" fontId="61" fillId="60" borderId="1" xfId="0" applyNumberFormat="1" applyFont="1" applyFill="1" applyBorder="1"/>
    <xf numFmtId="165" fontId="61" fillId="60" borderId="1" xfId="0" applyNumberFormat="1" applyFont="1" applyFill="1" applyBorder="1" applyAlignment="1">
      <alignment horizontal="right"/>
    </xf>
    <xf numFmtId="195" fontId="61" fillId="60" borderId="1" xfId="0" applyNumberFormat="1" applyFont="1" applyFill="1" applyBorder="1" applyAlignment="1">
      <alignment horizontal="right"/>
    </xf>
    <xf numFmtId="0" fontId="150" fillId="63" borderId="1" xfId="0" applyFont="1" applyFill="1" applyBorder="1"/>
    <xf numFmtId="164" fontId="61" fillId="63" borderId="1" xfId="0" applyNumberFormat="1" applyFont="1" applyFill="1" applyBorder="1" applyAlignment="1">
      <alignment horizontal="center" vertical="top"/>
    </xf>
    <xf numFmtId="164" fontId="61" fillId="63" borderId="1" xfId="0" quotePrefix="1" applyNumberFormat="1" applyFont="1" applyFill="1" applyBorder="1" applyAlignment="1">
      <alignment horizontal="center" vertical="top"/>
    </xf>
    <xf numFmtId="165" fontId="61" fillId="63" borderId="1" xfId="0" applyNumberFormat="1" applyFont="1" applyFill="1" applyBorder="1" applyAlignment="1">
      <alignment horizontal="right"/>
    </xf>
    <xf numFmtId="195" fontId="61" fillId="63" borderId="1" xfId="0" applyNumberFormat="1" applyFont="1" applyFill="1" applyBorder="1" applyAlignment="1">
      <alignment horizontal="right"/>
    </xf>
    <xf numFmtId="0" fontId="150" fillId="62" borderId="65" xfId="0" applyFont="1" applyFill="1" applyBorder="1"/>
    <xf numFmtId="0" fontId="151" fillId="62" borderId="65" xfId="0" applyFont="1" applyFill="1" applyBorder="1"/>
    <xf numFmtId="0" fontId="61" fillId="62" borderId="65" xfId="0" applyFont="1" applyFill="1" applyBorder="1"/>
    <xf numFmtId="195" fontId="61" fillId="62" borderId="65" xfId="0" applyNumberFormat="1" applyFont="1" applyFill="1" applyBorder="1"/>
    <xf numFmtId="164" fontId="151" fillId="63" borderId="65" xfId="0" applyNumberFormat="1" applyFont="1" applyFill="1" applyBorder="1" applyAlignment="1">
      <alignment horizontal="center" vertical="top"/>
    </xf>
    <xf numFmtId="0" fontId="110" fillId="60" borderId="0" xfId="0" applyFont="1" applyFill="1"/>
    <xf numFmtId="165" fontId="151" fillId="60" borderId="0" xfId="0" applyNumberFormat="1" applyFont="1" applyFill="1"/>
    <xf numFmtId="165" fontId="151" fillId="60" borderId="0" xfId="0" applyNumberFormat="1" applyFont="1" applyFill="1" applyAlignment="1">
      <alignment horizontal="right"/>
    </xf>
    <xf numFmtId="0" fontId="61" fillId="62" borderId="65" xfId="0" applyFont="1" applyFill="1" applyBorder="1" applyAlignment="1">
      <alignment horizontal="right"/>
    </xf>
    <xf numFmtId="195" fontId="61" fillId="62" borderId="65" xfId="0" applyNumberFormat="1" applyFont="1" applyFill="1" applyBorder="1" applyAlignment="1">
      <alignment horizontal="right"/>
    </xf>
    <xf numFmtId="0" fontId="110" fillId="63" borderId="0" xfId="0" applyFont="1" applyFill="1"/>
    <xf numFmtId="164" fontId="110" fillId="63" borderId="0" xfId="0" applyNumberFormat="1" applyFont="1" applyFill="1" applyAlignment="1">
      <alignment horizontal="center" vertical="top"/>
    </xf>
    <xf numFmtId="164" fontId="151" fillId="63" borderId="0" xfId="0" applyNumberFormat="1" applyFont="1" applyFill="1" applyAlignment="1">
      <alignment horizontal="center" vertical="top"/>
    </xf>
    <xf numFmtId="164" fontId="151" fillId="63" borderId="0" xfId="0" applyNumberFormat="1" applyFont="1" applyFill="1" applyAlignment="1">
      <alignment horizontal="right" vertical="top"/>
    </xf>
    <xf numFmtId="216" fontId="91" fillId="0" borderId="0" xfId="0" applyNumberFormat="1" applyFont="1"/>
    <xf numFmtId="172" fontId="91" fillId="2" borderId="0" xfId="0" applyNumberFormat="1" applyFont="1" applyFill="1" applyAlignment="1">
      <alignment horizontal="right" vertical="top"/>
    </xf>
    <xf numFmtId="0" fontId="92" fillId="66" borderId="5" xfId="0" applyFont="1" applyFill="1" applyBorder="1"/>
    <xf numFmtId="174" fontId="92" fillId="66" borderId="6" xfId="0" applyNumberFormat="1" applyFont="1" applyFill="1" applyBorder="1" applyAlignment="1">
      <alignment horizontal="right"/>
    </xf>
    <xf numFmtId="0" fontId="91" fillId="66" borderId="6" xfId="0" applyFont="1" applyFill="1" applyBorder="1"/>
    <xf numFmtId="0" fontId="92" fillId="66" borderId="52" xfId="0" applyFont="1" applyFill="1" applyBorder="1"/>
    <xf numFmtId="174" fontId="92" fillId="66" borderId="52" xfId="0" applyNumberFormat="1" applyFont="1" applyFill="1" applyBorder="1" applyAlignment="1">
      <alignment horizontal="right"/>
    </xf>
    <xf numFmtId="184" fontId="92" fillId="66" borderId="52" xfId="0" applyNumberFormat="1" applyFont="1" applyFill="1" applyBorder="1" applyAlignment="1">
      <alignment horizontal="right"/>
    </xf>
    <xf numFmtId="0" fontId="105" fillId="2" borderId="47" xfId="0" applyFont="1" applyFill="1" applyBorder="1" applyProtection="1">
      <protection locked="0"/>
    </xf>
    <xf numFmtId="174" fontId="90" fillId="0" borderId="0" xfId="4" applyNumberFormat="1" applyFont="1" applyFill="1" applyBorder="1" applyAlignment="1" applyProtection="1">
      <alignment horizontal="center"/>
    </xf>
    <xf numFmtId="183" fontId="92" fillId="0" borderId="0" xfId="4" applyNumberFormat="1" applyFont="1" applyFill="1" applyBorder="1" applyAlignment="1" applyProtection="1">
      <alignment horizontal="center"/>
      <protection locked="0"/>
    </xf>
    <xf numFmtId="183" fontId="92" fillId="0" borderId="56" xfId="4" applyNumberFormat="1" applyFont="1" applyFill="1" applyBorder="1" applyAlignment="1" applyProtection="1">
      <alignment horizontal="center"/>
      <protection locked="0"/>
    </xf>
    <xf numFmtId="174" fontId="90" fillId="0" borderId="56" xfId="4" applyNumberFormat="1" applyFont="1" applyFill="1" applyBorder="1" applyAlignment="1" applyProtection="1">
      <alignment horizontal="center"/>
    </xf>
    <xf numFmtId="172" fontId="91" fillId="66" borderId="56" xfId="0" applyNumberFormat="1" applyFont="1" applyFill="1" applyBorder="1" applyAlignment="1">
      <alignment horizontal="center"/>
    </xf>
    <xf numFmtId="0" fontId="92" fillId="66" borderId="56" xfId="0" applyFont="1" applyFill="1" applyBorder="1"/>
    <xf numFmtId="174" fontId="92" fillId="66" borderId="56" xfId="0" applyNumberFormat="1" applyFont="1" applyFill="1" applyBorder="1" applyAlignment="1">
      <alignment horizontal="right"/>
    </xf>
    <xf numFmtId="172" fontId="92" fillId="66" borderId="56" xfId="0" applyNumberFormat="1" applyFont="1" applyFill="1" applyBorder="1" applyAlignment="1">
      <alignment horizontal="center"/>
    </xf>
    <xf numFmtId="172" fontId="92" fillId="66" borderId="56" xfId="0" applyNumberFormat="1" applyFont="1" applyFill="1" applyBorder="1" applyAlignment="1">
      <alignment horizontal="right"/>
    </xf>
    <xf numFmtId="172" fontId="92" fillId="66" borderId="56" xfId="0" applyNumberFormat="1" applyFont="1" applyFill="1" applyBorder="1" applyAlignment="1">
      <alignment horizontal="left"/>
    </xf>
    <xf numFmtId="0" fontId="92" fillId="66" borderId="0" xfId="0" applyFont="1" applyFill="1"/>
    <xf numFmtId="172" fontId="91" fillId="66" borderId="0" xfId="0" applyNumberFormat="1" applyFont="1" applyFill="1" applyAlignment="1">
      <alignment horizontal="right"/>
    </xf>
    <xf numFmtId="172" fontId="91" fillId="66" borderId="0" xfId="0" applyNumberFormat="1" applyFont="1" applyFill="1" applyAlignment="1">
      <alignment horizontal="center"/>
    </xf>
    <xf numFmtId="187" fontId="101" fillId="4" borderId="54" xfId="11" applyNumberFormat="1" applyFont="1" applyBorder="1" applyAlignment="1" applyProtection="1">
      <alignment horizontal="right"/>
      <protection locked="0"/>
    </xf>
    <xf numFmtId="175" fontId="96" fillId="70" borderId="54" xfId="11" applyNumberFormat="1" applyFont="1" applyFill="1" applyBorder="1" applyAlignment="1" applyProtection="1">
      <alignment horizontal="right"/>
      <protection locked="0"/>
    </xf>
    <xf numFmtId="174" fontId="101" fillId="2" borderId="100" xfId="0" applyNumberFormat="1" applyFont="1" applyFill="1" applyBorder="1" applyAlignment="1" applyProtection="1">
      <alignment horizontal="right" wrapText="1"/>
      <protection locked="0"/>
    </xf>
    <xf numFmtId="0" fontId="104" fillId="66" borderId="0" xfId="0" applyFont="1" applyFill="1"/>
    <xf numFmtId="174" fontId="104" fillId="66" borderId="0" xfId="0" applyNumberFormat="1" applyFont="1" applyFill="1" applyAlignment="1">
      <alignment horizontal="right"/>
    </xf>
    <xf numFmtId="0" fontId="104" fillId="66" borderId="0" xfId="0" applyFont="1" applyFill="1" applyAlignment="1">
      <alignment horizontal="right"/>
    </xf>
    <xf numFmtId="164" fontId="104" fillId="66" borderId="0" xfId="0" applyNumberFormat="1" applyFont="1" applyFill="1" applyAlignment="1">
      <alignment horizontal="right"/>
    </xf>
    <xf numFmtId="172" fontId="92" fillId="66" borderId="6" xfId="0" applyNumberFormat="1" applyFont="1" applyFill="1" applyBorder="1" applyAlignment="1">
      <alignment horizontal="center"/>
    </xf>
    <xf numFmtId="172" fontId="96" fillId="2" borderId="99" xfId="0" applyNumberFormat="1" applyFont="1" applyFill="1" applyBorder="1" applyAlignment="1" applyProtection="1">
      <alignment horizontal="right"/>
      <protection locked="0"/>
    </xf>
    <xf numFmtId="0" fontId="104" fillId="66" borderId="56" xfId="0" applyFont="1" applyFill="1" applyBorder="1"/>
    <xf numFmtId="174" fontId="104" fillId="66" borderId="56" xfId="0" applyNumberFormat="1" applyFont="1" applyFill="1" applyBorder="1" applyAlignment="1">
      <alignment horizontal="right"/>
    </xf>
    <xf numFmtId="174" fontId="96" fillId="2" borderId="0" xfId="0" applyNumberFormat="1" applyFont="1" applyFill="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174" fontId="152" fillId="0" borderId="0" xfId="0" applyNumberFormat="1" applyFont="1" applyAlignment="1">
      <alignment horizontal="right"/>
    </xf>
    <xf numFmtId="0" fontId="92" fillId="66" borderId="6" xfId="0" applyFont="1" applyFill="1" applyBorder="1"/>
    <xf numFmtId="190" fontId="91" fillId="0" borderId="0" xfId="0" applyNumberFormat="1" applyFont="1" applyAlignment="1">
      <alignment horizontal="center" vertical="top"/>
    </xf>
    <xf numFmtId="0" fontId="129" fillId="0" borderId="129" xfId="0" applyFont="1" applyBorder="1" applyAlignment="1">
      <alignment horizontal="left" indent="1"/>
    </xf>
    <xf numFmtId="0" fontId="0" fillId="63" borderId="0" xfId="0" applyFill="1"/>
    <xf numFmtId="164" fontId="96" fillId="2" borderId="54" xfId="11" applyNumberFormat="1" applyFont="1" applyFill="1" applyBorder="1" applyAlignment="1" applyProtection="1">
      <alignment horizontal="center" vertical="top"/>
      <protection locked="0"/>
    </xf>
    <xf numFmtId="165" fontId="91" fillId="4" borderId="99" xfId="11" applyNumberFormat="1" applyFont="1" applyBorder="1" applyAlignment="1" applyProtection="1">
      <alignment horizontal="center" vertical="top"/>
      <protection locked="0"/>
    </xf>
    <xf numFmtId="190"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165" fontId="91" fillId="5" borderId="108" xfId="11" applyNumberFormat="1" applyFont="1" applyFill="1" applyBorder="1" applyAlignment="1">
      <alignment horizontal="center" vertical="center"/>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5" fillId="2" borderId="0" xfId="0" applyFont="1" applyFill="1"/>
    <xf numFmtId="0" fontId="11" fillId="2" borderId="0" xfId="0" applyFont="1" applyFill="1"/>
    <xf numFmtId="0" fontId="11" fillId="0" borderId="1" xfId="0" applyFont="1" applyBorder="1"/>
    <xf numFmtId="0" fontId="135"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5" fillId="63" borderId="0" xfId="0" applyFont="1" applyFill="1"/>
    <xf numFmtId="0" fontId="83" fillId="63" borderId="0" xfId="0" applyFont="1" applyFill="1"/>
    <xf numFmtId="0" fontId="135" fillId="64" borderId="0" xfId="0" applyFont="1" applyFill="1"/>
    <xf numFmtId="0" fontId="83" fillId="64" borderId="0" xfId="0" applyFont="1" applyFill="1"/>
    <xf numFmtId="0" fontId="0" fillId="64" borderId="0" xfId="0" applyFill="1"/>
    <xf numFmtId="0" fontId="135" fillId="66" borderId="1" xfId="0" applyFont="1" applyFill="1" applyBorder="1"/>
    <xf numFmtId="0" fontId="83" fillId="66" borderId="1" xfId="0" applyFont="1" applyFill="1" applyBorder="1"/>
    <xf numFmtId="0" fontId="0" fillId="66" borderId="1" xfId="0" applyFill="1" applyBorder="1"/>
    <xf numFmtId="0" fontId="135" fillId="62" borderId="1" xfId="0" applyFont="1" applyFill="1" applyBorder="1"/>
    <xf numFmtId="0" fontId="83" fillId="62" borderId="1" xfId="0" applyFont="1" applyFill="1" applyBorder="1"/>
    <xf numFmtId="0" fontId="0" fillId="62" borderId="1" xfId="0" applyFill="1" applyBorder="1"/>
    <xf numFmtId="0" fontId="112" fillId="70" borderId="1" xfId="0" applyFont="1" applyFill="1" applyBorder="1"/>
    <xf numFmtId="43" fontId="112" fillId="70" borderId="1" xfId="4" applyFont="1" applyFill="1" applyBorder="1" applyAlignment="1" applyProtection="1">
      <alignment horizontal="center"/>
    </xf>
    <xf numFmtId="43" fontId="112" fillId="70" borderId="1" xfId="4" applyFont="1" applyFill="1" applyBorder="1" applyAlignment="1" applyProtection="1">
      <alignment horizontal="center" wrapText="1"/>
    </xf>
    <xf numFmtId="9" fontId="112" fillId="70" borderId="1" xfId="4" applyNumberFormat="1" applyFont="1" applyFill="1" applyBorder="1" applyAlignment="1" applyProtection="1">
      <alignment horizontal="center" wrapText="1"/>
    </xf>
    <xf numFmtId="175" fontId="138" fillId="70" borderId="1" xfId="4" applyNumberFormat="1" applyFont="1" applyFill="1" applyBorder="1" applyAlignment="1" applyProtection="1">
      <alignment horizontal="center" wrapText="1"/>
      <protection locked="0"/>
    </xf>
    <xf numFmtId="0" fontId="64" fillId="70" borderId="1" xfId="8" applyFont="1" applyFill="1" applyBorder="1" applyAlignment="1">
      <alignment horizontal="center" wrapText="1"/>
    </xf>
    <xf numFmtId="0" fontId="112" fillId="70" borderId="1" xfId="0" applyFont="1" applyFill="1" applyBorder="1" applyAlignment="1">
      <alignment horizontal="right" wrapText="1"/>
    </xf>
    <xf numFmtId="0" fontId="112" fillId="70" borderId="1" xfId="0" applyFont="1" applyFill="1" applyBorder="1" applyAlignment="1">
      <alignment horizontal="center"/>
    </xf>
    <xf numFmtId="0" fontId="138" fillId="70" borderId="1" xfId="0" applyFont="1" applyFill="1" applyBorder="1" applyAlignment="1">
      <alignment horizontal="center"/>
    </xf>
    <xf numFmtId="5" fontId="120" fillId="70" borderId="1" xfId="8" applyNumberFormat="1" applyFont="1" applyFill="1" applyBorder="1" applyAlignment="1">
      <alignment horizontal="center" wrapText="1"/>
    </xf>
    <xf numFmtId="5" fontId="64" fillId="70" borderId="1" xfId="8" applyNumberFormat="1" applyFont="1" applyFill="1" applyBorder="1" applyAlignment="1">
      <alignment horizontal="center" wrapText="1"/>
    </xf>
    <xf numFmtId="0" fontId="107" fillId="70" borderId="0" xfId="8" applyFont="1" applyFill="1" applyAlignment="1">
      <alignment horizontal="left"/>
    </xf>
    <xf numFmtId="166" fontId="107" fillId="70" borderId="0" xfId="6" applyNumberFormat="1" applyFont="1" applyFill="1" applyAlignment="1" applyProtection="1">
      <alignment horizontal="center"/>
    </xf>
    <xf numFmtId="166" fontId="107" fillId="70" borderId="0" xfId="6" applyNumberFormat="1" applyFont="1" applyFill="1" applyBorder="1" applyProtection="1"/>
    <xf numFmtId="3" fontId="118" fillId="70" borderId="53" xfId="11" applyNumberFormat="1" applyFont="1" applyFill="1" applyBorder="1" applyAlignment="1" applyProtection="1">
      <alignment horizontal="center"/>
      <protection locked="0"/>
    </xf>
    <xf numFmtId="172" fontId="83" fillId="70" borderId="0" xfId="0" applyNumberFormat="1" applyFont="1" applyFill="1" applyAlignment="1">
      <alignment horizontal="right"/>
    </xf>
    <xf numFmtId="174" fontId="83" fillId="70" borderId="0" xfId="0" applyNumberFormat="1" applyFont="1" applyFill="1"/>
    <xf numFmtId="175" fontId="83" fillId="70" borderId="0" xfId="0" applyNumberFormat="1" applyFont="1" applyFill="1"/>
    <xf numFmtId="174" fontId="107" fillId="70" borderId="0" xfId="8" applyNumberFormat="1" applyFont="1" applyFill="1"/>
    <xf numFmtId="172" fontId="107" fillId="70" borderId="0" xfId="6" applyNumberFormat="1" applyFont="1" applyFill="1" applyAlignment="1" applyProtection="1">
      <alignment horizontal="right"/>
    </xf>
    <xf numFmtId="172" fontId="107" fillId="70" borderId="0" xfId="6" applyNumberFormat="1" applyFont="1" applyFill="1" applyBorder="1" applyAlignment="1" applyProtection="1">
      <alignment horizontal="right"/>
    </xf>
    <xf numFmtId="172" fontId="118" fillId="70" borderId="3" xfId="11" applyNumberFormat="1" applyFont="1" applyFill="1" applyAlignment="1" applyProtection="1">
      <alignment horizontal="center"/>
      <protection locked="0"/>
    </xf>
    <xf numFmtId="172" fontId="83" fillId="70" borderId="0" xfId="0" applyNumberFormat="1" applyFont="1" applyFill="1"/>
    <xf numFmtId="172" fontId="107" fillId="70" borderId="0" xfId="8" applyNumberFormat="1" applyFont="1" applyFill="1"/>
    <xf numFmtId="0" fontId="104" fillId="70" borderId="0" xfId="8" applyFont="1" applyFill="1" applyAlignment="1">
      <alignment horizontal="left"/>
    </xf>
    <xf numFmtId="172" fontId="104" fillId="70" borderId="0" xfId="6" applyNumberFormat="1" applyFont="1" applyFill="1" applyAlignment="1" applyProtection="1">
      <alignment horizontal="right"/>
    </xf>
    <xf numFmtId="172" fontId="104" fillId="70" borderId="0" xfId="6" applyNumberFormat="1" applyFont="1" applyFill="1" applyBorder="1" applyAlignment="1" applyProtection="1">
      <alignment horizontal="right"/>
    </xf>
    <xf numFmtId="172" fontId="134" fillId="70" borderId="3" xfId="11" applyNumberFormat="1" applyFont="1" applyFill="1" applyAlignment="1" applyProtection="1">
      <alignment horizontal="center"/>
      <protection locked="0"/>
    </xf>
    <xf numFmtId="175" fontId="135" fillId="70" borderId="0" xfId="0" applyNumberFormat="1" applyFont="1" applyFill="1"/>
    <xf numFmtId="172" fontId="104" fillId="70" borderId="0" xfId="8" applyNumberFormat="1" applyFont="1" applyFill="1"/>
    <xf numFmtId="172" fontId="118" fillId="70" borderId="39" xfId="11" applyNumberFormat="1" applyFont="1" applyFill="1" applyBorder="1" applyAlignment="1" applyProtection="1">
      <alignment horizontal="center"/>
      <protection locked="0"/>
    </xf>
    <xf numFmtId="175" fontId="83" fillId="70" borderId="1" xfId="0" applyNumberFormat="1" applyFont="1" applyFill="1" applyBorder="1"/>
    <xf numFmtId="0" fontId="83" fillId="70" borderId="0" xfId="0" applyFont="1" applyFill="1"/>
    <xf numFmtId="174" fontId="0" fillId="63" borderId="0" xfId="0" applyNumberFormat="1" applyFill="1"/>
    <xf numFmtId="172" fontId="0" fillId="63" borderId="0" xfId="0" applyNumberFormat="1" applyFill="1"/>
    <xf numFmtId="174" fontId="83" fillId="63" borderId="0" xfId="0" applyNumberFormat="1" applyFont="1" applyFill="1" applyAlignment="1">
      <alignment horizontal="right"/>
    </xf>
    <xf numFmtId="0" fontId="0" fillId="63" borderId="0" xfId="0" applyFill="1" applyAlignment="1">
      <alignment horizontal="right"/>
    </xf>
    <xf numFmtId="0" fontId="135" fillId="70" borderId="0" xfId="0" applyFont="1" applyFill="1"/>
    <xf numFmtId="0" fontId="0" fillId="70" borderId="0" xfId="0" applyFill="1"/>
    <xf numFmtId="0" fontId="0" fillId="2" borderId="0" xfId="0" applyFill="1"/>
    <xf numFmtId="0" fontId="83" fillId="63" borderId="47" xfId="0" applyFont="1" applyFill="1" applyBorder="1"/>
    <xf numFmtId="172" fontId="0" fillId="63" borderId="47" xfId="0" applyNumberFormat="1" applyFill="1" applyBorder="1"/>
    <xf numFmtId="174" fontId="83" fillId="0" borderId="47" xfId="0" applyNumberFormat="1" applyFont="1" applyBorder="1" applyAlignment="1">
      <alignment horizontal="right"/>
    </xf>
    <xf numFmtId="0" fontId="135" fillId="0" borderId="47" xfId="0" applyFont="1" applyBorder="1"/>
    <xf numFmtId="0" fontId="83" fillId="66" borderId="0" xfId="0" applyFont="1" applyFill="1"/>
    <xf numFmtId="0" fontId="0" fillId="66" borderId="0" xfId="0" applyFill="1"/>
    <xf numFmtId="0" fontId="11" fillId="0" borderId="0" xfId="0" applyFont="1" applyAlignment="1">
      <alignment horizontal="right"/>
    </xf>
    <xf numFmtId="172" fontId="107" fillId="2" borderId="54" xfId="8" applyNumberFormat="1" applyFont="1" applyFill="1" applyBorder="1" applyAlignment="1">
      <alignment horizontal="right"/>
    </xf>
    <xf numFmtId="172" fontId="107" fillId="0" borderId="54" xfId="8" applyNumberFormat="1" applyFont="1" applyBorder="1" applyAlignment="1">
      <alignment horizontal="right"/>
    </xf>
    <xf numFmtId="0" fontId="0" fillId="0" borderId="65" xfId="0" applyBorder="1"/>
    <xf numFmtId="172" fontId="0" fillId="0" borderId="56" xfId="0" applyNumberFormat="1" applyBorder="1"/>
    <xf numFmtId="0" fontId="148" fillId="68" borderId="0" xfId="0" applyFont="1" applyFill="1"/>
    <xf numFmtId="172" fontId="148" fillId="2" borderId="100" xfId="0" applyNumberFormat="1" applyFont="1" applyFill="1" applyBorder="1"/>
    <xf numFmtId="172" fontId="148" fillId="0" borderId="0" xfId="0" applyNumberFormat="1" applyFont="1"/>
    <xf numFmtId="172" fontId="148" fillId="2" borderId="54" xfId="0" applyNumberFormat="1" applyFont="1" applyFill="1" applyBorder="1"/>
    <xf numFmtId="172" fontId="148" fillId="2" borderId="99" xfId="0" applyNumberFormat="1" applyFont="1" applyFill="1" applyBorder="1"/>
    <xf numFmtId="172" fontId="148" fillId="68" borderId="56" xfId="0" applyNumberFormat="1" applyFont="1" applyFill="1" applyBorder="1"/>
    <xf numFmtId="172" fontId="148" fillId="0" borderId="56" xfId="0" applyNumberFormat="1" applyFont="1" applyBorder="1"/>
    <xf numFmtId="172" fontId="107" fillId="2" borderId="99" xfId="8" applyNumberFormat="1" applyFont="1" applyFill="1" applyBorder="1" applyAlignment="1">
      <alignment horizontal="right"/>
    </xf>
    <xf numFmtId="172" fontId="107" fillId="0" borderId="99" xfId="8" applyNumberFormat="1" applyFont="1" applyBorder="1" applyAlignment="1">
      <alignment horizontal="right"/>
    </xf>
    <xf numFmtId="0" fontId="11" fillId="0" borderId="56" xfId="0" applyFont="1" applyBorder="1"/>
    <xf numFmtId="0" fontId="11" fillId="0" borderId="65" xfId="0" applyFont="1" applyBorder="1" applyAlignment="1">
      <alignment horizontal="right"/>
    </xf>
    <xf numFmtId="172" fontId="148" fillId="68" borderId="100" xfId="0" applyNumberFormat="1" applyFont="1" applyFill="1" applyBorder="1"/>
    <xf numFmtId="172" fontId="148" fillId="68" borderId="54" xfId="0" applyNumberFormat="1" applyFont="1" applyFill="1" applyBorder="1"/>
    <xf numFmtId="172" fontId="148" fillId="68" borderId="99" xfId="0" applyNumberFormat="1" applyFont="1" applyFill="1" applyBorder="1"/>
    <xf numFmtId="172" fontId="107" fillId="0" borderId="56" xfId="8" applyNumberFormat="1" applyFont="1" applyBorder="1" applyAlignment="1">
      <alignment horizontal="right"/>
    </xf>
    <xf numFmtId="0" fontId="148" fillId="0" borderId="100" xfId="0" applyFont="1" applyBorder="1" applyAlignment="1">
      <alignment horizontal="right"/>
    </xf>
    <xf numFmtId="43" fontId="107" fillId="0" borderId="1" xfId="4" applyFont="1" applyBorder="1" applyProtection="1"/>
    <xf numFmtId="0" fontId="83" fillId="63" borderId="99" xfId="0" applyFont="1" applyFill="1" applyBorder="1"/>
    <xf numFmtId="0" fontId="83" fillId="63" borderId="66" xfId="0" applyFont="1" applyFill="1" applyBorder="1"/>
    <xf numFmtId="0" fontId="0" fillId="0" borderId="56" xfId="0" applyBorder="1"/>
    <xf numFmtId="0" fontId="11" fillId="66" borderId="1" xfId="0" applyFont="1" applyFill="1" applyBorder="1"/>
    <xf numFmtId="43" fontId="107" fillId="66" borderId="1" xfId="4" applyFont="1" applyFill="1" applyBorder="1" applyProtection="1"/>
    <xf numFmtId="0" fontId="11" fillId="62" borderId="1" xfId="0" applyFont="1" applyFill="1" applyBorder="1"/>
    <xf numFmtId="172" fontId="0" fillId="62" borderId="1" xfId="0" applyNumberFormat="1" applyFill="1" applyBorder="1"/>
    <xf numFmtId="43" fontId="107" fillId="62" borderId="1" xfId="4" applyFont="1" applyFill="1" applyBorder="1" applyProtection="1"/>
    <xf numFmtId="0" fontId="11" fillId="73" borderId="1" xfId="0" applyFont="1" applyFill="1" applyBorder="1"/>
    <xf numFmtId="0" fontId="0" fillId="73" borderId="1" xfId="0" applyFill="1" applyBorder="1"/>
    <xf numFmtId="172" fontId="148" fillId="0" borderId="100" xfId="0" applyNumberFormat="1" applyFont="1" applyBorder="1"/>
    <xf numFmtId="172" fontId="148" fillId="0" borderId="54" xfId="0" applyNumberFormat="1" applyFont="1" applyBorder="1"/>
    <xf numFmtId="172" fontId="148" fillId="0" borderId="99" xfId="0" applyNumberFormat="1" applyFont="1" applyBorder="1"/>
    <xf numFmtId="172" fontId="148" fillId="0" borderId="100" xfId="0" applyNumberFormat="1" applyFont="1" applyBorder="1" applyAlignment="1">
      <alignment horizontal="right"/>
    </xf>
    <xf numFmtId="174" fontId="148" fillId="0" borderId="100" xfId="0" applyNumberFormat="1" applyFont="1" applyBorder="1" applyAlignment="1">
      <alignment horizontal="right"/>
    </xf>
    <xf numFmtId="174" fontId="107" fillId="0" borderId="56" xfId="8" applyNumberFormat="1" applyFont="1" applyBorder="1" applyAlignment="1">
      <alignment horizontal="right"/>
    </xf>
    <xf numFmtId="174" fontId="107" fillId="0" borderId="54" xfId="8" applyNumberFormat="1" applyFont="1" applyBorder="1" applyAlignment="1">
      <alignment horizontal="right"/>
    </xf>
    <xf numFmtId="174" fontId="104" fillId="0" borderId="56" xfId="8" applyNumberFormat="1" applyFont="1" applyBorder="1" applyAlignment="1">
      <alignment horizontal="right"/>
    </xf>
    <xf numFmtId="174" fontId="148" fillId="0" borderId="0" xfId="0" applyNumberFormat="1" applyFont="1"/>
    <xf numFmtId="174" fontId="148" fillId="0" borderId="56" xfId="0" applyNumberFormat="1" applyFont="1" applyBorder="1"/>
    <xf numFmtId="174" fontId="148" fillId="68" borderId="56" xfId="0" applyNumberFormat="1" applyFont="1" applyFill="1" applyBorder="1"/>
    <xf numFmtId="174" fontId="153" fillId="0" borderId="56" xfId="0" applyNumberFormat="1" applyFont="1" applyBorder="1"/>
    <xf numFmtId="175" fontId="83" fillId="63" borderId="47" xfId="0" applyNumberFormat="1" applyFont="1" applyFill="1" applyBorder="1"/>
    <xf numFmtId="175" fontId="11" fillId="64" borderId="0" xfId="0" applyNumberFormat="1" applyFont="1" applyFill="1" applyAlignment="1">
      <alignment horizontal="right"/>
    </xf>
    <xf numFmtId="175" fontId="11" fillId="0" borderId="0" xfId="0" applyNumberFormat="1" applyFont="1" applyAlignment="1">
      <alignment horizontal="right"/>
    </xf>
    <xf numFmtId="175" fontId="0" fillId="0" borderId="65" xfId="0" applyNumberFormat="1" applyBorder="1"/>
    <xf numFmtId="0" fontId="154" fillId="2" borderId="0" xfId="0" applyFont="1" applyFill="1"/>
    <xf numFmtId="0" fontId="154" fillId="0" borderId="0" xfId="0" applyFont="1"/>
    <xf numFmtId="172" fontId="155" fillId="2" borderId="54" xfId="8" applyNumberFormat="1" applyFont="1" applyFill="1" applyBorder="1" applyAlignment="1">
      <alignment horizontal="right"/>
    </xf>
    <xf numFmtId="172" fontId="155" fillId="2" borderId="99" xfId="8" applyNumberFormat="1" applyFont="1" applyFill="1" applyBorder="1" applyAlignment="1">
      <alignment horizontal="right"/>
    </xf>
    <xf numFmtId="0" fontId="11" fillId="60" borderId="0" xfId="0" applyFont="1" applyFill="1"/>
    <xf numFmtId="175" fontId="11" fillId="0" borderId="65" xfId="0" applyNumberFormat="1" applyFont="1" applyBorder="1"/>
    <xf numFmtId="0" fontId="11" fillId="68" borderId="1" xfId="0" applyFont="1" applyFill="1" applyBorder="1"/>
    <xf numFmtId="0" fontId="0" fillId="68" borderId="1" xfId="0" applyFill="1" applyBorder="1"/>
    <xf numFmtId="174" fontId="148" fillId="0" borderId="100" xfId="0" applyNumberFormat="1" applyFont="1" applyBorder="1"/>
    <xf numFmtId="174" fontId="148" fillId="68" borderId="100"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7" fillId="2" borderId="40" xfId="0" applyFont="1" applyFill="1" applyBorder="1" applyAlignment="1">
      <alignment horizontal="center"/>
    </xf>
    <xf numFmtId="0" fontId="158"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3"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4" xfId="0" applyFont="1" applyFill="1" applyBorder="1" applyAlignment="1">
      <alignment horizontal="center"/>
    </xf>
    <xf numFmtId="0" fontId="14" fillId="0" borderId="0" xfId="0" applyFont="1" applyAlignment="1">
      <alignment horizontal="center"/>
    </xf>
    <xf numFmtId="172" fontId="159" fillId="0" borderId="0" xfId="0" applyNumberFormat="1" applyFont="1" applyAlignment="1">
      <alignment horizontal="center"/>
    </xf>
    <xf numFmtId="174" fontId="11" fillId="0" borderId="130" xfId="0" applyNumberFormat="1" applyFont="1" applyBorder="1"/>
    <xf numFmtId="0" fontId="0" fillId="2" borderId="0" xfId="0" applyFill="1" applyAlignment="1">
      <alignment horizontal="center"/>
    </xf>
    <xf numFmtId="0" fontId="0" fillId="2" borderId="56" xfId="0" applyFill="1" applyBorder="1" applyAlignment="1">
      <alignment horizontal="center"/>
    </xf>
    <xf numFmtId="172" fontId="155" fillId="0" borderId="54" xfId="8" applyNumberFormat="1" applyFont="1" applyBorder="1" applyAlignment="1">
      <alignment horizontal="right"/>
    </xf>
    <xf numFmtId="172" fontId="155" fillId="0" borderId="99" xfId="8" applyNumberFormat="1" applyFont="1" applyBorder="1" applyAlignment="1">
      <alignment horizontal="right"/>
    </xf>
    <xf numFmtId="172" fontId="155" fillId="0" borderId="113" xfId="8" applyNumberFormat="1" applyFont="1" applyBorder="1" applyAlignment="1">
      <alignment horizontal="right"/>
    </xf>
    <xf numFmtId="172" fontId="155" fillId="0" borderId="100" xfId="8" applyNumberFormat="1" applyFont="1" applyBorder="1" applyAlignment="1">
      <alignment horizontal="right"/>
    </xf>
    <xf numFmtId="172" fontId="155" fillId="0" borderId="108" xfId="8" applyNumberFormat="1" applyFont="1" applyBorder="1" applyAlignment="1">
      <alignment horizontal="right"/>
    </xf>
    <xf numFmtId="172" fontId="155" fillId="0" borderId="131" xfId="8" applyNumberFormat="1" applyFont="1" applyBorder="1" applyAlignment="1">
      <alignment horizontal="right"/>
    </xf>
    <xf numFmtId="172" fontId="155" fillId="0" borderId="132" xfId="8" applyNumberFormat="1" applyFont="1" applyBorder="1" applyAlignment="1">
      <alignment horizontal="right"/>
    </xf>
    <xf numFmtId="172" fontId="155" fillId="0" borderId="133" xfId="8" applyNumberFormat="1" applyFont="1" applyBorder="1" applyAlignment="1">
      <alignment horizontal="right"/>
    </xf>
    <xf numFmtId="172" fontId="155" fillId="0" borderId="134" xfId="8" applyNumberFormat="1" applyFont="1" applyBorder="1" applyAlignment="1">
      <alignment horizontal="right"/>
    </xf>
    <xf numFmtId="172" fontId="107" fillId="0" borderId="71" xfId="8" applyNumberFormat="1" applyFont="1" applyBorder="1" applyAlignment="1">
      <alignment horizontal="right"/>
    </xf>
    <xf numFmtId="172" fontId="107" fillId="0" borderId="126" xfId="8" applyNumberFormat="1" applyFont="1" applyBorder="1" applyAlignment="1">
      <alignment horizontal="right"/>
    </xf>
    <xf numFmtId="172" fontId="155" fillId="0" borderId="136" xfId="8" applyNumberFormat="1" applyFont="1" applyBorder="1" applyAlignment="1">
      <alignment horizontal="right"/>
    </xf>
    <xf numFmtId="172" fontId="107" fillId="0" borderId="135" xfId="8" applyNumberFormat="1" applyFont="1" applyBorder="1" applyAlignment="1">
      <alignment horizontal="right"/>
    </xf>
    <xf numFmtId="0" fontId="11" fillId="0" borderId="0" xfId="0" applyFont="1" applyAlignment="1">
      <alignment horizontal="center"/>
    </xf>
    <xf numFmtId="0" fontId="160"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61" fillId="0" borderId="0" xfId="0" applyFont="1"/>
    <xf numFmtId="175" fontId="161" fillId="0" borderId="0" xfId="0" applyNumberFormat="1" applyFont="1" applyAlignment="1">
      <alignment horizontal="center"/>
    </xf>
    <xf numFmtId="175" fontId="121" fillId="0" borderId="56" xfId="0" applyNumberFormat="1" applyFont="1" applyBorder="1" applyAlignment="1">
      <alignment horizontal="center"/>
    </xf>
    <xf numFmtId="0" fontId="162" fillId="62" borderId="0" xfId="0" applyFont="1" applyFill="1" applyAlignment="1">
      <alignment horizontal="center"/>
    </xf>
    <xf numFmtId="0" fontId="162" fillId="61" borderId="0" xfId="0" applyFont="1" applyFill="1" applyAlignment="1">
      <alignment horizontal="center"/>
    </xf>
    <xf numFmtId="174" fontId="91" fillId="70" borderId="0" xfId="0" applyNumberFormat="1" applyFont="1" applyFill="1"/>
    <xf numFmtId="182" fontId="91" fillId="70" borderId="54" xfId="0" applyNumberFormat="1" applyFont="1" applyFill="1" applyBorder="1" applyAlignment="1">
      <alignment horizontal="center" vertical="top"/>
    </xf>
    <xf numFmtId="174" fontId="91" fillId="70" borderId="54" xfId="0" applyNumberFormat="1" applyFont="1" applyFill="1" applyBorder="1" applyAlignment="1">
      <alignment horizontal="right" vertical="top"/>
    </xf>
    <xf numFmtId="174" fontId="91" fillId="70" borderId="54" xfId="0" quotePrefix="1" applyNumberFormat="1" applyFont="1" applyFill="1" applyBorder="1" applyAlignment="1">
      <alignment horizontal="right" vertical="top"/>
    </xf>
    <xf numFmtId="172" fontId="91" fillId="70" borderId="0" xfId="0" applyNumberFormat="1" applyFont="1" applyFill="1"/>
    <xf numFmtId="190" fontId="91" fillId="70" borderId="0" xfId="0" applyNumberFormat="1" applyFont="1" applyFill="1" applyAlignment="1">
      <alignment horizontal="left"/>
    </xf>
    <xf numFmtId="172" fontId="91" fillId="70" borderId="54" xfId="0" applyNumberFormat="1" applyFont="1" applyFill="1" applyBorder="1" applyAlignment="1">
      <alignment horizontal="center" vertical="top"/>
    </xf>
    <xf numFmtId="172" fontId="91" fillId="70" borderId="54" xfId="0" quotePrefix="1" applyNumberFormat="1" applyFont="1" applyFill="1" applyBorder="1" applyAlignment="1">
      <alignment horizontal="right" vertical="top"/>
    </xf>
    <xf numFmtId="172" fontId="91" fillId="70" borderId="54" xfId="0" applyNumberFormat="1" applyFont="1" applyFill="1" applyBorder="1" applyAlignment="1">
      <alignment horizontal="right" vertical="top"/>
    </xf>
    <xf numFmtId="174" fontId="0" fillId="68" borderId="0" xfId="0" applyNumberFormat="1" applyFill="1"/>
    <xf numFmtId="172" fontId="0" fillId="68" borderId="47" xfId="0" applyNumberFormat="1" applyFill="1" applyBorder="1"/>
    <xf numFmtId="0" fontId="163" fillId="0" borderId="0" xfId="0" applyFont="1"/>
    <xf numFmtId="172" fontId="164" fillId="0" borderId="100" xfId="8" applyNumberFormat="1" applyFont="1" applyBorder="1" applyAlignment="1">
      <alignment horizontal="right"/>
    </xf>
    <xf numFmtId="172" fontId="164" fillId="0" borderId="131" xfId="8" applyNumberFormat="1" applyFont="1" applyBorder="1" applyAlignment="1">
      <alignment horizontal="right"/>
    </xf>
    <xf numFmtId="172" fontId="164" fillId="0" borderId="54" xfId="8" applyNumberFormat="1" applyFont="1" applyBorder="1" applyAlignment="1">
      <alignment horizontal="right"/>
    </xf>
    <xf numFmtId="172" fontId="164" fillId="0" borderId="132" xfId="8" applyNumberFormat="1" applyFont="1" applyBorder="1" applyAlignment="1">
      <alignment horizontal="right"/>
    </xf>
    <xf numFmtId="172" fontId="164" fillId="0" borderId="99" xfId="8" applyNumberFormat="1" applyFont="1" applyBorder="1" applyAlignment="1">
      <alignment horizontal="right"/>
    </xf>
    <xf numFmtId="172" fontId="164" fillId="0" borderId="133" xfId="8" applyNumberFormat="1" applyFont="1" applyBorder="1" applyAlignment="1">
      <alignment horizontal="right"/>
    </xf>
    <xf numFmtId="172" fontId="164" fillId="0" borderId="108" xfId="8" applyNumberFormat="1" applyFont="1" applyBorder="1" applyAlignment="1">
      <alignment horizontal="right"/>
    </xf>
    <xf numFmtId="172" fontId="164" fillId="0" borderId="134" xfId="8" applyNumberFormat="1" applyFont="1" applyBorder="1" applyAlignment="1">
      <alignment horizontal="right"/>
    </xf>
    <xf numFmtId="172" fontId="107" fillId="0" borderId="128" xfId="8" applyNumberFormat="1" applyFont="1" applyBorder="1" applyAlignment="1">
      <alignment horizontal="right"/>
    </xf>
    <xf numFmtId="175" fontId="148" fillId="0" borderId="0" xfId="0" applyNumberFormat="1" applyFont="1" applyAlignment="1">
      <alignment horizontal="center"/>
    </xf>
    <xf numFmtId="0" fontId="148" fillId="0" borderId="0" xfId="0" applyFont="1"/>
    <xf numFmtId="174" fontId="164" fillId="0" borderId="0" xfId="0" applyNumberFormat="1" applyFont="1" applyAlignment="1">
      <alignment horizontal="right"/>
    </xf>
    <xf numFmtId="175" fontId="164" fillId="0" borderId="0" xfId="0" applyNumberFormat="1" applyFont="1" applyAlignment="1">
      <alignment horizontal="right"/>
    </xf>
    <xf numFmtId="172" fontId="83" fillId="60" borderId="66" xfId="0" applyNumberFormat="1" applyFont="1" applyFill="1" applyBorder="1"/>
    <xf numFmtId="172" fontId="83" fillId="60" borderId="99" xfId="0" applyNumberFormat="1" applyFont="1" applyFill="1" applyBorder="1"/>
    <xf numFmtId="0" fontId="16" fillId="2" borderId="0" xfId="0" applyFont="1" applyFill="1" applyAlignment="1">
      <alignment horizontal="center"/>
    </xf>
    <xf numFmtId="0" fontId="0" fillId="60" borderId="0" xfId="0" applyFill="1"/>
    <xf numFmtId="175" fontId="0" fillId="2" borderId="0" xfId="0" applyNumberFormat="1" applyFill="1" applyAlignment="1">
      <alignment horizontal="right"/>
    </xf>
    <xf numFmtId="9" fontId="0" fillId="0" borderId="0" xfId="0" applyNumberFormat="1"/>
    <xf numFmtId="9" fontId="0" fillId="2" borderId="0" xfId="0" applyNumberFormat="1" applyFill="1"/>
    <xf numFmtId="0" fontId="0" fillId="0" borderId="0" xfId="0" applyAlignment="1">
      <alignment horizontal="left"/>
    </xf>
    <xf numFmtId="172" fontId="101" fillId="2" borderId="54" xfId="9" applyNumberFormat="1" applyFont="1" applyFill="1" applyBorder="1" applyAlignment="1" applyProtection="1">
      <alignment vertical="top"/>
      <protection locked="0"/>
    </xf>
    <xf numFmtId="9" fontId="165" fillId="2" borderId="54" xfId="9" applyFont="1" applyFill="1" applyBorder="1" applyAlignment="1" applyProtection="1">
      <alignment horizontal="center" vertical="top"/>
      <protection locked="0"/>
    </xf>
    <xf numFmtId="172" fontId="165" fillId="2" borderId="54" xfId="9" applyNumberFormat="1" applyFont="1" applyFill="1" applyBorder="1" applyAlignment="1" applyProtection="1">
      <alignment horizontal="right" vertical="top"/>
      <protection locked="0"/>
    </xf>
    <xf numFmtId="172" fontId="165" fillId="2" borderId="54" xfId="9" applyNumberFormat="1" applyFont="1" applyFill="1" applyBorder="1" applyAlignment="1" applyProtection="1">
      <alignment horizontal="center" vertical="top"/>
      <protection locked="0"/>
    </xf>
    <xf numFmtId="172" fontId="165" fillId="2" borderId="99" xfId="9" applyNumberFormat="1" applyFont="1" applyFill="1" applyBorder="1" applyAlignment="1" applyProtection="1">
      <alignment horizontal="right" vertical="top"/>
      <protection locked="0"/>
    </xf>
    <xf numFmtId="0" fontId="0" fillId="64" borderId="47" xfId="0" applyFill="1" applyBorder="1"/>
    <xf numFmtId="196" fontId="91" fillId="0" borderId="0" xfId="0" applyNumberFormat="1" applyFont="1"/>
    <xf numFmtId="174" fontId="91" fillId="60" borderId="0" xfId="0" applyNumberFormat="1" applyFont="1" applyFill="1"/>
    <xf numFmtId="0" fontId="0" fillId="64" borderId="56" xfId="0" applyFill="1" applyBorder="1"/>
    <xf numFmtId="174" fontId="0" fillId="64" borderId="0" xfId="0" applyNumberFormat="1" applyFill="1"/>
    <xf numFmtId="172" fontId="0" fillId="64" borderId="47" xfId="0" applyNumberFormat="1" applyFill="1" applyBorder="1"/>
    <xf numFmtId="174" fontId="11" fillId="64" borderId="130" xfId="0" applyNumberFormat="1" applyFont="1" applyFill="1" applyBorder="1"/>
    <xf numFmtId="9" fontId="165" fillId="2" borderId="99" xfId="9" applyFont="1" applyFill="1" applyBorder="1" applyAlignment="1" applyProtection="1">
      <alignment horizontal="center" vertical="top"/>
      <protection locked="0"/>
    </xf>
    <xf numFmtId="9" fontId="92" fillId="0" borderId="0" xfId="9" applyFont="1" applyFill="1" applyBorder="1" applyAlignment="1" applyProtection="1">
      <alignment horizontal="center" vertical="top"/>
      <protection locked="0"/>
    </xf>
    <xf numFmtId="172" fontId="101" fillId="0" borderId="0" xfId="9" applyNumberFormat="1" applyFont="1" applyFill="1" applyBorder="1" applyAlignment="1" applyProtection="1">
      <alignment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4" fontId="92" fillId="0" borderId="0" xfId="9" applyNumberFormat="1" applyFont="1" applyFill="1" applyBorder="1" applyAlignment="1" applyProtection="1">
      <alignment horizontal="center" vertical="top"/>
      <protection locked="0"/>
    </xf>
    <xf numFmtId="174" fontId="90" fillId="0" borderId="0" xfId="9" applyNumberFormat="1" applyFont="1" applyFill="1" applyBorder="1" applyAlignment="1" applyProtection="1">
      <alignment vertical="top"/>
      <protection locked="0"/>
    </xf>
    <xf numFmtId="172" fontId="90" fillId="0" borderId="0" xfId="9" applyNumberFormat="1" applyFont="1" applyFill="1" applyBorder="1" applyAlignment="1" applyProtection="1">
      <alignment vertical="top"/>
      <protection locked="0"/>
    </xf>
    <xf numFmtId="172" fontId="156" fillId="2" borderId="54" xfId="9" applyNumberFormat="1" applyFont="1" applyFill="1" applyBorder="1" applyAlignment="1" applyProtection="1">
      <alignment horizontal="center" vertical="top"/>
      <protection locked="0"/>
    </xf>
    <xf numFmtId="172" fontId="156" fillId="2" borderId="54" xfId="9" applyNumberFormat="1" applyFont="1" applyFill="1" applyBorder="1" applyAlignment="1" applyProtection="1">
      <alignment horizontal="right" vertical="top"/>
      <protection locked="0"/>
    </xf>
    <xf numFmtId="0" fontId="91" fillId="0" borderId="0" xfId="0" applyFont="1" applyAlignment="1" applyProtection="1">
      <alignment horizontal="center"/>
      <protection locked="0"/>
    </xf>
    <xf numFmtId="196" fontId="91" fillId="60" borderId="47" xfId="0" applyNumberFormat="1" applyFont="1" applyFill="1" applyBorder="1" applyProtection="1">
      <protection locked="0"/>
    </xf>
    <xf numFmtId="196" fontId="91" fillId="0" borderId="47" xfId="0" applyNumberFormat="1" applyFont="1" applyBorder="1" applyProtection="1">
      <protection locked="0"/>
    </xf>
    <xf numFmtId="196" fontId="156" fillId="2" borderId="47" xfId="0" applyNumberFormat="1" applyFont="1" applyFill="1" applyBorder="1" applyProtection="1">
      <protection locked="0"/>
    </xf>
    <xf numFmtId="196" fontId="91" fillId="2" borderId="47" xfId="0" applyNumberFormat="1" applyFont="1" applyFill="1" applyBorder="1" applyProtection="1">
      <protection locked="0"/>
    </xf>
    <xf numFmtId="196" fontId="156" fillId="2" borderId="49" xfId="0" applyNumberFormat="1" applyFont="1" applyFill="1" applyBorder="1" applyProtection="1">
      <protection locked="0"/>
    </xf>
    <xf numFmtId="196" fontId="91" fillId="2" borderId="49" xfId="0" applyNumberFormat="1" applyFont="1" applyFill="1" applyBorder="1" applyProtection="1">
      <protection locked="0"/>
    </xf>
    <xf numFmtId="0" fontId="91" fillId="0" borderId="51" xfId="0" applyFont="1" applyBorder="1" applyAlignment="1" applyProtection="1">
      <alignment horizontal="right"/>
      <protection locked="0"/>
    </xf>
    <xf numFmtId="0" fontId="91" fillId="0" borderId="51" xfId="0" applyFont="1" applyBorder="1" applyProtection="1">
      <protection locked="0"/>
    </xf>
    <xf numFmtId="0" fontId="91" fillId="0" borderId="51" xfId="0" applyFont="1" applyBorder="1" applyAlignment="1" applyProtection="1">
      <alignment horizontal="center"/>
      <protection locked="0"/>
    </xf>
    <xf numFmtId="0" fontId="91" fillId="2" borderId="100" xfId="0" applyFont="1" applyFill="1" applyBorder="1" applyProtection="1">
      <protection locked="0"/>
    </xf>
    <xf numFmtId="196" fontId="91" fillId="0" borderId="72" xfId="0" applyNumberFormat="1" applyFont="1" applyBorder="1" applyProtection="1">
      <protection locked="0"/>
    </xf>
    <xf numFmtId="196" fontId="91" fillId="60" borderId="0" xfId="0" applyNumberFormat="1" applyFont="1" applyFill="1"/>
    <xf numFmtId="174" fontId="90" fillId="0" borderId="56" xfId="9" applyNumberFormat="1" applyFont="1" applyFill="1" applyBorder="1" applyAlignment="1" applyProtection="1">
      <alignment vertical="top"/>
      <protection locked="0"/>
    </xf>
    <xf numFmtId="174" fontId="91" fillId="68" borderId="0" xfId="9" applyNumberFormat="1" applyFont="1" applyFill="1" applyBorder="1" applyAlignment="1" applyProtection="1">
      <alignment vertical="top"/>
    </xf>
    <xf numFmtId="9" fontId="89" fillId="0" borderId="54" xfId="9" applyFont="1" applyFill="1" applyBorder="1" applyAlignment="1" applyProtection="1">
      <alignment horizontal="center" vertical="top"/>
      <protection locked="0"/>
    </xf>
    <xf numFmtId="175" fontId="90" fillId="0" borderId="54" xfId="9" applyNumberFormat="1" applyFont="1" applyFill="1" applyBorder="1" applyAlignment="1" applyProtection="1">
      <alignment horizontal="right" vertical="top"/>
      <protection locked="0"/>
    </xf>
    <xf numFmtId="190" fontId="91" fillId="0" borderId="0" xfId="9" applyNumberFormat="1" applyFont="1" applyFill="1" applyBorder="1" applyAlignment="1" applyProtection="1">
      <alignment horizontal="center" vertical="top"/>
    </xf>
    <xf numFmtId="172" fontId="91" fillId="0" borderId="56" xfId="9" applyNumberFormat="1" applyFont="1" applyFill="1" applyBorder="1" applyAlignment="1" applyProtection="1">
      <alignment horizontal="center" vertical="top"/>
    </xf>
    <xf numFmtId="174" fontId="91" fillId="0" borderId="56"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6" xfId="0" applyNumberFormat="1" applyFont="1" applyBorder="1"/>
    <xf numFmtId="172" fontId="105" fillId="0" borderId="0" xfId="9" applyNumberFormat="1" applyFont="1" applyFill="1" applyBorder="1" applyAlignment="1" applyProtection="1">
      <alignment horizontal="center" vertical="top"/>
    </xf>
    <xf numFmtId="174" fontId="105" fillId="0" borderId="0" xfId="9" applyNumberFormat="1" applyFont="1" applyFill="1" applyBorder="1" applyAlignment="1" applyProtection="1">
      <alignment vertical="top"/>
    </xf>
    <xf numFmtId="0" fontId="107" fillId="63" borderId="63" xfId="0" applyFont="1" applyFill="1" applyBorder="1" applyAlignment="1">
      <alignment horizontal="center" vertical="top"/>
    </xf>
    <xf numFmtId="0" fontId="105" fillId="0" borderId="0" xfId="0" applyFont="1" applyAlignment="1">
      <alignment horizontal="left" indent="2"/>
    </xf>
    <xf numFmtId="5" fontId="106" fillId="0" borderId="0" xfId="0" applyNumberFormat="1" applyFont="1" applyAlignment="1">
      <alignment horizontal="center" vertical="top"/>
    </xf>
    <xf numFmtId="175" fontId="106" fillId="0" borderId="0" xfId="0" applyNumberFormat="1" applyFont="1" applyAlignment="1">
      <alignment horizontal="center" vertical="top"/>
    </xf>
    <xf numFmtId="174" fontId="106" fillId="0" borderId="0" xfId="0" applyNumberFormat="1" applyFont="1" applyAlignment="1">
      <alignment horizontal="right" vertical="top"/>
    </xf>
    <xf numFmtId="164" fontId="105" fillId="0" borderId="0" xfId="0" applyNumberFormat="1" applyFont="1" applyAlignment="1">
      <alignment horizontal="center" vertical="top"/>
    </xf>
    <xf numFmtId="182" fontId="106" fillId="0" borderId="0" xfId="0" applyNumberFormat="1" applyFont="1" applyAlignment="1">
      <alignment horizontal="center" vertical="top"/>
    </xf>
    <xf numFmtId="196" fontId="156" fillId="74" borderId="47" xfId="0" applyNumberFormat="1" applyFont="1" applyFill="1" applyBorder="1" applyProtection="1">
      <protection locked="0"/>
    </xf>
    <xf numFmtId="0" fontId="92" fillId="0" borderId="0" xfId="0" applyFont="1" applyProtection="1">
      <protection locked="0"/>
    </xf>
    <xf numFmtId="0" fontId="91" fillId="0" borderId="0" xfId="0" quotePrefix="1" applyFont="1" applyAlignment="1" applyProtection="1">
      <alignment horizontal="center"/>
      <protection locked="0"/>
    </xf>
    <xf numFmtId="0" fontId="92" fillId="3" borderId="0" xfId="0" applyFont="1" applyFill="1" applyAlignment="1" applyProtection="1">
      <alignment horizontal="right"/>
      <protection locked="0"/>
    </xf>
    <xf numFmtId="0" fontId="91" fillId="60" borderId="47" xfId="0" applyFont="1" applyFill="1" applyBorder="1" applyProtection="1">
      <protection locked="0"/>
    </xf>
    <xf numFmtId="0" fontId="91" fillId="3" borderId="47" xfId="0" applyFont="1" applyFill="1" applyBorder="1" applyProtection="1">
      <protection locked="0"/>
    </xf>
    <xf numFmtId="0" fontId="91" fillId="3" borderId="72" xfId="0" applyFont="1" applyFill="1" applyBorder="1" applyProtection="1">
      <protection locked="0"/>
    </xf>
    <xf numFmtId="0" fontId="105" fillId="0" borderId="0" xfId="0" applyFont="1" applyProtection="1">
      <protection locked="0"/>
    </xf>
    <xf numFmtId="0" fontId="91" fillId="0" borderId="56" xfId="0" applyFont="1" applyBorder="1" applyProtection="1">
      <protection locked="0"/>
    </xf>
    <xf numFmtId="172" fontId="156" fillId="0" borderId="56" xfId="9" applyNumberFormat="1" applyFont="1" applyFill="1" applyBorder="1" applyAlignment="1" applyProtection="1">
      <alignment horizontal="center" vertical="top"/>
      <protection locked="0"/>
    </xf>
    <xf numFmtId="172" fontId="165" fillId="0" borderId="56" xfId="9" applyNumberFormat="1" applyFont="1" applyFill="1" applyBorder="1" applyAlignment="1" applyProtection="1">
      <alignment vertical="top"/>
      <protection locked="0"/>
    </xf>
    <xf numFmtId="172" fontId="156" fillId="0" borderId="0" xfId="9" applyNumberFormat="1" applyFont="1" applyFill="1" applyBorder="1" applyAlignment="1" applyProtection="1">
      <alignment horizontal="center" vertical="top"/>
      <protection locked="0"/>
    </xf>
    <xf numFmtId="172" fontId="166" fillId="0" borderId="0" xfId="9" applyNumberFormat="1" applyFont="1" applyFill="1" applyBorder="1" applyAlignment="1" applyProtection="1">
      <alignment horizontal="right" vertical="top"/>
      <protection locked="0"/>
    </xf>
    <xf numFmtId="172" fontId="156" fillId="0" borderId="0" xfId="9" applyNumberFormat="1" applyFont="1" applyFill="1" applyBorder="1" applyAlignment="1" applyProtection="1">
      <alignment vertical="top"/>
      <protection locked="0"/>
    </xf>
    <xf numFmtId="0" fontId="92" fillId="2" borderId="137" xfId="0" applyFont="1" applyFill="1" applyBorder="1" applyAlignment="1" applyProtection="1">
      <alignment horizontal="center"/>
      <protection locked="0"/>
    </xf>
    <xf numFmtId="164" fontId="90" fillId="70" borderId="54" xfId="11" applyNumberFormat="1" applyFont="1" applyFill="1" applyBorder="1" applyAlignment="1" applyProtection="1">
      <alignment horizontal="center" vertical="top"/>
      <protection locked="0"/>
    </xf>
    <xf numFmtId="0" fontId="92" fillId="63" borderId="56" xfId="0" applyFont="1" applyFill="1" applyBorder="1" applyAlignment="1">
      <alignment wrapText="1"/>
    </xf>
    <xf numFmtId="0" fontId="92" fillId="63" borderId="65" xfId="0" applyFont="1" applyFill="1" applyBorder="1" applyAlignment="1">
      <alignment wrapText="1"/>
    </xf>
    <xf numFmtId="0" fontId="96" fillId="2" borderId="47" xfId="0" applyFont="1" applyFill="1" applyBorder="1" applyProtection="1">
      <protection locked="0"/>
    </xf>
    <xf numFmtId="0" fontId="96" fillId="2" borderId="49" xfId="0" applyFont="1" applyFill="1" applyBorder="1" applyProtection="1">
      <protection locked="0"/>
    </xf>
    <xf numFmtId="0" fontId="92" fillId="0" borderId="68" xfId="0" applyFont="1" applyBorder="1" applyAlignment="1">
      <alignment horizontal="center"/>
    </xf>
    <xf numFmtId="172" fontId="15" fillId="0" borderId="56" xfId="6628" applyNumberFormat="1" applyFont="1" applyBorder="1" applyAlignment="1">
      <alignment horizontal="center"/>
    </xf>
    <xf numFmtId="0" fontId="135" fillId="0" borderId="0" xfId="0" applyFont="1" applyAlignment="1">
      <alignment horizontal="center"/>
    </xf>
    <xf numFmtId="0" fontId="126" fillId="68" borderId="65" xfId="0" applyFont="1" applyFill="1" applyBorder="1"/>
    <xf numFmtId="195" fontId="92" fillId="64" borderId="63" xfId="0" applyNumberFormat="1" applyFont="1" applyFill="1" applyBorder="1" applyAlignment="1">
      <alignment horizontal="right"/>
    </xf>
    <xf numFmtId="174" fontId="92" fillId="0" borderId="65" xfId="0" applyNumberFormat="1" applyFont="1" applyBorder="1" applyAlignment="1">
      <alignment horizontal="right" vertical="top"/>
    </xf>
    <xf numFmtId="5" fontId="92" fillId="0" borderId="65" xfId="0" applyNumberFormat="1" applyFont="1" applyBorder="1" applyAlignment="1">
      <alignment horizontal="center" vertical="top"/>
    </xf>
    <xf numFmtId="1" fontId="91" fillId="0" borderId="65" xfId="0" applyNumberFormat="1" applyFont="1" applyBorder="1" applyAlignment="1">
      <alignment horizontal="left"/>
    </xf>
    <xf numFmtId="172" fontId="91" fillId="0" borderId="65" xfId="0" applyNumberFormat="1" applyFont="1" applyBorder="1" applyAlignment="1">
      <alignment horizontal="center"/>
    </xf>
    <xf numFmtId="177" fontId="91" fillId="0" borderId="56" xfId="0" applyNumberFormat="1" applyFont="1" applyBorder="1" applyAlignment="1">
      <alignment horizontal="left"/>
    </xf>
    <xf numFmtId="177" fontId="91" fillId="0" borderId="56" xfId="0" applyNumberFormat="1" applyFont="1" applyBorder="1" applyAlignment="1">
      <alignment horizontal="right" vertical="top"/>
    </xf>
    <xf numFmtId="174" fontId="91" fillId="0" borderId="56" xfId="0" applyNumberFormat="1" applyFont="1" applyBorder="1" applyAlignment="1">
      <alignment horizontal="right" vertical="top"/>
    </xf>
    <xf numFmtId="0" fontId="110" fillId="63" borderId="65" xfId="0" applyFont="1" applyFill="1" applyBorder="1"/>
    <xf numFmtId="164" fontId="151" fillId="63" borderId="65" xfId="0" applyNumberFormat="1" applyFont="1" applyFill="1" applyBorder="1" applyAlignment="1">
      <alignment horizontal="right" vertical="top"/>
    </xf>
    <xf numFmtId="0" fontId="104" fillId="0" borderId="56" xfId="0" applyFont="1" applyBorder="1" applyAlignment="1">
      <alignment horizontal="center" vertical="top"/>
    </xf>
    <xf numFmtId="172" fontId="92" fillId="3" borderId="56" xfId="0" applyNumberFormat="1" applyFont="1" applyFill="1" applyBorder="1" applyAlignment="1">
      <alignment horizontal="right"/>
    </xf>
    <xf numFmtId="0" fontId="92" fillId="63" borderId="56" xfId="0" applyFont="1" applyFill="1" applyBorder="1"/>
    <xf numFmtId="172" fontId="92" fillId="0" borderId="56" xfId="0" applyNumberFormat="1" applyFont="1" applyBorder="1" applyAlignment="1">
      <alignment horizontal="center"/>
    </xf>
    <xf numFmtId="172" fontId="91" fillId="66" borderId="56" xfId="0" applyNumberFormat="1" applyFont="1" applyFill="1" applyBorder="1" applyAlignment="1">
      <alignment horizontal="right"/>
    </xf>
    <xf numFmtId="0" fontId="107" fillId="0" borderId="56" xfId="0" applyFont="1" applyBorder="1" applyAlignment="1">
      <alignment horizontal="right" vertical="top"/>
    </xf>
    <xf numFmtId="0" fontId="104" fillId="0" borderId="56" xfId="0" applyFont="1" applyBorder="1" applyAlignment="1">
      <alignment horizontal="right" vertical="top"/>
    </xf>
    <xf numFmtId="0" fontId="91" fillId="70" borderId="56" xfId="0" applyFont="1" applyFill="1" applyBorder="1"/>
    <xf numFmtId="201" fontId="91" fillId="0" borderId="63" xfId="0" applyNumberFormat="1" applyFont="1" applyBorder="1" applyAlignment="1">
      <alignment horizontal="right"/>
    </xf>
    <xf numFmtId="174" fontId="92" fillId="0" borderId="65" xfId="0" applyNumberFormat="1" applyFont="1" applyBorder="1" applyAlignment="1">
      <alignment horizontal="right" wrapText="1"/>
    </xf>
    <xf numFmtId="172" fontId="92" fillId="6" borderId="56" xfId="0" applyNumberFormat="1" applyFont="1" applyFill="1" applyBorder="1" applyAlignment="1">
      <alignment horizontal="center"/>
    </xf>
    <xf numFmtId="164" fontId="91" fillId="3" borderId="65" xfId="0" applyNumberFormat="1" applyFont="1" applyFill="1" applyBorder="1" applyAlignment="1">
      <alignment horizontal="center" vertical="top"/>
    </xf>
    <xf numFmtId="0" fontId="92" fillId="3" borderId="56" xfId="0" applyFont="1" applyFill="1" applyBorder="1" applyAlignment="1">
      <alignment horizontal="center"/>
    </xf>
    <xf numFmtId="0" fontId="89" fillId="0" borderId="56" xfId="0" applyFont="1" applyBorder="1"/>
    <xf numFmtId="183" fontId="91" fillId="0" borderId="56" xfId="13118" applyNumberFormat="1" applyFont="1" applyFill="1" applyBorder="1" applyProtection="1"/>
    <xf numFmtId="174" fontId="92" fillId="0" borderId="56" xfId="13118" applyNumberFormat="1" applyFont="1" applyFill="1" applyBorder="1" applyProtection="1"/>
    <xf numFmtId="0" fontId="92" fillId="64" borderId="63"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208" fontId="104" fillId="0" borderId="56" xfId="6" applyNumberFormat="1" applyFont="1" applyFill="1" applyBorder="1" applyAlignment="1" applyProtection="1">
      <alignment horizontal="center"/>
    </xf>
    <xf numFmtId="172" fontId="107" fillId="0" borderId="56" xfId="5" applyNumberFormat="1" applyFont="1" applyBorder="1" applyAlignment="1" applyProtection="1">
      <alignment horizontal="center"/>
    </xf>
    <xf numFmtId="43" fontId="83" fillId="0" borderId="56" xfId="4" applyFont="1" applyBorder="1" applyProtection="1"/>
    <xf numFmtId="0" fontId="83" fillId="0" borderId="56" xfId="0" applyFont="1" applyBorder="1"/>
    <xf numFmtId="174" fontId="107" fillId="0" borderId="56" xfId="5" applyNumberFormat="1" applyFont="1" applyBorder="1" applyAlignment="1" applyProtection="1">
      <alignment horizontal="right"/>
    </xf>
    <xf numFmtId="43" fontId="8" fillId="0" borderId="0" xfId="4" applyFont="1"/>
    <xf numFmtId="190" fontId="0" fillId="0" borderId="0" xfId="0" applyNumberFormat="1"/>
    <xf numFmtId="0" fontId="11" fillId="0" borderId="1" xfId="0" quotePrefix="1" applyFont="1" applyBorder="1" applyAlignment="1">
      <alignment horizontal="right"/>
    </xf>
    <xf numFmtId="0" fontId="83" fillId="68" borderId="0" xfId="0" applyFont="1" applyFill="1"/>
    <xf numFmtId="0" fontId="83" fillId="68" borderId="47" xfId="0" applyFont="1" applyFill="1" applyBorder="1"/>
    <xf numFmtId="0" fontId="91" fillId="0" borderId="0" xfId="0" quotePrefix="1" applyFont="1" applyAlignment="1">
      <alignment horizontal="right" vertical="top"/>
    </xf>
    <xf numFmtId="172" fontId="91" fillId="68" borderId="0" xfId="0" applyNumberFormat="1" applyFont="1" applyFill="1" applyAlignment="1">
      <alignment horizontal="right" vertical="top"/>
    </xf>
    <xf numFmtId="0" fontId="168" fillId="75" borderId="138" xfId="0" applyFont="1" applyFill="1" applyBorder="1"/>
    <xf numFmtId="0" fontId="161" fillId="0" borderId="139" xfId="0" applyFont="1" applyBorder="1"/>
    <xf numFmtId="0" fontId="161" fillId="0" borderId="139" xfId="0" applyFont="1" applyBorder="1" applyAlignment="1">
      <alignment vertical="center"/>
    </xf>
    <xf numFmtId="0" fontId="0" fillId="0" borderId="140" xfId="0" applyBorder="1"/>
    <xf numFmtId="0" fontId="0" fillId="0" borderId="141" xfId="0" applyBorder="1"/>
    <xf numFmtId="0" fontId="168" fillId="0" borderId="140" xfId="0" applyFont="1" applyBorder="1"/>
    <xf numFmtId="0" fontId="168" fillId="0" borderId="138" xfId="0" applyFont="1" applyBorder="1" applyAlignment="1">
      <alignment wrapText="1"/>
    </xf>
    <xf numFmtId="0" fontId="0" fillId="0" borderId="142" xfId="0" applyBorder="1"/>
    <xf numFmtId="3" fontId="161" fillId="0" borderId="139" xfId="0" applyNumberFormat="1" applyFont="1" applyBorder="1" applyAlignment="1">
      <alignment horizontal="right"/>
    </xf>
    <xf numFmtId="0" fontId="169" fillId="0" borderId="139" xfId="0" applyFont="1" applyBorder="1"/>
    <xf numFmtId="6" fontId="161" fillId="0" borderId="141" xfId="0" applyNumberFormat="1" applyFont="1" applyBorder="1" applyAlignment="1">
      <alignment horizontal="right"/>
    </xf>
    <xf numFmtId="0" fontId="0" fillId="0" borderId="143" xfId="0" applyBorder="1"/>
    <xf numFmtId="0" fontId="161" fillId="0" borderId="143" xfId="0" applyFont="1" applyBorder="1"/>
    <xf numFmtId="0" fontId="0" fillId="0" borderId="142" xfId="0" applyBorder="1" applyAlignment="1">
      <alignment wrapText="1"/>
    </xf>
    <xf numFmtId="43" fontId="0" fillId="0" borderId="0" xfId="13121" applyFont="1"/>
    <xf numFmtId="183" fontId="0" fillId="0" borderId="0" xfId="0" applyNumberFormat="1"/>
    <xf numFmtId="0" fontId="0" fillId="76" borderId="139" xfId="0" applyFill="1" applyBorder="1"/>
    <xf numFmtId="0" fontId="161" fillId="0" borderId="143" xfId="0" applyFont="1" applyBorder="1" applyAlignment="1">
      <alignment horizontal="right"/>
    </xf>
    <xf numFmtId="0" fontId="161" fillId="0" borderId="144" xfId="0" applyFont="1" applyBorder="1" applyAlignment="1">
      <alignment vertical="center"/>
    </xf>
    <xf numFmtId="0" fontId="161" fillId="0" borderId="139" xfId="0" applyFont="1" applyBorder="1" applyAlignment="1">
      <alignment horizontal="right"/>
    </xf>
    <xf numFmtId="0" fontId="161" fillId="76" borderId="139" xfId="0" applyFont="1" applyFill="1" applyBorder="1" applyAlignment="1">
      <alignment horizontal="right"/>
    </xf>
    <xf numFmtId="3" fontId="161" fillId="76" borderId="139" xfId="0" applyNumberFormat="1" applyFont="1" applyFill="1" applyBorder="1" applyAlignment="1">
      <alignment horizontal="right"/>
    </xf>
    <xf numFmtId="6" fontId="161" fillId="0" borderId="139" xfId="0" applyNumberFormat="1" applyFont="1" applyBorder="1" applyAlignment="1">
      <alignment horizontal="right"/>
    </xf>
    <xf numFmtId="0" fontId="161" fillId="0" borderId="145" xfId="0" applyFont="1" applyBorder="1"/>
    <xf numFmtId="6" fontId="161" fillId="0" borderId="143" xfId="0" applyNumberFormat="1" applyFont="1" applyBorder="1" applyAlignment="1">
      <alignment horizontal="right"/>
    </xf>
    <xf numFmtId="0" fontId="169" fillId="0" borderId="145" xfId="0" applyFont="1" applyBorder="1"/>
    <xf numFmtId="6" fontId="161" fillId="76" borderId="139" xfId="0" applyNumberFormat="1" applyFont="1" applyFill="1" applyBorder="1" applyAlignment="1">
      <alignment horizontal="right"/>
    </xf>
    <xf numFmtId="6" fontId="161" fillId="76" borderId="141" xfId="0" applyNumberFormat="1" applyFont="1" applyFill="1" applyBorder="1" applyAlignment="1">
      <alignment horizontal="right"/>
    </xf>
    <xf numFmtId="0" fontId="0" fillId="0" borderId="145" xfId="0" applyBorder="1"/>
    <xf numFmtId="0" fontId="0" fillId="76" borderId="143" xfId="0" applyFill="1" applyBorder="1"/>
    <xf numFmtId="0" fontId="161" fillId="0" borderId="142" xfId="0" applyFont="1" applyBorder="1"/>
    <xf numFmtId="0" fontId="170" fillId="77" borderId="142" xfId="0" applyFont="1" applyFill="1" applyBorder="1"/>
    <xf numFmtId="43" fontId="0" fillId="0" borderId="0" xfId="0" applyNumberFormat="1"/>
    <xf numFmtId="8" fontId="91" fillId="2" borderId="47" xfId="0" applyNumberFormat="1" applyFont="1" applyFill="1" applyBorder="1" applyProtection="1">
      <protection locked="0"/>
    </xf>
    <xf numFmtId="0" fontId="96" fillId="4" borderId="146" xfId="0" applyFont="1" applyFill="1" applyBorder="1" applyAlignment="1" applyProtection="1">
      <alignment horizontal="center" vertical="center" wrapText="1"/>
      <protection locked="0"/>
    </xf>
    <xf numFmtId="0" fontId="96" fillId="4" borderId="147" xfId="0" applyFont="1" applyFill="1" applyBorder="1" applyAlignment="1" applyProtection="1">
      <alignment horizontal="center" vertical="center" wrapText="1"/>
      <protection locked="0"/>
    </xf>
    <xf numFmtId="0" fontId="96" fillId="4" borderId="148" xfId="0" applyFont="1" applyFill="1" applyBorder="1" applyAlignment="1" applyProtection="1">
      <alignment horizontal="center" vertical="center" wrapText="1"/>
      <protection locked="0"/>
    </xf>
    <xf numFmtId="0" fontId="96" fillId="4" borderId="149" xfId="0" applyFont="1" applyFill="1" applyBorder="1" applyAlignment="1" applyProtection="1">
      <alignment horizontal="center" vertical="center" wrapText="1"/>
      <protection locked="0"/>
    </xf>
    <xf numFmtId="0" fontId="96" fillId="4" borderId="150" xfId="0" applyFont="1" applyFill="1" applyBorder="1" applyAlignment="1" applyProtection="1">
      <alignment horizontal="center" vertical="center" wrapText="1"/>
      <protection locked="0"/>
    </xf>
    <xf numFmtId="0" fontId="96" fillId="4" borderId="151" xfId="0" applyFont="1" applyFill="1" applyBorder="1" applyAlignment="1" applyProtection="1">
      <alignment horizontal="center" vertical="center" wrapText="1"/>
      <protection locked="0"/>
    </xf>
    <xf numFmtId="0" fontId="96" fillId="4" borderId="152" xfId="0" applyFont="1" applyFill="1" applyBorder="1" applyAlignment="1" applyProtection="1">
      <alignment wrapText="1"/>
      <protection locked="0"/>
    </xf>
    <xf numFmtId="0" fontId="96" fillId="4" borderId="153" xfId="0" applyFont="1" applyFill="1" applyBorder="1" applyAlignment="1" applyProtection="1">
      <alignment wrapText="1"/>
      <protection locked="0"/>
    </xf>
    <xf numFmtId="0" fontId="96" fillId="4" borderId="154" xfId="0" applyFont="1" applyFill="1" applyBorder="1" applyAlignment="1" applyProtection="1">
      <alignment wrapText="1"/>
      <protection locked="0"/>
    </xf>
    <xf numFmtId="43" fontId="91" fillId="0" borderId="0" xfId="4" applyFont="1" applyBorder="1"/>
    <xf numFmtId="43" fontId="91" fillId="0" borderId="1" xfId="4" applyFont="1" applyBorder="1" applyAlignment="1" applyProtection="1">
      <alignment horizontal="right"/>
    </xf>
    <xf numFmtId="0" fontId="96" fillId="2" borderId="50" xfId="0" applyFont="1" applyFill="1" applyBorder="1" applyAlignment="1" applyProtection="1">
      <alignment horizontal="left"/>
      <protection locked="0"/>
    </xf>
    <xf numFmtId="0" fontId="10" fillId="2" borderId="50" xfId="7" applyFill="1" applyBorder="1" applyAlignment="1" applyProtection="1">
      <alignment horizontal="left" wrapText="1"/>
      <protection locked="0"/>
    </xf>
    <xf numFmtId="0" fontId="91" fillId="2" borderId="50" xfId="7" applyFont="1" applyFill="1" applyBorder="1" applyAlignment="1" applyProtection="1">
      <alignment horizontal="left" wrapText="1"/>
      <protection locked="0"/>
    </xf>
    <xf numFmtId="0" fontId="171" fillId="2" borderId="54" xfId="0" applyFont="1" applyFill="1" applyBorder="1" applyProtection="1">
      <protection locked="0"/>
    </xf>
    <xf numFmtId="43" fontId="129" fillId="0" borderId="0" xfId="4" applyFont="1" applyFill="1" applyAlignment="1">
      <alignment horizontal="left" indent="1"/>
    </xf>
    <xf numFmtId="43" fontId="92" fillId="0" borderId="56" xfId="4" applyFont="1" applyFill="1" applyBorder="1"/>
    <xf numFmtId="43" fontId="92" fillId="0" borderId="56" xfId="4" applyFont="1" applyFill="1" applyBorder="1" applyAlignment="1" applyProtection="1">
      <alignment horizontal="center"/>
    </xf>
    <xf numFmtId="43" fontId="92" fillId="0" borderId="56" xfId="4" applyFont="1" applyFill="1" applyBorder="1" applyAlignment="1">
      <alignment horizontal="center" vertical="top"/>
    </xf>
    <xf numFmtId="43" fontId="91" fillId="0" borderId="0" xfId="4" applyFont="1" applyFill="1" applyBorder="1" applyAlignment="1">
      <alignment horizontal="center" vertical="top"/>
    </xf>
    <xf numFmtId="43" fontId="91" fillId="2" borderId="47" xfId="4" applyFont="1" applyFill="1" applyBorder="1" applyProtection="1">
      <protection locked="0"/>
    </xf>
    <xf numFmtId="43" fontId="91" fillId="0" borderId="0" xfId="4" applyFont="1"/>
    <xf numFmtId="43" fontId="91" fillId="0" borderId="0" xfId="4" applyFont="1" applyFill="1"/>
    <xf numFmtId="43" fontId="96" fillId="0" borderId="0" xfId="4" applyFont="1" applyFill="1" applyBorder="1" applyAlignment="1">
      <alignment horizontal="center"/>
    </xf>
    <xf numFmtId="43" fontId="96" fillId="0" borderId="0" xfId="4" applyFont="1" applyFill="1"/>
    <xf numFmtId="43" fontId="91" fillId="0" borderId="0" xfId="4" applyFont="1" applyFill="1" applyBorder="1" applyAlignment="1" applyProtection="1">
      <alignment horizontal="center" vertical="top"/>
    </xf>
    <xf numFmtId="43" fontId="91" fillId="0" borderId="0" xfId="4" applyFont="1" applyFill="1" applyBorder="1"/>
    <xf numFmtId="0" fontId="92" fillId="63" borderId="5" xfId="0" applyFont="1" applyFill="1" applyBorder="1" applyAlignment="1">
      <alignment horizontal="left"/>
    </xf>
    <xf numFmtId="174" fontId="92" fillId="63" borderId="6" xfId="0" applyNumberFormat="1" applyFont="1" applyFill="1" applyBorder="1" applyAlignment="1">
      <alignment horizontal="center"/>
    </xf>
    <xf numFmtId="175" fontId="92" fillId="63" borderId="6" xfId="0" applyNumberFormat="1" applyFont="1" applyFill="1" applyBorder="1" applyAlignment="1">
      <alignment horizontal="center"/>
    </xf>
    <xf numFmtId="174" fontId="92" fillId="63" borderId="6" xfId="0" applyNumberFormat="1" applyFont="1" applyFill="1" applyBorder="1" applyAlignment="1">
      <alignment horizontal="right"/>
    </xf>
    <xf numFmtId="183" fontId="91" fillId="0" borderId="0" xfId="0" applyNumberFormat="1" applyFont="1"/>
    <xf numFmtId="174" fontId="172" fillId="2" borderId="47" xfId="0" applyNumberFormat="1" applyFont="1" applyFill="1" applyBorder="1" applyAlignment="1" applyProtection="1">
      <alignment horizontal="right" vertical="top"/>
      <protection locked="0"/>
    </xf>
    <xf numFmtId="172" fontId="172" fillId="2" borderId="54" xfId="0" applyNumberFormat="1" applyFont="1" applyFill="1" applyBorder="1" applyAlignment="1" applyProtection="1">
      <alignment horizontal="center" vertical="top"/>
      <protection locked="0"/>
    </xf>
    <xf numFmtId="174" fontId="172" fillId="2" borderId="56" xfId="33110" applyNumberFormat="1" applyFont="1" applyFill="1" applyBorder="1" applyProtection="1">
      <protection locked="0"/>
    </xf>
    <xf numFmtId="172" fontId="172" fillId="2" borderId="48" xfId="13118" applyNumberFormat="1" applyFont="1" applyFill="1" applyBorder="1" applyProtection="1">
      <protection locked="0"/>
    </xf>
    <xf numFmtId="0" fontId="172" fillId="2" borderId="54" xfId="0" applyFont="1" applyFill="1" applyBorder="1" applyProtection="1">
      <protection locked="0"/>
    </xf>
    <xf numFmtId="174" fontId="172" fillId="2" borderId="54" xfId="0" applyNumberFormat="1" applyFont="1" applyFill="1" applyBorder="1" applyProtection="1">
      <protection locked="0"/>
    </xf>
    <xf numFmtId="174" fontId="172" fillId="0" borderId="54" xfId="0" applyNumberFormat="1" applyFont="1" applyBorder="1" applyAlignment="1">
      <alignment horizontal="right" vertical="top"/>
    </xf>
    <xf numFmtId="172" fontId="172" fillId="2" borderId="108" xfId="0" applyNumberFormat="1" applyFont="1" applyFill="1" applyBorder="1" applyAlignment="1" applyProtection="1">
      <alignment horizontal="right" vertical="top"/>
      <protection locked="0"/>
    </xf>
    <xf numFmtId="174" fontId="172" fillId="0" borderId="0" xfId="0" applyNumberFormat="1" applyFont="1" applyAlignment="1">
      <alignment horizontal="right" vertical="top"/>
    </xf>
    <xf numFmtId="0" fontId="91" fillId="78" borderId="0" xfId="0" applyFont="1" applyFill="1"/>
    <xf numFmtId="174" fontId="91" fillId="78" borderId="56" xfId="0" applyNumberFormat="1" applyFont="1" applyFill="1" applyBorder="1" applyAlignment="1">
      <alignment horizontal="right"/>
    </xf>
    <xf numFmtId="172" fontId="91" fillId="78" borderId="56" xfId="0" applyNumberFormat="1" applyFont="1" applyFill="1" applyBorder="1" applyAlignment="1">
      <alignment horizontal="right"/>
    </xf>
    <xf numFmtId="174" fontId="92" fillId="78" borderId="0" xfId="0" applyNumberFormat="1" applyFont="1" applyFill="1"/>
    <xf numFmtId="0" fontId="91" fillId="78" borderId="47" xfId="0" applyFont="1" applyFill="1" applyBorder="1" applyProtection="1">
      <protection locked="0"/>
    </xf>
    <xf numFmtId="183" fontId="0" fillId="78" borderId="0" xfId="0" applyNumberFormat="1" applyFill="1"/>
    <xf numFmtId="174" fontId="91" fillId="78" borderId="0" xfId="0" applyNumberFormat="1" applyFont="1" applyFill="1" applyAlignment="1">
      <alignment horizontal="right" vertical="top"/>
    </xf>
    <xf numFmtId="1" fontId="96" fillId="78" borderId="54" xfId="11" applyNumberFormat="1" applyFont="1" applyFill="1" applyBorder="1" applyAlignment="1" applyProtection="1">
      <alignment horizontal="left"/>
      <protection locked="0"/>
    </xf>
    <xf numFmtId="173" fontId="91" fillId="2" borderId="110" xfId="0" applyNumberFormat="1" applyFont="1" applyFill="1" applyBorder="1" applyAlignment="1" applyProtection="1">
      <alignment horizontal="center" vertical="top"/>
      <protection locked="0"/>
    </xf>
    <xf numFmtId="173" fontId="91" fillId="2" borderId="66" xfId="0" applyNumberFormat="1" applyFont="1" applyFill="1" applyBorder="1" applyAlignment="1" applyProtection="1">
      <alignment horizontal="center" vertical="top"/>
      <protection locked="0"/>
    </xf>
    <xf numFmtId="172" fontId="0" fillId="78" borderId="47" xfId="0" applyNumberFormat="1" applyFill="1" applyBorder="1"/>
    <xf numFmtId="172" fontId="96" fillId="78" borderId="47" xfId="0" applyNumberFormat="1" applyFont="1" applyFill="1" applyBorder="1" applyAlignment="1" applyProtection="1">
      <alignment horizontal="right" vertical="top"/>
      <protection locked="0"/>
    </xf>
    <xf numFmtId="0" fontId="91" fillId="0" borderId="47" xfId="0" applyFont="1" applyBorder="1" applyProtection="1">
      <protection locked="0"/>
    </xf>
    <xf numFmtId="6" fontId="92" fillId="0" borderId="0" xfId="0" applyNumberFormat="1" applyFont="1" applyAlignment="1">
      <alignment horizontal="center"/>
    </xf>
    <xf numFmtId="174" fontId="91" fillId="78" borderId="0" xfId="0" applyNumberFormat="1" applyFont="1" applyFill="1" applyAlignment="1">
      <alignment horizontal="right"/>
    </xf>
    <xf numFmtId="173" fontId="91" fillId="4" borderId="54" xfId="0" applyNumberFormat="1" applyFont="1" applyFill="1" applyBorder="1" applyAlignment="1" applyProtection="1">
      <alignment horizontal="center" vertical="top"/>
      <protection locked="0"/>
    </xf>
    <xf numFmtId="43" fontId="91" fillId="78" borderId="1" xfId="4" applyFont="1" applyFill="1" applyBorder="1" applyAlignment="1" applyProtection="1">
      <alignment horizontal="right"/>
    </xf>
    <xf numFmtId="172" fontId="96" fillId="4" borderId="54" xfId="0" applyNumberFormat="1" applyFont="1" applyFill="1" applyBorder="1" applyAlignment="1" applyProtection="1">
      <alignment horizontal="right" vertical="top"/>
      <protection locked="0"/>
    </xf>
    <xf numFmtId="173" fontId="91" fillId="4" borderId="100" xfId="0" applyNumberFormat="1" applyFont="1" applyFill="1" applyBorder="1" applyAlignment="1" applyProtection="1">
      <alignment horizontal="center" vertical="top"/>
      <protection locked="0"/>
    </xf>
    <xf numFmtId="172" fontId="175" fillId="2" borderId="54" xfId="0" applyNumberFormat="1" applyFont="1" applyFill="1" applyBorder="1" applyAlignment="1" applyProtection="1">
      <alignment horizontal="center"/>
      <protection locked="0"/>
    </xf>
    <xf numFmtId="0" fontId="0" fillId="78" borderId="142" xfId="0" applyFill="1" applyBorder="1"/>
    <xf numFmtId="3" fontId="161" fillId="78" borderId="139" xfId="0" applyNumberFormat="1" applyFont="1" applyFill="1" applyBorder="1" applyAlignment="1">
      <alignment horizontal="right"/>
    </xf>
    <xf numFmtId="0" fontId="161" fillId="78" borderId="139" xfId="0" applyFont="1" applyFill="1" applyBorder="1"/>
    <xf numFmtId="6" fontId="161" fillId="78" borderId="141" xfId="0" applyNumberFormat="1" applyFont="1" applyFill="1" applyBorder="1" applyAlignment="1">
      <alignment horizontal="right"/>
    </xf>
    <xf numFmtId="0" fontId="0" fillId="78" borderId="143" xfId="0" applyFill="1" applyBorder="1"/>
    <xf numFmtId="0" fontId="0" fillId="78" borderId="141" xfId="0" applyFill="1" applyBorder="1"/>
    <xf numFmtId="0" fontId="161" fillId="78" borderId="143" xfId="0" applyFont="1" applyFill="1" applyBorder="1"/>
    <xf numFmtId="0" fontId="0" fillId="78" borderId="142" xfId="0" applyFill="1" applyBorder="1" applyAlignment="1">
      <alignment wrapText="1"/>
    </xf>
    <xf numFmtId="0" fontId="0" fillId="78" borderId="0" xfId="0" applyFill="1"/>
    <xf numFmtId="0" fontId="161" fillId="78" borderId="139" xfId="0" applyFont="1" applyFill="1" applyBorder="1" applyAlignment="1">
      <alignment horizontal="right"/>
    </xf>
    <xf numFmtId="0" fontId="161" fillId="78" borderId="145" xfId="0" applyFont="1" applyFill="1" applyBorder="1"/>
    <xf numFmtId="6" fontId="161" fillId="78" borderId="143" xfId="0" applyNumberFormat="1" applyFont="1" applyFill="1" applyBorder="1" applyAlignment="1">
      <alignment horizontal="right"/>
    </xf>
    <xf numFmtId="0" fontId="161" fillId="78" borderId="143" xfId="0" applyFont="1" applyFill="1" applyBorder="1" applyAlignment="1">
      <alignment horizontal="right"/>
    </xf>
    <xf numFmtId="6" fontId="161" fillId="78" borderId="139" xfId="0" applyNumberFormat="1" applyFont="1" applyFill="1" applyBorder="1" applyAlignment="1">
      <alignment horizontal="right"/>
    </xf>
    <xf numFmtId="172" fontId="172" fillId="4" borderId="54" xfId="0" applyNumberFormat="1" applyFont="1" applyFill="1" applyBorder="1" applyAlignment="1" applyProtection="1">
      <alignment horizontal="center" vertical="top"/>
      <protection locked="0"/>
    </xf>
    <xf numFmtId="0" fontId="91" fillId="4" borderId="0" xfId="0" applyFont="1" applyFill="1"/>
    <xf numFmtId="0" fontId="91" fillId="4" borderId="47" xfId="0" applyFont="1" applyFill="1" applyBorder="1" applyProtection="1">
      <protection locked="0"/>
    </xf>
    <xf numFmtId="172" fontId="91" fillId="4" borderId="54" xfId="0" applyNumberFormat="1" applyFont="1" applyFill="1" applyBorder="1" applyAlignment="1" applyProtection="1">
      <alignment horizontal="center" vertical="top"/>
      <protection locked="0"/>
    </xf>
    <xf numFmtId="172" fontId="96" fillId="4" borderId="54" xfId="0" applyNumberFormat="1" applyFont="1" applyFill="1" applyBorder="1" applyAlignment="1" applyProtection="1">
      <alignment horizontal="center" vertical="top"/>
      <protection locked="0"/>
    </xf>
    <xf numFmtId="172" fontId="96" fillId="4" borderId="47" xfId="0" applyNumberFormat="1" applyFont="1" applyFill="1" applyBorder="1" applyAlignment="1" applyProtection="1">
      <alignment horizontal="right" vertical="top"/>
      <protection locked="0"/>
    </xf>
    <xf numFmtId="183" fontId="0" fillId="4" borderId="0" xfId="0" applyNumberFormat="1" applyFill="1"/>
    <xf numFmtId="172" fontId="96" fillId="4" borderId="54" xfId="11" applyNumberFormat="1" applyFont="1" applyBorder="1" applyAlignment="1" applyProtection="1">
      <alignment horizontal="right" vertical="top"/>
      <protection locked="0"/>
    </xf>
    <xf numFmtId="174" fontId="91" fillId="4" borderId="0" xfId="0" applyNumberFormat="1" applyFont="1" applyFill="1" applyAlignment="1">
      <alignment horizontal="right" vertical="top"/>
    </xf>
    <xf numFmtId="172" fontId="172" fillId="4" borderId="54" xfId="11" applyNumberFormat="1" applyFont="1" applyBorder="1" applyAlignment="1" applyProtection="1">
      <alignment horizontal="right" vertical="top"/>
      <protection locked="0"/>
    </xf>
    <xf numFmtId="0" fontId="118" fillId="2" borderId="47" xfId="0" applyFont="1" applyFill="1" applyBorder="1" applyAlignment="1" applyProtection="1">
      <alignment horizontal="left"/>
      <protection locked="0"/>
    </xf>
    <xf numFmtId="0" fontId="127" fillId="2" borderId="51"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1" xfId="0" applyFont="1" applyFill="1" applyBorder="1" applyAlignment="1" applyProtection="1">
      <alignment horizontal="left"/>
      <protection locked="0"/>
    </xf>
    <xf numFmtId="0" fontId="10" fillId="2" borderId="51" xfId="7" applyFill="1" applyBorder="1" applyAlignment="1" applyProtection="1">
      <alignment horizontal="left" wrapText="1"/>
      <protection locked="0"/>
    </xf>
    <xf numFmtId="0" fontId="91" fillId="2" borderId="51"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10" fillId="2" borderId="47" xfId="7" applyFill="1" applyBorder="1" applyAlignment="1" applyProtection="1">
      <alignment horizontal="left" wrapText="1"/>
      <protection locked="0"/>
    </xf>
    <xf numFmtId="0" fontId="91" fillId="2" borderId="47" xfId="7" applyFont="1" applyFill="1" applyBorder="1" applyAlignment="1" applyProtection="1">
      <alignment horizontal="left" wrapText="1"/>
      <protection locked="0"/>
    </xf>
    <xf numFmtId="0" fontId="118" fillId="2" borderId="51" xfId="0" applyFont="1" applyFill="1" applyBorder="1" applyAlignment="1" applyProtection="1">
      <alignment horizontal="left"/>
      <protection locked="0"/>
    </xf>
    <xf numFmtId="0" fontId="92" fillId="63" borderId="56" xfId="0" applyFont="1" applyFill="1" applyBorder="1" applyAlignment="1">
      <alignment wrapText="1"/>
    </xf>
    <xf numFmtId="0" fontId="92" fillId="63" borderId="65" xfId="0" applyFont="1" applyFill="1" applyBorder="1" applyAlignment="1">
      <alignment wrapText="1"/>
    </xf>
    <xf numFmtId="0" fontId="96" fillId="2" borderId="47" xfId="0" applyFont="1" applyFill="1" applyBorder="1" applyProtection="1">
      <protection locked="0"/>
    </xf>
    <xf numFmtId="0" fontId="96" fillId="2" borderId="49" xfId="0" applyFont="1" applyFill="1" applyBorder="1" applyProtection="1">
      <protection locked="0"/>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89" fillId="0" borderId="56" xfId="0" applyFont="1" applyBorder="1" applyAlignment="1">
      <alignment horizontal="left"/>
    </xf>
    <xf numFmtId="0" fontId="89" fillId="0" borderId="65" xfId="0" applyFont="1" applyBorder="1" applyAlignment="1">
      <alignment horizontal="left"/>
    </xf>
    <xf numFmtId="0" fontId="91" fillId="0" borderId="0" xfId="0" applyFont="1"/>
    <xf numFmtId="0" fontId="109" fillId="65" borderId="0" xfId="0" applyFont="1" applyFill="1" applyAlignment="1">
      <alignment wrapText="1"/>
    </xf>
    <xf numFmtId="0" fontId="102" fillId="60" borderId="0" xfId="0" applyFont="1" applyFill="1" applyAlignment="1">
      <alignment horizontal="left"/>
    </xf>
    <xf numFmtId="0" fontId="61" fillId="68" borderId="0" xfId="0" applyFont="1" applyFill="1"/>
    <xf numFmtId="0" fontId="113" fillId="65" borderId="0" xfId="0" quotePrefix="1" applyFont="1" applyFill="1" applyAlignment="1">
      <alignment vertical="center" wrapText="1"/>
    </xf>
    <xf numFmtId="0" fontId="113" fillId="65" borderId="0" xfId="0" quotePrefix="1" applyFont="1" applyFill="1" applyAlignment="1">
      <alignment vertical="center"/>
    </xf>
    <xf numFmtId="0" fontId="89" fillId="60" borderId="68" xfId="0" applyFont="1" applyFill="1" applyBorder="1" applyAlignment="1">
      <alignment horizontal="center" vertical="center" wrapText="1"/>
    </xf>
    <xf numFmtId="0" fontId="89" fillId="60" borderId="65" xfId="0" applyFont="1" applyFill="1" applyBorder="1" applyAlignment="1">
      <alignment horizontal="center" vertical="center" wrapText="1"/>
    </xf>
    <xf numFmtId="0" fontId="89" fillId="60" borderId="63" xfId="0" applyFont="1" applyFill="1" applyBorder="1" applyAlignment="1">
      <alignment horizontal="center" vertical="center" wrapText="1"/>
    </xf>
    <xf numFmtId="0" fontId="96" fillId="2" borderId="48" xfId="0" applyFont="1" applyFill="1" applyBorder="1" applyProtection="1">
      <protection locked="0"/>
    </xf>
    <xf numFmtId="0" fontId="96" fillId="2" borderId="48" xfId="0" quotePrefix="1" applyFont="1" applyFill="1" applyBorder="1" applyProtection="1">
      <protection locked="0"/>
    </xf>
    <xf numFmtId="0" fontId="172" fillId="2" borderId="48" xfId="0" applyFont="1" applyFill="1" applyBorder="1" applyProtection="1">
      <protection locked="0"/>
    </xf>
    <xf numFmtId="0" fontId="96" fillId="2" borderId="104" xfId="0" applyFont="1" applyFill="1" applyBorder="1" applyProtection="1">
      <protection locked="0"/>
    </xf>
    <xf numFmtId="0" fontId="92" fillId="0" borderId="68" xfId="0" applyFont="1" applyBorder="1" applyAlignment="1">
      <alignment horizontal="center"/>
    </xf>
    <xf numFmtId="0" fontId="92" fillId="0" borderId="65" xfId="0" applyFont="1" applyBorder="1" applyAlignment="1">
      <alignment horizontal="center"/>
    </xf>
    <xf numFmtId="0" fontId="92" fillId="0" borderId="63" xfId="0" applyFont="1" applyBorder="1" applyAlignment="1">
      <alignment horizontal="center"/>
    </xf>
    <xf numFmtId="0" fontId="64" fillId="0" borderId="0" xfId="8" applyFont="1" applyAlignment="1">
      <alignment horizontal="center"/>
    </xf>
    <xf numFmtId="0" fontId="135" fillId="0" borderId="0" xfId="0" applyFont="1" applyAlignment="1">
      <alignment horizontal="center"/>
    </xf>
    <xf numFmtId="0" fontId="64" fillId="62" borderId="95" xfId="33111" applyFont="1" applyFill="1" applyBorder="1" applyAlignment="1">
      <alignment horizontal="center" vertical="top" wrapText="1"/>
    </xf>
    <xf numFmtId="0" fontId="64" fillId="62" borderId="96" xfId="33111" applyFont="1" applyFill="1" applyBorder="1" applyAlignment="1">
      <alignment horizontal="center" vertical="top" wrapText="1"/>
    </xf>
    <xf numFmtId="172" fontId="15" fillId="0" borderId="56"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1">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F0F0F0"/>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indexed="22"/>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2022</c:v>
                </c:pt>
                <c:pt idx="1">
                  <c:v>2023</c:v>
                </c:pt>
                <c:pt idx="2">
                  <c:v>2024</c:v>
                </c:pt>
                <c:pt idx="3">
                  <c:v>2025</c:v>
                </c:pt>
                <c:pt idx="4">
                  <c:v>2026</c:v>
                </c:pt>
                <c:pt idx="5">
                  <c:v>2027</c:v>
                </c:pt>
                <c:pt idx="6">
                  <c:v>2028</c:v>
                </c:pt>
              </c:numCache>
            </c:numRef>
          </c:cat>
          <c:val>
            <c:numRef>
              <c:f>Marketing!$H$45:$N$45</c:f>
              <c:numCache>
                <c:formatCode>0%;[Red]\(0%\);"-%"</c:formatCode>
                <c:ptCount val="7"/>
                <c:pt idx="0">
                  <c:v>0</c:v>
                </c:pt>
                <c:pt idx="1">
                  <c:v>0.68855932203389836</c:v>
                </c:pt>
                <c:pt idx="2">
                  <c:v>5.2966101694915252E-2</c:v>
                </c:pt>
                <c:pt idx="3">
                  <c:v>5.2966101694915252E-2</c:v>
                </c:pt>
                <c:pt idx="4">
                  <c:v>5.2966101694915252E-2</c:v>
                </c:pt>
                <c:pt idx="5">
                  <c:v>7.6271186440677971E-2</c:v>
                </c:pt>
                <c:pt idx="6">
                  <c:v>7.6271186440677971E-2</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8</xdr:col>
      <xdr:colOff>1010478</xdr:colOff>
      <xdr:row>65</xdr:row>
      <xdr:rowOff>380999</xdr:rowOff>
    </xdr:from>
    <xdr:to>
      <xdr:col>10</xdr:col>
      <xdr:colOff>298175</xdr:colOff>
      <xdr:row>72</xdr:row>
      <xdr:rowOff>132521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489674" y="9467021"/>
          <a:ext cx="2087218" cy="1275522"/>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twoCellAnchor>
    <xdr:from>
      <xdr:col>14</xdr:col>
      <xdr:colOff>0</xdr:colOff>
      <xdr:row>36</xdr:row>
      <xdr:rowOff>0</xdr:rowOff>
    </xdr:from>
    <xdr:to>
      <xdr:col>14</xdr:col>
      <xdr:colOff>5846884</xdr:colOff>
      <xdr:row>40</xdr:row>
      <xdr:rowOff>68035</xdr:rowOff>
    </xdr:to>
    <xdr:sp macro="" textlink="">
      <xdr:nvSpPr>
        <xdr:cNvPr id="3" name="TextBox 2">
          <a:extLst>
            <a:ext uri="{FF2B5EF4-FFF2-40B4-BE49-F238E27FC236}">
              <a16:creationId xmlns:a16="http://schemas.microsoft.com/office/drawing/2014/main" id="{00D1105B-249E-4133-9642-180D580495C0}"/>
            </a:ext>
          </a:extLst>
        </xdr:cNvPr>
        <xdr:cNvSpPr txBox="1"/>
      </xdr:nvSpPr>
      <xdr:spPr>
        <a:xfrm>
          <a:off x="14793058" y="6982558"/>
          <a:ext cx="5846884" cy="830035"/>
        </a:xfrm>
        <a:prstGeom prst="rect">
          <a:avLst/>
        </a:prstGeom>
        <a:solidFill>
          <a:srgbClr xmlns:mc="http://schemas.openxmlformats.org/markup-compatibility/2006" xmlns:a14="http://schemas.microsoft.com/office/drawing/2010/main" val="FF8080" mc:Ignorable="a14" a14:legacySpreadsheetColorIndex="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your assumptions to the left.  The given</a:t>
          </a:r>
          <a:r>
            <a:rPr lang="en-US" sz="1100" baseline="0"/>
            <a:t> </a:t>
          </a:r>
          <a:r>
            <a:rPr lang="en-US" sz="1100"/>
            <a:t>assumptions may be for model testing  or are from other application groups and </a:t>
          </a:r>
          <a:r>
            <a:rPr lang="en-US" sz="1100">
              <a:solidFill>
                <a:schemeClr val="dk1"/>
              </a:solidFill>
              <a:effectLst/>
              <a:latin typeface="+mn-lt"/>
              <a:ea typeface="+mn-ea"/>
              <a:cs typeface="+mn-cs"/>
            </a:rPr>
            <a:t>may not be applicable to your situation</a:t>
          </a:r>
          <a:r>
            <a:rPr lang="en-US" sz="1100" baseline="0"/>
            <a:t>.  </a:t>
          </a:r>
        </a:p>
        <a:p>
          <a:r>
            <a:rPr lang="en-US" sz="1100"/>
            <a:t>The model assumptions should be overwritten with your assumptions.  7/5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46</xdr:row>
      <xdr:rowOff>180975</xdr:rowOff>
    </xdr:from>
    <xdr:to>
      <xdr:col>12</xdr:col>
      <xdr:colOff>733425</xdr:colOff>
      <xdr:row>62</xdr:row>
      <xdr:rowOff>133350</xdr:rowOff>
    </xdr:to>
    <xdr:sp macro="" textlink="">
      <xdr:nvSpPr>
        <xdr:cNvPr id="3" name="TextBox 2">
          <a:extLst>
            <a:ext uri="{FF2B5EF4-FFF2-40B4-BE49-F238E27FC236}">
              <a16:creationId xmlns:a16="http://schemas.microsoft.com/office/drawing/2014/main" id="{EE61AF48-7033-4E02-B3E1-47F6974AFA13}"/>
            </a:ext>
          </a:extLst>
        </xdr:cNvPr>
        <xdr:cNvSpPr txBox="1"/>
      </xdr:nvSpPr>
      <xdr:spPr>
        <a:xfrm>
          <a:off x="7880985" y="15146655"/>
          <a:ext cx="8016240" cy="276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7</a:t>
          </a:r>
          <a:r>
            <a:rPr lang="en-US" sz="1100">
              <a:solidFill>
                <a:schemeClr val="dk1"/>
              </a:solidFill>
              <a:effectLst/>
              <a:latin typeface="+mn-lt"/>
              <a:ea typeface="+mn-ea"/>
              <a:cs typeface="+mn-cs"/>
            </a:rPr>
            <a:t>/10/2020 :</a:t>
          </a:r>
          <a:endParaRPr lang="en-US">
            <a:effectLst/>
          </a:endParaRPr>
        </a:p>
        <a:p>
          <a:r>
            <a:rPr lang="en-US" sz="1100">
              <a:solidFill>
                <a:schemeClr val="dk1"/>
              </a:solidFill>
              <a:effectLst/>
              <a:latin typeface="+mn-lt"/>
              <a:ea typeface="+mn-ea"/>
              <a:cs typeface="+mn-cs"/>
            </a:rPr>
            <a:t>* Charter Schools are Choice agencies so all PERS eligible employees would have the option to select the Employer paid or the Employee/Employer paid contribution plan if the employee has never selected the Employer paid plan in the past at a choice employer.</a:t>
          </a: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4/14/2020 :</a:t>
          </a:r>
        </a:p>
        <a:p>
          <a:pPr eaLnBrk="1" fontAlgn="auto" latinLnBrk="0" hangingPunct="1"/>
          <a:r>
            <a:rPr lang="en-US" sz="1100">
              <a:solidFill>
                <a:schemeClr val="dk1"/>
              </a:solidFill>
              <a:effectLst/>
              <a:latin typeface="+mn-lt"/>
              <a:ea typeface="+mn-ea"/>
              <a:cs typeface="+mn-cs"/>
            </a:rPr>
            <a:t>* The Employer Paid rate is 29.25% and the Employee/ Employer Paid plan is 15.25% for the EE and 15.25% for the Employer.</a:t>
          </a:r>
          <a:endParaRPr lang="en-US">
            <a:effectLst/>
          </a:endParaRPr>
        </a:p>
        <a:p>
          <a:endParaRPr lang="en-US">
            <a:effectLst/>
          </a:endParaRPr>
        </a:p>
        <a:p>
          <a:r>
            <a:rPr lang="en-US">
              <a:hlinkClick xmlns:r="http://schemas.openxmlformats.org/officeDocument/2006/relationships" r:id=""/>
            </a:rPr>
            <a:t>https://www.nvpers.org/public/employers/PERS%20Official%20Policies.pdf</a:t>
          </a:r>
          <a:endParaRPr lang="en-US">
            <a:effectLst/>
          </a:endParaRPr>
        </a:p>
        <a:p>
          <a:endParaRPr lang="en-US">
            <a:effectLst/>
          </a:endParaRPr>
        </a:p>
        <a:p>
          <a:r>
            <a:rPr lang="en-US"/>
            <a:t>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351075</xdr:colOff>
      <xdr:row>53</xdr:row>
      <xdr:rowOff>152288</xdr:rowOff>
    </xdr:from>
    <xdr:to>
      <xdr:col>5</xdr:col>
      <xdr:colOff>425530</xdr:colOff>
      <xdr:row>98</xdr:row>
      <xdr:rowOff>88375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147935"/>
          <a:ext cx="6338543" cy="7500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NAC 388A.190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Provision and maintenance of industrial and general liability insurance coverage. (</a:t>
          </a:r>
          <a:r>
            <a:rPr lang="en-US" sz="1100" u="sng">
              <a:solidFill>
                <a:schemeClr val="dk1"/>
              </a:solidFill>
              <a:effectLst/>
              <a:latin typeface="+mn-lt"/>
              <a:ea typeface="+mn-ea"/>
              <a:cs typeface="+mn-cs"/>
              <a:hlinkClick xmlns:r="http://schemas.openxmlformats.org/officeDocument/2006/relationships" r:id=""/>
            </a:rPr>
            <a:t>NRS 385.080</a:t>
          </a:r>
          <a:r>
            <a:rPr lang="en-US" sz="1100" b="1">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388A.110</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1.  Except as otherwise provided in subsection 4 of </a:t>
          </a:r>
          <a:r>
            <a:rPr lang="en-US" sz="1100" u="sng">
              <a:solidFill>
                <a:schemeClr val="dk1"/>
              </a:solidFill>
              <a:effectLst/>
              <a:latin typeface="+mn-lt"/>
              <a:ea typeface="+mn-ea"/>
              <a:cs typeface="+mn-cs"/>
              <a:hlinkClick xmlns:r="http://schemas.openxmlformats.org/officeDocument/2006/relationships" r:id=""/>
            </a:rPr>
            <a:t>NAC 388A.140</a:t>
          </a:r>
          <a:r>
            <a:rPr lang="en-US" sz="1100">
              <a:solidFill>
                <a:schemeClr val="dk1"/>
              </a:solidFill>
              <a:effectLst/>
              <a:latin typeface="+mn-lt"/>
              <a:ea typeface="+mn-ea"/>
              <a:cs typeface="+mn-cs"/>
            </a:rPr>
            <a:t>, a committee to form a charter school shall obtain insurance from an authorized insurer as follows:</a:t>
          </a:r>
        </a:p>
        <a:p>
          <a:r>
            <a:rPr lang="en-US" sz="1100">
              <a:solidFill>
                <a:schemeClr val="dk1"/>
              </a:solidFill>
              <a:effectLst/>
              <a:latin typeface="+mn-lt"/>
              <a:ea typeface="+mn-ea"/>
              <a:cs typeface="+mn-cs"/>
            </a:rPr>
            <a:t>     (a) Industrial insurance coverage in accordance with the applicable provisions of the Nevada Industrial Insurance Act, </a:t>
          </a:r>
          <a:r>
            <a:rPr lang="en-US" sz="1100" u="sng">
              <a:solidFill>
                <a:schemeClr val="dk1"/>
              </a:solidFill>
              <a:effectLst/>
              <a:latin typeface="+mn-lt"/>
              <a:ea typeface="+mn-ea"/>
              <a:cs typeface="+mn-cs"/>
              <a:hlinkClick xmlns:r="http://schemas.openxmlformats.org/officeDocument/2006/relationships" r:id=""/>
            </a:rPr>
            <a:t>chapters 616A</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616D</a:t>
          </a:r>
          <a:r>
            <a:rPr lang="en-US" sz="1100">
              <a:solidFill>
                <a:schemeClr val="dk1"/>
              </a:solidFill>
              <a:effectLst/>
              <a:latin typeface="+mn-lt"/>
              <a:ea typeface="+mn-ea"/>
              <a:cs typeface="+mn-cs"/>
            </a:rPr>
            <a:t>, inclusive, of NRS.</a:t>
          </a:r>
        </a:p>
        <a:p>
          <a:r>
            <a:rPr lang="en-US" sz="1100">
              <a:solidFill>
                <a:schemeClr val="dk1"/>
              </a:solidFill>
              <a:effectLst/>
              <a:latin typeface="+mn-lt"/>
              <a:ea typeface="+mn-ea"/>
              <a:cs typeface="+mn-cs"/>
            </a:rPr>
            <a:t>     (b) Except as otherwise provided in subsection 2, </a:t>
          </a:r>
          <a:r>
            <a:rPr lang="en-US" sz="1100" b="0">
              <a:solidFill>
                <a:schemeClr val="dk1"/>
              </a:solidFill>
              <a:effectLst/>
              <a:latin typeface="+mn-lt"/>
              <a:ea typeface="+mn-ea"/>
              <a:cs typeface="+mn-cs"/>
            </a:rPr>
            <a:t>general liability</a:t>
          </a:r>
          <a:r>
            <a:rPr lang="en-US" sz="1100">
              <a:solidFill>
                <a:schemeClr val="dk1"/>
              </a:solidFill>
              <a:effectLst/>
              <a:latin typeface="+mn-lt"/>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mn-lt"/>
              <a:ea typeface="+mn-ea"/>
              <a:cs typeface="+mn-cs"/>
            </a:rPr>
            <a:t>          (1) The sponsor of the charter school;</a:t>
          </a:r>
        </a:p>
        <a:p>
          <a:r>
            <a:rPr lang="en-US" sz="1100">
              <a:solidFill>
                <a:schemeClr val="dk1"/>
              </a:solidFill>
              <a:effectLst/>
              <a:latin typeface="+mn-lt"/>
              <a:ea typeface="+mn-ea"/>
              <a:cs typeface="+mn-cs"/>
            </a:rPr>
            <a:t>          (2) All employees of the charter school, including, without limitation, former, present and future employees;</a:t>
          </a:r>
        </a:p>
        <a:p>
          <a:r>
            <a:rPr lang="en-US" sz="1100">
              <a:solidFill>
                <a:schemeClr val="dk1"/>
              </a:solidFill>
              <a:effectLst/>
              <a:latin typeface="+mn-lt"/>
              <a:ea typeface="+mn-ea"/>
              <a:cs typeface="+mn-cs"/>
            </a:rPr>
            <a:t>          (3) Volunteers at the charter school; and</a:t>
          </a:r>
        </a:p>
        <a:p>
          <a:r>
            <a:rPr lang="en-US" sz="1100">
              <a:solidFill>
                <a:schemeClr val="dk1"/>
              </a:solidFill>
              <a:effectLst/>
              <a:latin typeface="+mn-lt"/>
              <a:ea typeface="+mn-ea"/>
              <a:cs typeface="+mn-cs"/>
            </a:rPr>
            <a:t>          (4) </a:t>
          </a:r>
          <a:r>
            <a:rPr lang="en-US" sz="1100" b="0">
              <a:solidFill>
                <a:schemeClr val="dk1"/>
              </a:solidFill>
              <a:effectLst/>
              <a:latin typeface="+mn-lt"/>
              <a:ea typeface="+mn-ea"/>
              <a:cs typeface="+mn-cs"/>
            </a:rPr>
            <a:t>Directors </a:t>
          </a:r>
          <a:r>
            <a:rPr lang="en-US" sz="1100">
              <a:solidFill>
                <a:schemeClr val="dk1"/>
              </a:solidFill>
              <a:effectLst/>
              <a:latin typeface="+mn-lt"/>
              <a:ea typeface="+mn-ea"/>
              <a:cs typeface="+mn-cs"/>
            </a:rPr>
            <a:t>of the charter school, including, </a:t>
          </a:r>
          <a:r>
            <a:rPr lang="en-US" sz="1100" b="0">
              <a:solidFill>
                <a:schemeClr val="dk1"/>
              </a:solidFill>
              <a:effectLst/>
              <a:latin typeface="+mn-lt"/>
              <a:ea typeface="+mn-ea"/>
              <a:cs typeface="+mn-cs"/>
            </a:rPr>
            <a:t>without limitation, executive directors.</a:t>
          </a:r>
        </a:p>
        <a:p>
          <a:r>
            <a:rPr lang="en-US" sz="1100">
              <a:solidFill>
                <a:schemeClr val="dk1"/>
              </a:solidFill>
              <a:effectLst/>
              <a:latin typeface="+mn-lt"/>
              <a:ea typeface="+mn-ea"/>
              <a:cs typeface="+mn-cs"/>
            </a:rPr>
            <a:t>     (c) Umbrella liability insurance with a minimum coverage of $3,000,000.               </a:t>
          </a:r>
        </a:p>
        <a:p>
          <a:r>
            <a:rPr lang="en-US" sz="1100">
              <a:solidFill>
                <a:schemeClr val="dk1"/>
              </a:solidFill>
              <a:effectLst/>
              <a:latin typeface="+mn-lt"/>
              <a:ea typeface="+mn-ea"/>
              <a:cs typeface="+mn-cs"/>
            </a:rPr>
            <a:t>     (d) Educators’ legal liability insurance with a minimum coverage of $1,000,000.</a:t>
          </a:r>
        </a:p>
        <a:p>
          <a:r>
            <a:rPr lang="en-US" sz="1100">
              <a:solidFill>
                <a:schemeClr val="dk1"/>
              </a:solidFill>
              <a:effectLst/>
              <a:latin typeface="+mn-lt"/>
              <a:ea typeface="+mn-ea"/>
              <a:cs typeface="+mn-cs"/>
            </a:rPr>
            <a:t>     (e) Employment practices liability insurance with a minimum coverage of $1,000,000.</a:t>
          </a:r>
        </a:p>
        <a:p>
          <a:r>
            <a:rPr lang="en-US" sz="1100">
              <a:solidFill>
                <a:schemeClr val="dk1"/>
              </a:solidFill>
              <a:effectLst/>
              <a:latin typeface="+mn-lt"/>
              <a:ea typeface="+mn-ea"/>
              <a:cs typeface="+mn-cs"/>
            </a:rPr>
            <a:t>     (f) Employment benefits liability insurance with a minimum coverage of $1,000,000.</a:t>
          </a:r>
        </a:p>
        <a:p>
          <a:r>
            <a:rPr lang="en-US" sz="1100">
              <a:solidFill>
                <a:schemeClr val="dk1"/>
              </a:solidFill>
              <a:effectLst/>
              <a:latin typeface="+mn-lt"/>
              <a:ea typeface="+mn-ea"/>
              <a:cs typeface="+mn-cs"/>
            </a:rPr>
            <a:t>     (g) Insurance covering errors and omissions of the sponsor and governing body of the charter school with a minimum coverage of $1,000,000.</a:t>
          </a:r>
        </a:p>
        <a:p>
          <a:r>
            <a:rPr lang="en-US" sz="1100">
              <a:solidFill>
                <a:schemeClr val="dk1"/>
              </a:solidFill>
              <a:effectLst/>
              <a:latin typeface="+mn-lt"/>
              <a:ea typeface="+mn-ea"/>
              <a:cs typeface="+mn-cs"/>
            </a:rPr>
            <a:t>     (h) If applicable, motor vehicle liability insurance with a minimum coverage of $1,000,000.</a:t>
          </a:r>
        </a:p>
        <a:p>
          <a:r>
            <a:rPr lang="en-US" sz="1100">
              <a:solidFill>
                <a:schemeClr val="dk1"/>
              </a:solidFill>
              <a:effectLst/>
              <a:latin typeface="+mn-lt"/>
              <a:ea typeface="+mn-ea"/>
              <a:cs typeface="+mn-cs"/>
            </a:rPr>
            <a:t>     (i) If applicable, liability insurance for sports and athletic participation with a minimum coverage of $1,000,000.</a:t>
          </a:r>
        </a:p>
        <a:p>
          <a:r>
            <a:rPr lang="en-US" sz="1100">
              <a:solidFill>
                <a:schemeClr val="dk1"/>
              </a:solidFill>
              <a:effectLst/>
              <a:latin typeface="+mn-lt"/>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mn-lt"/>
              <a:ea typeface="+mn-ea"/>
              <a:cs typeface="+mn-cs"/>
              <a:hlinkClick xmlns:r="http://schemas.openxmlformats.org/officeDocument/2006/relationships" r:id=""/>
            </a:rPr>
            <a:t>NAC 388A.160</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hlinkClick xmlns:r="http://schemas.openxmlformats.org/officeDocument/2006/relationships" r:id=""/>
            </a:rPr>
            <a:t>NAC 387.725</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mn-lt"/>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mn-lt"/>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mn-lt"/>
              <a:ea typeface="+mn-ea"/>
              <a:cs typeface="+mn-cs"/>
            </a:rPr>
            <a:t>     5.  As used in this section, “motor vehicle” has the meaning ascribed to it in </a:t>
          </a:r>
          <a:r>
            <a:rPr lang="en-US" sz="1100" u="sng">
              <a:solidFill>
                <a:schemeClr val="dk1"/>
              </a:solidFill>
              <a:effectLst/>
              <a:latin typeface="+mn-lt"/>
              <a:ea typeface="+mn-ea"/>
              <a:cs typeface="+mn-cs"/>
              <a:hlinkClick xmlns:r="http://schemas.openxmlformats.org/officeDocument/2006/relationships" r:id=""/>
            </a:rPr>
            <a:t>NRS 485.050</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20</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228</xdr:row>
      <xdr:rowOff>190500</xdr:rowOff>
    </xdr:from>
    <xdr:to>
      <xdr:col>37</xdr:col>
      <xdr:colOff>266700</xdr:colOff>
      <xdr:row>249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55</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Rebecca Feiden" id="{3F526A3D-F904-4460-8024-57A590EB9F4D}" userId="Rebecca Feiden"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3" dT="2019-10-09T22:19:25.08" personId="{B99A2D5D-3262-48B4-9518-41102A0FECDD}" id="{9909DB41-4054-4051-8E9D-3A06A152DDC1}">
    <text>Lines renamed to match profile</text>
  </threadedComment>
  <threadedComment ref="B36" dT="2019-10-09T22:19:55.60" personId="{B99A2D5D-3262-48B4-9518-41102A0FECDD}" id="{AE8693CC-D799-40D8-BC0A-DDEFCADE3B8B}">
    <text>Lines renamed to match profile and other tabs</text>
  </threadedComment>
  <threadedComment ref="C36" dT="2019-10-09T22:20:22.95" personId="{B99A2D5D-3262-48B4-9518-41102A0FECDD}" id="{14D4832A-A429-4B66-9D06-54B3C5043617}">
    <text>Numbers now pulling from depreciation based expenses instead of cash acquisition cost.</text>
  </threadedComment>
  <threadedComment ref="B114" dT="2019-10-09T22:20:56.08" personId="{B99A2D5D-3262-48B4-9518-41102A0FECDD}" id="{B847000C-AC3D-464A-9FCB-AF07C0B48B0E}">
    <text>Lines changed for consistency</text>
  </threadedComment>
  <threadedComment ref="B118" dT="2019-10-09T22:21:33.10" personId="{B99A2D5D-3262-48B4-9518-41102A0FECDD}" id="{B6F42B41-A78D-412D-AF3D-9126A5E0D606}">
    <text>lines changed for consistency</text>
  </threadedComment>
  <threadedComment ref="B135" dT="2019-10-09T22:21:46.00" personId="{B99A2D5D-3262-48B4-9518-41102A0FECDD}" id="{60129E67-CD70-46E7-91DA-906463589E3F}">
    <text>lines changed for consistency</text>
  </threadedComment>
  <threadedComment ref="B155" dT="2019-10-09T22:21:59.11" personId="{B99A2D5D-3262-48B4-9518-41102A0FECDD}" id="{E0B74DCF-2136-4060-977D-5542CAFEBFAB}">
    <text>lines changed for consistency</text>
  </threadedComment>
</ThreadedComments>
</file>

<file path=xl/threadedComments/threadedComment2.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H34" personId="{58D7CBF4-770A-4C73-A5CB-9F34A753C88F}" id="{F01B7D95-1612-4E39-9CC5-6D2B6DA04B58}">
    <text>Based on Google Maps or another mapping program of your choice.
The distance from the school can be to your targeted location or to nearby cross-streets.</text>
  </threadedComment>
  <threadedComment ref="B56" personId="{58D7CBF4-770A-4C73-A5CB-9F34A753C88F}" id="{FC7B4D31-52E5-4D8E-9CFD-7E893C787CAE}">
    <text>A five mile distance as the crow flies or by google maps travel distance.</text>
  </threadedComment>
  <threadedComment ref="H56" personId="{58D7CBF4-770A-4C73-A5CB-9F34A753C88F}" id="{3148EB90-8AD1-426D-8608-1AB43F281B40}">
    <text>Based on Google Maps or another mapping program of your choice.
The distance from the school can be to your targeted location or to nearby cross-streets.</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C70" personId="{58D7CBF4-770A-4C73-A5CB-9F34A753C88F}" id="{FAF9EAF0-2408-4BEA-AA7F-D3ED4C6366EF}">
    <text>From $350. 2019.11.14</text>
  </threadedComment>
  <threadedComment ref="C74" personId="{58D7CBF4-770A-4C73-A5CB-9F34A753C88F}" id="{B4A5A7BE-9ECA-44B0-A7A9-E6BB00275A8D}">
    <text>From $1,500. 2019.11.14</text>
  </threadedComment>
</ThreadedComments>
</file>

<file path=xl/threadedComments/threadedComment4.xml><?xml version="1.0" encoding="utf-8"?>
<ThreadedComments xmlns="http://schemas.microsoft.com/office/spreadsheetml/2018/threadedcomments" xmlns:x="http://schemas.openxmlformats.org/spreadsheetml/2006/main">
  <threadedComment ref="B14" dT="2019-10-09T22:22:23.61" personId="{B99A2D5D-3262-48B4-9518-41102A0FECDD}" id="{428C169F-7646-4CB0-B350-6B3997D0EBEC}">
    <text>lines changed to align with profile tab</text>
  </threadedComment>
  <threadedComment ref="F14" dT="2020-09-22T19:45:51.09" personId="{53965B3A-B08B-4BC2-8174-88EB25E8A830}" id="{BDF6EB88-3B12-45EF-B31B-51448D1C1895}">
    <text>=(B14/4)*0.75 used to reflect not getting full amount in Q1 but getting balance of payments equally for remaining quarters--for those on a quarterly payment plan.</text>
  </threadedComment>
  <threadedComment ref="F14" dT="2020-10-08T21:07:40.04" personId="{53965B3A-B08B-4BC2-8174-88EB25E8A830}" id="{8E21B931-9FD6-403A-B1CB-471B871E5471}" parentId="{BDF6EB88-3B12-45EF-B31B-51448D1C1895}">
    <text>Typically paid ~ 0.75~ of estimate and then the 0.25 is made up over the rest of the year.  See Sage formula; based on enrollment count in May.</text>
  </threadedComment>
  <threadedComment ref="I14" dT="2020-09-22T19:46:13.34" personId="{53965B3A-B08B-4BC2-8174-88EB25E8A830}" id="{CC4CE2D3-F1FC-4593-8BE0-D7109E7EAC25}">
    <text>used to reflect getting balance of payments equally for remaining quarters--for those on a quarterly payment plan.</text>
  </threadedComment>
  <threadedComment ref="B35" dT="2019-10-09T22:22:57.48" personId="{B99A2D5D-3262-48B4-9518-41102A0FECDD}" id="{747F349B-9CDE-4C7C-8445-7504F225BB0C}">
    <text>Lines changed to line up with profile and other tabs</text>
  </threadedComment>
  <threadedComment ref="E35" dT="2019-10-09T22:23:07.55" personId="{B99A2D5D-3262-48B4-9518-41102A0FECDD}" id="{5F5A5891-0F7E-438F-98FE-D46B19DAAF7A}">
    <text>conditional formatting added</text>
  </threadedComment>
  <threadedComment ref="B73" dT="2019-10-09T22:23:55.26" personId="{B99A2D5D-3262-48B4-9518-41102A0FECDD}" id="{E1B0AABC-FE85-4305-BCDA-D864236FBEFC}">
    <text>lines changed for consistency</text>
  </threadedComment>
  <threadedComment ref="B95" dT="2019-10-09T22:24:07.51" personId="{B99A2D5D-3262-48B4-9518-41102A0FECDD}" id="{105A4EF2-9C02-45A7-B312-9628B5927DF1}">
    <text>lines changed for consistency</text>
  </threadedComment>
  <threadedComment ref="B117"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threadedComments/threadedComment5.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06" personId="{58D7CBF4-770A-4C73-A5CB-9F34A753C88F}" id="{BB876C0D-D72D-40DF-BBA0-A96536A8DE50}">
    <text>Per year</text>
  </threadedComment>
  <threadedComment ref="D108" personId="{58D7CBF4-770A-4C73-A5CB-9F34A753C88F}" id="{1CF34B65-6989-4C5E-895F-D702F9E5C6C4}">
    <text>Per year</text>
  </threadedComment>
  <threadedComment ref="D113" personId="{58D7CBF4-770A-4C73-A5CB-9F34A753C88F}" id="{DE6D8AEB-CA6E-4A02-9B56-DCBD41232770}">
    <text>Per student</text>
  </threadedComment>
  <threadedComment ref="D114" personId="{58D7CBF4-770A-4C73-A5CB-9F34A753C88F}" id="{32620B01-D3E1-43C4-9965-1086B1BE1DD3}">
    <text>Per student (not covered by Title I)</text>
  </threadedComment>
  <threadedComment ref="D115" personId="{58D7CBF4-770A-4C73-A5CB-9F34A753C88F}" id="{8B1027DD-1690-4078-BE4E-8CCE2602C947}">
    <text>Per student</text>
  </threadedComment>
  <threadedComment ref="D116" personId="{58D7CBF4-770A-4C73-A5CB-9F34A753C88F}" id="{081B3B9E-102C-4FB3-AD68-C0B3B1CBEAFF}">
    <text>Input "yes or "no"</text>
  </threadedComment>
</ThreadedComments>
</file>

<file path=xl/threadedComments/threadedComment6.xml><?xml version="1.0" encoding="utf-8"?>
<ThreadedComments xmlns="http://schemas.microsoft.com/office/spreadsheetml/2018/threadedcomments" xmlns:x="http://schemas.openxmlformats.org/spreadsheetml/2006/main">
  <threadedComment ref="B55" personId="{58D7CBF4-770A-4C73-A5CB-9F34A753C88F}" id="{5A0A3B32-63B9-42AC-8F5E-76D6B93E179E}">
    <text xml:space="preserve">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ext>
  </threadedComment>
  <threadedComment ref="C57"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G133" dT="2020-09-22T19:01:17.23" personId="{53965B3A-B08B-4BC2-8174-88EB25E8A830}" id="{9FA39296-9023-4041-80FE-8575CCE2873E}">
    <text>You may now increase/decrease staff counts in this section of the model.</text>
  </threadedComment>
  <threadedComment ref="B420"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34" dT="2019-10-09T22:26:48.95" personId="{B99A2D5D-3262-48B4-9518-41102A0FECDD}" id="{049FD8B7-A556-4458-B741-9CE337C84F58}">
    <text>added capitalization assumption for capital outlay.  15 year depreciation schedule used based on Nevada Personal Property Manual (PPM)</text>
  </threadedComment>
  <threadedComment ref="G34" dT="2019-10-09T22:26:48.95" personId="{B99A2D5D-3262-48B4-9518-41102A0FECDD}" id="{7EE94EAF-B192-4E48-A3B1-248D938F898C}">
    <text>added capitalization assumption for capital outlay.  15 year depreciation schedule used based on Nevada Personal Property Manual (PPM)</text>
  </threadedComment>
  <threadedComment ref="F35" dT="2019-10-09T22:28:14.70" personId="{B99A2D5D-3262-48B4-9518-41102A0FECDD}" id="{70378DE7-6B40-4D69-A2B5-CDAE21ECCA12}">
    <text>LIst both the cash cost and the book expense</text>
  </threadedComment>
  <threadedComment ref="G35" dT="2019-10-09T22:28:14.70" personId="{B99A2D5D-3262-48B4-9518-41102A0FECDD}" id="{4D20B39F-CCD5-40F6-88A7-DA908090EB1A}">
    <text>LIst both the cash cost and the book expense</text>
  </threadedComment>
  <threadedComment ref="F65" dT="2019-10-09T22:28:29.17" personId="{B99A2D5D-3262-48B4-9518-41102A0FECDD}" id="{5A1E9927-B689-4F2F-9FDF-9AC411BA394B}">
    <text>LIst both the cash cost and the book expense</text>
  </threadedComment>
  <threadedComment ref="G65" dT="2019-10-09T22:28:29.17" personId="{B99A2D5D-3262-48B4-9518-41102A0FECDD}" id="{8B4CE012-06EE-44EF-B9A4-70A151D8CD64}">
    <text>LIst both the cash cost and the book expense</text>
  </threadedComment>
  <threadedComment ref="F66" dT="2019-10-09T22:27:53.20" personId="{B99A2D5D-3262-48B4-9518-41102A0FECDD}" id="{4A77444D-2667-414A-ACA6-5CACB9E7392C}">
    <text>Added a depreciation schedule for new building purchase/construction using a 50 year asset life per the Nevada PPM.</text>
  </threadedComment>
  <threadedComment ref="G66" dT="2019-10-09T22:27:53.20" personId="{B99A2D5D-3262-48B4-9518-41102A0FECDD}" id="{C044C3D4-0587-448F-AE58-11BAA9E73751}">
    <text>Added a depreciation schedule for new building purchase/construction using a 50 year asset life per the Nevada PPM.</text>
  </threadedComment>
  <threadedComment ref="F70"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s>
</file>

<file path=xl/threadedComments/threadedComment9.xml><?xml version="1.0" encoding="utf-8"?>
<ThreadedComments xmlns="http://schemas.microsoft.com/office/spreadsheetml/2018/threadedcomments" xmlns:x="http://schemas.openxmlformats.org/spreadsheetml/2006/main">
  <threadedComment ref="Q13" personId="{3F526A3D-F904-4460-8024-57A590EB9F4D}" id="{AE20A937-C675-4D93-974B-C8C4FB974162}">
    <text>Used SY 2017-18 projections from NDE Budget Template</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erah@ed-ops.com" TargetMode="External"/><Relationship Id="rId2" Type="http://schemas.openxmlformats.org/officeDocument/2006/relationships/hyperlink" Target="mailto:fingargiola@rootedschool.org" TargetMode="External"/><Relationship Id="rId1" Type="http://schemas.openxmlformats.org/officeDocument/2006/relationships/hyperlink" Target="mailto:jjohnson@rootedschool.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5" Type="http://schemas.microsoft.com/office/2017/10/relationships/threadedComment" Target="../threadedComments/threadedComment9.xml"/><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8.bin"/><Relationship Id="rId5" Type="http://schemas.microsoft.com/office/2017/10/relationships/threadedComment" Target="../threadedComments/threadedComment10.xml"/><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microsoft.com/office/2017/10/relationships/threadedComment" Target="../threadedComments/threadedComment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6"/>
  <sheetViews>
    <sheetView topLeftCell="A79" workbookViewId="0">
      <selection activeCell="B15" sqref="B15"/>
    </sheetView>
  </sheetViews>
  <sheetFormatPr defaultRowHeight="15"/>
  <cols>
    <col min="1" max="1" width="119.140625" customWidth="1"/>
  </cols>
  <sheetData>
    <row r="1" spans="1:11" ht="15.75">
      <c r="A1" s="21" t="s">
        <v>0</v>
      </c>
    </row>
    <row r="2" spans="1:11" ht="15.75">
      <c r="A2" s="22" t="str">
        <f>SchoolName</f>
        <v>Rooted School Clark County</v>
      </c>
    </row>
    <row r="3" spans="1:11">
      <c r="A3" s="455" t="s">
        <v>1</v>
      </c>
      <c r="G3" s="555"/>
      <c r="H3" s="555"/>
      <c r="I3" s="555"/>
      <c r="J3" s="555"/>
      <c r="K3" s="555"/>
    </row>
    <row r="4" spans="1:11">
      <c r="A4" s="456" t="str">
        <f ca="1">CELL("filename")</f>
        <v>C:\Users\CRaymond\Char. School Bus Mgt Dropbox\Collin Raymond\Growth Team\Growth 2.0\Growth &amp; Data\Client Projects\Rooted LV\[Rooted School-SPCSA-Operating Budget-V10 (1) - Rev9.xlsx]Summary</v>
      </c>
    </row>
    <row r="5" spans="1:11" ht="15.75">
      <c r="A5" s="499" t="s">
        <v>2</v>
      </c>
    </row>
    <row r="6" spans="1:11" ht="15.75">
      <c r="A6" s="506" t="s">
        <v>3</v>
      </c>
    </row>
    <row r="7" spans="1:11" ht="12.6" customHeight="1"/>
    <row r="8" spans="1:11" ht="138.75" customHeight="1">
      <c r="A8" s="832" t="s">
        <v>4</v>
      </c>
    </row>
    <row r="10" spans="1:11" ht="15.75">
      <c r="A10" s="506" t="s">
        <v>5</v>
      </c>
    </row>
    <row r="11" spans="1:11" ht="95.25" customHeight="1">
      <c r="A11" s="376" t="s">
        <v>6</v>
      </c>
    </row>
    <row r="12" spans="1:11">
      <c r="A12" s="2"/>
    </row>
    <row r="13" spans="1:11">
      <c r="A13" s="378" t="s">
        <v>7</v>
      </c>
    </row>
    <row r="14" spans="1:11">
      <c r="A14" s="3" t="s">
        <v>8</v>
      </c>
    </row>
    <row r="15" spans="1:11">
      <c r="A15" s="3"/>
    </row>
    <row r="16" spans="1:11">
      <c r="A16" s="378" t="s">
        <v>9</v>
      </c>
    </row>
    <row r="17" spans="1:26" ht="30">
      <c r="A17" s="3" t="s">
        <v>10</v>
      </c>
    </row>
    <row r="18" spans="1:26">
      <c r="A18" s="2"/>
    </row>
    <row r="19" spans="1:26">
      <c r="A19" s="1513" t="s">
        <v>1202</v>
      </c>
    </row>
    <row r="20" spans="1:26">
      <c r="A20" s="378" t="s">
        <v>1203</v>
      </c>
    </row>
    <row r="21" spans="1:26" ht="30" hidden="1">
      <c r="A21" s="377" t="s">
        <v>11</v>
      </c>
    </row>
    <row r="22" spans="1:26" ht="30" hidden="1">
      <c r="A22" s="377" t="s">
        <v>12</v>
      </c>
    </row>
    <row r="23" spans="1:26" ht="30" hidden="1">
      <c r="A23" s="377" t="s">
        <v>13</v>
      </c>
    </row>
    <row r="24" spans="1:26" ht="45">
      <c r="A24" s="2" t="s">
        <v>1201</v>
      </c>
    </row>
    <row r="25" spans="1:26" ht="33.75" customHeight="1">
      <c r="A25" s="2" t="s">
        <v>1204</v>
      </c>
    </row>
    <row r="26" spans="1:26" ht="30">
      <c r="A26" s="2" t="s">
        <v>14</v>
      </c>
      <c r="S26" s="5"/>
      <c r="T26" s="5"/>
      <c r="U26" s="5"/>
      <c r="V26" s="5"/>
      <c r="W26" s="5"/>
      <c r="X26" s="5"/>
      <c r="Y26" s="5"/>
      <c r="Z26" s="5"/>
    </row>
    <row r="27" spans="1:26">
      <c r="A27" t="s">
        <v>15</v>
      </c>
      <c r="S27" s="5"/>
      <c r="T27" s="5"/>
      <c r="U27" s="5"/>
      <c r="V27" s="5"/>
      <c r="W27" s="5"/>
      <c r="X27" s="5"/>
      <c r="Y27" s="5"/>
      <c r="Z27" s="5"/>
    </row>
    <row r="28" spans="1:26">
      <c r="A28" s="1" t="s">
        <v>16</v>
      </c>
      <c r="S28" s="5"/>
      <c r="T28" s="5"/>
      <c r="U28" s="5"/>
      <c r="V28" s="5"/>
      <c r="W28" s="5"/>
      <c r="X28" s="5"/>
      <c r="Y28" s="5"/>
      <c r="Z28" s="5"/>
    </row>
    <row r="29" spans="1:26">
      <c r="A29" s="1" t="s">
        <v>17</v>
      </c>
      <c r="S29" s="5"/>
      <c r="T29" s="5"/>
      <c r="U29" s="5"/>
      <c r="V29" s="5"/>
      <c r="W29" s="5"/>
      <c r="X29" s="5"/>
      <c r="Y29" s="5"/>
      <c r="Z29" s="5"/>
    </row>
    <row r="30" spans="1:26">
      <c r="A30" s="1" t="s">
        <v>18</v>
      </c>
      <c r="S30" s="5"/>
      <c r="T30" s="5"/>
      <c r="U30" s="5"/>
      <c r="V30" s="5"/>
      <c r="W30" s="5"/>
      <c r="X30" s="5"/>
      <c r="Y30" s="5"/>
      <c r="Z30" s="5"/>
    </row>
    <row r="31" spans="1:26">
      <c r="A31" s="1" t="s">
        <v>19</v>
      </c>
      <c r="S31" s="5"/>
      <c r="T31" s="5"/>
      <c r="U31" s="5"/>
      <c r="V31" s="5"/>
      <c r="W31" s="5"/>
      <c r="X31" s="5"/>
      <c r="Y31" s="5"/>
      <c r="Z31" s="5"/>
    </row>
    <row r="32" spans="1:26">
      <c r="A32" s="1" t="s">
        <v>20</v>
      </c>
      <c r="S32" s="5"/>
      <c r="T32" s="5"/>
      <c r="U32" s="5"/>
      <c r="V32" s="5"/>
      <c r="W32" s="5"/>
      <c r="X32" s="5"/>
      <c r="Y32" s="5"/>
      <c r="Z32" s="5"/>
    </row>
    <row r="33" spans="1:26">
      <c r="A33" s="1" t="s">
        <v>21</v>
      </c>
      <c r="S33" s="5"/>
      <c r="T33" s="5"/>
      <c r="U33" s="5"/>
      <c r="V33" s="5"/>
      <c r="W33" s="5"/>
      <c r="X33" s="5"/>
      <c r="Y33" s="5"/>
      <c r="Z33" s="5"/>
    </row>
    <row r="34" spans="1:26">
      <c r="S34" s="5"/>
      <c r="T34" s="5"/>
      <c r="U34" s="5"/>
      <c r="V34" s="5"/>
      <c r="W34" s="5"/>
      <c r="X34" s="5"/>
      <c r="Y34" s="5"/>
      <c r="Z34" s="5"/>
    </row>
    <row r="35" spans="1:26">
      <c r="A35" s="378" t="s">
        <v>1205</v>
      </c>
      <c r="S35" s="5"/>
      <c r="T35" s="5"/>
      <c r="U35" s="5"/>
      <c r="V35" s="5"/>
      <c r="W35" s="5"/>
      <c r="X35" s="5"/>
      <c r="Y35" s="5"/>
      <c r="Z35" s="5"/>
    </row>
    <row r="36" spans="1:26" ht="45">
      <c r="A36" s="3" t="s">
        <v>22</v>
      </c>
      <c r="S36" s="5"/>
      <c r="T36" s="5"/>
      <c r="U36" s="5"/>
      <c r="V36" s="5"/>
      <c r="W36" s="5"/>
      <c r="X36" s="5"/>
      <c r="Y36" s="5"/>
      <c r="Z36" s="5"/>
    </row>
    <row r="37" spans="1:26">
      <c r="A37" s="378" t="s">
        <v>1206</v>
      </c>
      <c r="S37" s="5"/>
      <c r="T37" s="5"/>
      <c r="U37" s="5"/>
      <c r="V37" s="5"/>
      <c r="W37" s="5"/>
      <c r="X37" s="5"/>
      <c r="Y37" s="5"/>
      <c r="Z37" s="5"/>
    </row>
    <row r="38" spans="1:26" hidden="1">
      <c r="A38" s="310" t="s">
        <v>23</v>
      </c>
      <c r="S38" s="5"/>
      <c r="T38" s="5"/>
      <c r="U38" s="5"/>
      <c r="V38" s="5"/>
      <c r="W38" s="5"/>
      <c r="X38" s="5"/>
      <c r="Y38" s="5"/>
      <c r="Z38" s="5"/>
    </row>
    <row r="39" spans="1:26" hidden="1">
      <c r="A39" s="310" t="s">
        <v>24</v>
      </c>
      <c r="S39" s="5"/>
      <c r="T39" s="5"/>
      <c r="U39" s="5"/>
      <c r="V39" s="5"/>
      <c r="W39" s="5"/>
      <c r="X39" s="5"/>
      <c r="Y39" s="5"/>
      <c r="Z39" s="5"/>
    </row>
    <row r="40" spans="1:26" hidden="1">
      <c r="A40" s="310" t="s">
        <v>25</v>
      </c>
      <c r="S40" s="5"/>
      <c r="T40" s="5"/>
      <c r="U40" s="5"/>
      <c r="V40" s="5"/>
      <c r="W40" s="5"/>
      <c r="X40" s="5"/>
      <c r="Y40" s="5"/>
      <c r="Z40" s="5"/>
    </row>
    <row r="41" spans="1:26" ht="30" hidden="1">
      <c r="A41" s="377" t="s">
        <v>26</v>
      </c>
      <c r="S41" s="5"/>
      <c r="T41" s="5"/>
      <c r="U41" s="5"/>
      <c r="V41" s="5"/>
      <c r="W41" s="5"/>
      <c r="X41" s="5"/>
      <c r="Y41" s="5"/>
      <c r="Z41" s="5"/>
    </row>
    <row r="42" spans="1:26" hidden="1">
      <c r="A42" s="310" t="s">
        <v>27</v>
      </c>
      <c r="S42" s="5"/>
      <c r="T42" s="5"/>
      <c r="U42" s="5"/>
      <c r="V42" s="5"/>
      <c r="W42" s="5"/>
      <c r="X42" s="5"/>
      <c r="Y42" s="5"/>
      <c r="Z42" s="5"/>
    </row>
    <row r="43" spans="1:26" hidden="1">
      <c r="A43" s="310" t="s">
        <v>28</v>
      </c>
      <c r="S43" s="5"/>
      <c r="T43" s="5"/>
      <c r="U43" s="5"/>
      <c r="V43" s="5"/>
      <c r="W43" s="5"/>
      <c r="X43" s="5"/>
      <c r="Y43" s="5"/>
      <c r="Z43" s="5"/>
    </row>
    <row r="44" spans="1:26" hidden="1">
      <c r="A44" s="310" t="s">
        <v>29</v>
      </c>
      <c r="S44" s="5"/>
      <c r="T44" s="5"/>
      <c r="U44" s="5"/>
      <c r="V44" s="5"/>
      <c r="W44" s="5"/>
      <c r="X44" s="5"/>
      <c r="Y44" s="5"/>
      <c r="Z44" s="5"/>
    </row>
    <row r="45" spans="1:26" ht="30" hidden="1">
      <c r="A45" s="377" t="s">
        <v>30</v>
      </c>
      <c r="S45" s="5"/>
      <c r="T45" s="5"/>
      <c r="U45" s="5"/>
      <c r="V45" s="5"/>
      <c r="W45" s="5"/>
      <c r="X45" s="5"/>
      <c r="Y45" s="5"/>
      <c r="Z45" s="5"/>
    </row>
    <row r="46" spans="1:26" ht="47.25" hidden="1" customHeight="1">
      <c r="A46" s="377" t="s">
        <v>31</v>
      </c>
      <c r="S46" s="5"/>
      <c r="T46" s="5"/>
      <c r="U46" s="5"/>
      <c r="V46" s="5"/>
      <c r="W46" s="5"/>
      <c r="X46" s="5"/>
      <c r="Y46" s="5"/>
      <c r="Z46" s="5"/>
    </row>
    <row r="47" spans="1:26" ht="15" hidden="1" customHeight="1">
      <c r="A47" s="377" t="s">
        <v>32</v>
      </c>
      <c r="S47" s="5"/>
      <c r="T47" s="5"/>
      <c r="U47" s="5"/>
      <c r="V47" s="5"/>
      <c r="W47" s="5"/>
      <c r="X47" s="5"/>
      <c r="Y47" s="5"/>
      <c r="Z47" s="5"/>
    </row>
    <row r="48" spans="1:26" ht="29.25" hidden="1" customHeight="1">
      <c r="A48" s="377" t="s">
        <v>33</v>
      </c>
      <c r="S48" s="5"/>
      <c r="T48" s="5"/>
      <c r="U48" s="5"/>
      <c r="V48" s="5"/>
      <c r="W48" s="5"/>
      <c r="X48" s="5"/>
      <c r="Y48" s="5"/>
      <c r="Z48" s="5"/>
    </row>
    <row r="49" spans="1:26">
      <c r="S49" s="5"/>
      <c r="T49" s="5"/>
      <c r="U49" s="5"/>
      <c r="V49" s="5"/>
      <c r="W49" s="5"/>
      <c r="X49" s="5"/>
      <c r="Y49" s="5"/>
      <c r="Z49" s="5"/>
    </row>
    <row r="50" spans="1:26">
      <c r="A50" s="378" t="s">
        <v>1207</v>
      </c>
      <c r="S50" s="5"/>
      <c r="T50" s="5"/>
      <c r="U50" s="5"/>
      <c r="V50" s="5"/>
      <c r="W50" s="5"/>
      <c r="X50" s="5"/>
      <c r="Y50" s="5"/>
      <c r="Z50" s="5"/>
    </row>
    <row r="51" spans="1:26" ht="30">
      <c r="A51" s="3" t="s">
        <v>34</v>
      </c>
      <c r="S51" s="5"/>
      <c r="T51" s="5"/>
      <c r="U51" s="5"/>
      <c r="V51" s="5"/>
      <c r="W51" s="5"/>
      <c r="X51" s="5"/>
      <c r="Y51" s="5"/>
      <c r="Z51" s="5"/>
    </row>
    <row r="52" spans="1:26">
      <c r="A52" s="3" t="s">
        <v>35</v>
      </c>
      <c r="S52" s="5"/>
      <c r="T52" s="5"/>
      <c r="U52" s="5"/>
      <c r="V52" s="5"/>
      <c r="W52" s="5"/>
      <c r="X52" s="5"/>
      <c r="Y52" s="5"/>
      <c r="Z52" s="5"/>
    </row>
    <row r="53" spans="1:26" ht="30.75" hidden="1" customHeight="1">
      <c r="A53" s="2" t="s">
        <v>36</v>
      </c>
      <c r="S53" s="5"/>
      <c r="T53" s="5"/>
      <c r="U53" s="5"/>
      <c r="V53" s="5"/>
      <c r="W53" s="5"/>
      <c r="X53" s="5"/>
      <c r="Y53" s="5"/>
      <c r="Z53" s="5"/>
    </row>
    <row r="54" spans="1:26" ht="30" hidden="1">
      <c r="A54" s="2" t="s">
        <v>37</v>
      </c>
      <c r="S54" s="5"/>
      <c r="T54" s="5"/>
      <c r="U54" s="5"/>
      <c r="V54" s="5"/>
      <c r="W54" s="5"/>
      <c r="X54" s="5"/>
      <c r="Y54" s="5"/>
      <c r="Z54" s="5"/>
    </row>
    <row r="55" spans="1:26">
      <c r="A55" s="2" t="s">
        <v>1208</v>
      </c>
      <c r="S55" s="5"/>
      <c r="T55" s="5"/>
      <c r="U55" s="5"/>
      <c r="V55" s="5"/>
      <c r="W55" s="5"/>
      <c r="X55" s="5"/>
      <c r="Y55" s="5"/>
      <c r="Z55" s="5"/>
    </row>
    <row r="56" spans="1:26">
      <c r="S56" s="5"/>
      <c r="T56" s="5"/>
      <c r="U56" s="5"/>
      <c r="V56" s="5"/>
      <c r="W56" s="5"/>
      <c r="X56" s="5"/>
      <c r="Y56" s="5"/>
      <c r="Z56" s="5"/>
    </row>
    <row r="57" spans="1:26">
      <c r="A57" s="378" t="s">
        <v>38</v>
      </c>
      <c r="S57" s="5"/>
      <c r="T57" s="5"/>
      <c r="U57" s="5"/>
      <c r="V57" s="5"/>
      <c r="W57" s="5"/>
      <c r="X57" s="5"/>
      <c r="Y57" s="5"/>
      <c r="Z57" s="5"/>
    </row>
    <row r="58" spans="1:26">
      <c r="A58" s="3" t="s">
        <v>39</v>
      </c>
      <c r="S58" s="5"/>
      <c r="T58" s="5"/>
      <c r="U58" s="5"/>
      <c r="V58" s="5"/>
      <c r="W58" s="5"/>
      <c r="X58" s="5"/>
      <c r="Y58" s="5"/>
      <c r="Z58" s="5"/>
    </row>
    <row r="59" spans="1:26">
      <c r="A59" s="2"/>
      <c r="S59" s="5"/>
      <c r="T59" s="5"/>
      <c r="U59" s="5"/>
      <c r="V59" s="5"/>
      <c r="W59" s="5"/>
      <c r="X59" s="5"/>
      <c r="Y59" s="5"/>
      <c r="Z59" s="5"/>
    </row>
    <row r="60" spans="1:26">
      <c r="A60" s="378" t="s">
        <v>40</v>
      </c>
      <c r="S60" s="5"/>
      <c r="T60" s="5"/>
      <c r="U60" s="5"/>
      <c r="V60" s="5"/>
      <c r="W60" s="5"/>
      <c r="X60" s="5"/>
      <c r="Y60" s="5"/>
      <c r="Z60" s="5"/>
    </row>
    <row r="61" spans="1:26">
      <c r="A61" s="3" t="s">
        <v>41</v>
      </c>
      <c r="S61" s="5"/>
      <c r="T61" s="5"/>
      <c r="U61" s="5"/>
      <c r="V61" s="5"/>
      <c r="W61" s="5"/>
      <c r="X61" s="5"/>
      <c r="Y61" s="5"/>
      <c r="Z61" s="5"/>
    </row>
    <row r="62" spans="1:26" ht="15" customHeight="1">
      <c r="A62" s="3" t="s">
        <v>42</v>
      </c>
      <c r="S62" s="5"/>
      <c r="T62" s="5"/>
      <c r="U62" s="5"/>
      <c r="V62" s="5"/>
      <c r="W62" s="5"/>
      <c r="X62" s="5"/>
      <c r="Y62" s="5"/>
      <c r="Z62" s="5"/>
    </row>
    <row r="63" spans="1:26">
      <c r="S63" s="5"/>
      <c r="T63" s="5"/>
      <c r="U63" s="5"/>
      <c r="V63" s="5"/>
      <c r="W63" s="5"/>
      <c r="X63" s="5"/>
      <c r="Y63" s="5"/>
      <c r="Z63" s="5"/>
    </row>
    <row r="64" spans="1:26">
      <c r="A64" s="378" t="s">
        <v>43</v>
      </c>
    </row>
    <row r="65" spans="1:1">
      <c r="A65" s="3" t="s">
        <v>44</v>
      </c>
    </row>
    <row r="66" spans="1:1">
      <c r="A66" s="3"/>
    </row>
    <row r="67" spans="1:1">
      <c r="A67" s="378" t="s">
        <v>45</v>
      </c>
    </row>
    <row r="68" spans="1:1">
      <c r="A68" s="3" t="s">
        <v>46</v>
      </c>
    </row>
    <row r="69" spans="1:1" ht="30">
      <c r="A69" s="3" t="s">
        <v>1209</v>
      </c>
    </row>
    <row r="70" spans="1:1">
      <c r="A70" s="378" t="s">
        <v>43</v>
      </c>
    </row>
    <row r="72" spans="1:1">
      <c r="A72" s="378" t="s">
        <v>47</v>
      </c>
    </row>
    <row r="73" spans="1:1">
      <c r="A73" s="3" t="s">
        <v>1210</v>
      </c>
    </row>
    <row r="75" spans="1:1">
      <c r="A75" s="378" t="s">
        <v>1212</v>
      </c>
    </row>
    <row r="76" spans="1:1">
      <c r="A76" s="3" t="s">
        <v>48</v>
      </c>
    </row>
    <row r="78" spans="1:1">
      <c r="A78" s="378" t="s">
        <v>49</v>
      </c>
    </row>
    <row r="79" spans="1:1">
      <c r="A79" s="3" t="s">
        <v>50</v>
      </c>
    </row>
    <row r="80" spans="1:1">
      <c r="A80" s="3"/>
    </row>
    <row r="81" spans="1:1">
      <c r="A81" s="378" t="s">
        <v>51</v>
      </c>
    </row>
    <row r="82" spans="1:1">
      <c r="A82" s="3" t="s">
        <v>52</v>
      </c>
    </row>
    <row r="83" spans="1:1">
      <c r="A83" s="3"/>
    </row>
    <row r="84" spans="1:1">
      <c r="A84" s="378" t="s">
        <v>53</v>
      </c>
    </row>
    <row r="85" spans="1:1">
      <c r="A85" s="3" t="s">
        <v>54</v>
      </c>
    </row>
    <row r="86" spans="1:1">
      <c r="A86" s="3"/>
    </row>
    <row r="87" spans="1:1">
      <c r="A87" s="378" t="s">
        <v>55</v>
      </c>
    </row>
    <row r="88" spans="1:1">
      <c r="A88" s="3" t="s">
        <v>56</v>
      </c>
    </row>
    <row r="89" spans="1:1" ht="30">
      <c r="A89" s="3" t="s">
        <v>57</v>
      </c>
    </row>
    <row r="90" spans="1:1">
      <c r="A90" s="825"/>
    </row>
    <row r="91" spans="1:1">
      <c r="A91" s="378" t="s">
        <v>58</v>
      </c>
    </row>
    <row r="94" spans="1:1">
      <c r="A94" s="505" t="s">
        <v>59</v>
      </c>
    </row>
    <row r="95" spans="1:1">
      <c r="A95" s="3" t="s">
        <v>1213</v>
      </c>
    </row>
    <row r="96" spans="1:1">
      <c r="A96" s="3" t="s">
        <v>60</v>
      </c>
    </row>
  </sheetData>
  <hyperlinks>
    <hyperlink ref="A5" location="HypLink1" display="HypLink1" xr:uid="{B4FAA55C-DF6E-4B2A-9D27-F7F9957BFA3F}"/>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9"/>
  <sheetViews>
    <sheetView workbookViewId="0">
      <selection activeCell="C29" sqref="C29"/>
    </sheetView>
  </sheetViews>
  <sheetFormatPr defaultRowHeight="15.75"/>
  <cols>
    <col min="1" max="1" width="1.28515625" style="138" customWidth="1"/>
    <col min="2" max="2" width="3.28515625" customWidth="1"/>
    <col min="3" max="3" width="19" customWidth="1"/>
    <col min="4" max="4" width="21.5703125" customWidth="1"/>
    <col min="5" max="5" width="25.42578125" customWidth="1"/>
    <col min="6" max="6" width="26" customWidth="1"/>
    <col min="7" max="7" width="14.5703125" customWidth="1"/>
  </cols>
  <sheetData>
    <row r="1" spans="1:7">
      <c r="A1" s="21" t="s">
        <v>61</v>
      </c>
      <c r="B1" s="21"/>
      <c r="C1" s="21"/>
      <c r="D1" s="21"/>
      <c r="F1" s="507" t="s">
        <v>2</v>
      </c>
    </row>
    <row r="2" spans="1:7">
      <c r="A2" s="22" t="str">
        <f>SchoolName</f>
        <v>Rooted School Clark County</v>
      </c>
      <c r="B2" s="140"/>
      <c r="C2" s="140"/>
      <c r="D2" s="140"/>
    </row>
    <row r="3" spans="1:7" ht="15">
      <c r="A3" s="19" t="s">
        <v>62</v>
      </c>
    </row>
    <row r="4" spans="1:7" ht="15">
      <c r="A4" s="20" t="s">
        <v>63</v>
      </c>
    </row>
    <row r="5" spans="1:7" ht="15">
      <c r="A5" s="139" t="str">
        <f ca="1">CELL("filename")</f>
        <v>C:\Users\CRaymond\Char. School Bus Mgt Dropbox\Collin Raymond\Growth Team\Growth 2.0\Growth &amp; Data\Client Projects\Rooted LV\[Rooted School-SPCSA-Operating Budget-V10 (1) - Rev9.xlsx]Summary</v>
      </c>
    </row>
    <row r="8" spans="1:7">
      <c r="C8" s="201" t="s">
        <v>64</v>
      </c>
      <c r="D8" s="201"/>
      <c r="E8" s="201"/>
      <c r="F8" s="71"/>
      <c r="G8" s="71"/>
    </row>
    <row r="9" spans="1:7" ht="34.5">
      <c r="B9" s="587">
        <f>ROW()</f>
        <v>9</v>
      </c>
      <c r="C9" s="1675" t="s">
        <v>1337</v>
      </c>
      <c r="D9" s="1675"/>
      <c r="E9" s="1675"/>
      <c r="F9" s="1675"/>
      <c r="G9" s="1675"/>
    </row>
    <row r="10" spans="1:7">
      <c r="B10" s="587">
        <f>ROW()</f>
        <v>10</v>
      </c>
    </row>
    <row r="11" spans="1:7">
      <c r="B11" s="587">
        <f>ROW()</f>
        <v>11</v>
      </c>
      <c r="C11" s="111" t="s">
        <v>65</v>
      </c>
      <c r="E11" s="374">
        <v>2022</v>
      </c>
      <c r="F11" s="1185" t="str">
        <f>"Fiscal Year July 1, 20"&amp;RIGHT(E11,2)</f>
        <v>Fiscal Year July 1, 2022</v>
      </c>
    </row>
    <row r="12" spans="1:7">
      <c r="B12" s="587">
        <f>ROW()</f>
        <v>12</v>
      </c>
      <c r="C12" s="111" t="s">
        <v>66</v>
      </c>
      <c r="E12" s="217">
        <f>+E11+1</f>
        <v>2023</v>
      </c>
      <c r="F12" s="1185" t="str">
        <f>"aka Fiscal Year Ending (FYE) Jun 30, 20"&amp;RIGHT(E12,2)</f>
        <v>aka Fiscal Year Ending (FYE) Jun 30, 2023</v>
      </c>
    </row>
    <row r="13" spans="1:7">
      <c r="B13" s="587">
        <f>ROW()</f>
        <v>13</v>
      </c>
    </row>
    <row r="14" spans="1:7">
      <c r="B14" s="587">
        <f>ROW()</f>
        <v>14</v>
      </c>
      <c r="C14" s="201" t="s">
        <v>67</v>
      </c>
      <c r="D14" s="201"/>
      <c r="E14" s="64" t="s">
        <v>68</v>
      </c>
      <c r="F14" s="1677" t="s">
        <v>69</v>
      </c>
      <c r="G14" s="1677"/>
    </row>
    <row r="15" spans="1:7">
      <c r="B15" s="587">
        <f>ROW()</f>
        <v>15</v>
      </c>
      <c r="C15" s="1678" t="s">
        <v>1352</v>
      </c>
      <c r="D15" s="1678"/>
      <c r="E15" s="375" t="s">
        <v>1353</v>
      </c>
      <c r="F15" s="1679" t="s">
        <v>1354</v>
      </c>
      <c r="G15" s="1680"/>
    </row>
    <row r="16" spans="1:7">
      <c r="B16" s="587"/>
      <c r="C16" s="1600" t="s">
        <v>1380</v>
      </c>
      <c r="D16" s="1600"/>
      <c r="E16" s="375" t="s">
        <v>1385</v>
      </c>
      <c r="F16" s="1601" t="s">
        <v>1381</v>
      </c>
      <c r="G16" s="1602"/>
    </row>
    <row r="17" spans="2:7">
      <c r="B17" s="587">
        <f>ROW()</f>
        <v>17</v>
      </c>
      <c r="C17" s="1681" t="s">
        <v>1382</v>
      </c>
      <c r="D17" s="1681"/>
      <c r="E17" s="375" t="s">
        <v>1384</v>
      </c>
      <c r="F17" s="1682" t="s">
        <v>1383</v>
      </c>
      <c r="G17" s="1683"/>
    </row>
    <row r="18" spans="2:7" ht="30.75" customHeight="1">
      <c r="B18" s="587">
        <f>ROW()</f>
        <v>18</v>
      </c>
      <c r="C18" s="1676" t="s">
        <v>70</v>
      </c>
      <c r="D18" s="1676"/>
      <c r="E18" s="1676"/>
      <c r="F18" s="1676"/>
      <c r="G18" s="1676"/>
    </row>
    <row r="19" spans="2:7" ht="18" customHeight="1">
      <c r="B19" s="587">
        <f>ROW()</f>
        <v>19</v>
      </c>
      <c r="C19" s="1684" t="s">
        <v>1355</v>
      </c>
      <c r="D19" s="1684"/>
      <c r="E19" s="1684"/>
      <c r="F19" s="1684"/>
      <c r="G19" s="1684"/>
    </row>
    <row r="20" spans="2:7" ht="18" customHeight="1">
      <c r="B20" s="587">
        <f>ROW()</f>
        <v>20</v>
      </c>
      <c r="C20" s="1674"/>
      <c r="D20" s="1674"/>
      <c r="E20" s="1674"/>
      <c r="F20" s="1674"/>
      <c r="G20" s="1674"/>
    </row>
    <row r="21" spans="2:7">
      <c r="B21" s="587">
        <f>ROW()</f>
        <v>21</v>
      </c>
      <c r="C21" s="88" t="s">
        <v>72</v>
      </c>
    </row>
    <row r="22" spans="2:7">
      <c r="B22" s="587">
        <f>ROW()</f>
        <v>22</v>
      </c>
      <c r="C22" s="88"/>
    </row>
    <row r="23" spans="2:7">
      <c r="B23" s="587">
        <f>ROW()</f>
        <v>23</v>
      </c>
      <c r="C23" s="35" t="s">
        <v>73</v>
      </c>
    </row>
    <row r="24" spans="2:7">
      <c r="B24" s="587">
        <f>ROW()</f>
        <v>24</v>
      </c>
      <c r="C24" s="325" t="s">
        <v>1386</v>
      </c>
      <c r="D24" s="111" t="s">
        <v>74</v>
      </c>
    </row>
    <row r="25" spans="2:7">
      <c r="B25" s="587">
        <f>ROW()</f>
        <v>25</v>
      </c>
      <c r="C25" s="47"/>
      <c r="D25" s="37" t="s">
        <v>75</v>
      </c>
    </row>
    <row r="26" spans="2:7">
      <c r="B26" s="587">
        <f>ROW()</f>
        <v>26</v>
      </c>
      <c r="C26" s="325" t="s">
        <v>1386</v>
      </c>
      <c r="D26" s="37" t="s">
        <v>76</v>
      </c>
    </row>
    <row r="27" spans="2:7">
      <c r="B27" s="587">
        <f>ROW()</f>
        <v>27</v>
      </c>
      <c r="C27" s="47"/>
    </row>
    <row r="28" spans="2:7">
      <c r="B28" s="587">
        <f>ROW()</f>
        <v>28</v>
      </c>
      <c r="C28" s="325" t="s">
        <v>1386</v>
      </c>
      <c r="D28" s="37" t="s">
        <v>77</v>
      </c>
    </row>
    <row r="29" spans="2:7">
      <c r="B29" s="587">
        <f>ROW()</f>
        <v>29</v>
      </c>
    </row>
  </sheetData>
  <mergeCells count="9">
    <mergeCell ref="C20:G20"/>
    <mergeCell ref="C9:G9"/>
    <mergeCell ref="C18:G18"/>
    <mergeCell ref="F14:G14"/>
    <mergeCell ref="C15:D15"/>
    <mergeCell ref="F15:G15"/>
    <mergeCell ref="C17:D17"/>
    <mergeCell ref="F17:G17"/>
    <mergeCell ref="C19:G19"/>
  </mergeCells>
  <conditionalFormatting sqref="C11:C12">
    <cfRule type="cellIs" dxfId="80" priority="1" stopIfTrue="1" operator="equal">
      <formula>0</formula>
    </cfRule>
  </conditionalFormatting>
  <conditionalFormatting sqref="D24">
    <cfRule type="cellIs" dxfId="79" priority="9" stopIfTrue="1" operator="equal">
      <formula>0</formula>
    </cfRule>
  </conditionalFormatting>
  <conditionalFormatting sqref="F1">
    <cfRule type="expression" dxfId="78" priority="3" stopIfTrue="1">
      <formula>MOD(ROW(),2)=0</formula>
    </cfRule>
  </conditionalFormatting>
  <hyperlinks>
    <hyperlink ref="F1" location="HypLink1" display="HypLink1" xr:uid="{A1A8BAD8-FB75-4113-A7FE-EC7887A9CE4A}"/>
    <hyperlink ref="F15" r:id="rId1" xr:uid="{C40CB4E2-B49F-4D34-B0F7-D3E4A9FF7BBB}"/>
    <hyperlink ref="F16" r:id="rId2" xr:uid="{11127C39-5BC4-42AB-9F22-50C7C8511C6A}"/>
    <hyperlink ref="F17" r:id="rId3" xr:uid="{DA28DDC4-D55B-4D12-8A0E-56843741181D}"/>
  </hyperlinks>
  <printOptions horizontalCentered="1"/>
  <pageMargins left="0.25" right="0.25" top="0.5" bottom="0.45" header="0.25" footer="0.25"/>
  <pageSetup scale="98" orientation="landscape" r:id="rId4"/>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4"/>
  <sheetViews>
    <sheetView topLeftCell="A4" workbookViewId="0">
      <selection activeCell="C24" sqref="C24"/>
    </sheetView>
  </sheetViews>
  <sheetFormatPr defaultRowHeight="15.75"/>
  <cols>
    <col min="1" max="1" width="6.28515625" style="138" customWidth="1"/>
    <col min="2" max="2" width="15" style="138" customWidth="1"/>
    <col min="3" max="4" width="12.85546875" style="138" customWidth="1"/>
    <col min="10" max="10" width="14.7109375" customWidth="1"/>
    <col min="11" max="11" width="2.28515625" customWidth="1"/>
    <col min="12" max="12" width="4.85546875" customWidth="1"/>
    <col min="13" max="13" width="47.7109375" customWidth="1"/>
  </cols>
  <sheetData>
    <row r="1" spans="1:19">
      <c r="A1" s="21" t="s">
        <v>78</v>
      </c>
      <c r="B1" s="21"/>
      <c r="C1" s="21"/>
      <c r="D1" s="21"/>
      <c r="E1" s="21"/>
      <c r="F1" s="21"/>
    </row>
    <row r="2" spans="1:19">
      <c r="A2" s="22" t="str">
        <f>SchoolName</f>
        <v>Rooted School Clark County</v>
      </c>
      <c r="B2" s="22"/>
      <c r="C2" s="22"/>
      <c r="D2" s="22"/>
      <c r="E2" s="140"/>
      <c r="F2" s="140"/>
    </row>
    <row r="3" spans="1:19" ht="15">
      <c r="A3" s="455" t="s">
        <v>1</v>
      </c>
      <c r="B3" s="455"/>
      <c r="C3" s="455"/>
      <c r="D3" s="455"/>
    </row>
    <row r="4" spans="1:19" ht="15">
      <c r="A4" s="456" t="str">
        <f ca="1">CELL("filename")</f>
        <v>C:\Users\CRaymond\Char. School Bus Mgt Dropbox\Collin Raymond\Growth Team\Growth 2.0\Growth &amp; Data\Client Projects\Rooted LV\[Rooted School-SPCSA-Operating Budget-V10 (1) - Rev9.xlsx]Summary</v>
      </c>
      <c r="B4" s="456"/>
      <c r="C4" s="456"/>
      <c r="D4" s="456"/>
    </row>
    <row r="6" spans="1:19">
      <c r="C6" s="844" t="s">
        <v>79</v>
      </c>
      <c r="D6" s="844" t="s">
        <v>79</v>
      </c>
      <c r="E6" s="37"/>
      <c r="F6" s="37"/>
    </row>
    <row r="7" spans="1:19">
      <c r="B7" s="503"/>
      <c r="C7" s="845" t="s">
        <v>80</v>
      </c>
      <c r="D7" s="845" t="s">
        <v>81</v>
      </c>
      <c r="E7" s="846" t="s">
        <v>82</v>
      </c>
      <c r="F7" s="71"/>
      <c r="G7" s="504"/>
      <c r="H7" s="504"/>
      <c r="I7" s="504"/>
      <c r="J7" s="504"/>
      <c r="M7" s="201" t="s">
        <v>83</v>
      </c>
    </row>
    <row r="8" spans="1:19" ht="18.600000000000001" customHeight="1">
      <c r="F8" s="501"/>
      <c r="G8" s="501"/>
      <c r="H8" s="501"/>
      <c r="I8" s="502"/>
      <c r="J8" s="502"/>
      <c r="M8" s="843"/>
      <c r="S8" s="555"/>
    </row>
    <row r="9" spans="1:19" ht="18.600000000000001" customHeight="1">
      <c r="A9" s="567">
        <f>ROW()</f>
        <v>9</v>
      </c>
      <c r="B9" s="452" t="s">
        <v>0</v>
      </c>
      <c r="C9" s="488" t="s">
        <v>84</v>
      </c>
      <c r="D9" s="488" t="s">
        <v>84</v>
      </c>
      <c r="E9" s="453" t="s">
        <v>0</v>
      </c>
      <c r="F9" s="80"/>
      <c r="G9" s="80"/>
      <c r="H9" s="80"/>
      <c r="I9" s="454"/>
      <c r="J9" s="454"/>
      <c r="M9" s="843"/>
      <c r="S9" s="555"/>
    </row>
    <row r="10" spans="1:19" ht="18.600000000000001" customHeight="1">
      <c r="A10" s="567">
        <f>ROW()</f>
        <v>10</v>
      </c>
      <c r="B10" s="452" t="s">
        <v>85</v>
      </c>
      <c r="C10" s="814" t="s">
        <v>1139</v>
      </c>
      <c r="D10" s="814"/>
      <c r="E10" s="453" t="s">
        <v>86</v>
      </c>
      <c r="F10" s="80"/>
      <c r="G10" s="80"/>
      <c r="H10" s="80"/>
      <c r="I10" s="454"/>
      <c r="J10" s="454"/>
      <c r="L10" s="1139"/>
      <c r="M10" s="843" t="s">
        <v>87</v>
      </c>
      <c r="S10" s="555"/>
    </row>
    <row r="11" spans="1:19" ht="18.600000000000001" customHeight="1">
      <c r="A11" s="567">
        <f>ROW()</f>
        <v>11</v>
      </c>
      <c r="B11" s="499" t="s">
        <v>2</v>
      </c>
      <c r="C11" s="500" t="s">
        <v>84</v>
      </c>
      <c r="D11" s="500" t="s">
        <v>84</v>
      </c>
      <c r="E11" s="479"/>
      <c r="G11" s="80"/>
      <c r="H11" s="80"/>
      <c r="I11" s="454"/>
      <c r="J11" s="454"/>
      <c r="M11" s="843"/>
      <c r="S11" s="555"/>
    </row>
    <row r="12" spans="1:19" ht="18.600000000000001" customHeight="1">
      <c r="A12" s="567">
        <f>ROW()</f>
        <v>12</v>
      </c>
      <c r="B12" s="452" t="s">
        <v>88</v>
      </c>
      <c r="C12" s="488" t="s">
        <v>84</v>
      </c>
      <c r="D12" s="488" t="s">
        <v>84</v>
      </c>
      <c r="E12" s="453" t="s">
        <v>89</v>
      </c>
      <c r="F12" s="80"/>
      <c r="G12" s="80"/>
      <c r="H12" s="80"/>
      <c r="I12" s="454"/>
      <c r="J12" s="454"/>
      <c r="M12" s="843"/>
      <c r="S12" s="555"/>
    </row>
    <row r="13" spans="1:19" ht="18.600000000000001" customHeight="1">
      <c r="A13" s="567">
        <f>ROW()</f>
        <v>13</v>
      </c>
      <c r="B13" s="452" t="s">
        <v>90</v>
      </c>
      <c r="C13" s="814" t="s">
        <v>1139</v>
      </c>
      <c r="D13" s="814"/>
      <c r="E13" s="453" t="s">
        <v>91</v>
      </c>
      <c r="F13" s="80"/>
      <c r="G13" s="80"/>
      <c r="H13" s="80"/>
      <c r="I13" s="454"/>
      <c r="J13" s="454"/>
      <c r="M13" s="843"/>
      <c r="S13" s="555"/>
    </row>
    <row r="14" spans="1:19" ht="18.600000000000001" customHeight="1">
      <c r="A14" s="567">
        <f>ROW()</f>
        <v>14</v>
      </c>
      <c r="B14" s="452" t="s">
        <v>92</v>
      </c>
      <c r="C14" s="814" t="s">
        <v>1139</v>
      </c>
      <c r="D14" s="814"/>
      <c r="E14" s="453" t="s">
        <v>93</v>
      </c>
      <c r="F14" s="80"/>
      <c r="G14" s="80"/>
      <c r="H14" s="80"/>
      <c r="I14" s="454"/>
      <c r="J14" s="454"/>
      <c r="M14" s="843"/>
      <c r="S14" s="555"/>
    </row>
    <row r="15" spans="1:19" ht="18.600000000000001" customHeight="1">
      <c r="A15" s="567">
        <f>ROW()</f>
        <v>15</v>
      </c>
      <c r="B15" s="452" t="s">
        <v>94</v>
      </c>
      <c r="C15" s="814" t="s">
        <v>1139</v>
      </c>
      <c r="D15" s="814"/>
      <c r="E15" s="453" t="s">
        <v>95</v>
      </c>
      <c r="F15" s="80"/>
      <c r="G15" s="80"/>
      <c r="H15" s="80"/>
      <c r="I15" s="454"/>
      <c r="J15" s="454"/>
      <c r="M15" s="843"/>
      <c r="S15" s="555"/>
    </row>
    <row r="16" spans="1:19" ht="18.600000000000001" customHeight="1">
      <c r="A16" s="567">
        <f>ROW()</f>
        <v>16</v>
      </c>
      <c r="B16" s="452" t="s">
        <v>96</v>
      </c>
      <c r="C16" s="814" t="s">
        <v>1139</v>
      </c>
      <c r="D16" s="814"/>
      <c r="E16" s="453" t="s">
        <v>97</v>
      </c>
      <c r="F16" s="80"/>
      <c r="G16" s="80"/>
      <c r="H16" s="80"/>
      <c r="I16" s="454"/>
      <c r="J16" s="454"/>
      <c r="M16" s="843"/>
      <c r="S16" s="555"/>
    </row>
    <row r="17" spans="1:19" ht="18.600000000000001" customHeight="1">
      <c r="A17" s="567">
        <f>ROW()</f>
        <v>17</v>
      </c>
      <c r="B17" s="452" t="s">
        <v>98</v>
      </c>
      <c r="C17" s="814" t="s">
        <v>1139</v>
      </c>
      <c r="D17" s="814"/>
      <c r="E17" s="453" t="s">
        <v>99</v>
      </c>
      <c r="F17" s="80"/>
      <c r="G17" s="80"/>
      <c r="H17" s="80"/>
      <c r="I17" s="454"/>
      <c r="J17" s="454"/>
      <c r="M17" s="843"/>
      <c r="S17" s="555"/>
    </row>
    <row r="18" spans="1:19" ht="18.600000000000001" customHeight="1">
      <c r="A18" s="567">
        <f>ROW()</f>
        <v>18</v>
      </c>
      <c r="B18" s="452" t="s">
        <v>100</v>
      </c>
      <c r="C18" s="814" t="s">
        <v>1139</v>
      </c>
      <c r="D18" s="814"/>
      <c r="E18" s="453" t="s">
        <v>101</v>
      </c>
      <c r="F18" s="80"/>
      <c r="G18" s="80"/>
      <c r="H18" s="80"/>
      <c r="I18" s="454"/>
      <c r="J18" s="454"/>
      <c r="M18" s="843"/>
      <c r="S18" s="555"/>
    </row>
    <row r="19" spans="1:19" ht="18.600000000000001" customHeight="1">
      <c r="A19" s="567">
        <f>ROW()</f>
        <v>19</v>
      </c>
      <c r="B19" s="452" t="s">
        <v>102</v>
      </c>
      <c r="C19" s="814" t="s">
        <v>1139</v>
      </c>
      <c r="D19" s="814"/>
      <c r="E19" s="453" t="s">
        <v>103</v>
      </c>
      <c r="F19" s="80"/>
      <c r="G19" s="80"/>
      <c r="H19" s="80"/>
      <c r="I19" s="454"/>
      <c r="J19" s="454"/>
      <c r="M19" s="843"/>
      <c r="S19" s="555"/>
    </row>
    <row r="20" spans="1:19" ht="18.600000000000001" customHeight="1">
      <c r="A20" s="567">
        <f>ROW()</f>
        <v>20</v>
      </c>
      <c r="B20" s="452" t="s">
        <v>104</v>
      </c>
      <c r="C20" s="814" t="s">
        <v>1139</v>
      </c>
      <c r="D20" s="814"/>
      <c r="E20" s="453" t="s">
        <v>105</v>
      </c>
      <c r="F20" s="80"/>
      <c r="G20" s="80"/>
      <c r="H20" s="80"/>
      <c r="I20" s="454"/>
      <c r="J20" s="454"/>
      <c r="M20" s="843"/>
      <c r="S20" s="555"/>
    </row>
    <row r="21" spans="1:19" ht="18.600000000000001" customHeight="1">
      <c r="A21" s="567">
        <f>ROW()</f>
        <v>21</v>
      </c>
      <c r="B21" s="452" t="s">
        <v>106</v>
      </c>
      <c r="C21" s="814" t="s">
        <v>1139</v>
      </c>
      <c r="D21" s="814"/>
      <c r="E21" s="453" t="s">
        <v>107</v>
      </c>
      <c r="F21" s="80"/>
      <c r="G21" s="80"/>
      <c r="H21" s="80"/>
      <c r="I21" s="454"/>
      <c r="J21" s="454"/>
      <c r="M21" s="843"/>
      <c r="S21" s="555"/>
    </row>
    <row r="22" spans="1:19" ht="18.600000000000001" customHeight="1">
      <c r="A22" s="567">
        <f>ROW()</f>
        <v>22</v>
      </c>
      <c r="B22" s="452" t="s">
        <v>108</v>
      </c>
      <c r="C22" s="814" t="s">
        <v>1139</v>
      </c>
      <c r="D22" s="814"/>
      <c r="E22" s="453" t="s">
        <v>109</v>
      </c>
      <c r="F22" s="80"/>
      <c r="G22" s="80"/>
      <c r="H22" s="80"/>
      <c r="I22" s="454"/>
      <c r="J22" s="454"/>
      <c r="M22" s="843"/>
      <c r="S22" s="555"/>
    </row>
    <row r="23" spans="1:19" ht="18.600000000000001" customHeight="1">
      <c r="A23" s="567">
        <f>ROW()</f>
        <v>23</v>
      </c>
      <c r="B23" s="452" t="s">
        <v>110</v>
      </c>
      <c r="C23" s="814" t="s">
        <v>1139</v>
      </c>
      <c r="D23" s="814"/>
      <c r="E23" s="453" t="s">
        <v>111</v>
      </c>
      <c r="F23" s="80"/>
      <c r="G23" s="80"/>
      <c r="H23" s="80"/>
      <c r="I23" s="454"/>
      <c r="J23" s="454"/>
      <c r="M23" s="843"/>
      <c r="S23" s="555"/>
    </row>
    <row r="24" spans="1:19" ht="18.600000000000001" customHeight="1">
      <c r="A24" s="567">
        <f>ROW()</f>
        <v>24</v>
      </c>
      <c r="B24" s="452" t="s">
        <v>112</v>
      </c>
      <c r="C24" s="488" t="s">
        <v>84</v>
      </c>
      <c r="D24" s="488" t="s">
        <v>84</v>
      </c>
      <c r="E24" s="453" t="s">
        <v>113</v>
      </c>
      <c r="F24" s="80"/>
      <c r="G24" s="80"/>
      <c r="H24" s="80"/>
      <c r="I24" s="454"/>
      <c r="J24" s="454"/>
      <c r="M24" s="843"/>
      <c r="S24" s="555"/>
    </row>
    <row r="25" spans="1:19" ht="18.600000000000001" customHeight="1">
      <c r="A25" s="567">
        <f>ROW()</f>
        <v>25</v>
      </c>
      <c r="B25" s="452" t="s">
        <v>1190</v>
      </c>
      <c r="C25" s="488" t="s">
        <v>84</v>
      </c>
      <c r="D25" s="488" t="s">
        <v>84</v>
      </c>
      <c r="E25" s="453" t="s">
        <v>114</v>
      </c>
      <c r="F25" s="80"/>
      <c r="G25" s="80"/>
      <c r="H25" s="80"/>
      <c r="I25" s="454"/>
      <c r="J25" s="454"/>
      <c r="M25" s="843"/>
      <c r="S25" s="555"/>
    </row>
    <row r="26" spans="1:19" ht="18.600000000000001" customHeight="1">
      <c r="A26" s="567">
        <f>ROW()</f>
        <v>26</v>
      </c>
      <c r="B26" s="452" t="s">
        <v>115</v>
      </c>
      <c r="C26" s="488" t="s">
        <v>84</v>
      </c>
      <c r="D26" s="488" t="s">
        <v>84</v>
      </c>
      <c r="E26" s="453" t="s">
        <v>116</v>
      </c>
      <c r="F26" s="80"/>
      <c r="G26" s="80"/>
      <c r="H26" s="80"/>
      <c r="I26" s="454"/>
      <c r="J26" s="454"/>
      <c r="M26" s="843"/>
      <c r="S26" s="555"/>
    </row>
    <row r="27" spans="1:19" ht="18.600000000000001" customHeight="1">
      <c r="B27" s="449"/>
      <c r="C27" s="449"/>
      <c r="D27" s="449"/>
      <c r="E27" s="451"/>
      <c r="F27" s="37"/>
      <c r="G27" s="37"/>
      <c r="H27" s="37"/>
      <c r="M27" s="843"/>
      <c r="S27" s="555"/>
    </row>
    <row r="28" spans="1:19" ht="18.600000000000001" customHeight="1">
      <c r="B28" s="449"/>
      <c r="C28" s="449"/>
      <c r="D28" s="449"/>
      <c r="S28" s="555"/>
    </row>
    <row r="29" spans="1:19" ht="18.600000000000001" customHeight="1">
      <c r="A29" s="449"/>
      <c r="B29" s="449"/>
      <c r="C29" s="449"/>
      <c r="D29" s="449"/>
      <c r="S29" s="555"/>
    </row>
    <row r="30" spans="1:19" ht="18.600000000000001" customHeight="1">
      <c r="A30" s="450"/>
      <c r="B30" s="450"/>
      <c r="C30" s="450"/>
      <c r="D30" s="450"/>
      <c r="S30" s="555"/>
    </row>
    <row r="31" spans="1:19">
      <c r="S31" s="555"/>
    </row>
    <row r="32" spans="1:19">
      <c r="S32" s="555"/>
    </row>
    <row r="33" spans="19:19">
      <c r="S33" s="555"/>
    </row>
    <row r="34" spans="19:19">
      <c r="S34" s="555"/>
    </row>
  </sheetData>
  <conditionalFormatting sqref="C9:D9 C11:D12 C24:D26">
    <cfRule type="cellIs" dxfId="77" priority="20" stopIfTrue="1" operator="equal">
      <formula>0</formula>
    </cfRule>
  </conditionalFormatting>
  <conditionalFormatting sqref="L10">
    <cfRule type="cellIs" dxfId="76" priority="21" stopIfTrue="1" operator="equal">
      <formula>0</formula>
    </cfRule>
  </conditionalFormatting>
  <hyperlinks>
    <hyperlink ref="B11" location="HypLink1" display="HypLink1" xr:uid="{5E7C9C41-4A53-424D-BB86-2058ED36AB8F}"/>
    <hyperlink ref="B9" location="HypLink3" display="HypLink3" xr:uid="{7DA417A3-2B65-4411-933F-23B18DD644CE}"/>
    <hyperlink ref="B10" location="HypLink4" display="HypLink4" xr:uid="{3D8ECB88-6E5F-41B6-84AD-7535891749AC}"/>
    <hyperlink ref="B12" location="HypLink5" display="HypLink5" xr:uid="{46A75A75-CD80-43CC-9595-16C30FFB5555}"/>
    <hyperlink ref="B13" location="HypLink6" display="HypLink6" xr:uid="{0149EDC7-2757-4E18-ADD8-0E7F3E8AE991}"/>
    <hyperlink ref="B14" location="HypLink7" display="HypLink7" xr:uid="{CE952684-5EC7-4DCF-A009-8D381FFCD6EB}"/>
    <hyperlink ref="B15" location="HypLink8" display="HypLink8" xr:uid="{579CA226-3F29-4A3E-87D0-3E4DFCDBB12C}"/>
    <hyperlink ref="B16" location="HypLink9" display="HypLink9" xr:uid="{AC7797B1-4FE4-4CAA-82B9-8159F7F26C2A}"/>
    <hyperlink ref="B17" location="HypLink10" display="HypLink10" xr:uid="{FAFBFD96-D3F7-4BF8-9353-1DA3983DEF88}"/>
    <hyperlink ref="B18" location="HypLink11" display="HypLink11" xr:uid="{F27F000C-1AF2-4E4B-9FF1-D6CF8510F7D5}"/>
    <hyperlink ref="B19" location="HypLink12" display="HypLink12" xr:uid="{ACB8067F-2B47-44F9-AD5F-338F2EF5477E}"/>
    <hyperlink ref="B20" location="HypLink13" display="HypLink13" xr:uid="{A46EA1C7-6546-4FE9-87E6-A8680B4BB421}"/>
    <hyperlink ref="B21" location="HypLink14" display="HypLink14" xr:uid="{2249B961-C4E3-4162-BB9A-F840F4BDD1FE}"/>
    <hyperlink ref="B22" location="HypLink15" display="HypLink15" xr:uid="{54595DDD-5E24-4363-979B-BD69773F72F2}"/>
    <hyperlink ref="B23" location="HypLink16" display="HypLink16" xr:uid="{457C697B-D552-4AED-9E5F-F44EB1554119}"/>
    <hyperlink ref="B24" location="HypLink17" display="HypLink17" xr:uid="{AE3E2F0E-1257-4ECF-AE05-B9FA294D4BA2}"/>
    <hyperlink ref="B25" location="HypLink18" display="HypLink18" xr:uid="{56EE76B3-8F04-4ECF-8CF9-0012C23BD820}"/>
    <hyperlink ref="B26" location="HypLink22" display="HypLink22" xr:uid="{DD6C2ED1-C3BF-4482-A986-723E257964DB}"/>
  </hyperlinks>
  <pageMargins left="0.25" right="0.25" top="0.5" bottom="0.44999999999999996" header="0.25" footer="0.25"/>
  <pageSetup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179"/>
  <sheetViews>
    <sheetView tabSelected="1" zoomScaleNormal="100" workbookViewId="0">
      <pane ySplit="8" topLeftCell="A9" activePane="bottomLeft" state="frozen"/>
      <selection pane="bottomLeft" activeCell="G51" sqref="G51"/>
    </sheetView>
  </sheetViews>
  <sheetFormatPr defaultColWidth="7.7109375" defaultRowHeight="15"/>
  <cols>
    <col min="1" max="1" width="4.7109375" style="37" customWidth="1"/>
    <col min="2" max="2" width="32.7109375" style="37" customWidth="1"/>
    <col min="3" max="3" width="16.85546875" style="37" bestFit="1" customWidth="1"/>
    <col min="4" max="4" width="14.5703125" style="37" bestFit="1" customWidth="1"/>
    <col min="5" max="5" width="10.5703125" style="37" bestFit="1" customWidth="1"/>
    <col min="6" max="6" width="12.7109375" style="37" bestFit="1" customWidth="1"/>
    <col min="7" max="8" width="13.42578125" style="37" bestFit="1" customWidth="1"/>
    <col min="9" max="12" width="14.5703125" style="37" bestFit="1" customWidth="1"/>
    <col min="13" max="13" width="2.5703125" style="37" customWidth="1"/>
    <col min="14" max="14" width="5.42578125" style="37" customWidth="1"/>
    <col min="15" max="15" width="55.5703125" style="37" customWidth="1"/>
    <col min="16" max="18" width="9.28515625" style="37" customWidth="1"/>
    <col min="19" max="19" width="10.5703125" style="37" bestFit="1" customWidth="1"/>
    <col min="20" max="20" width="11.85546875" style="37" bestFit="1" customWidth="1"/>
    <col min="21" max="16384" width="7.7109375" style="37"/>
  </cols>
  <sheetData>
    <row r="1" spans="1:19" ht="18.75">
      <c r="A1" s="131" t="s">
        <v>117</v>
      </c>
      <c r="B1" s="539"/>
      <c r="C1" s="450"/>
      <c r="D1" s="450"/>
      <c r="E1" s="507" t="s">
        <v>2</v>
      </c>
      <c r="G1" s="37" t="s">
        <v>1398</v>
      </c>
      <c r="K1" s="41"/>
      <c r="L1" s="507"/>
      <c r="P1" s="37" t="s">
        <v>118</v>
      </c>
      <c r="Q1" s="37" t="s">
        <v>118</v>
      </c>
      <c r="S1" s="103"/>
    </row>
    <row r="2" spans="1:19" ht="15.75">
      <c r="A2" s="133" t="str">
        <f>SchoolName</f>
        <v>Rooted School Clark County</v>
      </c>
      <c r="B2" s="43"/>
      <c r="C2" s="35"/>
      <c r="D2" s="35"/>
      <c r="G2" s="35"/>
      <c r="H2" s="37" t="s">
        <v>1400</v>
      </c>
      <c r="P2" s="37" t="s">
        <v>118</v>
      </c>
      <c r="Q2" s="37" t="s">
        <v>118</v>
      </c>
    </row>
    <row r="3" spans="1:19">
      <c r="A3" s="44" t="s">
        <v>1</v>
      </c>
      <c r="P3" s="37" t="s">
        <v>118</v>
      </c>
      <c r="Q3" s="37" t="s">
        <v>118</v>
      </c>
    </row>
    <row r="4" spans="1:19">
      <c r="A4" s="34" t="str">
        <f ca="1">CELL("filename")</f>
        <v>C:\Users\CRaymond\Char. School Bus Mgt Dropbox\Collin Raymond\Growth Team\Growth 2.0\Growth &amp; Data\Client Projects\Rooted LV\[Rooted School-SPCSA-Operating Budget-V10 (1) - Rev9.xlsx]Summary</v>
      </c>
      <c r="P4" s="37" t="s">
        <v>118</v>
      </c>
      <c r="Q4" s="37" t="s">
        <v>118</v>
      </c>
    </row>
    <row r="5" spans="1:19">
      <c r="F5" s="611" t="s">
        <v>1404</v>
      </c>
      <c r="G5" s="37" t="s">
        <v>1401</v>
      </c>
      <c r="J5" s="37" t="s">
        <v>1402</v>
      </c>
      <c r="K5" s="37" t="s">
        <v>1403</v>
      </c>
      <c r="P5" s="37" t="s">
        <v>118</v>
      </c>
      <c r="Q5" s="37" t="s">
        <v>118</v>
      </c>
    </row>
    <row r="6" spans="1:19">
      <c r="B6" s="35"/>
      <c r="C6" s="36"/>
      <c r="D6" s="36"/>
      <c r="E6" s="36"/>
      <c r="F6" s="876" t="str">
        <f>' Enrol &amp; Rev'!G9</f>
        <v>SY 0/Incu</v>
      </c>
      <c r="G6" s="877">
        <f>' Enrol &amp; Rev'!H9</f>
        <v>1</v>
      </c>
      <c r="H6" s="877">
        <f>' Enrol &amp; Rev'!I9</f>
        <v>2</v>
      </c>
      <c r="I6" s="877">
        <f>' Enrol &amp; Rev'!J9</f>
        <v>3</v>
      </c>
      <c r="J6" s="877">
        <f>' Enrol &amp; Rev'!K9</f>
        <v>4</v>
      </c>
      <c r="K6" s="877">
        <f>' Enrol &amp; Rev'!L9</f>
        <v>5</v>
      </c>
      <c r="L6" s="1514">
        <f>' Enrol &amp; Rev'!M9</f>
        <v>6</v>
      </c>
      <c r="P6" s="37" t="s">
        <v>118</v>
      </c>
      <c r="Q6" s="37" t="s">
        <v>118</v>
      </c>
    </row>
    <row r="7" spans="1:19">
      <c r="B7" s="35"/>
      <c r="C7" s="36" t="s">
        <v>119</v>
      </c>
      <c r="D7" s="36"/>
      <c r="E7" s="36"/>
      <c r="F7" s="878">
        <f>' Enrol &amp; Rev'!G10</f>
        <v>2024</v>
      </c>
      <c r="G7" s="879">
        <f>' Enrol &amp; Rev'!H10</f>
        <v>2025</v>
      </c>
      <c r="H7" s="879">
        <f>' Enrol &amp; Rev'!I10</f>
        <v>2026</v>
      </c>
      <c r="I7" s="879">
        <f>' Enrol &amp; Rev'!J10</f>
        <v>2027</v>
      </c>
      <c r="J7" s="879">
        <f>' Enrol &amp; Rev'!K10</f>
        <v>2028</v>
      </c>
      <c r="K7" s="879">
        <f>' Enrol &amp; Rev'!L10</f>
        <v>2029</v>
      </c>
      <c r="L7" s="880">
        <f>' Enrol &amp; Rev'!M10</f>
        <v>2030</v>
      </c>
      <c r="P7" s="37" t="s">
        <v>118</v>
      </c>
      <c r="Q7" s="37" t="s">
        <v>118</v>
      </c>
    </row>
    <row r="8" spans="1:19">
      <c r="B8" s="201"/>
      <c r="C8" s="64"/>
      <c r="D8" s="64"/>
      <c r="E8" s="767"/>
      <c r="F8" s="881">
        <f>' Enrol &amp; Rev'!G11</f>
        <v>2025</v>
      </c>
      <c r="G8" s="882">
        <f>' Enrol &amp; Rev'!H11</f>
        <v>2026</v>
      </c>
      <c r="H8" s="882">
        <f>' Enrol &amp; Rev'!I11</f>
        <v>2027</v>
      </c>
      <c r="I8" s="882">
        <f>' Enrol &amp; Rev'!J11</f>
        <v>2028</v>
      </c>
      <c r="J8" s="882">
        <f>' Enrol &amp; Rev'!K11</f>
        <v>2029</v>
      </c>
      <c r="K8" s="882">
        <f>' Enrol &amp; Rev'!L11</f>
        <v>2030</v>
      </c>
      <c r="L8" s="883">
        <f>' Enrol &amp; Rev'!M11</f>
        <v>2031</v>
      </c>
      <c r="O8" s="201" t="s">
        <v>83</v>
      </c>
      <c r="P8" s="37" t="s">
        <v>118</v>
      </c>
      <c r="Q8" s="37" t="s">
        <v>118</v>
      </c>
    </row>
    <row r="9" spans="1:19">
      <c r="A9" s="424">
        <f>ROW()</f>
        <v>9</v>
      </c>
      <c r="B9" s="509" t="s">
        <v>120</v>
      </c>
      <c r="C9" s="870">
        <f t="shared" ref="C9:C10" si="0">MAX(F9:L9)</f>
        <v>360</v>
      </c>
      <c r="D9" s="804"/>
      <c r="E9" s="36"/>
      <c r="F9" s="159">
        <f>+F66</f>
        <v>0</v>
      </c>
      <c r="G9" s="159">
        <f t="shared" ref="G9:L9" si="1">+G66</f>
        <v>150</v>
      </c>
      <c r="H9" s="159">
        <f t="shared" si="1"/>
        <v>270</v>
      </c>
      <c r="I9" s="159">
        <f t="shared" si="1"/>
        <v>315</v>
      </c>
      <c r="J9" s="159">
        <f t="shared" si="1"/>
        <v>360</v>
      </c>
      <c r="K9" s="159">
        <f t="shared" si="1"/>
        <v>360</v>
      </c>
      <c r="L9" s="159">
        <f t="shared" si="1"/>
        <v>360</v>
      </c>
      <c r="M9" s="36"/>
      <c r="O9" s="566"/>
      <c r="P9" s="37" t="s">
        <v>118</v>
      </c>
      <c r="Q9" s="37" t="s">
        <v>118</v>
      </c>
    </row>
    <row r="10" spans="1:19">
      <c r="A10" s="424">
        <f>ROW()</f>
        <v>10</v>
      </c>
      <c r="B10" s="510" t="s">
        <v>121</v>
      </c>
      <c r="C10" s="870">
        <f t="shared" si="0"/>
        <v>28</v>
      </c>
      <c r="D10" s="804"/>
      <c r="E10" s="36"/>
      <c r="F10" s="768">
        <f>+F67</f>
        <v>0</v>
      </c>
      <c r="G10" s="768">
        <f t="shared" ref="G10:L10" si="2">+G67</f>
        <v>11</v>
      </c>
      <c r="H10" s="768">
        <f t="shared" si="2"/>
        <v>22.5</v>
      </c>
      <c r="I10" s="768">
        <f t="shared" si="2"/>
        <v>28</v>
      </c>
      <c r="J10" s="768">
        <f t="shared" si="2"/>
        <v>28</v>
      </c>
      <c r="K10" s="768">
        <f t="shared" si="2"/>
        <v>28</v>
      </c>
      <c r="L10" s="768">
        <f t="shared" si="2"/>
        <v>28</v>
      </c>
      <c r="M10" s="36"/>
      <c r="O10" s="421"/>
      <c r="P10" s="37" t="s">
        <v>118</v>
      </c>
      <c r="Q10" s="37" t="s">
        <v>118</v>
      </c>
    </row>
    <row r="11" spans="1:19">
      <c r="A11" s="424">
        <f>ROW()</f>
        <v>11</v>
      </c>
      <c r="B11" s="35"/>
      <c r="C11" s="36"/>
      <c r="D11" s="36"/>
      <c r="E11" s="36"/>
      <c r="F11" s="73"/>
      <c r="G11" s="73"/>
      <c r="H11" s="73"/>
      <c r="I11" s="73"/>
      <c r="J11" s="73"/>
      <c r="K11" s="73"/>
      <c r="L11" s="73"/>
      <c r="M11" s="36"/>
      <c r="O11" s="421"/>
      <c r="P11" s="37" t="s">
        <v>118</v>
      </c>
      <c r="Q11" s="37" t="s">
        <v>118</v>
      </c>
    </row>
    <row r="12" spans="1:19" ht="18">
      <c r="A12" s="424">
        <f>ROW()</f>
        <v>12</v>
      </c>
      <c r="B12" s="1166" t="s">
        <v>122</v>
      </c>
      <c r="C12" s="1167" t="s">
        <v>123</v>
      </c>
      <c r="D12" s="1167" t="s">
        <v>124</v>
      </c>
      <c r="E12" s="1168" t="s">
        <v>125</v>
      </c>
      <c r="F12" s="1169" t="str">
        <f t="shared" ref="F12" si="3">+F6</f>
        <v>SY 0/Incu</v>
      </c>
      <c r="G12" s="1170">
        <f>+G6</f>
        <v>1</v>
      </c>
      <c r="H12" s="1170">
        <f t="shared" ref="H12:L12" si="4">+H6</f>
        <v>2</v>
      </c>
      <c r="I12" s="1170">
        <f t="shared" si="4"/>
        <v>3</v>
      </c>
      <c r="J12" s="1170">
        <f t="shared" si="4"/>
        <v>4</v>
      </c>
      <c r="K12" s="1170">
        <f t="shared" si="4"/>
        <v>5</v>
      </c>
      <c r="L12" s="1170">
        <f t="shared" si="4"/>
        <v>6</v>
      </c>
      <c r="M12" s="113"/>
      <c r="O12" s="421"/>
      <c r="P12" s="37" t="s">
        <v>118</v>
      </c>
      <c r="Q12" s="37" t="s">
        <v>118</v>
      </c>
    </row>
    <row r="13" spans="1:19">
      <c r="A13" s="424">
        <f>ROW()</f>
        <v>13</v>
      </c>
      <c r="B13" s="37" t="s">
        <v>1191</v>
      </c>
      <c r="C13" s="320">
        <f>SUM(F13:L13)</f>
        <v>18521308.114443</v>
      </c>
      <c r="D13" s="320">
        <f>AVERAGE(G13:L13)</f>
        <v>3086884.6857405002</v>
      </c>
      <c r="E13" s="320">
        <f>IFERROR(+D13/$D$32,0)</f>
        <v>0.85287178649030193</v>
      </c>
      <c r="F13" s="701">
        <f>+' Enrol &amp; Rev'!G86</f>
        <v>0</v>
      </c>
      <c r="G13" s="701">
        <f>+' Enrol &amp; Rev'!H86</f>
        <v>1412100</v>
      </c>
      <c r="H13" s="701">
        <f>+' Enrol &amp; Rev'!I86</f>
        <v>2698966.3581900001</v>
      </c>
      <c r="I13" s="701">
        <f>+' Enrol &amp; Rev'!J86</f>
        <v>3232247.5047420003</v>
      </c>
      <c r="J13" s="701">
        <f>+' Enrol &amp; Rev'!K86</f>
        <v>3699644.3721990003</v>
      </c>
      <c r="K13" s="701">
        <f>+' Enrol &amp; Rev'!L86</f>
        <v>3739174.9396560001</v>
      </c>
      <c r="L13" s="701">
        <f>+' Enrol &amp; Rev'!M86</f>
        <v>3739174.9396560001</v>
      </c>
      <c r="M13" s="511"/>
      <c r="O13" s="421"/>
      <c r="P13" s="37" t="s">
        <v>118</v>
      </c>
      <c r="Q13" s="37" t="s">
        <v>118</v>
      </c>
    </row>
    <row r="14" spans="1:19">
      <c r="A14" s="424">
        <f>ROW()</f>
        <v>14</v>
      </c>
      <c r="B14" s="37" t="s">
        <v>1200</v>
      </c>
      <c r="C14" s="61">
        <f t="shared" ref="C14:C31" si="5">SUM(F14:L14)</f>
        <v>-231516.35143053753</v>
      </c>
      <c r="D14" s="61">
        <f t="shared" ref="D14:D32" si="6">AVERAGE(G14:L14)</f>
        <v>-38586.058571756257</v>
      </c>
      <c r="E14" s="512">
        <f t="shared" ref="E14:E31" si="7">IFERROR(+D14/$D$32,0)</f>
        <v>-1.0660897331128776E-2</v>
      </c>
      <c r="F14" s="114">
        <f>+' Enrol &amp; Rev'!G87</f>
        <v>0</v>
      </c>
      <c r="G14" s="114">
        <f>+' Enrol &amp; Rev'!H87</f>
        <v>-17651.25</v>
      </c>
      <c r="H14" s="114">
        <f>+' Enrol &amp; Rev'!I87</f>
        <v>-33737.079477375002</v>
      </c>
      <c r="I14" s="114">
        <f>+' Enrol &amp; Rev'!J87</f>
        <v>-40403.093809275008</v>
      </c>
      <c r="J14" s="114">
        <f>+' Enrol &amp; Rev'!K87</f>
        <v>-46245.55465248751</v>
      </c>
      <c r="K14" s="114">
        <f>+' Enrol &amp; Rev'!L87</f>
        <v>-46739.686745700004</v>
      </c>
      <c r="L14" s="114">
        <f>+' Enrol &amp; Rev'!M87</f>
        <v>-46739.686745700004</v>
      </c>
      <c r="M14" s="61"/>
      <c r="O14" s="421"/>
      <c r="P14" s="37" t="s">
        <v>118</v>
      </c>
      <c r="Q14" s="37" t="s">
        <v>118</v>
      </c>
    </row>
    <row r="15" spans="1:19">
      <c r="A15" s="424">
        <f>ROW()</f>
        <v>15</v>
      </c>
      <c r="B15" s="37" t="s">
        <v>128</v>
      </c>
      <c r="C15" s="61">
        <f t="shared" si="5"/>
        <v>539962.5</v>
      </c>
      <c r="D15" s="61">
        <f t="shared" si="6"/>
        <v>89993.75</v>
      </c>
      <c r="E15" s="512">
        <f t="shared" si="7"/>
        <v>2.4864268720504411E-2</v>
      </c>
      <c r="F15" s="114">
        <f>' Enrol &amp; Rev'!G92</f>
        <v>0</v>
      </c>
      <c r="G15" s="114">
        <f>' Enrol &amp; Rev'!H92</f>
        <v>44625</v>
      </c>
      <c r="H15" s="114">
        <f>' Enrol &amp; Rev'!I92</f>
        <v>80325</v>
      </c>
      <c r="I15" s="114">
        <f>' Enrol &amp; Rev'!J92</f>
        <v>93712.5</v>
      </c>
      <c r="J15" s="114">
        <f>' Enrol &amp; Rev'!K92</f>
        <v>107100</v>
      </c>
      <c r="K15" s="114">
        <f>' Enrol &amp; Rev'!L92</f>
        <v>107100</v>
      </c>
      <c r="L15" s="114">
        <f>' Enrol &amp; Rev'!M92</f>
        <v>107100</v>
      </c>
      <c r="M15" s="61"/>
      <c r="O15" s="421"/>
      <c r="P15" s="37" t="s">
        <v>118</v>
      </c>
      <c r="Q15" s="37" t="s">
        <v>118</v>
      </c>
    </row>
    <row r="16" spans="1:19">
      <c r="A16" s="424">
        <f>ROW()</f>
        <v>16</v>
      </c>
      <c r="B16" s="37" t="s">
        <v>129</v>
      </c>
      <c r="C16" s="61">
        <f t="shared" si="5"/>
        <v>118973.25</v>
      </c>
      <c r="D16" s="61">
        <f t="shared" si="6"/>
        <v>19828.875</v>
      </c>
      <c r="E16" s="512">
        <f t="shared" si="7"/>
        <v>5.478496855896014E-3</v>
      </c>
      <c r="F16" s="114">
        <f>' Enrol &amp; Rev'!G93</f>
        <v>0</v>
      </c>
      <c r="G16" s="114">
        <f>' Enrol &amp; Rev'!H93</f>
        <v>9832.5</v>
      </c>
      <c r="H16" s="114">
        <f>' Enrol &amp; Rev'!I93</f>
        <v>17698.5</v>
      </c>
      <c r="I16" s="114">
        <f>' Enrol &amp; Rev'!J93</f>
        <v>20648.25</v>
      </c>
      <c r="J16" s="114">
        <f>' Enrol &amp; Rev'!K93</f>
        <v>23598</v>
      </c>
      <c r="K16" s="114">
        <f>' Enrol &amp; Rev'!L93</f>
        <v>23598</v>
      </c>
      <c r="L16" s="114">
        <f>' Enrol &amp; Rev'!M93</f>
        <v>23598</v>
      </c>
      <c r="M16" s="61"/>
      <c r="O16" s="421"/>
      <c r="P16" s="37" t="s">
        <v>118</v>
      </c>
      <c r="Q16" s="37" t="s">
        <v>118</v>
      </c>
    </row>
    <row r="17" spans="1:17">
      <c r="A17" s="424">
        <f>ROW()</f>
        <v>17</v>
      </c>
      <c r="B17" s="37" t="s">
        <v>130</v>
      </c>
      <c r="C17" s="61">
        <f t="shared" si="5"/>
        <v>20035.785000000003</v>
      </c>
      <c r="D17" s="61">
        <f t="shared" si="6"/>
        <v>3339.2975000000006</v>
      </c>
      <c r="E17" s="512">
        <f t="shared" si="7"/>
        <v>9.2261062993495211E-4</v>
      </c>
      <c r="F17" s="114">
        <f>' Enrol &amp; Rev'!G94</f>
        <v>0</v>
      </c>
      <c r="G17" s="114">
        <f>' Enrol &amp; Rev'!H94</f>
        <v>1655.8500000000001</v>
      </c>
      <c r="H17" s="114">
        <f>' Enrol &amp; Rev'!I94</f>
        <v>2980.53</v>
      </c>
      <c r="I17" s="114">
        <f>' Enrol &amp; Rev'!J94</f>
        <v>3477.2850000000003</v>
      </c>
      <c r="J17" s="114">
        <f>' Enrol &amp; Rev'!K94</f>
        <v>3974.0400000000004</v>
      </c>
      <c r="K17" s="114">
        <f>' Enrol &amp; Rev'!L94</f>
        <v>3974.0400000000004</v>
      </c>
      <c r="L17" s="114">
        <f>' Enrol &amp; Rev'!M94</f>
        <v>3974.0400000000004</v>
      </c>
      <c r="M17" s="61"/>
      <c r="O17" s="421"/>
      <c r="P17" s="37" t="s">
        <v>118</v>
      </c>
      <c r="Q17" s="37" t="s">
        <v>118</v>
      </c>
    </row>
    <row r="18" spans="1:17">
      <c r="A18" s="424">
        <f>ROW()</f>
        <v>18</v>
      </c>
      <c r="B18" s="37" t="s">
        <v>131</v>
      </c>
      <c r="C18" s="61">
        <f t="shared" ref="C18" si="8">SUM(F18:L18)</f>
        <v>0</v>
      </c>
      <c r="D18" s="61">
        <f t="shared" si="6"/>
        <v>0</v>
      </c>
      <c r="E18" s="512">
        <f t="shared" si="7"/>
        <v>0</v>
      </c>
      <c r="F18" s="114">
        <f>' Enrol &amp; Rev'!G95</f>
        <v>0</v>
      </c>
      <c r="G18" s="114">
        <f>' Enrol &amp; Rev'!H95</f>
        <v>0</v>
      </c>
      <c r="H18" s="114">
        <f>' Enrol &amp; Rev'!I95</f>
        <v>0</v>
      </c>
      <c r="I18" s="114">
        <f>' Enrol &amp; Rev'!J95</f>
        <v>0</v>
      </c>
      <c r="J18" s="114">
        <f>' Enrol &amp; Rev'!K95</f>
        <v>0</v>
      </c>
      <c r="K18" s="114">
        <f>' Enrol &amp; Rev'!L95</f>
        <v>0</v>
      </c>
      <c r="L18" s="114">
        <f>' Enrol &amp; Rev'!M95</f>
        <v>0</v>
      </c>
      <c r="M18" s="61"/>
      <c r="O18" s="421"/>
      <c r="P18" s="37" t="s">
        <v>118</v>
      </c>
      <c r="Q18" s="37" t="s">
        <v>118</v>
      </c>
    </row>
    <row r="19" spans="1:17">
      <c r="A19" s="424">
        <f>ROW()</f>
        <v>19</v>
      </c>
      <c r="B19" s="37" t="s">
        <v>132</v>
      </c>
      <c r="C19" s="61">
        <f t="shared" si="5"/>
        <v>556377.35999999987</v>
      </c>
      <c r="D19" s="61">
        <f t="shared" si="6"/>
        <v>92729.559999999983</v>
      </c>
      <c r="E19" s="512">
        <f t="shared" si="7"/>
        <v>2.5620142489607742E-2</v>
      </c>
      <c r="F19" s="114">
        <f>' Enrol &amp; Rev'!G96</f>
        <v>0</v>
      </c>
      <c r="G19" s="114">
        <f>' Enrol &amp; Rev'!H96</f>
        <v>45981.599999999999</v>
      </c>
      <c r="H19" s="114">
        <f>' Enrol &amp; Rev'!I96</f>
        <v>82766.87999999999</v>
      </c>
      <c r="I19" s="114">
        <f>' Enrol &amp; Rev'!J96</f>
        <v>96561.36</v>
      </c>
      <c r="J19" s="114">
        <f>' Enrol &amp; Rev'!K96</f>
        <v>110355.84</v>
      </c>
      <c r="K19" s="114">
        <f>' Enrol &amp; Rev'!L96</f>
        <v>110355.84</v>
      </c>
      <c r="L19" s="114">
        <f>' Enrol &amp; Rev'!M96</f>
        <v>110355.84</v>
      </c>
      <c r="M19" s="61"/>
      <c r="O19" s="421"/>
      <c r="P19" s="37" t="s">
        <v>118</v>
      </c>
      <c r="Q19" s="37" t="s">
        <v>118</v>
      </c>
    </row>
    <row r="20" spans="1:17">
      <c r="A20" s="424">
        <f>ROW()</f>
        <v>20</v>
      </c>
      <c r="B20" s="37" t="s">
        <v>133</v>
      </c>
      <c r="C20" s="61">
        <f t="shared" si="5"/>
        <v>1002046.98</v>
      </c>
      <c r="D20" s="61">
        <f t="shared" si="6"/>
        <v>167007.82999999999</v>
      </c>
      <c r="E20" s="512">
        <f t="shared" si="7"/>
        <v>4.6142399483834355E-2</v>
      </c>
      <c r="F20" s="114">
        <f>' Enrol &amp; Rev'!G97</f>
        <v>0</v>
      </c>
      <c r="G20" s="114">
        <f>' Enrol &amp; Rev'!H97</f>
        <v>82813.799999999988</v>
      </c>
      <c r="H20" s="114">
        <f>' Enrol &amp; Rev'!I97</f>
        <v>149064.84</v>
      </c>
      <c r="I20" s="114">
        <f>' Enrol &amp; Rev'!J97</f>
        <v>173908.97999999998</v>
      </c>
      <c r="J20" s="114">
        <f>' Enrol &amp; Rev'!K97</f>
        <v>198753.12</v>
      </c>
      <c r="K20" s="114">
        <f>' Enrol &amp; Rev'!L97</f>
        <v>198753.12</v>
      </c>
      <c r="L20" s="114">
        <f>' Enrol &amp; Rev'!M97</f>
        <v>198753.12</v>
      </c>
      <c r="M20" s="61"/>
      <c r="O20" s="421"/>
      <c r="P20" s="37" t="s">
        <v>118</v>
      </c>
      <c r="Q20" s="37" t="s">
        <v>118</v>
      </c>
    </row>
    <row r="21" spans="1:17">
      <c r="A21" s="424">
        <f>ROW()</f>
        <v>21</v>
      </c>
      <c r="B21" s="37" t="s">
        <v>134</v>
      </c>
      <c r="C21" s="61">
        <f t="shared" si="5"/>
        <v>353925</v>
      </c>
      <c r="D21" s="61">
        <f t="shared" si="6"/>
        <v>58987.5</v>
      </c>
      <c r="E21" s="512">
        <f t="shared" si="7"/>
        <v>1.6297587900834826E-2</v>
      </c>
      <c r="F21" s="114">
        <f>' Enrol &amp; Rev'!G98</f>
        <v>0</v>
      </c>
      <c r="G21" s="114">
        <f>' Enrol &amp; Rev'!H98</f>
        <v>29250</v>
      </c>
      <c r="H21" s="114">
        <f>' Enrol &amp; Rev'!I98</f>
        <v>52650</v>
      </c>
      <c r="I21" s="114">
        <f>' Enrol &amp; Rev'!J98</f>
        <v>61425.000000000007</v>
      </c>
      <c r="J21" s="114">
        <f>' Enrol &amp; Rev'!K98</f>
        <v>70200</v>
      </c>
      <c r="K21" s="114">
        <f>' Enrol &amp; Rev'!L98</f>
        <v>70200</v>
      </c>
      <c r="L21" s="114">
        <f>' Enrol &amp; Rev'!M98</f>
        <v>70200</v>
      </c>
      <c r="M21" s="61"/>
      <c r="O21" s="421"/>
      <c r="P21" s="37" t="s">
        <v>118</v>
      </c>
      <c r="Q21" s="37" t="s">
        <v>118</v>
      </c>
    </row>
    <row r="22" spans="1:17">
      <c r="A22" s="424">
        <f>ROW()</f>
        <v>22</v>
      </c>
      <c r="B22" s="37" t="s">
        <v>135</v>
      </c>
      <c r="C22" s="61">
        <f t="shared" si="5"/>
        <v>587617.17300000007</v>
      </c>
      <c r="D22" s="61">
        <f t="shared" si="6"/>
        <v>97936.195500000016</v>
      </c>
      <c r="E22" s="512">
        <f t="shared" si="7"/>
        <v>2.7058677767910055E-2</v>
      </c>
      <c r="F22" s="114">
        <f>' Enrol &amp; Rev'!G99</f>
        <v>0</v>
      </c>
      <c r="G22" s="114">
        <f>' Enrol &amp; Rev'!H99</f>
        <v>0</v>
      </c>
      <c r="H22" s="114">
        <f>' Enrol &amp; Rev'!I99</f>
        <v>60579.090000000004</v>
      </c>
      <c r="I22" s="114">
        <f>' Enrol &amp; Rev'!J99</f>
        <v>109042.36200000002</v>
      </c>
      <c r="J22" s="114">
        <f>' Enrol &amp; Rev'!K99</f>
        <v>127216.08900000002</v>
      </c>
      <c r="K22" s="114">
        <f>' Enrol &amp; Rev'!L99</f>
        <v>145389.81600000002</v>
      </c>
      <c r="L22" s="114">
        <f>' Enrol &amp; Rev'!M99</f>
        <v>145389.81600000002</v>
      </c>
      <c r="M22" s="61"/>
      <c r="O22" s="421"/>
      <c r="P22" s="37" t="s">
        <v>118</v>
      </c>
      <c r="Q22" s="37" t="s">
        <v>118</v>
      </c>
    </row>
    <row r="23" spans="1:17">
      <c r="A23" s="424">
        <f>ROW()</f>
        <v>23</v>
      </c>
      <c r="B23" s="37" t="s">
        <v>136</v>
      </c>
      <c r="C23" s="61">
        <f t="shared" si="5"/>
        <v>0</v>
      </c>
      <c r="D23" s="61">
        <f t="shared" si="6"/>
        <v>0</v>
      </c>
      <c r="E23" s="512">
        <f t="shared" si="7"/>
        <v>0</v>
      </c>
      <c r="F23" s="114">
        <f>' Enrol &amp; Rev'!G100</f>
        <v>0</v>
      </c>
      <c r="G23" s="114">
        <f>' Enrol &amp; Rev'!H100</f>
        <v>0</v>
      </c>
      <c r="H23" s="114">
        <f>' Enrol &amp; Rev'!I100</f>
        <v>0</v>
      </c>
      <c r="I23" s="114">
        <f>' Enrol &amp; Rev'!J100</f>
        <v>0</v>
      </c>
      <c r="J23" s="114">
        <f>' Enrol &amp; Rev'!K100</f>
        <v>0</v>
      </c>
      <c r="K23" s="114">
        <f>' Enrol &amp; Rev'!L100</f>
        <v>0</v>
      </c>
      <c r="L23" s="114">
        <f>' Enrol &amp; Rev'!M100</f>
        <v>0</v>
      </c>
      <c r="M23" s="61"/>
      <c r="O23" s="421"/>
      <c r="P23" s="37" t="s">
        <v>118</v>
      </c>
      <c r="Q23" s="37" t="s">
        <v>118</v>
      </c>
    </row>
    <row r="24" spans="1:17">
      <c r="A24" s="424">
        <f>ROW()</f>
        <v>24</v>
      </c>
      <c r="B24" s="37" t="s">
        <v>137</v>
      </c>
      <c r="C24" s="61">
        <f t="shared" si="5"/>
        <v>414036</v>
      </c>
      <c r="D24" s="61">
        <f t="shared" si="6"/>
        <v>11279</v>
      </c>
      <c r="E24" s="512">
        <f t="shared" si="7"/>
        <v>3.116261817054732E-3</v>
      </c>
      <c r="F24" s="114">
        <v>346362</v>
      </c>
      <c r="G24" s="114">
        <f>' Enrol &amp; Rev'!H101</f>
        <v>67674</v>
      </c>
      <c r="H24" s="114">
        <f>' Enrol &amp; Rev'!I101</f>
        <v>0</v>
      </c>
      <c r="I24" s="114">
        <f>' Enrol &amp; Rev'!J101</f>
        <v>0</v>
      </c>
      <c r="J24" s="114">
        <f>' Enrol &amp; Rev'!K101</f>
        <v>0</v>
      </c>
      <c r="K24" s="114">
        <f>' Enrol &amp; Rev'!L101</f>
        <v>0</v>
      </c>
      <c r="L24" s="114">
        <f>' Enrol &amp; Rev'!M101</f>
        <v>0</v>
      </c>
      <c r="M24" s="61"/>
      <c r="O24" s="421"/>
      <c r="P24" s="37" t="s">
        <v>118</v>
      </c>
      <c r="Q24" s="37" t="s">
        <v>118</v>
      </c>
    </row>
    <row r="25" spans="1:17">
      <c r="A25" s="424">
        <f>ROW()</f>
        <v>25</v>
      </c>
      <c r="B25" s="37" t="s">
        <v>138</v>
      </c>
      <c r="C25" s="61">
        <f t="shared" si="5"/>
        <v>0</v>
      </c>
      <c r="D25" s="61">
        <f t="shared" si="6"/>
        <v>0</v>
      </c>
      <c r="E25" s="512">
        <f t="shared" si="7"/>
        <v>0</v>
      </c>
      <c r="F25" s="114">
        <f>' Enrol &amp; Rev'!G103</f>
        <v>0</v>
      </c>
      <c r="G25" s="114">
        <f>' Enrol &amp; Rev'!H103</f>
        <v>0</v>
      </c>
      <c r="H25" s="114">
        <f>' Enrol &amp; Rev'!I103</f>
        <v>0</v>
      </c>
      <c r="I25" s="114">
        <f>' Enrol &amp; Rev'!J103</f>
        <v>0</v>
      </c>
      <c r="J25" s="114">
        <f>' Enrol &amp; Rev'!K103</f>
        <v>0</v>
      </c>
      <c r="K25" s="114">
        <f>' Enrol &amp; Rev'!L103</f>
        <v>0</v>
      </c>
      <c r="L25" s="114">
        <f>' Enrol &amp; Rev'!M103</f>
        <v>0</v>
      </c>
      <c r="M25" s="61"/>
      <c r="O25" s="421"/>
      <c r="P25" s="37" t="s">
        <v>118</v>
      </c>
      <c r="Q25" s="37" t="s">
        <v>118</v>
      </c>
    </row>
    <row r="26" spans="1:17">
      <c r="A26" s="424">
        <f>ROW()</f>
        <v>26</v>
      </c>
      <c r="B26" s="37" t="s">
        <v>139</v>
      </c>
      <c r="C26" s="61">
        <f t="shared" ref="C26" si="9">SUM(F26:L26)</f>
        <v>0</v>
      </c>
      <c r="D26" s="61">
        <f t="shared" si="6"/>
        <v>0</v>
      </c>
      <c r="E26" s="512">
        <f t="shared" si="7"/>
        <v>0</v>
      </c>
      <c r="F26" s="114">
        <f>' Enrol &amp; Rev'!G104</f>
        <v>0</v>
      </c>
      <c r="G26" s="114">
        <f>' Enrol &amp; Rev'!H104</f>
        <v>0</v>
      </c>
      <c r="H26" s="114">
        <f>' Enrol &amp; Rev'!I104</f>
        <v>0</v>
      </c>
      <c r="I26" s="114">
        <f>' Enrol &amp; Rev'!J104</f>
        <v>0</v>
      </c>
      <c r="J26" s="114">
        <f>' Enrol &amp; Rev'!K104</f>
        <v>0</v>
      </c>
      <c r="K26" s="114">
        <f>' Enrol &amp; Rev'!L104</f>
        <v>0</v>
      </c>
      <c r="L26" s="114">
        <f>' Enrol &amp; Rev'!M104</f>
        <v>0</v>
      </c>
      <c r="M26" s="61"/>
      <c r="O26" s="421"/>
      <c r="P26" s="37" t="s">
        <v>118</v>
      </c>
      <c r="Q26" s="37" t="s">
        <v>118</v>
      </c>
    </row>
    <row r="27" spans="1:17">
      <c r="A27" s="424">
        <f>ROW()</f>
        <v>27</v>
      </c>
      <c r="B27" s="37" t="s">
        <v>140</v>
      </c>
      <c r="C27" s="61">
        <f t="shared" ref="C27" si="10">SUM(F27:L27)</f>
        <v>0</v>
      </c>
      <c r="D27" s="61">
        <f t="shared" si="6"/>
        <v>0</v>
      </c>
      <c r="E27" s="512">
        <f t="shared" si="7"/>
        <v>0</v>
      </c>
      <c r="F27" s="114">
        <f>' Enrol &amp; Rev'!G105</f>
        <v>0</v>
      </c>
      <c r="G27" s="114">
        <f>' Enrol &amp; Rev'!H105</f>
        <v>0</v>
      </c>
      <c r="H27" s="114">
        <f>' Enrol &amp; Rev'!I105</f>
        <v>0</v>
      </c>
      <c r="I27" s="114">
        <f>' Enrol &amp; Rev'!J105</f>
        <v>0</v>
      </c>
      <c r="J27" s="114">
        <f>' Enrol &amp; Rev'!K105</f>
        <v>0</v>
      </c>
      <c r="K27" s="114">
        <f>' Enrol &amp; Rev'!L105</f>
        <v>0</v>
      </c>
      <c r="L27" s="114">
        <f>' Enrol &amp; Rev'!M105</f>
        <v>0</v>
      </c>
      <c r="M27" s="61"/>
      <c r="O27" s="421"/>
    </row>
    <row r="28" spans="1:17">
      <c r="A28" s="424">
        <f>ROW()</f>
        <v>28</v>
      </c>
      <c r="B28" s="37" t="s">
        <v>141</v>
      </c>
      <c r="C28" s="61">
        <f t="shared" si="5"/>
        <v>0</v>
      </c>
      <c r="D28" s="61">
        <f t="shared" si="6"/>
        <v>0</v>
      </c>
      <c r="E28" s="512">
        <f t="shared" si="7"/>
        <v>0</v>
      </c>
      <c r="F28" s="114">
        <f>' Enrol &amp; Rev'!G106</f>
        <v>0</v>
      </c>
      <c r="G28" s="114">
        <f>' Enrol &amp; Rev'!H106</f>
        <v>0</v>
      </c>
      <c r="H28" s="114">
        <f>' Enrol &amp; Rev'!I106</f>
        <v>0</v>
      </c>
      <c r="I28" s="114">
        <f>' Enrol &amp; Rev'!J106</f>
        <v>0</v>
      </c>
      <c r="J28" s="114">
        <f>' Enrol &amp; Rev'!K106</f>
        <v>0</v>
      </c>
      <c r="K28" s="114">
        <f>' Enrol &amp; Rev'!L106</f>
        <v>0</v>
      </c>
      <c r="L28" s="114">
        <f>' Enrol &amp; Rev'!M106</f>
        <v>0</v>
      </c>
      <c r="M28" s="61"/>
      <c r="O28" s="421"/>
      <c r="P28" s="37" t="s">
        <v>118</v>
      </c>
      <c r="Q28" s="37" t="s">
        <v>118</v>
      </c>
    </row>
    <row r="29" spans="1:17">
      <c r="A29" s="424">
        <f>ROW()</f>
        <v>29</v>
      </c>
      <c r="B29" s="37" t="s">
        <v>142</v>
      </c>
      <c r="C29" s="61">
        <f t="shared" si="5"/>
        <v>0</v>
      </c>
      <c r="D29" s="61">
        <f t="shared" si="6"/>
        <v>0</v>
      </c>
      <c r="E29" s="512">
        <f t="shared" si="7"/>
        <v>0</v>
      </c>
      <c r="F29" s="114">
        <f>' Enrol &amp; Rev'!G102</f>
        <v>0</v>
      </c>
      <c r="G29" s="114">
        <f>' Enrol &amp; Rev'!H102</f>
        <v>0</v>
      </c>
      <c r="H29" s="114">
        <f>' Enrol &amp; Rev'!I102</f>
        <v>0</v>
      </c>
      <c r="I29" s="114">
        <f>' Enrol &amp; Rev'!J102</f>
        <v>0</v>
      </c>
      <c r="J29" s="114">
        <f>' Enrol &amp; Rev'!K102</f>
        <v>0</v>
      </c>
      <c r="K29" s="114">
        <f>' Enrol &amp; Rev'!L102</f>
        <v>0</v>
      </c>
      <c r="L29" s="114">
        <f>' Enrol &amp; Rev'!M102</f>
        <v>0</v>
      </c>
      <c r="M29" s="61"/>
      <c r="O29" s="421"/>
      <c r="P29" s="37" t="s">
        <v>118</v>
      </c>
      <c r="Q29" s="37" t="s">
        <v>118</v>
      </c>
    </row>
    <row r="30" spans="1:17">
      <c r="A30" s="424">
        <f>ROW()</f>
        <v>30</v>
      </c>
      <c r="B30" s="37" t="s">
        <v>143</v>
      </c>
      <c r="C30" s="61">
        <f t="shared" si="5"/>
        <v>120000</v>
      </c>
      <c r="D30" s="61">
        <f t="shared" si="6"/>
        <v>20000</v>
      </c>
      <c r="E30" s="512">
        <f t="shared" si="7"/>
        <v>5.5257767834998349E-3</v>
      </c>
      <c r="F30" s="114">
        <f>' Enrol &amp; Rev'!G107</f>
        <v>0</v>
      </c>
      <c r="G30" s="114">
        <f>' Enrol &amp; Rev'!H107</f>
        <v>120000</v>
      </c>
      <c r="H30" s="114">
        <f>' Enrol &amp; Rev'!I107</f>
        <v>0</v>
      </c>
      <c r="I30" s="114">
        <f>' Enrol &amp; Rev'!J107</f>
        <v>0</v>
      </c>
      <c r="J30" s="114">
        <f>' Enrol &amp; Rev'!K107</f>
        <v>0</v>
      </c>
      <c r="K30" s="114">
        <f>' Enrol &amp; Rev'!L107</f>
        <v>0</v>
      </c>
      <c r="L30" s="114">
        <f>' Enrol &amp; Rev'!M107</f>
        <v>0</v>
      </c>
      <c r="M30" s="61"/>
      <c r="O30" s="421"/>
      <c r="P30" s="37" t="s">
        <v>118</v>
      </c>
      <c r="Q30" s="37" t="s">
        <v>118</v>
      </c>
    </row>
    <row r="31" spans="1:17">
      <c r="A31" s="424">
        <f>ROW()</f>
        <v>31</v>
      </c>
      <c r="B31" s="37" t="s">
        <v>144</v>
      </c>
      <c r="C31" s="61">
        <f t="shared" si="5"/>
        <v>130000</v>
      </c>
      <c r="D31" s="61">
        <f t="shared" si="6"/>
        <v>10000</v>
      </c>
      <c r="E31" s="512">
        <f t="shared" si="7"/>
        <v>2.7628883917499175E-3</v>
      </c>
      <c r="F31" s="114">
        <v>70000</v>
      </c>
      <c r="G31" s="114">
        <f>' Enrol &amp; Rev'!H108</f>
        <v>60000</v>
      </c>
      <c r="H31" s="114">
        <f>' Enrol &amp; Rev'!I108</f>
        <v>0</v>
      </c>
      <c r="I31" s="114">
        <f>' Enrol &amp; Rev'!J108</f>
        <v>0</v>
      </c>
      <c r="J31" s="114">
        <f>' Enrol &amp; Rev'!K108</f>
        <v>0</v>
      </c>
      <c r="K31" s="114">
        <f>' Enrol &amp; Rev'!L108</f>
        <v>0</v>
      </c>
      <c r="L31" s="114">
        <f>' Enrol &amp; Rev'!M108</f>
        <v>0</v>
      </c>
      <c r="M31" s="61"/>
      <c r="O31" s="421"/>
      <c r="P31" s="37" t="s">
        <v>118</v>
      </c>
      <c r="Q31" s="37" t="s">
        <v>118</v>
      </c>
    </row>
    <row r="32" spans="1:17">
      <c r="A32" s="424">
        <f>ROW()</f>
        <v>32</v>
      </c>
      <c r="B32" s="1059" t="s">
        <v>145</v>
      </c>
      <c r="C32" s="861">
        <f>SUM(C13:C31)</f>
        <v>22132765.811012462</v>
      </c>
      <c r="D32" s="861">
        <f t="shared" si="6"/>
        <v>3619400.6351687438</v>
      </c>
      <c r="E32" s="800">
        <f>IFERROR(+D32/$D$32,0)</f>
        <v>1</v>
      </c>
      <c r="F32" s="1515">
        <f t="shared" ref="F32:L32" si="11">SUM(F13:F31)</f>
        <v>416362</v>
      </c>
      <c r="G32" s="1515">
        <f t="shared" si="11"/>
        <v>1856281.5000000002</v>
      </c>
      <c r="H32" s="1515">
        <f t="shared" si="11"/>
        <v>3111294.1187126245</v>
      </c>
      <c r="I32" s="1515">
        <f t="shared" si="11"/>
        <v>3750620.1479327255</v>
      </c>
      <c r="J32" s="1515">
        <f t="shared" si="11"/>
        <v>4294595.9065465126</v>
      </c>
      <c r="K32" s="1515">
        <f t="shared" si="11"/>
        <v>4351806.0689102998</v>
      </c>
      <c r="L32" s="1515">
        <f t="shared" si="11"/>
        <v>4351806.0689102998</v>
      </c>
      <c r="M32" s="1516"/>
      <c r="O32" s="1588"/>
      <c r="P32" s="37" t="s">
        <v>118</v>
      </c>
      <c r="Q32" s="37" t="s">
        <v>118</v>
      </c>
    </row>
    <row r="33" spans="1:20">
      <c r="A33" s="424">
        <f>ROW()</f>
        <v>33</v>
      </c>
      <c r="B33" s="220" t="s">
        <v>146</v>
      </c>
      <c r="C33" s="1485"/>
      <c r="D33" s="1485"/>
      <c r="E33" s="1486"/>
      <c r="F33" s="1487"/>
      <c r="G33" s="1487">
        <f>+' Enrol &amp; Rev'!H110</f>
        <v>12375.210000000001</v>
      </c>
      <c r="H33" s="1487">
        <f>+' Enrol &amp; Rev'!I110</f>
        <v>11523.311550787499</v>
      </c>
      <c r="I33" s="1487">
        <f>+' Enrol &amp; Rev'!J110</f>
        <v>11906.730628357858</v>
      </c>
      <c r="J33" s="1487">
        <f>+' Enrol &amp; Rev'!K110</f>
        <v>11929.433073740312</v>
      </c>
      <c r="K33" s="1487">
        <f>+' Enrol &amp; Rev'!L110</f>
        <v>12088.350191417499</v>
      </c>
      <c r="L33" s="1487">
        <f>+' Enrol &amp; Rev'!M110</f>
        <v>12088.350191417499</v>
      </c>
      <c r="M33" s="513"/>
      <c r="O33" s="421"/>
      <c r="P33" s="37" t="s">
        <v>118</v>
      </c>
      <c r="Q33" s="37" t="s">
        <v>118</v>
      </c>
    </row>
    <row r="34" spans="1:20">
      <c r="A34" s="424">
        <f>ROW()</f>
        <v>34</v>
      </c>
      <c r="C34" s="66"/>
      <c r="D34" s="66"/>
      <c r="E34" s="66"/>
      <c r="F34" s="617"/>
      <c r="G34" s="617"/>
      <c r="H34" s="617"/>
      <c r="I34" s="617"/>
      <c r="J34" s="617"/>
      <c r="K34" s="617"/>
      <c r="L34" s="617"/>
      <c r="M34" s="66"/>
      <c r="O34" s="421"/>
      <c r="P34" s="37" t="s">
        <v>118</v>
      </c>
      <c r="Q34" s="37" t="s">
        <v>118</v>
      </c>
    </row>
    <row r="35" spans="1:20" ht="18">
      <c r="A35" s="424">
        <f>ROW()</f>
        <v>35</v>
      </c>
      <c r="B35" s="1161" t="s">
        <v>147</v>
      </c>
      <c r="C35" s="1162" t="s">
        <v>123</v>
      </c>
      <c r="D35" s="1162" t="s">
        <v>124</v>
      </c>
      <c r="E35" s="1163" t="s">
        <v>125</v>
      </c>
      <c r="F35" s="1164" t="str">
        <f t="shared" ref="F35:L35" si="12">F6</f>
        <v>SY 0/Incu</v>
      </c>
      <c r="G35" s="1165">
        <f t="shared" si="12"/>
        <v>1</v>
      </c>
      <c r="H35" s="1165">
        <f t="shared" si="12"/>
        <v>2</v>
      </c>
      <c r="I35" s="1165">
        <f t="shared" si="12"/>
        <v>3</v>
      </c>
      <c r="J35" s="1165">
        <f t="shared" si="12"/>
        <v>4</v>
      </c>
      <c r="K35" s="1165">
        <f t="shared" si="12"/>
        <v>5</v>
      </c>
      <c r="L35" s="1165">
        <f t="shared" si="12"/>
        <v>6</v>
      </c>
      <c r="M35" s="66"/>
      <c r="O35" s="421"/>
      <c r="P35" s="37" t="s">
        <v>118</v>
      </c>
      <c r="Q35" s="37" t="s">
        <v>118</v>
      </c>
    </row>
    <row r="36" spans="1:20">
      <c r="A36" s="424">
        <f>ROW()</f>
        <v>36</v>
      </c>
      <c r="B36" s="37" t="s">
        <v>148</v>
      </c>
      <c r="C36" s="320">
        <f t="shared" ref="C36" si="13">SUM(F36:L36)</f>
        <v>10405149.133049617</v>
      </c>
      <c r="D36" s="320">
        <f t="shared" ref="D36:D47" si="14">AVERAGE(G36:L36)</f>
        <v>1710697.3555082695</v>
      </c>
      <c r="E36" s="512">
        <f>IFERROR(+D36/$D$32,0)</f>
        <v>0.47264658653310793</v>
      </c>
      <c r="F36" s="701">
        <f>59674+57981+11750+11560</f>
        <v>140965</v>
      </c>
      <c r="G36" s="701">
        <f>+Staff!H445</f>
        <v>845966.07304347819</v>
      </c>
      <c r="H36" s="701">
        <f>+Staff!I445</f>
        <v>1560991.1215434782</v>
      </c>
      <c r="I36" s="701">
        <f>+Staff!J445</f>
        <v>1954915.0490932174</v>
      </c>
      <c r="J36" s="701">
        <f>+Staff!K445</f>
        <v>1966172.6320884975</v>
      </c>
      <c r="K36" s="701">
        <f>+Staff!L445</f>
        <v>1967433.0949137302</v>
      </c>
      <c r="L36" s="701">
        <f>+Staff!M445</f>
        <v>1968706.1623672154</v>
      </c>
      <c r="M36" s="67"/>
      <c r="O36" s="421"/>
      <c r="P36" s="37" t="s">
        <v>118</v>
      </c>
      <c r="Q36" s="37" t="s">
        <v>118</v>
      </c>
    </row>
    <row r="37" spans="1:20">
      <c r="A37" s="424">
        <f>ROW()</f>
        <v>37</v>
      </c>
      <c r="B37" s="37" t="s">
        <v>98</v>
      </c>
      <c r="C37" s="61">
        <f t="shared" ref="C37:C44" si="15">SUM(F37:L37)</f>
        <v>4032734.6000000006</v>
      </c>
      <c r="D37" s="61">
        <f t="shared" si="14"/>
        <v>672122.43333333347</v>
      </c>
      <c r="E37" s="512">
        <f t="shared" ref="E37:E44" si="16">IFERROR(+D37/$D$32,0)</f>
        <v>0.18569992688913747</v>
      </c>
      <c r="F37" s="114">
        <f>Facilities!F70</f>
        <v>0</v>
      </c>
      <c r="G37" s="114">
        <f>Facilities!G70</f>
        <v>468396.25</v>
      </c>
      <c r="H37" s="114">
        <f>Facilities!H70</f>
        <v>634572</v>
      </c>
      <c r="I37" s="114">
        <f>Facilities!I70</f>
        <v>671361</v>
      </c>
      <c r="J37" s="114">
        <f>Facilities!J70</f>
        <v>747514.45</v>
      </c>
      <c r="K37" s="114">
        <f>Facilities!K70</f>
        <v>752801.45</v>
      </c>
      <c r="L37" s="114">
        <f>Facilities!L70</f>
        <v>758089.45</v>
      </c>
      <c r="M37" s="67"/>
      <c r="O37" s="421" t="s">
        <v>1399</v>
      </c>
      <c r="P37" s="37" t="s">
        <v>118</v>
      </c>
      <c r="Q37" s="37" t="s">
        <v>118</v>
      </c>
    </row>
    <row r="38" spans="1:20">
      <c r="A38" s="424">
        <f>ROW()</f>
        <v>38</v>
      </c>
      <c r="B38" s="37" t="s">
        <v>149</v>
      </c>
      <c r="C38" s="61">
        <f t="shared" si="15"/>
        <v>3329026.4958899999</v>
      </c>
      <c r="D38" s="61">
        <f t="shared" si="14"/>
        <v>541626.58264833328</v>
      </c>
      <c r="E38" s="512">
        <f t="shared" si="16"/>
        <v>0.14964537978622572</v>
      </c>
      <c r="F38" s="114">
        <f>120152-F40+25803+104+795+617+129488+2881-F41</f>
        <v>79267</v>
      </c>
      <c r="G38" s="114">
        <f>+'Gen Optg'!G165</f>
        <v>289930</v>
      </c>
      <c r="H38" s="114">
        <f>+'Gen Optg'!H165</f>
        <v>493924</v>
      </c>
      <c r="I38" s="114">
        <f>+'Gen Optg'!I165</f>
        <v>570389.05000000005</v>
      </c>
      <c r="J38" s="114">
        <f>+'Gen Optg'!J165</f>
        <v>633354.10649999999</v>
      </c>
      <c r="K38" s="114">
        <f>+'Gen Optg'!K165</f>
        <v>629613.41969499993</v>
      </c>
      <c r="L38" s="114">
        <f>+'Gen Optg'!L165</f>
        <v>632548.91969499993</v>
      </c>
      <c r="M38" s="67"/>
      <c r="O38" s="421"/>
      <c r="P38" s="37" t="s">
        <v>118</v>
      </c>
      <c r="Q38" s="37" t="s">
        <v>118</v>
      </c>
    </row>
    <row r="39" spans="1:20">
      <c r="A39" s="424">
        <f>ROW()</f>
        <v>39</v>
      </c>
      <c r="B39" s="37" t="s">
        <v>150</v>
      </c>
      <c r="C39" s="61">
        <f t="shared" si="15"/>
        <v>615803.66933037387</v>
      </c>
      <c r="D39" s="61">
        <f t="shared" si="14"/>
        <v>100133.94488839565</v>
      </c>
      <c r="E39" s="512">
        <f t="shared" si="16"/>
        <v>2.7665891395227432E-2</v>
      </c>
      <c r="F39" s="114">
        <f>(2500*6)</f>
        <v>15000</v>
      </c>
      <c r="G39" s="114">
        <f>(2500*2)</f>
        <v>5000</v>
      </c>
      <c r="H39" s="114">
        <f>'EMO-CMO'!G38</f>
        <v>93338.823561378726</v>
      </c>
      <c r="I39" s="114">
        <f>'EMO-CMO'!H38</f>
        <v>112518.60443798176</v>
      </c>
      <c r="J39" s="114">
        <f>'EMO-CMO'!I38</f>
        <v>128837.87719639538</v>
      </c>
      <c r="K39" s="114">
        <f>'EMO-CMO'!J38</f>
        <v>130554.18206730898</v>
      </c>
      <c r="L39" s="114">
        <f>'EMO-CMO'!K38</f>
        <v>130554.18206730898</v>
      </c>
      <c r="M39" s="61"/>
      <c r="O39" s="421" t="s">
        <v>1420</v>
      </c>
      <c r="P39" s="37" t="s">
        <v>118</v>
      </c>
      <c r="Q39" s="37" t="s">
        <v>118</v>
      </c>
    </row>
    <row r="40" spans="1:20">
      <c r="A40" s="424">
        <f>ROW()</f>
        <v>40</v>
      </c>
      <c r="B40" s="37" t="s">
        <v>104</v>
      </c>
      <c r="C40" s="61">
        <f t="shared" si="15"/>
        <v>201011</v>
      </c>
      <c r="D40" s="61">
        <f t="shared" si="14"/>
        <v>15733.333333333334</v>
      </c>
      <c r="E40" s="512">
        <f t="shared" si="16"/>
        <v>4.3469444030198702E-3</v>
      </c>
      <c r="F40" s="114">
        <v>106611</v>
      </c>
      <c r="G40" s="114">
        <f>Marketing!I44</f>
        <v>65000</v>
      </c>
      <c r="H40" s="114">
        <f>Marketing!J44</f>
        <v>5000</v>
      </c>
      <c r="I40" s="114">
        <f>Marketing!K44</f>
        <v>5000</v>
      </c>
      <c r="J40" s="114">
        <f>Marketing!L44</f>
        <v>5000</v>
      </c>
      <c r="K40" s="114">
        <f>Marketing!M44</f>
        <v>7200</v>
      </c>
      <c r="L40" s="114">
        <f>Marketing!N44</f>
        <v>7200</v>
      </c>
      <c r="M40" s="61"/>
      <c r="O40" s="421"/>
      <c r="P40" s="37" t="s">
        <v>118</v>
      </c>
      <c r="Q40" s="37" t="s">
        <v>118</v>
      </c>
    </row>
    <row r="41" spans="1:20">
      <c r="A41" s="424">
        <f>ROW()</f>
        <v>41</v>
      </c>
      <c r="B41" s="37" t="s">
        <v>100</v>
      </c>
      <c r="C41" s="61">
        <f t="shared" si="15"/>
        <v>470731.16064274998</v>
      </c>
      <c r="D41" s="61">
        <f t="shared" si="14"/>
        <v>62794.860107124994</v>
      </c>
      <c r="E41" s="512">
        <f t="shared" si="16"/>
        <v>1.7349519005153562E-2</v>
      </c>
      <c r="F41" s="114">
        <v>93962</v>
      </c>
      <c r="G41" s="114">
        <f>'FFE&amp;T'!G38</f>
        <v>82188</v>
      </c>
      <c r="H41" s="114">
        <f>'FFE&amp;T'!H38</f>
        <v>100070.5</v>
      </c>
      <c r="I41" s="114">
        <f>'FFE&amp;T'!I38</f>
        <v>60298.75</v>
      </c>
      <c r="J41" s="114">
        <f>'FFE&amp;T'!J38</f>
        <v>60837.297500000001</v>
      </c>
      <c r="K41" s="114">
        <f>'FFE&amp;T'!K38</f>
        <v>38340.176424999998</v>
      </c>
      <c r="L41" s="114">
        <f>'FFE&amp;T'!L38</f>
        <v>35034.436717749995</v>
      </c>
      <c r="M41" s="61"/>
      <c r="O41" s="1642"/>
      <c r="P41" s="37" t="s">
        <v>118</v>
      </c>
      <c r="Q41" s="37" t="s">
        <v>118</v>
      </c>
    </row>
    <row r="42" spans="1:20">
      <c r="A42" s="424">
        <f>ROW()</f>
        <v>42</v>
      </c>
      <c r="B42" s="37" t="s">
        <v>140</v>
      </c>
      <c r="C42" s="61">
        <f t="shared" si="15"/>
        <v>571095</v>
      </c>
      <c r="D42" s="61">
        <f t="shared" si="14"/>
        <v>95182.5</v>
      </c>
      <c r="E42" s="512">
        <f t="shared" si="16"/>
        <v>2.6297862434773653E-2</v>
      </c>
      <c r="F42" s="114">
        <f>+'Gen Optg'!F144</f>
        <v>0</v>
      </c>
      <c r="G42" s="114">
        <f>+'Gen Optg'!G144</f>
        <v>43285</v>
      </c>
      <c r="H42" s="114">
        <f>+'Gen Optg'!H144</f>
        <v>67140</v>
      </c>
      <c r="I42" s="114">
        <f>+'Gen Optg'!I144</f>
        <v>134990</v>
      </c>
      <c r="J42" s="114">
        <f>+'Gen Optg'!J144</f>
        <v>108560</v>
      </c>
      <c r="K42" s="114">
        <f>+'Gen Optg'!K144</f>
        <v>108560</v>
      </c>
      <c r="L42" s="114">
        <f>+'Gen Optg'!L144</f>
        <v>108560</v>
      </c>
      <c r="M42" s="61"/>
      <c r="O42" s="421"/>
      <c r="P42" s="37" t="s">
        <v>118</v>
      </c>
      <c r="Q42" s="37" t="s">
        <v>118</v>
      </c>
    </row>
    <row r="43" spans="1:20">
      <c r="A43" s="424">
        <f>ROW()</f>
        <v>43</v>
      </c>
      <c r="B43" s="37" t="s">
        <v>151</v>
      </c>
      <c r="C43" s="61">
        <f t="shared" si="15"/>
        <v>131509.0150195506</v>
      </c>
      <c r="D43" s="61">
        <f t="shared" si="14"/>
        <v>21814.335836591767</v>
      </c>
      <c r="E43" s="512">
        <f t="shared" si="16"/>
        <v>6.0270575256653617E-3</v>
      </c>
      <c r="F43" s="114">
        <v>623</v>
      </c>
      <c r="G43" s="114">
        <f>Ins!G50</f>
        <v>17342</v>
      </c>
      <c r="H43" s="114">
        <f>Ins!H50</f>
        <v>19156.260000000002</v>
      </c>
      <c r="I43" s="114">
        <f>Ins!I50</f>
        <v>21237.3878</v>
      </c>
      <c r="J43" s="114">
        <f>Ins!J50</f>
        <v>23813.409434000001</v>
      </c>
      <c r="K43" s="114">
        <f>Ins!K50</f>
        <v>24377.811717020002</v>
      </c>
      <c r="L43" s="114">
        <f>Ins!L50</f>
        <v>24959.146068530601</v>
      </c>
      <c r="M43" s="61"/>
      <c r="O43" s="421"/>
      <c r="P43" s="37" t="s">
        <v>118</v>
      </c>
      <c r="Q43" s="37" t="s">
        <v>118</v>
      </c>
    </row>
    <row r="44" spans="1:20">
      <c r="A44" s="424">
        <f>ROW()</f>
        <v>44</v>
      </c>
      <c r="B44" s="37" t="s">
        <v>1211</v>
      </c>
      <c r="C44" s="61">
        <f t="shared" si="15"/>
        <v>0</v>
      </c>
      <c r="D44" s="61">
        <f t="shared" si="14"/>
        <v>0</v>
      </c>
      <c r="E44" s="512">
        <f t="shared" si="16"/>
        <v>0</v>
      </c>
      <c r="F44" s="114">
        <v>0</v>
      </c>
      <c r="G44" s="1554">
        <v>0</v>
      </c>
      <c r="H44" s="1554">
        <v>0</v>
      </c>
      <c r="I44" s="1554">
        <v>0</v>
      </c>
      <c r="J44" s="1554">
        <v>0</v>
      </c>
      <c r="K44" s="1554">
        <v>0</v>
      </c>
      <c r="L44" s="1554">
        <v>0</v>
      </c>
      <c r="M44" s="61"/>
      <c r="O44" s="421"/>
      <c r="P44" s="37" t="s">
        <v>118</v>
      </c>
      <c r="Q44" s="37" t="s">
        <v>118</v>
      </c>
    </row>
    <row r="45" spans="1:20">
      <c r="A45" s="424">
        <f>ROW()</f>
        <v>45</v>
      </c>
      <c r="B45" s="1059" t="s">
        <v>152</v>
      </c>
      <c r="C45" s="861">
        <f>SUM(C36:C44)</f>
        <v>19757060.07393229</v>
      </c>
      <c r="D45" s="861">
        <f t="shared" si="14"/>
        <v>3220105.3456553817</v>
      </c>
      <c r="E45" s="800">
        <f>IFERROR(+D45/$D$32,0)</f>
        <v>0.88967916797231095</v>
      </c>
      <c r="F45" s="1515">
        <f t="shared" ref="F45:L45" si="17">SUM(F36:F44)</f>
        <v>436428</v>
      </c>
      <c r="G45" s="1515">
        <f t="shared" si="17"/>
        <v>1817107.3230434782</v>
      </c>
      <c r="H45" s="1515">
        <f t="shared" si="17"/>
        <v>2974192.7051048568</v>
      </c>
      <c r="I45" s="1515">
        <f t="shared" si="17"/>
        <v>3530709.8413311993</v>
      </c>
      <c r="J45" s="1515">
        <f t="shared" si="17"/>
        <v>3674089.7727188924</v>
      </c>
      <c r="K45" s="1515">
        <f t="shared" si="17"/>
        <v>3658880.1348180589</v>
      </c>
      <c r="L45" s="1515">
        <f t="shared" si="17"/>
        <v>3665652.2969158054</v>
      </c>
      <c r="M45" s="61"/>
      <c r="O45" s="421"/>
      <c r="P45" s="37" t="s">
        <v>118</v>
      </c>
      <c r="Q45" s="37" t="s">
        <v>118</v>
      </c>
    </row>
    <row r="46" spans="1:20" ht="15.75" thickBot="1">
      <c r="A46" s="424">
        <f>ROW()</f>
        <v>46</v>
      </c>
      <c r="B46" s="35"/>
      <c r="C46" s="515"/>
      <c r="D46" s="515"/>
      <c r="E46" s="514"/>
      <c r="F46" s="769"/>
      <c r="G46" s="769"/>
      <c r="H46" s="769"/>
      <c r="I46" s="769"/>
      <c r="J46" s="769"/>
      <c r="K46" s="769"/>
      <c r="L46" s="769"/>
      <c r="M46" s="61"/>
      <c r="O46" s="421"/>
      <c r="P46" s="37" t="s">
        <v>118</v>
      </c>
      <c r="Q46" s="37" t="s">
        <v>118</v>
      </c>
    </row>
    <row r="47" spans="1:20" ht="15.75" thickBot="1">
      <c r="A47" s="424">
        <f>ROW()</f>
        <v>47</v>
      </c>
      <c r="B47" s="1616" t="s">
        <v>153</v>
      </c>
      <c r="C47" s="1617">
        <f>C32-C45</f>
        <v>2375705.7370801717</v>
      </c>
      <c r="D47" s="1617">
        <f t="shared" si="14"/>
        <v>399295.28951336193</v>
      </c>
      <c r="E47" s="1618">
        <f>IFERROR(+D47/$D$32,0)</f>
        <v>0.11032083202768903</v>
      </c>
      <c r="F47" s="1619">
        <f t="shared" ref="F47:L47" si="18">F32-F45</f>
        <v>-20066</v>
      </c>
      <c r="G47" s="1619">
        <f t="shared" si="18"/>
        <v>39174.176956522046</v>
      </c>
      <c r="H47" s="1619">
        <f t="shared" si="18"/>
        <v>137101.41360776778</v>
      </c>
      <c r="I47" s="1619">
        <f t="shared" si="18"/>
        <v>219910.30660152622</v>
      </c>
      <c r="J47" s="1619">
        <f t="shared" si="18"/>
        <v>620506.13382762019</v>
      </c>
      <c r="K47" s="1619">
        <f t="shared" si="18"/>
        <v>692925.93409224087</v>
      </c>
      <c r="L47" s="1619">
        <f t="shared" si="18"/>
        <v>686153.77199449437</v>
      </c>
      <c r="M47" s="61"/>
      <c r="N47" s="1029"/>
      <c r="O47" s="421" t="s">
        <v>154</v>
      </c>
      <c r="P47" s="68" t="s">
        <v>118</v>
      </c>
      <c r="Q47" s="68" t="s">
        <v>118</v>
      </c>
      <c r="R47" s="68"/>
      <c r="T47" s="69"/>
    </row>
    <row r="48" spans="1:20" ht="15.75" thickBot="1">
      <c r="A48" s="424">
        <f>ROW()</f>
        <v>48</v>
      </c>
      <c r="B48" s="220" t="s">
        <v>155</v>
      </c>
      <c r="C48" s="518"/>
      <c r="D48" s="518"/>
      <c r="E48" s="518"/>
      <c r="F48" s="770"/>
      <c r="G48" s="154">
        <f>IFERROR(G47/G66,0)</f>
        <v>261.161179710147</v>
      </c>
      <c r="H48" s="154">
        <f t="shared" ref="H48:L48" si="19">IFERROR(H47/H66,0)</f>
        <v>507.78301336210291</v>
      </c>
      <c r="I48" s="154">
        <f t="shared" si="19"/>
        <v>698.12795746516258</v>
      </c>
      <c r="J48" s="154">
        <f t="shared" si="19"/>
        <v>1723.6281495211672</v>
      </c>
      <c r="K48" s="154">
        <f t="shared" si="19"/>
        <v>1924.7942613673358</v>
      </c>
      <c r="L48" s="154">
        <f t="shared" si="19"/>
        <v>1905.9826999847066</v>
      </c>
      <c r="M48" s="61"/>
      <c r="O48" s="421"/>
      <c r="P48" s="37" t="s">
        <v>118</v>
      </c>
      <c r="Q48" s="37" t="s">
        <v>118</v>
      </c>
    </row>
    <row r="49" spans="1:19" ht="15.75" thickBot="1">
      <c r="A49" s="424">
        <f>ROW()</f>
        <v>49</v>
      </c>
      <c r="B49" s="520" t="s">
        <v>156</v>
      </c>
      <c r="C49" s="521"/>
      <c r="D49" s="521"/>
      <c r="E49" s="517"/>
      <c r="F49" s="771">
        <f t="shared" ref="F49:L49" si="20">+F47+E49</f>
        <v>-20066</v>
      </c>
      <c r="G49" s="771">
        <f t="shared" si="20"/>
        <v>19108.176956522046</v>
      </c>
      <c r="H49" s="771">
        <f t="shared" si="20"/>
        <v>156209.59056428983</v>
      </c>
      <c r="I49" s="771">
        <f t="shared" si="20"/>
        <v>376119.89716581604</v>
      </c>
      <c r="J49" s="771">
        <f t="shared" si="20"/>
        <v>996626.03099343623</v>
      </c>
      <c r="K49" s="771">
        <f t="shared" si="20"/>
        <v>1689551.9650856771</v>
      </c>
      <c r="L49" s="771">
        <f t="shared" si="20"/>
        <v>2375705.7370801717</v>
      </c>
      <c r="M49" s="519"/>
      <c r="O49" s="37" t="s">
        <v>157</v>
      </c>
      <c r="P49" s="37" t="s">
        <v>118</v>
      </c>
      <c r="Q49" s="37" t="s">
        <v>118</v>
      </c>
      <c r="S49" s="62"/>
    </row>
    <row r="50" spans="1:19">
      <c r="A50" s="424">
        <f>ROW()</f>
        <v>50</v>
      </c>
      <c r="B50" s="822" t="s">
        <v>158</v>
      </c>
      <c r="C50" s="38">
        <f t="shared" ref="C50" si="21">SUM(F50:L50)</f>
        <v>223730.21591383652</v>
      </c>
      <c r="D50" s="38"/>
      <c r="E50" s="823"/>
      <c r="F50" s="824">
        <f>0.04*F49</f>
        <v>-802.64</v>
      </c>
      <c r="G50" s="824">
        <f t="shared" ref="G50:L50" si="22">0.04*G49</f>
        <v>764.32707826088188</v>
      </c>
      <c r="H50" s="824">
        <f t="shared" si="22"/>
        <v>6248.3836225715932</v>
      </c>
      <c r="I50" s="824">
        <f t="shared" si="22"/>
        <v>15044.795886632643</v>
      </c>
      <c r="J50" s="824">
        <f t="shared" si="22"/>
        <v>39865.041239737453</v>
      </c>
      <c r="K50" s="824">
        <f t="shared" si="22"/>
        <v>67582.078603427086</v>
      </c>
      <c r="L50" s="824">
        <f t="shared" si="22"/>
        <v>95028.229483206873</v>
      </c>
      <c r="M50" s="519"/>
      <c r="O50" s="421" t="s">
        <v>1387</v>
      </c>
      <c r="S50" s="62"/>
    </row>
    <row r="51" spans="1:19">
      <c r="A51" s="424">
        <f>ROW()</f>
        <v>51</v>
      </c>
      <c r="B51" s="822"/>
      <c r="C51" s="153" t="s">
        <v>1426</v>
      </c>
      <c r="D51" s="38">
        <v>1500</v>
      </c>
      <c r="E51" s="823" t="s">
        <v>1412</v>
      </c>
      <c r="F51" s="1643">
        <f>F47+F39+D51</f>
        <v>-3566</v>
      </c>
      <c r="G51" s="1643">
        <f>F51+G47</f>
        <v>35608.176956522046</v>
      </c>
      <c r="H51" s="1643">
        <f t="shared" ref="H51:L51" si="23">G51+H47</f>
        <v>172709.59056428983</v>
      </c>
      <c r="I51" s="1643">
        <f t="shared" si="23"/>
        <v>392619.89716581604</v>
      </c>
      <c r="J51" s="1643">
        <f t="shared" si="23"/>
        <v>1013126.0309934362</v>
      </c>
      <c r="K51" s="1643">
        <f t="shared" si="23"/>
        <v>1706051.9650856771</v>
      </c>
      <c r="L51" s="1643">
        <f t="shared" si="23"/>
        <v>2392205.7370801717</v>
      </c>
      <c r="M51" s="519"/>
      <c r="O51" s="421" t="s">
        <v>1413</v>
      </c>
      <c r="S51" s="62"/>
    </row>
    <row r="52" spans="1:19">
      <c r="A52" s="424">
        <f>ROW()</f>
        <v>52</v>
      </c>
      <c r="B52" s="1156" t="s">
        <v>159</v>
      </c>
      <c r="C52" s="836"/>
      <c r="D52" s="836"/>
      <c r="E52" s="837"/>
      <c r="F52" s="824">
        <v>0</v>
      </c>
      <c r="G52" s="824">
        <v>0</v>
      </c>
      <c r="H52" s="824">
        <v>0</v>
      </c>
      <c r="I52" s="824">
        <v>0</v>
      </c>
      <c r="J52" s="824">
        <v>0</v>
      </c>
      <c r="K52" s="824">
        <v>0</v>
      </c>
      <c r="L52" s="824">
        <v>0</v>
      </c>
      <c r="M52" s="519"/>
      <c r="O52" s="421"/>
      <c r="S52" s="62"/>
    </row>
    <row r="53" spans="1:19">
      <c r="A53" s="424">
        <f>ROW()</f>
        <v>53</v>
      </c>
      <c r="B53" s="1156" t="s">
        <v>160</v>
      </c>
      <c r="C53" s="836"/>
      <c r="D53" s="836"/>
      <c r="E53" s="837"/>
      <c r="F53" s="352">
        <v>0</v>
      </c>
      <c r="G53" s="352">
        <v>0</v>
      </c>
      <c r="H53" s="352">
        <v>0</v>
      </c>
      <c r="I53" s="352">
        <v>0</v>
      </c>
      <c r="J53" s="352">
        <v>0</v>
      </c>
      <c r="K53" s="352">
        <v>0</v>
      </c>
      <c r="L53" s="352">
        <v>0</v>
      </c>
      <c r="M53" s="519"/>
      <c r="O53" s="421"/>
      <c r="S53" s="62"/>
    </row>
    <row r="54" spans="1:19" ht="15.75" thickBot="1">
      <c r="A54" s="424">
        <f>ROW()</f>
        <v>54</v>
      </c>
      <c r="B54" s="833" t="s">
        <v>161</v>
      </c>
      <c r="C54" s="834"/>
      <c r="D54" s="834"/>
      <c r="E54" s="835"/>
      <c r="F54" s="1015">
        <f>SUM(F52:F53)</f>
        <v>0</v>
      </c>
      <c r="G54" s="1015">
        <f t="shared" ref="G54:L54" si="24">SUM(G52:G53)</f>
        <v>0</v>
      </c>
      <c r="H54" s="1015">
        <f t="shared" si="24"/>
        <v>0</v>
      </c>
      <c r="I54" s="1015">
        <f t="shared" si="24"/>
        <v>0</v>
      </c>
      <c r="J54" s="1015">
        <f t="shared" si="24"/>
        <v>0</v>
      </c>
      <c r="K54" s="1015">
        <f t="shared" si="24"/>
        <v>0</v>
      </c>
      <c r="L54" s="1015">
        <f t="shared" si="24"/>
        <v>0</v>
      </c>
      <c r="M54" s="519"/>
      <c r="O54" s="421"/>
      <c r="S54" s="62"/>
    </row>
    <row r="55" spans="1:19" ht="15.75" thickBot="1">
      <c r="A55" s="424">
        <f>ROW()</f>
        <v>55</v>
      </c>
      <c r="B55" s="520" t="s">
        <v>162</v>
      </c>
      <c r="C55" s="521"/>
      <c r="D55" s="521"/>
      <c r="E55" s="517"/>
      <c r="F55" s="771">
        <f>+F47-F50-F54</f>
        <v>-19263.36</v>
      </c>
      <c r="G55" s="771">
        <f t="shared" ref="G55:L55" si="25">+G47-G50-G54</f>
        <v>38409.849878261164</v>
      </c>
      <c r="H55" s="771">
        <f t="shared" si="25"/>
        <v>130853.02998519619</v>
      </c>
      <c r="I55" s="771">
        <f t="shared" si="25"/>
        <v>204865.51071489358</v>
      </c>
      <c r="J55" s="771">
        <f t="shared" si="25"/>
        <v>580641.09258788277</v>
      </c>
      <c r="K55" s="771">
        <f t="shared" si="25"/>
        <v>625343.85548881383</v>
      </c>
      <c r="L55" s="771">
        <f t="shared" si="25"/>
        <v>591125.54251128749</v>
      </c>
      <c r="M55" s="519"/>
      <c r="O55" s="421" t="s">
        <v>1422</v>
      </c>
      <c r="S55" s="62"/>
    </row>
    <row r="56" spans="1:19">
      <c r="A56" s="424">
        <f>ROW()</f>
        <v>56</v>
      </c>
      <c r="B56" s="220"/>
      <c r="C56" s="518"/>
      <c r="D56" s="518"/>
      <c r="E56" s="518"/>
      <c r="F56" s="772"/>
      <c r="G56" s="772"/>
      <c r="H56" s="772"/>
      <c r="I56" s="772"/>
      <c r="J56" s="772"/>
      <c r="K56" s="772"/>
      <c r="L56" s="772"/>
      <c r="M56" s="519"/>
      <c r="O56" s="421"/>
      <c r="P56" s="37" t="s">
        <v>118</v>
      </c>
      <c r="Q56" s="37" t="s">
        <v>118</v>
      </c>
    </row>
    <row r="57" spans="1:19">
      <c r="A57" s="424">
        <f>ROW()</f>
        <v>57</v>
      </c>
      <c r="B57" s="220" t="s">
        <v>163</v>
      </c>
      <c r="C57" s="518"/>
      <c r="D57" s="518"/>
      <c r="E57" s="518"/>
      <c r="F57" s="770">
        <f>+F47-(SUM(F30:F31))-F25</f>
        <v>-90066</v>
      </c>
      <c r="G57" s="770">
        <f>+G47-(SUM(G30:G31))-G25</f>
        <v>-140825.82304347795</v>
      </c>
      <c r="H57" s="770">
        <f t="shared" ref="H57:L57" si="26">+H47-(SUM(H30:H31))-H25</f>
        <v>137101.41360776778</v>
      </c>
      <c r="I57" s="770">
        <f t="shared" si="26"/>
        <v>219910.30660152622</v>
      </c>
      <c r="J57" s="770">
        <f t="shared" si="26"/>
        <v>620506.13382762019</v>
      </c>
      <c r="K57" s="770">
        <f t="shared" si="26"/>
        <v>692925.93409224087</v>
      </c>
      <c r="L57" s="770">
        <f t="shared" si="26"/>
        <v>686153.77199449437</v>
      </c>
      <c r="M57" s="519"/>
      <c r="O57" s="421"/>
      <c r="P57" s="37" t="s">
        <v>118</v>
      </c>
      <c r="Q57" s="37" t="s">
        <v>118</v>
      </c>
    </row>
    <row r="58" spans="1:19">
      <c r="A58" s="424">
        <f>ROW()</f>
        <v>58</v>
      </c>
      <c r="B58" s="220" t="s">
        <v>164</v>
      </c>
      <c r="C58" s="518"/>
      <c r="D58" s="518"/>
      <c r="E58" s="518"/>
      <c r="F58" s="772"/>
      <c r="G58" s="770">
        <f t="shared" ref="G58:L58" si="27">+G57+F58</f>
        <v>-140825.82304347795</v>
      </c>
      <c r="H58" s="770">
        <f t="shared" si="27"/>
        <v>-3724.4094357101712</v>
      </c>
      <c r="I58" s="770">
        <f t="shared" si="27"/>
        <v>216185.89716581604</v>
      </c>
      <c r="J58" s="770">
        <f t="shared" si="27"/>
        <v>836692.03099343623</v>
      </c>
      <c r="K58" s="770">
        <f t="shared" si="27"/>
        <v>1529617.9650856771</v>
      </c>
      <c r="L58" s="770">
        <f t="shared" si="27"/>
        <v>2215771.7370801717</v>
      </c>
      <c r="M58" s="519"/>
      <c r="O58" s="421"/>
      <c r="P58" s="37" t="s">
        <v>118</v>
      </c>
      <c r="Q58" s="37" t="s">
        <v>118</v>
      </c>
    </row>
    <row r="59" spans="1:19">
      <c r="A59" s="424">
        <f>ROW()</f>
        <v>59</v>
      </c>
      <c r="B59" s="220"/>
      <c r="C59" s="518"/>
      <c r="D59" s="518"/>
      <c r="E59" s="518"/>
      <c r="F59" s="772"/>
      <c r="G59" s="772"/>
      <c r="H59" s="772"/>
      <c r="I59" s="772"/>
      <c r="J59" s="772"/>
      <c r="K59" s="772"/>
      <c r="L59" s="772"/>
      <c r="M59" s="519"/>
      <c r="O59" s="421"/>
      <c r="P59" s="37" t="s">
        <v>118</v>
      </c>
      <c r="Q59" s="37" t="s">
        <v>118</v>
      </c>
    </row>
    <row r="60" spans="1:19" ht="18">
      <c r="A60" s="424">
        <f>ROW()</f>
        <v>60</v>
      </c>
      <c r="B60" s="1157" t="s">
        <v>165</v>
      </c>
      <c r="C60" s="1158"/>
      <c r="D60" s="1158"/>
      <c r="E60" s="1158"/>
      <c r="F60" s="1159" t="str">
        <f t="shared" ref="F60:L60" si="28">F6</f>
        <v>SY 0/Incu</v>
      </c>
      <c r="G60" s="1160">
        <f t="shared" si="28"/>
        <v>1</v>
      </c>
      <c r="H60" s="1160">
        <f t="shared" si="28"/>
        <v>2</v>
      </c>
      <c r="I60" s="1160">
        <f t="shared" si="28"/>
        <v>3</v>
      </c>
      <c r="J60" s="1160">
        <f t="shared" si="28"/>
        <v>4</v>
      </c>
      <c r="K60" s="1160">
        <f t="shared" si="28"/>
        <v>5</v>
      </c>
      <c r="L60" s="1160">
        <f t="shared" si="28"/>
        <v>6</v>
      </c>
      <c r="M60" s="519"/>
      <c r="O60" s="421"/>
      <c r="P60" s="37" t="s">
        <v>118</v>
      </c>
      <c r="Q60" s="37" t="s">
        <v>118</v>
      </c>
    </row>
    <row r="61" spans="1:19">
      <c r="A61" s="424">
        <f>ROW()</f>
        <v>61</v>
      </c>
      <c r="B61" s="144" t="s">
        <v>166</v>
      </c>
      <c r="C61" s="144"/>
      <c r="D61" s="144"/>
      <c r="E61" s="144"/>
      <c r="F61" s="773"/>
      <c r="G61" s="774">
        <f>IFERROR(+G47/G89,0)</f>
        <v>3.1655363389002726</v>
      </c>
      <c r="H61" s="774">
        <f t="shared" ref="H61:L61" si="29">IFERROR(+H47/H89,0)</f>
        <v>11.897744238148132</v>
      </c>
      <c r="I61" s="774">
        <f t="shared" si="29"/>
        <v>18.469411416579231</v>
      </c>
      <c r="J61" s="774">
        <f t="shared" si="29"/>
        <v>52.014721067802505</v>
      </c>
      <c r="K61" s="774">
        <f t="shared" si="29"/>
        <v>57.321795209424458</v>
      </c>
      <c r="L61" s="774">
        <f t="shared" si="29"/>
        <v>56.761573012804561</v>
      </c>
      <c r="M61" s="522"/>
      <c r="O61" s="421"/>
      <c r="P61" s="37" t="s">
        <v>118</v>
      </c>
      <c r="Q61" s="37" t="s">
        <v>118</v>
      </c>
    </row>
    <row r="62" spans="1:19">
      <c r="A62" s="424">
        <f>ROW()</f>
        <v>62</v>
      </c>
      <c r="B62" s="37" t="s">
        <v>167</v>
      </c>
      <c r="F62" s="775"/>
      <c r="G62" s="965">
        <f>IFERROR(+G61/G66,0)</f>
        <v>2.1103575592668483E-2</v>
      </c>
      <c r="H62" s="965">
        <f t="shared" ref="H62:L62" si="30">IFERROR(+H61/H66,0)</f>
        <v>4.4065719400548639E-2</v>
      </c>
      <c r="I62" s="965">
        <f t="shared" si="30"/>
        <v>5.8633052116124539E-2</v>
      </c>
      <c r="J62" s="965">
        <f t="shared" si="30"/>
        <v>0.1444853362994514</v>
      </c>
      <c r="K62" s="965">
        <f t="shared" si="30"/>
        <v>0.15922720891506795</v>
      </c>
      <c r="L62" s="965">
        <f t="shared" si="30"/>
        <v>0.15767103614667935</v>
      </c>
      <c r="M62" s="523"/>
      <c r="O62" s="421"/>
      <c r="P62" s="37" t="s">
        <v>118</v>
      </c>
      <c r="Q62" s="37" t="s">
        <v>118</v>
      </c>
    </row>
    <row r="63" spans="1:19">
      <c r="A63" s="424">
        <f>ROW()</f>
        <v>63</v>
      </c>
      <c r="B63" s="144" t="s">
        <v>168</v>
      </c>
      <c r="C63" s="524"/>
      <c r="D63" s="524"/>
      <c r="E63" s="524"/>
      <c r="F63" s="428">
        <f>F47+E63</f>
        <v>-20066</v>
      </c>
      <c r="G63" s="428">
        <f>G47+F63</f>
        <v>19108.176956522046</v>
      </c>
      <c r="H63" s="428">
        <f>+G63+H47</f>
        <v>156209.59056428983</v>
      </c>
      <c r="I63" s="428">
        <f>H63+I47</f>
        <v>376119.89716581604</v>
      </c>
      <c r="J63" s="428">
        <f>I63+J47</f>
        <v>996626.03099343623</v>
      </c>
      <c r="K63" s="428">
        <f>J63+K47</f>
        <v>1689551.9650856771</v>
      </c>
      <c r="L63" s="428">
        <f>K63+L47</f>
        <v>2375705.7370801717</v>
      </c>
      <c r="M63" s="51"/>
      <c r="O63" s="421"/>
      <c r="P63" s="37" t="s">
        <v>118</v>
      </c>
      <c r="Q63" s="37" t="s">
        <v>118</v>
      </c>
      <c r="S63" s="425"/>
    </row>
    <row r="64" spans="1:19">
      <c r="A64" s="424">
        <f>ROW()</f>
        <v>64</v>
      </c>
      <c r="B64" s="37" t="s">
        <v>169</v>
      </c>
      <c r="C64" s="51"/>
      <c r="D64" s="51"/>
      <c r="E64" s="51"/>
      <c r="F64" s="776"/>
      <c r="G64" s="777">
        <f>IFERROR(+G63/G45,0)</f>
        <v>1.0515711820762302E-2</v>
      </c>
      <c r="H64" s="777">
        <f t="shared" ref="H64:L64" si="31">IFERROR(+H63/H45,0)</f>
        <v>5.2521677662706316E-2</v>
      </c>
      <c r="I64" s="777">
        <f t="shared" si="31"/>
        <v>0.10652812439098816</v>
      </c>
      <c r="J64" s="777">
        <f t="shared" si="31"/>
        <v>0.27125794214220167</v>
      </c>
      <c r="K64" s="777">
        <f t="shared" si="31"/>
        <v>0.46176750886366263</v>
      </c>
      <c r="L64" s="777">
        <f t="shared" si="31"/>
        <v>0.64809904067525315</v>
      </c>
      <c r="M64" s="51"/>
      <c r="O64" s="421"/>
      <c r="P64" s="37" t="s">
        <v>118</v>
      </c>
      <c r="Q64" s="37" t="s">
        <v>118</v>
      </c>
    </row>
    <row r="65" spans="1:17">
      <c r="A65" s="424">
        <f>ROW()</f>
        <v>65</v>
      </c>
      <c r="F65" s="611"/>
      <c r="G65" s="611"/>
      <c r="H65" s="611"/>
      <c r="I65" s="611"/>
      <c r="J65" s="611"/>
      <c r="K65" s="611"/>
      <c r="L65" s="611"/>
      <c r="O65" s="421"/>
      <c r="P65" s="37" t="s">
        <v>118</v>
      </c>
      <c r="Q65" s="37" t="s">
        <v>118</v>
      </c>
    </row>
    <row r="66" spans="1:17">
      <c r="A66" s="424">
        <f>ROW()</f>
        <v>66</v>
      </c>
      <c r="B66" s="525" t="s">
        <v>120</v>
      </c>
      <c r="C66" s="867">
        <f t="shared" ref="C66:C67" si="32">MAX(F66:L66)</f>
        <v>360</v>
      </c>
      <c r="D66" s="581"/>
      <c r="E66" s="383"/>
      <c r="F66" s="429">
        <f>' Enrol &amp; Rev'!G34</f>
        <v>0</v>
      </c>
      <c r="G66" s="429">
        <f>' Enrol &amp; Rev'!H34</f>
        <v>150</v>
      </c>
      <c r="H66" s="429">
        <f>' Enrol &amp; Rev'!I34</f>
        <v>270</v>
      </c>
      <c r="I66" s="429">
        <f>' Enrol &amp; Rev'!J34</f>
        <v>315</v>
      </c>
      <c r="J66" s="429">
        <f>' Enrol &amp; Rev'!K34</f>
        <v>360</v>
      </c>
      <c r="K66" s="429">
        <f>' Enrol &amp; Rev'!L34</f>
        <v>360</v>
      </c>
      <c r="L66" s="429">
        <f>' Enrol &amp; Rev'!M34</f>
        <v>360</v>
      </c>
      <c r="O66" s="421"/>
      <c r="P66" s="37" t="s">
        <v>118</v>
      </c>
      <c r="Q66" s="37" t="s">
        <v>118</v>
      </c>
    </row>
    <row r="67" spans="1:17">
      <c r="A67" s="424">
        <f>ROW()</f>
        <v>67</v>
      </c>
      <c r="B67" s="124" t="s">
        <v>170</v>
      </c>
      <c r="C67" s="868">
        <f t="shared" si="32"/>
        <v>28</v>
      </c>
      <c r="D67" s="582"/>
      <c r="E67" s="57"/>
      <c r="F67" s="778">
        <f>Staff!G21</f>
        <v>0</v>
      </c>
      <c r="G67" s="778">
        <f>Staff!H21</f>
        <v>11</v>
      </c>
      <c r="H67" s="778">
        <f>Staff!I21</f>
        <v>22.5</v>
      </c>
      <c r="I67" s="778">
        <f>Staff!J21</f>
        <v>28</v>
      </c>
      <c r="J67" s="778">
        <f>Staff!K21</f>
        <v>28</v>
      </c>
      <c r="K67" s="778">
        <f>Staff!L21</f>
        <v>28</v>
      </c>
      <c r="L67" s="778">
        <f>Staff!M21</f>
        <v>28</v>
      </c>
      <c r="O67" s="421"/>
      <c r="P67" s="37" t="s">
        <v>118</v>
      </c>
      <c r="Q67" s="37" t="s">
        <v>118</v>
      </c>
    </row>
    <row r="68" spans="1:17">
      <c r="A68" s="424">
        <f>ROW()</f>
        <v>68</v>
      </c>
      <c r="B68" s="509" t="s">
        <v>171</v>
      </c>
      <c r="C68" s="866">
        <f>MAX(F68:L68)</f>
        <v>388</v>
      </c>
      <c r="D68" s="581"/>
      <c r="E68" s="383"/>
      <c r="F68" s="429">
        <f t="shared" ref="F68:L68" si="33">SUM(F66:F67)</f>
        <v>0</v>
      </c>
      <c r="G68" s="429">
        <f t="shared" si="33"/>
        <v>161</v>
      </c>
      <c r="H68" s="429">
        <f t="shared" si="33"/>
        <v>292.5</v>
      </c>
      <c r="I68" s="429">
        <f t="shared" si="33"/>
        <v>343</v>
      </c>
      <c r="J68" s="429">
        <f t="shared" si="33"/>
        <v>388</v>
      </c>
      <c r="K68" s="429">
        <f t="shared" si="33"/>
        <v>388</v>
      </c>
      <c r="L68" s="429">
        <f t="shared" si="33"/>
        <v>388</v>
      </c>
      <c r="O68" s="421"/>
      <c r="P68" s="37" t="s">
        <v>118</v>
      </c>
      <c r="Q68" s="37" t="s">
        <v>118</v>
      </c>
    </row>
    <row r="69" spans="1:17">
      <c r="A69" s="424">
        <f>ROW()</f>
        <v>69</v>
      </c>
      <c r="B69" s="526" t="s">
        <v>172</v>
      </c>
      <c r="C69" s="866"/>
      <c r="D69" s="61"/>
      <c r="E69" s="57"/>
      <c r="F69" s="159"/>
      <c r="G69" s="159"/>
      <c r="H69" s="777">
        <f>IFERROR(+H66/G66-1,0)</f>
        <v>0.8</v>
      </c>
      <c r="I69" s="777">
        <f t="shared" ref="I69:L69" si="34">IFERROR(+I66/H66-1,0)</f>
        <v>0.16666666666666674</v>
      </c>
      <c r="J69" s="777">
        <f t="shared" si="34"/>
        <v>0.14285714285714279</v>
      </c>
      <c r="K69" s="777">
        <f t="shared" si="34"/>
        <v>0</v>
      </c>
      <c r="L69" s="777">
        <f t="shared" si="34"/>
        <v>0</v>
      </c>
      <c r="O69" s="421"/>
      <c r="P69" s="37" t="s">
        <v>118</v>
      </c>
      <c r="Q69" s="37" t="s">
        <v>118</v>
      </c>
    </row>
    <row r="70" spans="1:17">
      <c r="A70" s="424">
        <f>ROW()</f>
        <v>70</v>
      </c>
      <c r="B70" s="510" t="s">
        <v>173</v>
      </c>
      <c r="C70" s="866">
        <f t="shared" ref="C70:C72" si="35">MAX(F70:L70)</f>
        <v>3.5</v>
      </c>
      <c r="D70" s="582"/>
      <c r="E70" s="57"/>
      <c r="F70" s="159">
        <f>+Staff!G101</f>
        <v>0</v>
      </c>
      <c r="G70" s="159">
        <f>+Staff!H101</f>
        <v>1</v>
      </c>
      <c r="H70" s="159">
        <f>+Staff!I101</f>
        <v>2.5</v>
      </c>
      <c r="I70" s="159">
        <f>+Staff!J101</f>
        <v>3.5</v>
      </c>
      <c r="J70" s="159">
        <f>+Staff!K101</f>
        <v>3.5</v>
      </c>
      <c r="K70" s="159">
        <f>+Staff!L101</f>
        <v>3.5</v>
      </c>
      <c r="L70" s="159">
        <f>+Staff!M101</f>
        <v>3.5</v>
      </c>
      <c r="O70" s="421"/>
      <c r="P70" s="37" t="s">
        <v>118</v>
      </c>
      <c r="Q70" s="37" t="s">
        <v>118</v>
      </c>
    </row>
    <row r="71" spans="1:17">
      <c r="A71" s="424">
        <f>ROW()</f>
        <v>71</v>
      </c>
      <c r="B71" s="510" t="s">
        <v>174</v>
      </c>
      <c r="C71" s="866">
        <f t="shared" si="35"/>
        <v>2.5</v>
      </c>
      <c r="D71" s="582"/>
      <c r="E71" s="57"/>
      <c r="F71" s="159">
        <f>+Staff!G113</f>
        <v>0</v>
      </c>
      <c r="G71" s="159">
        <f>+Staff!H113</f>
        <v>0.5</v>
      </c>
      <c r="H71" s="159">
        <f>+Staff!I113</f>
        <v>2</v>
      </c>
      <c r="I71" s="159">
        <f>+Staff!J113</f>
        <v>2.5</v>
      </c>
      <c r="J71" s="159">
        <f>+Staff!K113</f>
        <v>2.5</v>
      </c>
      <c r="K71" s="159">
        <f>+Staff!L113</f>
        <v>2.5</v>
      </c>
      <c r="L71" s="159">
        <f>+Staff!M113</f>
        <v>2.5</v>
      </c>
      <c r="O71" s="421"/>
      <c r="P71" s="37" t="s">
        <v>118</v>
      </c>
      <c r="Q71" s="37" t="s">
        <v>118</v>
      </c>
    </row>
    <row r="72" spans="1:17">
      <c r="A72" s="424">
        <f>ROW()</f>
        <v>72</v>
      </c>
      <c r="B72" s="510" t="s">
        <v>175</v>
      </c>
      <c r="C72" s="866">
        <f t="shared" si="35"/>
        <v>17.5</v>
      </c>
      <c r="D72" s="582"/>
      <c r="E72" s="57"/>
      <c r="F72" s="159">
        <f>+Staff!G229</f>
        <v>0</v>
      </c>
      <c r="G72" s="159">
        <f>+Staff!H229</f>
        <v>7</v>
      </c>
      <c r="H72" s="159">
        <f>+Staff!I229</f>
        <v>13.5</v>
      </c>
      <c r="I72" s="159">
        <f>+Staff!J229</f>
        <v>17.5</v>
      </c>
      <c r="J72" s="159">
        <f>+Staff!K229</f>
        <v>17.5</v>
      </c>
      <c r="K72" s="159">
        <f>+Staff!L229</f>
        <v>17.5</v>
      </c>
      <c r="L72" s="159">
        <f>+Staff!M229</f>
        <v>17.5</v>
      </c>
      <c r="O72" s="421"/>
      <c r="P72" s="37" t="s">
        <v>118</v>
      </c>
      <c r="Q72" s="37" t="s">
        <v>118</v>
      </c>
    </row>
    <row r="73" spans="1:17">
      <c r="A73" s="424">
        <f>ROW()</f>
        <v>73</v>
      </c>
      <c r="B73" s="1517" t="s">
        <v>176</v>
      </c>
      <c r="C73" s="869">
        <f t="shared" ref="C73:C81" si="36">MAX(G73:L73)</f>
        <v>23.5</v>
      </c>
      <c r="D73" s="581"/>
      <c r="E73" s="1518"/>
      <c r="F73" s="429">
        <f>SUM(F70:F72)</f>
        <v>0</v>
      </c>
      <c r="G73" s="429">
        <f t="shared" ref="G73:L73" si="37">SUM(G70:G72)</f>
        <v>8.5</v>
      </c>
      <c r="H73" s="429">
        <f t="shared" si="37"/>
        <v>18</v>
      </c>
      <c r="I73" s="429">
        <f t="shared" si="37"/>
        <v>23.5</v>
      </c>
      <c r="J73" s="429">
        <f t="shared" si="37"/>
        <v>23.5</v>
      </c>
      <c r="K73" s="429">
        <f t="shared" si="37"/>
        <v>23.5</v>
      </c>
      <c r="L73" s="429">
        <f t="shared" si="37"/>
        <v>23.5</v>
      </c>
      <c r="O73" s="421"/>
      <c r="P73" s="37" t="s">
        <v>118</v>
      </c>
      <c r="Q73" s="37" t="s">
        <v>118</v>
      </c>
    </row>
    <row r="74" spans="1:17">
      <c r="A74" s="424">
        <f>ROW()</f>
        <v>74</v>
      </c>
      <c r="B74" s="525" t="s">
        <v>177</v>
      </c>
      <c r="C74" s="866">
        <f t="shared" si="36"/>
        <v>17.647058823529413</v>
      </c>
      <c r="D74" s="581"/>
      <c r="E74" s="383"/>
      <c r="F74" s="773"/>
      <c r="G74" s="773">
        <f>IFERROR(+G66/G73,0)</f>
        <v>17.647058823529413</v>
      </c>
      <c r="H74" s="773">
        <f t="shared" ref="H74:L74" si="38">IFERROR(+H66/H73,0)</f>
        <v>15</v>
      </c>
      <c r="I74" s="773">
        <f t="shared" si="38"/>
        <v>13.404255319148936</v>
      </c>
      <c r="J74" s="773">
        <f t="shared" si="38"/>
        <v>15.319148936170214</v>
      </c>
      <c r="K74" s="773">
        <f t="shared" si="38"/>
        <v>15.319148936170214</v>
      </c>
      <c r="L74" s="773">
        <f t="shared" si="38"/>
        <v>15.319148936170214</v>
      </c>
      <c r="O74" s="421"/>
      <c r="P74" s="37" t="s">
        <v>118</v>
      </c>
      <c r="Q74" s="37" t="s">
        <v>118</v>
      </c>
    </row>
    <row r="75" spans="1:17">
      <c r="A75" s="424">
        <f>ROW()</f>
        <v>75</v>
      </c>
      <c r="B75" s="124" t="s">
        <v>178</v>
      </c>
      <c r="C75" s="866"/>
      <c r="D75" s="61"/>
      <c r="E75" s="57"/>
      <c r="F75" s="616"/>
      <c r="G75" s="616">
        <f>' Enrol &amp; Rev'!H19</f>
        <v>25</v>
      </c>
      <c r="H75" s="616">
        <f>' Enrol &amp; Rev'!I19</f>
        <v>27</v>
      </c>
      <c r="I75" s="616">
        <f>' Enrol &amp; Rev'!J19</f>
        <v>21</v>
      </c>
      <c r="J75" s="616">
        <f>' Enrol &amp; Rev'!K19</f>
        <v>18.94736842105263</v>
      </c>
      <c r="K75" s="616">
        <f>' Enrol &amp; Rev'!L19</f>
        <v>18.94736842105263</v>
      </c>
      <c r="L75" s="616">
        <f>' Enrol &amp; Rev'!M19</f>
        <v>18.94736842105263</v>
      </c>
      <c r="O75" s="421"/>
      <c r="P75" s="37" t="s">
        <v>118</v>
      </c>
      <c r="Q75" s="37" t="s">
        <v>118</v>
      </c>
    </row>
    <row r="76" spans="1:17">
      <c r="A76" s="424">
        <f>ROW()</f>
        <v>76</v>
      </c>
      <c r="B76" s="510" t="s">
        <v>179</v>
      </c>
      <c r="C76" s="866">
        <f t="shared" si="36"/>
        <v>2.5</v>
      </c>
      <c r="D76" s="582"/>
      <c r="E76" s="57"/>
      <c r="F76" s="159">
        <f>+Staff!G81</f>
        <v>0</v>
      </c>
      <c r="G76" s="159">
        <f>+Staff!H81</f>
        <v>2.5</v>
      </c>
      <c r="H76" s="159">
        <f>+Staff!I81</f>
        <v>2.5</v>
      </c>
      <c r="I76" s="159">
        <f>+Staff!J81</f>
        <v>2.5</v>
      </c>
      <c r="J76" s="159">
        <f>+Staff!K81</f>
        <v>2.5</v>
      </c>
      <c r="K76" s="159">
        <f>+Staff!L81</f>
        <v>2.5</v>
      </c>
      <c r="L76" s="159">
        <f>+Staff!M81</f>
        <v>2.5</v>
      </c>
      <c r="O76" s="421"/>
      <c r="P76" s="37" t="s">
        <v>118</v>
      </c>
      <c r="Q76" s="37" t="s">
        <v>118</v>
      </c>
    </row>
    <row r="77" spans="1:17">
      <c r="A77" s="424">
        <f>ROW()</f>
        <v>77</v>
      </c>
      <c r="B77" s="509" t="s">
        <v>180</v>
      </c>
      <c r="C77" s="867">
        <f t="shared" si="36"/>
        <v>144</v>
      </c>
      <c r="D77" s="581"/>
      <c r="E77" s="383"/>
      <c r="F77" s="429">
        <f>IFERROR(F66/F76,0)</f>
        <v>0</v>
      </c>
      <c r="G77" s="429">
        <f>IFERROR(+G66/G76,0)</f>
        <v>60</v>
      </c>
      <c r="H77" s="429">
        <f t="shared" ref="H77:L77" si="39">IFERROR(+H66/H76,0)</f>
        <v>108</v>
      </c>
      <c r="I77" s="429">
        <f t="shared" si="39"/>
        <v>126</v>
      </c>
      <c r="J77" s="429">
        <f t="shared" si="39"/>
        <v>144</v>
      </c>
      <c r="K77" s="429">
        <f t="shared" si="39"/>
        <v>144</v>
      </c>
      <c r="L77" s="429">
        <f t="shared" si="39"/>
        <v>144</v>
      </c>
      <c r="O77" s="421"/>
      <c r="P77" s="37" t="s">
        <v>118</v>
      </c>
      <c r="Q77" s="37" t="s">
        <v>118</v>
      </c>
    </row>
    <row r="78" spans="1:17">
      <c r="A78" s="424">
        <f>ROW()</f>
        <v>78</v>
      </c>
      <c r="B78" s="510" t="s">
        <v>181</v>
      </c>
      <c r="C78" s="866">
        <f t="shared" si="36"/>
        <v>9.4</v>
      </c>
      <c r="D78" s="582"/>
      <c r="E78" s="57"/>
      <c r="F78" s="159">
        <f>IFERROR(F73/F76,0)</f>
        <v>0</v>
      </c>
      <c r="G78" s="159">
        <f>IFERROR(+G73/G76,0)</f>
        <v>3.4</v>
      </c>
      <c r="H78" s="159">
        <f t="shared" ref="H78:L78" si="40">IFERROR(+H73/H76,0)</f>
        <v>7.2</v>
      </c>
      <c r="I78" s="159">
        <f t="shared" si="40"/>
        <v>9.4</v>
      </c>
      <c r="J78" s="159">
        <f t="shared" si="40"/>
        <v>9.4</v>
      </c>
      <c r="K78" s="159">
        <f t="shared" si="40"/>
        <v>9.4</v>
      </c>
      <c r="L78" s="159">
        <f t="shared" si="40"/>
        <v>9.4</v>
      </c>
      <c r="O78" s="421"/>
      <c r="P78" s="37" t="s">
        <v>118</v>
      </c>
      <c r="Q78" s="37" t="s">
        <v>118</v>
      </c>
    </row>
    <row r="79" spans="1:17">
      <c r="A79" s="424">
        <f>ROW()</f>
        <v>79</v>
      </c>
      <c r="B79" s="510" t="s">
        <v>182</v>
      </c>
      <c r="C79" s="868">
        <f t="shared" si="36"/>
        <v>3.5</v>
      </c>
      <c r="D79" s="582"/>
      <c r="E79" s="57"/>
      <c r="F79" s="159">
        <f>+Staff!G89</f>
        <v>0</v>
      </c>
      <c r="G79" s="159">
        <f>+Staff!H89</f>
        <v>2.5</v>
      </c>
      <c r="H79" s="159">
        <f>+Staff!I89</f>
        <v>3.5</v>
      </c>
      <c r="I79" s="159">
        <f>+Staff!J89</f>
        <v>3.5</v>
      </c>
      <c r="J79" s="159">
        <f>+Staff!K89</f>
        <v>3.5</v>
      </c>
      <c r="K79" s="159">
        <f>+Staff!L89</f>
        <v>3.5</v>
      </c>
      <c r="L79" s="159">
        <f>+Staff!M89</f>
        <v>3.5</v>
      </c>
      <c r="O79" s="421"/>
      <c r="P79" s="37" t="s">
        <v>118</v>
      </c>
      <c r="Q79" s="37" t="s">
        <v>118</v>
      </c>
    </row>
    <row r="80" spans="1:17">
      <c r="A80" s="424">
        <f>ROW()</f>
        <v>80</v>
      </c>
      <c r="B80" s="509" t="s">
        <v>183</v>
      </c>
      <c r="C80" s="866">
        <f t="shared" si="36"/>
        <v>102.85714285714286</v>
      </c>
      <c r="D80" s="581"/>
      <c r="E80" s="383"/>
      <c r="F80" s="429"/>
      <c r="G80" s="429">
        <f>IFERROR(+G66/G79,0)</f>
        <v>60</v>
      </c>
      <c r="H80" s="429">
        <f t="shared" ref="H80:L80" si="41">IFERROR(+H66/H79,0)</f>
        <v>77.142857142857139</v>
      </c>
      <c r="I80" s="429">
        <f t="shared" si="41"/>
        <v>90</v>
      </c>
      <c r="J80" s="429">
        <f t="shared" si="41"/>
        <v>102.85714285714286</v>
      </c>
      <c r="K80" s="429">
        <f t="shared" si="41"/>
        <v>102.85714285714286</v>
      </c>
      <c r="L80" s="429">
        <f t="shared" si="41"/>
        <v>102.85714285714286</v>
      </c>
      <c r="O80" s="421"/>
      <c r="P80" s="37" t="s">
        <v>118</v>
      </c>
      <c r="Q80" s="37" t="s">
        <v>118</v>
      </c>
    </row>
    <row r="81" spans="1:17">
      <c r="A81" s="424">
        <f>ROW()</f>
        <v>81</v>
      </c>
      <c r="B81" s="510" t="s">
        <v>184</v>
      </c>
      <c r="C81" s="866">
        <f t="shared" si="36"/>
        <v>6.7142857142857144</v>
      </c>
      <c r="D81" s="582"/>
      <c r="E81" s="57"/>
      <c r="F81" s="616"/>
      <c r="G81" s="159">
        <f>IFERROR(+G73/G79,0)</f>
        <v>3.4</v>
      </c>
      <c r="H81" s="159">
        <f t="shared" ref="H81:L81" si="42">IFERROR(+H73/H79,0)</f>
        <v>5.1428571428571432</v>
      </c>
      <c r="I81" s="159">
        <f t="shared" si="42"/>
        <v>6.7142857142857144</v>
      </c>
      <c r="J81" s="159">
        <f t="shared" si="42"/>
        <v>6.7142857142857144</v>
      </c>
      <c r="K81" s="159">
        <f t="shared" si="42"/>
        <v>6.7142857142857144</v>
      </c>
      <c r="L81" s="159">
        <f t="shared" si="42"/>
        <v>6.7142857142857144</v>
      </c>
      <c r="O81" s="421"/>
      <c r="P81" s="37" t="s">
        <v>118</v>
      </c>
      <c r="Q81" s="37" t="s">
        <v>118</v>
      </c>
    </row>
    <row r="82" spans="1:17">
      <c r="A82" s="424">
        <f>ROW()</f>
        <v>82</v>
      </c>
      <c r="B82" s="510" t="s">
        <v>185</v>
      </c>
      <c r="C82" s="583">
        <f t="shared" ref="C82:C87" si="43">AVERAGE(G82:L82)</f>
        <v>94000</v>
      </c>
      <c r="D82" s="583"/>
      <c r="E82" s="125"/>
      <c r="F82" s="150"/>
      <c r="G82" s="150">
        <f>IFERROR(+Staff!H240/G76,0)</f>
        <v>94000</v>
      </c>
      <c r="H82" s="150">
        <f>IFERROR(+Staff!I240/H76,0)</f>
        <v>94000</v>
      </c>
      <c r="I82" s="150">
        <f>IFERROR(+Staff!J240/I76,0)</f>
        <v>94000</v>
      </c>
      <c r="J82" s="150">
        <f>IFERROR(+Staff!K240/J76,0)</f>
        <v>94000</v>
      </c>
      <c r="K82" s="150">
        <f>IFERROR(+Staff!L240/K76,0)</f>
        <v>94000</v>
      </c>
      <c r="L82" s="150">
        <f>IFERROR(+Staff!M240/L76,0)</f>
        <v>94000</v>
      </c>
      <c r="O82" s="421"/>
      <c r="P82" s="37" t="s">
        <v>118</v>
      </c>
      <c r="Q82" s="37" t="s">
        <v>118</v>
      </c>
    </row>
    <row r="83" spans="1:17">
      <c r="A83" s="424">
        <f>ROW()</f>
        <v>83</v>
      </c>
      <c r="B83" s="510" t="s">
        <v>186</v>
      </c>
      <c r="C83" s="583">
        <f t="shared" si="43"/>
        <v>9523.8095238095248</v>
      </c>
      <c r="D83" s="583"/>
      <c r="E83" s="57"/>
      <c r="F83" s="159"/>
      <c r="G83" s="159">
        <f>IFERROR(+Staff!H247/G79,0)</f>
        <v>0</v>
      </c>
      <c r="H83" s="159">
        <f>IFERROR(+Staff!I247/H79,0)</f>
        <v>11428.571428571429</v>
      </c>
      <c r="I83" s="159">
        <f>IFERROR(+Staff!J247/I79,0)</f>
        <v>11428.571428571429</v>
      </c>
      <c r="J83" s="159">
        <f>IFERROR(+Staff!K247/J79,0)</f>
        <v>11428.571428571429</v>
      </c>
      <c r="K83" s="159">
        <f>IFERROR(+Staff!L247/K79,0)</f>
        <v>11428.571428571429</v>
      </c>
      <c r="L83" s="159">
        <f>IFERROR(+Staff!M247/L79,0)</f>
        <v>11428.571428571429</v>
      </c>
      <c r="O83" s="421"/>
      <c r="P83" s="37" t="s">
        <v>118</v>
      </c>
      <c r="Q83" s="37" t="s">
        <v>118</v>
      </c>
    </row>
    <row r="84" spans="1:17">
      <c r="A84" s="424">
        <f>ROW()</f>
        <v>84</v>
      </c>
      <c r="B84" s="510" t="s">
        <v>187</v>
      </c>
      <c r="C84" s="583">
        <f t="shared" si="43"/>
        <v>48238.095238095229</v>
      </c>
      <c r="D84" s="583"/>
      <c r="E84" s="57"/>
      <c r="F84" s="159"/>
      <c r="G84" s="159">
        <f>IFERROR(+Staff!H262/G70,0)</f>
        <v>50000</v>
      </c>
      <c r="H84" s="159">
        <f>IFERROR(+Staff!I262/H70,0)</f>
        <v>48000</v>
      </c>
      <c r="I84" s="159">
        <f>IFERROR(+Staff!J262/I70,0)</f>
        <v>47857.142857142855</v>
      </c>
      <c r="J84" s="159">
        <f>IFERROR(+Staff!K262/J70,0)</f>
        <v>47857.142857142855</v>
      </c>
      <c r="K84" s="159">
        <f>IFERROR(+Staff!L262/K70,0)</f>
        <v>47857.142857142855</v>
      </c>
      <c r="L84" s="159">
        <f>IFERROR(+Staff!M262/L70,0)</f>
        <v>47857.142857142855</v>
      </c>
      <c r="O84" s="421"/>
      <c r="P84" s="37" t="s">
        <v>118</v>
      </c>
      <c r="Q84" s="37" t="s">
        <v>118</v>
      </c>
    </row>
    <row r="85" spans="1:17">
      <c r="A85" s="424">
        <f>ROW()</f>
        <v>85</v>
      </c>
      <c r="B85" s="510" t="s">
        <v>188</v>
      </c>
      <c r="C85" s="583">
        <f t="shared" si="43"/>
        <v>45000</v>
      </c>
      <c r="D85" s="583"/>
      <c r="E85" s="57"/>
      <c r="F85" s="159"/>
      <c r="G85" s="159">
        <f>IFERROR(Staff!H274/G71,0)</f>
        <v>45000</v>
      </c>
      <c r="H85" s="159">
        <f>IFERROR(Staff!I274/H71,0)</f>
        <v>45000</v>
      </c>
      <c r="I85" s="159">
        <f>IFERROR(Staff!J274/I71,0)</f>
        <v>45000</v>
      </c>
      <c r="J85" s="159">
        <f>IFERROR(Staff!K274/J71,0)</f>
        <v>45000</v>
      </c>
      <c r="K85" s="159">
        <f>IFERROR(Staff!L274/K71,0)</f>
        <v>45000</v>
      </c>
      <c r="L85" s="159">
        <f>IFERROR(Staff!M274/L71,0)</f>
        <v>45000</v>
      </c>
      <c r="O85" s="421"/>
      <c r="P85" s="37" t="s">
        <v>118</v>
      </c>
      <c r="Q85" s="37" t="s">
        <v>118</v>
      </c>
    </row>
    <row r="86" spans="1:17">
      <c r="A86" s="424">
        <f>ROW()</f>
        <v>86</v>
      </c>
      <c r="B86" s="510" t="s">
        <v>189</v>
      </c>
      <c r="C86" s="583">
        <f t="shared" si="43"/>
        <v>46670.634920634919</v>
      </c>
      <c r="D86" s="583"/>
      <c r="E86" s="57"/>
      <c r="F86" s="159"/>
      <c r="G86" s="159">
        <f>IFERROR(Staff!H383/G72,0)</f>
        <v>48214.285714285717</v>
      </c>
      <c r="H86" s="159">
        <f>IFERROR(Staff!I383/H72,0)</f>
        <v>46666.666666666664</v>
      </c>
      <c r="I86" s="159">
        <f>IFERROR(Staff!J383/I72,0)</f>
        <v>46285.714285714283</v>
      </c>
      <c r="J86" s="159">
        <f>IFERROR(Staff!K383/J72,0)</f>
        <v>46285.714285714283</v>
      </c>
      <c r="K86" s="159">
        <f>IFERROR(Staff!L383/K72,0)</f>
        <v>46285.714285714283</v>
      </c>
      <c r="L86" s="159">
        <f>IFERROR(Staff!M383/L72,0)</f>
        <v>46285.714285714283</v>
      </c>
      <c r="O86" s="421"/>
      <c r="P86" s="37" t="s">
        <v>118</v>
      </c>
      <c r="Q86" s="37" t="s">
        <v>118</v>
      </c>
    </row>
    <row r="87" spans="1:17">
      <c r="A87" s="424">
        <f>ROW()</f>
        <v>87</v>
      </c>
      <c r="B87" s="510" t="s">
        <v>190</v>
      </c>
      <c r="C87" s="583">
        <f t="shared" si="43"/>
        <v>1005.1957133917398</v>
      </c>
      <c r="D87" s="583"/>
      <c r="E87" s="57"/>
      <c r="F87" s="159"/>
      <c r="G87" s="159">
        <f>IFERROR(+G16/G73,0)</f>
        <v>1156.7647058823529</v>
      </c>
      <c r="H87" s="159">
        <f t="shared" ref="H87:L87" si="44">IFERROR(+H16/H73,0)</f>
        <v>983.25</v>
      </c>
      <c r="I87" s="159">
        <f t="shared" si="44"/>
        <v>878.64893617021278</v>
      </c>
      <c r="J87" s="159">
        <f t="shared" si="44"/>
        <v>1004.1702127659574</v>
      </c>
      <c r="K87" s="159">
        <f t="shared" si="44"/>
        <v>1004.1702127659574</v>
      </c>
      <c r="L87" s="159">
        <f t="shared" si="44"/>
        <v>1004.1702127659574</v>
      </c>
      <c r="O87" s="421"/>
      <c r="P87" s="37" t="s">
        <v>118</v>
      </c>
      <c r="Q87" s="37" t="s">
        <v>118</v>
      </c>
    </row>
    <row r="88" spans="1:17">
      <c r="A88" s="424">
        <f>ROW()</f>
        <v>88</v>
      </c>
      <c r="B88" s="510"/>
      <c r="C88" s="527"/>
      <c r="D88" s="527"/>
      <c r="E88" s="57"/>
      <c r="F88" s="159"/>
      <c r="G88" s="159"/>
      <c r="H88" s="159"/>
      <c r="I88" s="159"/>
      <c r="J88" s="159"/>
      <c r="K88" s="159"/>
      <c r="L88" s="159"/>
      <c r="O88" s="421"/>
      <c r="P88" s="37" t="s">
        <v>118</v>
      </c>
      <c r="Q88" s="37" t="s">
        <v>118</v>
      </c>
    </row>
    <row r="89" spans="1:17">
      <c r="A89" s="424">
        <f>ROW()</f>
        <v>89</v>
      </c>
      <c r="B89" s="510" t="s">
        <v>191</v>
      </c>
      <c r="C89" s="583">
        <f>AVERAGE(G89:L89)</f>
        <v>11985.230939286781</v>
      </c>
      <c r="D89" s="583"/>
      <c r="E89" s="528"/>
      <c r="F89" s="779"/>
      <c r="G89" s="779">
        <f>IFERROR(G32/G66,0)</f>
        <v>12375.210000000001</v>
      </c>
      <c r="H89" s="779">
        <f>IFERROR(H32/H66,0)</f>
        <v>11523.311550787499</v>
      </c>
      <c r="I89" s="779">
        <f t="shared" ref="I89:L89" si="45">IFERROR(I32/I66,0)</f>
        <v>11906.730628357858</v>
      </c>
      <c r="J89" s="779">
        <f t="shared" si="45"/>
        <v>11929.433073740312</v>
      </c>
      <c r="K89" s="779">
        <f t="shared" si="45"/>
        <v>12088.350191417499</v>
      </c>
      <c r="L89" s="779">
        <f t="shared" si="45"/>
        <v>12088.350191417499</v>
      </c>
      <c r="O89" s="421"/>
      <c r="P89" s="37" t="s">
        <v>118</v>
      </c>
      <c r="Q89" s="37" t="s">
        <v>118</v>
      </c>
    </row>
    <row r="90" spans="1:17">
      <c r="A90" s="424">
        <f>ROW()</f>
        <v>90</v>
      </c>
      <c r="B90" s="510" t="s">
        <v>192</v>
      </c>
      <c r="C90" s="583">
        <f>AVERAGE(G90:L90)</f>
        <v>10814.984729051675</v>
      </c>
      <c r="D90" s="583"/>
      <c r="E90" s="528"/>
      <c r="F90" s="114"/>
      <c r="G90" s="114">
        <f>IFERROR(G45/G66,0)</f>
        <v>12114.048820289854</v>
      </c>
      <c r="H90" s="114">
        <f t="shared" ref="H90:L90" si="46">IFERROR(H45/H66,0)</f>
        <v>11015.528537425396</v>
      </c>
      <c r="I90" s="114">
        <f t="shared" si="46"/>
        <v>11208.602670892697</v>
      </c>
      <c r="J90" s="114">
        <f t="shared" si="46"/>
        <v>10205.804924219146</v>
      </c>
      <c r="K90" s="114">
        <f t="shared" si="46"/>
        <v>10163.555930050165</v>
      </c>
      <c r="L90" s="114">
        <f t="shared" si="46"/>
        <v>10182.367491432793</v>
      </c>
      <c r="O90" s="421"/>
      <c r="P90" s="37" t="s">
        <v>118</v>
      </c>
      <c r="Q90" s="37" t="s">
        <v>118</v>
      </c>
    </row>
    <row r="91" spans="1:17">
      <c r="A91" s="424">
        <f>ROW()</f>
        <v>91</v>
      </c>
      <c r="B91" s="1519" t="s">
        <v>193</v>
      </c>
      <c r="C91" s="584">
        <f>AVERAGE(G91:L91)</f>
        <v>1170.246210235103</v>
      </c>
      <c r="D91" s="584"/>
      <c r="E91" s="529"/>
      <c r="F91" s="1520"/>
      <c r="G91" s="1521">
        <f t="shared" ref="G91:L91" si="47">+G89-G90</f>
        <v>261.16117971014683</v>
      </c>
      <c r="H91" s="1521">
        <f t="shared" si="47"/>
        <v>507.78301336210279</v>
      </c>
      <c r="I91" s="1521">
        <f t="shared" si="47"/>
        <v>698.12795746516167</v>
      </c>
      <c r="J91" s="1521">
        <f t="shared" si="47"/>
        <v>1723.6281495211661</v>
      </c>
      <c r="K91" s="1521">
        <f t="shared" si="47"/>
        <v>1924.7942613673349</v>
      </c>
      <c r="L91" s="1520">
        <f t="shared" si="47"/>
        <v>1905.9826999847064</v>
      </c>
      <c r="O91" s="421"/>
      <c r="P91" s="37" t="s">
        <v>118</v>
      </c>
      <c r="Q91" s="37" t="s">
        <v>118</v>
      </c>
    </row>
    <row r="92" spans="1:17">
      <c r="A92" s="424">
        <f>ROW()</f>
        <v>92</v>
      </c>
      <c r="B92" s="510" t="s">
        <v>194</v>
      </c>
      <c r="C92" s="866">
        <f>MAX(G92:L92)</f>
        <v>29681</v>
      </c>
      <c r="D92" s="582"/>
      <c r="E92" s="57"/>
      <c r="F92" s="114"/>
      <c r="G92" s="114">
        <f>Facilities!G87</f>
        <v>19825</v>
      </c>
      <c r="H92" s="114">
        <f>Facilities!H87</f>
        <v>23000</v>
      </c>
      <c r="I92" s="114">
        <f>Facilities!I87</f>
        <v>26000</v>
      </c>
      <c r="J92" s="114">
        <f>Facilities!J87</f>
        <v>29681</v>
      </c>
      <c r="K92" s="114">
        <f>Facilities!K87</f>
        <v>29681</v>
      </c>
      <c r="L92" s="114">
        <f>Facilities!L87</f>
        <v>29681</v>
      </c>
      <c r="O92" s="421"/>
      <c r="P92" s="37" t="s">
        <v>118</v>
      </c>
      <c r="Q92" s="37" t="s">
        <v>118</v>
      </c>
    </row>
    <row r="93" spans="1:17">
      <c r="A93" s="424">
        <f>ROW()</f>
        <v>93</v>
      </c>
      <c r="B93" s="510" t="s">
        <v>195</v>
      </c>
      <c r="C93" s="585">
        <f>MIN(G93:L93)</f>
        <v>82.447222222222223</v>
      </c>
      <c r="D93" s="585"/>
      <c r="E93" s="57"/>
      <c r="F93" s="114"/>
      <c r="G93" s="114">
        <f>IFERROR(G92/G66,0)</f>
        <v>132.16666666666666</v>
      </c>
      <c r="H93" s="114">
        <f t="shared" ref="H93:L93" si="48">IFERROR(H92/H66,0)</f>
        <v>85.18518518518519</v>
      </c>
      <c r="I93" s="114">
        <f t="shared" si="48"/>
        <v>82.539682539682545</v>
      </c>
      <c r="J93" s="114">
        <f t="shared" si="48"/>
        <v>82.447222222222223</v>
      </c>
      <c r="K93" s="114">
        <f t="shared" si="48"/>
        <v>82.447222222222223</v>
      </c>
      <c r="L93" s="114">
        <f t="shared" si="48"/>
        <v>82.447222222222223</v>
      </c>
      <c r="O93" s="421"/>
      <c r="P93" s="37" t="s">
        <v>118</v>
      </c>
      <c r="Q93" s="37" t="s">
        <v>118</v>
      </c>
    </row>
    <row r="94" spans="1:17">
      <c r="A94" s="424">
        <f>ROW()</f>
        <v>94</v>
      </c>
      <c r="B94" s="510" t="s">
        <v>196</v>
      </c>
      <c r="C94" s="585">
        <f>MIN(G94:L94)</f>
        <v>75.801749271137027</v>
      </c>
      <c r="D94" s="585"/>
      <c r="E94" s="57"/>
      <c r="F94" s="114"/>
      <c r="G94" s="114">
        <f>IFERROR(+G92/G68,0)</f>
        <v>123.13664596273291</v>
      </c>
      <c r="H94" s="114">
        <f t="shared" ref="H94:L94" si="49">IFERROR(+H92/H68,0)</f>
        <v>78.632478632478637</v>
      </c>
      <c r="I94" s="114">
        <f t="shared" si="49"/>
        <v>75.801749271137027</v>
      </c>
      <c r="J94" s="114">
        <f t="shared" si="49"/>
        <v>76.49742268041237</v>
      </c>
      <c r="K94" s="114">
        <f t="shared" si="49"/>
        <v>76.49742268041237</v>
      </c>
      <c r="L94" s="114">
        <f t="shared" si="49"/>
        <v>76.49742268041237</v>
      </c>
      <c r="O94" s="421"/>
      <c r="P94" s="37" t="s">
        <v>118</v>
      </c>
      <c r="Q94" s="37" t="s">
        <v>118</v>
      </c>
    </row>
    <row r="95" spans="1:17">
      <c r="A95" s="424">
        <f>ROW()</f>
        <v>95</v>
      </c>
      <c r="F95" s="611"/>
      <c r="G95" s="611"/>
      <c r="H95" s="611"/>
      <c r="I95" s="611"/>
      <c r="J95" s="611"/>
      <c r="K95" s="611"/>
      <c r="L95" s="611"/>
      <c r="O95" s="421"/>
      <c r="P95" s="37" t="s">
        <v>118</v>
      </c>
      <c r="Q95" s="37" t="s">
        <v>118</v>
      </c>
    </row>
    <row r="96" spans="1:17" ht="18">
      <c r="A96" s="424">
        <f>ROW()</f>
        <v>96</v>
      </c>
      <c r="B96" s="1171" t="s">
        <v>197</v>
      </c>
      <c r="C96" s="1172"/>
      <c r="D96" s="1172"/>
      <c r="E96" s="1172"/>
      <c r="F96" s="1173" t="str">
        <f t="shared" ref="F96:L96" si="50">F6</f>
        <v>SY 0/Incu</v>
      </c>
      <c r="G96" s="1174">
        <f t="shared" si="50"/>
        <v>1</v>
      </c>
      <c r="H96" s="1174">
        <f t="shared" si="50"/>
        <v>2</v>
      </c>
      <c r="I96" s="1174">
        <f t="shared" si="50"/>
        <v>3</v>
      </c>
      <c r="J96" s="1174">
        <f t="shared" si="50"/>
        <v>4</v>
      </c>
      <c r="K96" s="1174">
        <f t="shared" si="50"/>
        <v>5</v>
      </c>
      <c r="L96" s="1174">
        <f t="shared" si="50"/>
        <v>6</v>
      </c>
      <c r="O96" s="421"/>
      <c r="P96" s="37" t="s">
        <v>118</v>
      </c>
      <c r="Q96" s="37" t="s">
        <v>118</v>
      </c>
    </row>
    <row r="97" spans="1:17">
      <c r="A97" s="424">
        <f>ROW()</f>
        <v>97</v>
      </c>
      <c r="B97" s="1522" t="s">
        <v>122</v>
      </c>
      <c r="C97" s="1175"/>
      <c r="D97" s="1175"/>
      <c r="E97" s="1175"/>
      <c r="F97" s="1523"/>
      <c r="G97" s="1523"/>
      <c r="H97" s="1523"/>
      <c r="I97" s="1523"/>
      <c r="J97" s="1523"/>
      <c r="K97" s="1523"/>
      <c r="L97" s="1523"/>
      <c r="O97" s="421"/>
      <c r="P97" s="37" t="s">
        <v>118</v>
      </c>
      <c r="Q97" s="37" t="s">
        <v>118</v>
      </c>
    </row>
    <row r="98" spans="1:17">
      <c r="A98" s="424">
        <f>ROW()</f>
        <v>98</v>
      </c>
      <c r="B98" s="37" t="s">
        <v>1191</v>
      </c>
      <c r="C98" s="512">
        <f>IFERROR(C13/C$32,)</f>
        <v>0.83682754666059267</v>
      </c>
      <c r="D98" s="512"/>
      <c r="E98" s="512"/>
      <c r="F98" s="780">
        <f t="shared" ref="F98:G115" si="51">IF(F13&gt;0,F13/F$32,0)</f>
        <v>0</v>
      </c>
      <c r="G98" s="780">
        <f t="shared" si="51"/>
        <v>0.7607143636350413</v>
      </c>
      <c r="H98" s="780">
        <f t="shared" ref="H98:L98" si="52">IF(H13&gt;0,H13/H$32,0)</f>
        <v>0.86747387267480991</v>
      </c>
      <c r="I98" s="780">
        <f t="shared" si="52"/>
        <v>0.86179015129632819</v>
      </c>
      <c r="J98" s="780">
        <f t="shared" si="52"/>
        <v>0.86146507208266287</v>
      </c>
      <c r="K98" s="780">
        <f t="shared" si="52"/>
        <v>0.85922370630644773</v>
      </c>
      <c r="L98" s="780">
        <f t="shared" si="52"/>
        <v>0.85922370630644773</v>
      </c>
      <c r="O98" s="421"/>
      <c r="P98" s="37" t="s">
        <v>118</v>
      </c>
      <c r="Q98" s="37" t="s">
        <v>118</v>
      </c>
    </row>
    <row r="99" spans="1:17">
      <c r="A99" s="424">
        <f>ROW()</f>
        <v>99</v>
      </c>
      <c r="B99" s="37" t="s">
        <v>1200</v>
      </c>
      <c r="C99" s="1223">
        <f t="shared" ref="C99:C114" si="53">IFERROR(C14/C$32,)</f>
        <v>-1.0460344333257409E-2</v>
      </c>
      <c r="D99" s="512"/>
      <c r="E99" s="512"/>
      <c r="F99" s="780">
        <f t="shared" si="51"/>
        <v>0</v>
      </c>
      <c r="G99" s="780">
        <f t="shared" si="51"/>
        <v>0</v>
      </c>
      <c r="H99" s="780">
        <f t="shared" ref="H99:L99" si="54">IF(H14&gt;0,H14/H$32,0)</f>
        <v>0</v>
      </c>
      <c r="I99" s="780">
        <f t="shared" si="54"/>
        <v>0</v>
      </c>
      <c r="J99" s="780">
        <f t="shared" si="54"/>
        <v>0</v>
      </c>
      <c r="K99" s="780">
        <f t="shared" si="54"/>
        <v>0</v>
      </c>
      <c r="L99" s="780">
        <f t="shared" si="54"/>
        <v>0</v>
      </c>
      <c r="O99" s="421"/>
      <c r="P99" s="37" t="s">
        <v>118</v>
      </c>
      <c r="Q99" s="37" t="s">
        <v>118</v>
      </c>
    </row>
    <row r="100" spans="1:17">
      <c r="A100" s="424">
        <f>ROW()</f>
        <v>100</v>
      </c>
      <c r="B100" s="37" t="s">
        <v>135</v>
      </c>
      <c r="C100" s="512">
        <f t="shared" si="53"/>
        <v>2.4396521637225034E-2</v>
      </c>
      <c r="D100" s="512"/>
      <c r="E100" s="512"/>
      <c r="F100" s="780">
        <f t="shared" si="51"/>
        <v>0</v>
      </c>
      <c r="G100" s="780">
        <f t="shared" si="51"/>
        <v>2.4039996088955254E-2</v>
      </c>
      <c r="H100" s="780">
        <f t="shared" ref="H100:L100" si="55">IF(H15&gt;0,H15/H$32,0)</f>
        <v>2.5817231330491016E-2</v>
      </c>
      <c r="I100" s="780">
        <f t="shared" si="55"/>
        <v>2.4985868017493761E-2</v>
      </c>
      <c r="J100" s="780">
        <f t="shared" si="55"/>
        <v>2.4938318372804524E-2</v>
      </c>
      <c r="K100" s="780">
        <f t="shared" si="55"/>
        <v>2.4610471676376432E-2</v>
      </c>
      <c r="L100" s="780">
        <f t="shared" si="55"/>
        <v>2.4610471676376432E-2</v>
      </c>
      <c r="M100" s="512"/>
      <c r="O100" s="421"/>
      <c r="P100" s="37" t="s">
        <v>118</v>
      </c>
      <c r="Q100" s="37" t="s">
        <v>118</v>
      </c>
    </row>
    <row r="101" spans="1:17">
      <c r="A101" s="424">
        <f>ROW()</f>
        <v>101</v>
      </c>
      <c r="B101" s="37" t="s">
        <v>128</v>
      </c>
      <c r="C101" s="512">
        <f t="shared" si="53"/>
        <v>5.3754352716642046E-3</v>
      </c>
      <c r="D101" s="512"/>
      <c r="E101" s="512"/>
      <c r="F101" s="780">
        <f t="shared" si="51"/>
        <v>0</v>
      </c>
      <c r="G101" s="780">
        <f t="shared" si="51"/>
        <v>5.2968798105244271E-3</v>
      </c>
      <c r="H101" s="780">
        <f t="shared" ref="H101:L101" si="56">IF(H16&gt;0,H16/H$32,0)</f>
        <v>5.6884689536594486E-3</v>
      </c>
      <c r="I101" s="780">
        <f t="shared" si="56"/>
        <v>5.5052895749469442E-3</v>
      </c>
      <c r="J101" s="780">
        <f t="shared" si="56"/>
        <v>5.4948126700414676E-3</v>
      </c>
      <c r="K101" s="780">
        <f t="shared" si="56"/>
        <v>5.4225761962570593E-3</v>
      </c>
      <c r="L101" s="780">
        <f t="shared" si="56"/>
        <v>5.4225761962570593E-3</v>
      </c>
      <c r="M101" s="512"/>
      <c r="O101" s="421"/>
      <c r="P101" s="37" t="s">
        <v>118</v>
      </c>
      <c r="Q101" s="37" t="s">
        <v>118</v>
      </c>
    </row>
    <row r="102" spans="1:17">
      <c r="A102" s="424">
        <f>ROW()</f>
        <v>102</v>
      </c>
      <c r="B102" s="37" t="s">
        <v>129</v>
      </c>
      <c r="C102" s="512">
        <f t="shared" si="53"/>
        <v>9.0525446169185616E-4</v>
      </c>
      <c r="D102" s="512"/>
      <c r="E102" s="512"/>
      <c r="F102" s="780">
        <f t="shared" si="51"/>
        <v>0</v>
      </c>
      <c r="G102" s="780">
        <f t="shared" si="51"/>
        <v>8.9202526664193982E-4</v>
      </c>
      <c r="H102" s="780">
        <f t="shared" ref="H102:L102" si="57">IF(H17&gt;0,H17/H$32,0)</f>
        <v>9.5797114842786663E-4</v>
      </c>
      <c r="I102" s="780">
        <f t="shared" si="57"/>
        <v>9.271226791432391E-4</v>
      </c>
      <c r="J102" s="780">
        <f t="shared" si="57"/>
        <v>9.2535830762147618E-4</v>
      </c>
      <c r="K102" s="780">
        <f t="shared" si="57"/>
        <v>9.1319326667401498E-4</v>
      </c>
      <c r="L102" s="780">
        <f t="shared" si="57"/>
        <v>9.1319326667401498E-4</v>
      </c>
      <c r="M102" s="512"/>
      <c r="O102" s="421"/>
      <c r="P102" s="37" t="s">
        <v>118</v>
      </c>
      <c r="Q102" s="37" t="s">
        <v>118</v>
      </c>
    </row>
    <row r="103" spans="1:17">
      <c r="A103" s="424">
        <f>ROW()</f>
        <v>103</v>
      </c>
      <c r="B103" s="37" t="s">
        <v>130</v>
      </c>
      <c r="C103" s="512">
        <f t="shared" si="53"/>
        <v>0</v>
      </c>
      <c r="D103" s="512"/>
      <c r="E103" s="512"/>
      <c r="F103" s="780">
        <f t="shared" si="51"/>
        <v>0</v>
      </c>
      <c r="G103" s="780">
        <f t="shared" si="51"/>
        <v>0</v>
      </c>
      <c r="H103" s="780">
        <f t="shared" ref="H103:L103" si="58">IF(H18&gt;0,H18/H$32,0)</f>
        <v>0</v>
      </c>
      <c r="I103" s="780">
        <f t="shared" si="58"/>
        <v>0</v>
      </c>
      <c r="J103" s="780">
        <f t="shared" si="58"/>
        <v>0</v>
      </c>
      <c r="K103" s="780">
        <f t="shared" si="58"/>
        <v>0</v>
      </c>
      <c r="L103" s="780">
        <f t="shared" si="58"/>
        <v>0</v>
      </c>
      <c r="M103" s="512"/>
      <c r="O103" s="421"/>
      <c r="P103" s="37" t="s">
        <v>118</v>
      </c>
      <c r="Q103" s="37" t="s">
        <v>118</v>
      </c>
    </row>
    <row r="104" spans="1:17">
      <c r="A104" s="424">
        <f>ROW()</f>
        <v>104</v>
      </c>
      <c r="B104" s="37" t="s">
        <v>132</v>
      </c>
      <c r="C104" s="512">
        <f t="shared" si="53"/>
        <v>2.5138175894996669E-2</v>
      </c>
      <c r="D104" s="512"/>
      <c r="E104" s="512"/>
      <c r="F104" s="780">
        <f t="shared" si="51"/>
        <v>0</v>
      </c>
      <c r="G104" s="780">
        <f t="shared" si="51"/>
        <v>2.4770811970059495E-2</v>
      </c>
      <c r="H104" s="780">
        <f t="shared" ref="H104:L104" si="59">IF(H19&gt;0,H19/H$32,0)</f>
        <v>2.6602075162937937E-2</v>
      </c>
      <c r="I104" s="780">
        <f t="shared" si="59"/>
        <v>2.5745438405225571E-2</v>
      </c>
      <c r="J104" s="780">
        <f t="shared" si="59"/>
        <v>2.5696443251337783E-2</v>
      </c>
      <c r="K104" s="780">
        <f t="shared" si="59"/>
        <v>2.5358630015338276E-2</v>
      </c>
      <c r="L104" s="780">
        <f t="shared" si="59"/>
        <v>2.5358630015338276E-2</v>
      </c>
      <c r="M104" s="512"/>
      <c r="O104" s="421"/>
      <c r="P104" s="37" t="s">
        <v>118</v>
      </c>
      <c r="Q104" s="37" t="s">
        <v>118</v>
      </c>
    </row>
    <row r="105" spans="1:17">
      <c r="A105" s="424">
        <f>ROW()</f>
        <v>105</v>
      </c>
      <c r="B105" s="37" t="s">
        <v>133</v>
      </c>
      <c r="C105" s="512">
        <f t="shared" si="53"/>
        <v>4.5274367810886867E-2</v>
      </c>
      <c r="D105" s="512"/>
      <c r="E105" s="512"/>
      <c r="F105" s="780">
        <f t="shared" si="51"/>
        <v>0</v>
      </c>
      <c r="G105" s="780">
        <f t="shared" si="51"/>
        <v>4.4612737884852045E-2</v>
      </c>
      <c r="H105" s="780">
        <f t="shared" ref="H105:L105" si="60">IF(H20&gt;0,H20/H$32,0)</f>
        <v>4.791088026794435E-2</v>
      </c>
      <c r="I105" s="780">
        <f t="shared" si="60"/>
        <v>4.6368059984921557E-2</v>
      </c>
      <c r="J105" s="780">
        <f t="shared" si="60"/>
        <v>4.6279818712868556E-2</v>
      </c>
      <c r="K105" s="780">
        <f t="shared" si="60"/>
        <v>4.5671410180685774E-2</v>
      </c>
      <c r="L105" s="780">
        <f t="shared" si="60"/>
        <v>4.5671410180685774E-2</v>
      </c>
      <c r="M105" s="512"/>
      <c r="O105" s="421"/>
      <c r="P105" s="37" t="s">
        <v>118</v>
      </c>
      <c r="Q105" s="37" t="s">
        <v>118</v>
      </c>
    </row>
    <row r="106" spans="1:17">
      <c r="A106" s="424">
        <f>ROW()</f>
        <v>106</v>
      </c>
      <c r="B106" s="37" t="s">
        <v>134</v>
      </c>
      <c r="C106" s="512">
        <f t="shared" si="53"/>
        <v>1.5990997375660107E-2</v>
      </c>
      <c r="D106" s="512"/>
      <c r="E106" s="512"/>
      <c r="F106" s="780">
        <f t="shared" si="51"/>
        <v>0</v>
      </c>
      <c r="G106" s="780">
        <f t="shared" si="51"/>
        <v>1.5757308360827813E-2</v>
      </c>
      <c r="H106" s="780">
        <f t="shared" ref="H106:L106" si="61">IF(H21&gt;0,H21/H$32,0)</f>
        <v>1.6922218855279825E-2</v>
      </c>
      <c r="I106" s="780">
        <f t="shared" si="61"/>
        <v>1.6377291641718601E-2</v>
      </c>
      <c r="J106" s="780">
        <f t="shared" si="61"/>
        <v>1.6346124647720613E-2</v>
      </c>
      <c r="K106" s="780">
        <f t="shared" si="61"/>
        <v>1.6131233535776151E-2</v>
      </c>
      <c r="L106" s="780">
        <f t="shared" si="61"/>
        <v>1.6131233535776151E-2</v>
      </c>
      <c r="M106" s="512"/>
      <c r="O106" s="421"/>
      <c r="P106" s="37" t="s">
        <v>118</v>
      </c>
      <c r="Q106" s="37" t="s">
        <v>118</v>
      </c>
    </row>
    <row r="107" spans="1:17">
      <c r="A107" s="424">
        <f>ROW()</f>
        <v>107</v>
      </c>
      <c r="B107" s="37" t="s">
        <v>140</v>
      </c>
      <c r="C107" s="512">
        <f>IFERROR(C22/C$32,)</f>
        <v>2.6549649421023697E-2</v>
      </c>
      <c r="D107" s="512"/>
      <c r="E107" s="512"/>
      <c r="F107" s="780">
        <f t="shared" si="51"/>
        <v>0</v>
      </c>
      <c r="G107" s="780">
        <f t="shared" si="51"/>
        <v>0</v>
      </c>
      <c r="H107" s="780">
        <f t="shared" ref="H107:L107" si="62">IF(H22&gt;0,H22/H$32,0)</f>
        <v>1.9470705014884966E-2</v>
      </c>
      <c r="I107" s="780">
        <f t="shared" si="62"/>
        <v>2.9073155291426196E-2</v>
      </c>
      <c r="J107" s="780">
        <f t="shared" si="62"/>
        <v>2.9622365355976062E-2</v>
      </c>
      <c r="K107" s="780">
        <f t="shared" si="62"/>
        <v>3.3409075151275273E-2</v>
      </c>
      <c r="L107" s="780">
        <f t="shared" si="62"/>
        <v>3.3409075151275273E-2</v>
      </c>
      <c r="M107" s="512"/>
      <c r="O107" s="421"/>
      <c r="P107" s="37" t="s">
        <v>118</v>
      </c>
      <c r="Q107" s="37" t="s">
        <v>118</v>
      </c>
    </row>
    <row r="108" spans="1:17">
      <c r="A108" s="424">
        <f>ROW()</f>
        <v>108</v>
      </c>
      <c r="B108" s="37" t="s">
        <v>198</v>
      </c>
      <c r="C108" s="512">
        <f t="shared" si="53"/>
        <v>0</v>
      </c>
      <c r="D108" s="512"/>
      <c r="E108" s="512"/>
      <c r="F108" s="780">
        <f t="shared" si="51"/>
        <v>0</v>
      </c>
      <c r="G108" s="780">
        <f t="shared" si="51"/>
        <v>0</v>
      </c>
      <c r="H108" s="780">
        <f t="shared" ref="H108:L108" si="63">IF(H23&gt;0,H23/H$32,0)</f>
        <v>0</v>
      </c>
      <c r="I108" s="780">
        <f t="shared" si="63"/>
        <v>0</v>
      </c>
      <c r="J108" s="780">
        <f t="shared" si="63"/>
        <v>0</v>
      </c>
      <c r="K108" s="780">
        <f t="shared" si="63"/>
        <v>0</v>
      </c>
      <c r="L108" s="780">
        <f t="shared" si="63"/>
        <v>0</v>
      </c>
      <c r="M108" s="512"/>
      <c r="O108" s="421"/>
      <c r="P108" s="37" t="s">
        <v>118</v>
      </c>
      <c r="Q108" s="37" t="s">
        <v>118</v>
      </c>
    </row>
    <row r="109" spans="1:17">
      <c r="A109" s="424">
        <f>ROW()</f>
        <v>109</v>
      </c>
      <c r="B109" s="37" t="s">
        <v>199</v>
      </c>
      <c r="C109" s="512">
        <f t="shared" si="53"/>
        <v>1.8706925448693391E-2</v>
      </c>
      <c r="D109" s="512"/>
      <c r="E109" s="512"/>
      <c r="F109" s="780">
        <f t="shared" si="51"/>
        <v>0.83187706851249632</v>
      </c>
      <c r="G109" s="780">
        <f t="shared" si="51"/>
        <v>3.6456755077287573E-2</v>
      </c>
      <c r="H109" s="780">
        <f t="shared" ref="H109:L109" si="64">IF(H24&gt;0,H24/H$32,0)</f>
        <v>0</v>
      </c>
      <c r="I109" s="780">
        <f t="shared" si="64"/>
        <v>0</v>
      </c>
      <c r="J109" s="780">
        <f t="shared" si="64"/>
        <v>0</v>
      </c>
      <c r="K109" s="780">
        <f t="shared" si="64"/>
        <v>0</v>
      </c>
      <c r="L109" s="780">
        <f t="shared" si="64"/>
        <v>0</v>
      </c>
      <c r="M109" s="512"/>
      <c r="O109" s="421"/>
      <c r="P109" s="37" t="s">
        <v>118</v>
      </c>
      <c r="Q109" s="37" t="s">
        <v>118</v>
      </c>
    </row>
    <row r="110" spans="1:17">
      <c r="A110" s="424">
        <f>ROW()</f>
        <v>110</v>
      </c>
      <c r="B110" s="37" t="s">
        <v>138</v>
      </c>
      <c r="C110" s="512">
        <f t="shared" si="53"/>
        <v>0</v>
      </c>
      <c r="D110" s="512"/>
      <c r="E110" s="512"/>
      <c r="F110" s="780">
        <f t="shared" si="51"/>
        <v>0</v>
      </c>
      <c r="G110" s="780">
        <f t="shared" si="51"/>
        <v>0</v>
      </c>
      <c r="H110" s="780">
        <f t="shared" ref="H110:L110" si="65">IF(H25&gt;0,H25/H$32,0)</f>
        <v>0</v>
      </c>
      <c r="I110" s="780">
        <f t="shared" si="65"/>
        <v>0</v>
      </c>
      <c r="J110" s="780">
        <f t="shared" si="65"/>
        <v>0</v>
      </c>
      <c r="K110" s="780">
        <f t="shared" si="65"/>
        <v>0</v>
      </c>
      <c r="L110" s="780">
        <f t="shared" si="65"/>
        <v>0</v>
      </c>
      <c r="M110" s="512"/>
      <c r="O110" s="421"/>
      <c r="P110" s="37" t="s">
        <v>118</v>
      </c>
      <c r="Q110" s="37" t="s">
        <v>118</v>
      </c>
    </row>
    <row r="111" spans="1:17">
      <c r="A111" s="424">
        <f>ROW()</f>
        <v>111</v>
      </c>
      <c r="B111" s="37" t="s">
        <v>141</v>
      </c>
      <c r="C111" s="512">
        <f t="shared" si="53"/>
        <v>0</v>
      </c>
      <c r="D111" s="512"/>
      <c r="E111" s="512"/>
      <c r="F111" s="780">
        <f t="shared" si="51"/>
        <v>0</v>
      </c>
      <c r="G111" s="780">
        <f t="shared" si="51"/>
        <v>0</v>
      </c>
      <c r="H111" s="780">
        <f t="shared" ref="H111:L111" si="66">IF(H26&gt;0,H26/H$32,0)</f>
        <v>0</v>
      </c>
      <c r="I111" s="780">
        <f t="shared" si="66"/>
        <v>0</v>
      </c>
      <c r="J111" s="780">
        <f t="shared" si="66"/>
        <v>0</v>
      </c>
      <c r="K111" s="780">
        <f t="shared" si="66"/>
        <v>0</v>
      </c>
      <c r="L111" s="780">
        <f t="shared" si="66"/>
        <v>0</v>
      </c>
      <c r="M111" s="512"/>
      <c r="O111" s="421"/>
      <c r="P111" s="37" t="s">
        <v>118</v>
      </c>
      <c r="Q111" s="37" t="s">
        <v>118</v>
      </c>
    </row>
    <row r="112" spans="1:17">
      <c r="A112" s="424">
        <f>ROW()</f>
        <v>112</v>
      </c>
      <c r="B112" s="37" t="s">
        <v>142</v>
      </c>
      <c r="C112" s="512">
        <f t="shared" si="53"/>
        <v>0</v>
      </c>
      <c r="D112" s="512"/>
      <c r="E112" s="512"/>
      <c r="F112" s="780">
        <f t="shared" si="51"/>
        <v>0</v>
      </c>
      <c r="G112" s="780">
        <f t="shared" si="51"/>
        <v>0</v>
      </c>
      <c r="H112" s="780">
        <f t="shared" ref="H112:L112" si="67">IF(H27&gt;0,H27/H$32,0)</f>
        <v>0</v>
      </c>
      <c r="I112" s="780">
        <f t="shared" si="67"/>
        <v>0</v>
      </c>
      <c r="J112" s="780">
        <f t="shared" si="67"/>
        <v>0</v>
      </c>
      <c r="K112" s="780">
        <f t="shared" si="67"/>
        <v>0</v>
      </c>
      <c r="L112" s="780">
        <f t="shared" si="67"/>
        <v>0</v>
      </c>
      <c r="M112" s="512"/>
      <c r="O112" s="421"/>
      <c r="P112" s="37" t="s">
        <v>118</v>
      </c>
      <c r="Q112" s="37" t="s">
        <v>118</v>
      </c>
    </row>
    <row r="113" spans="1:17">
      <c r="A113" s="424">
        <f>ROW()</f>
        <v>113</v>
      </c>
      <c r="B113" s="37" t="s">
        <v>143</v>
      </c>
      <c r="C113" s="512">
        <f t="shared" si="53"/>
        <v>0</v>
      </c>
      <c r="D113" s="512"/>
      <c r="E113" s="512"/>
      <c r="F113" s="780">
        <f t="shared" si="51"/>
        <v>0</v>
      </c>
      <c r="G113" s="780">
        <f t="shared" si="51"/>
        <v>0</v>
      </c>
      <c r="H113" s="780">
        <f t="shared" ref="H113:L113" si="68">IF(H28&gt;0,H28/H$32,0)</f>
        <v>0</v>
      </c>
      <c r="I113" s="780">
        <f t="shared" si="68"/>
        <v>0</v>
      </c>
      <c r="J113" s="780">
        <f t="shared" si="68"/>
        <v>0</v>
      </c>
      <c r="K113" s="780">
        <f t="shared" si="68"/>
        <v>0</v>
      </c>
      <c r="L113" s="780">
        <f t="shared" si="68"/>
        <v>0</v>
      </c>
      <c r="M113" s="512"/>
      <c r="O113" s="421"/>
      <c r="P113" s="37" t="s">
        <v>118</v>
      </c>
      <c r="Q113" s="37" t="s">
        <v>118</v>
      </c>
    </row>
    <row r="114" spans="1:17">
      <c r="A114" s="424">
        <f>ROW()</f>
        <v>114</v>
      </c>
      <c r="B114" s="37" t="s">
        <v>144</v>
      </c>
      <c r="C114" s="512">
        <f t="shared" si="53"/>
        <v>0</v>
      </c>
      <c r="D114" s="512"/>
      <c r="E114" s="512"/>
      <c r="F114" s="780">
        <f t="shared" si="51"/>
        <v>0</v>
      </c>
      <c r="G114" s="780">
        <f t="shared" si="51"/>
        <v>0</v>
      </c>
      <c r="H114" s="780">
        <f t="shared" ref="H114:L114" si="69">IF(H29&gt;0,H29/H$32,0)</f>
        <v>0</v>
      </c>
      <c r="I114" s="780">
        <f t="shared" si="69"/>
        <v>0</v>
      </c>
      <c r="J114" s="780">
        <f t="shared" si="69"/>
        <v>0</v>
      </c>
      <c r="K114" s="780">
        <f t="shared" si="69"/>
        <v>0</v>
      </c>
      <c r="L114" s="780">
        <f t="shared" si="69"/>
        <v>0</v>
      </c>
      <c r="M114" s="512"/>
      <c r="O114" s="421"/>
      <c r="P114" s="37" t="s">
        <v>118</v>
      </c>
      <c r="Q114" s="37" t="s">
        <v>118</v>
      </c>
    </row>
    <row r="115" spans="1:17">
      <c r="A115" s="424">
        <f>ROW()</f>
        <v>115</v>
      </c>
      <c r="B115" s="1059" t="s">
        <v>200</v>
      </c>
      <c r="C115" s="800">
        <f>IFERROR(C32/C$32,0)</f>
        <v>1</v>
      </c>
      <c r="D115" s="800"/>
      <c r="E115" s="800"/>
      <c r="F115" s="801">
        <f t="shared" si="51"/>
        <v>0</v>
      </c>
      <c r="G115" s="801">
        <f t="shared" si="51"/>
        <v>6.4645367634165396E-2</v>
      </c>
      <c r="H115" s="801">
        <f t="shared" ref="H115:L115" si="70">IF(H30&gt;0,H30/H$32,0)</f>
        <v>0</v>
      </c>
      <c r="I115" s="801">
        <f t="shared" si="70"/>
        <v>0</v>
      </c>
      <c r="J115" s="801">
        <f t="shared" si="70"/>
        <v>0</v>
      </c>
      <c r="K115" s="801">
        <f t="shared" si="70"/>
        <v>0</v>
      </c>
      <c r="L115" s="801">
        <f t="shared" si="70"/>
        <v>0</v>
      </c>
      <c r="M115" s="512"/>
      <c r="O115" s="421"/>
      <c r="P115" s="37" t="s">
        <v>118</v>
      </c>
      <c r="Q115" s="37" t="s">
        <v>118</v>
      </c>
    </row>
    <row r="116" spans="1:17">
      <c r="A116" s="424">
        <f>ROW()</f>
        <v>116</v>
      </c>
      <c r="C116" s="66"/>
      <c r="D116" s="66"/>
      <c r="E116" s="66"/>
      <c r="F116" s="617"/>
      <c r="G116" s="617"/>
      <c r="H116" s="617"/>
      <c r="I116" s="617"/>
      <c r="J116" s="617"/>
      <c r="K116" s="617"/>
      <c r="L116" s="617"/>
      <c r="M116" s="512"/>
      <c r="O116" s="421"/>
      <c r="P116" s="37" t="s">
        <v>118</v>
      </c>
      <c r="Q116" s="37" t="s">
        <v>118</v>
      </c>
    </row>
    <row r="117" spans="1:17">
      <c r="A117" s="424">
        <f>ROW()</f>
        <v>117</v>
      </c>
      <c r="B117" s="1176" t="s">
        <v>147</v>
      </c>
      <c r="C117" s="1177"/>
      <c r="D117" s="1177"/>
      <c r="E117" s="1177"/>
      <c r="F117" s="1178"/>
      <c r="G117" s="1178"/>
      <c r="H117" s="1178"/>
      <c r="I117" s="1178"/>
      <c r="J117" s="1178"/>
      <c r="K117" s="1178"/>
      <c r="L117" s="1178"/>
      <c r="M117" s="512"/>
      <c r="O117" s="421"/>
      <c r="P117" s="37" t="s">
        <v>118</v>
      </c>
      <c r="Q117" s="37" t="s">
        <v>118</v>
      </c>
    </row>
    <row r="118" spans="1:17">
      <c r="A118" s="424">
        <f>ROW()</f>
        <v>118</v>
      </c>
      <c r="B118" s="35" t="s">
        <v>148</v>
      </c>
      <c r="C118" s="514">
        <f>IFERROR(C36/C$32,0)</f>
        <v>0.47012421411301392</v>
      </c>
      <c r="D118" s="514"/>
      <c r="E118" s="514"/>
      <c r="F118" s="803">
        <f t="shared" ref="F118:L127" si="71">IFERROR(F36/F$32,0)</f>
        <v>0.33856355767337076</v>
      </c>
      <c r="G118" s="803">
        <f t="shared" si="71"/>
        <v>0.45573156498272382</v>
      </c>
      <c r="H118" s="803">
        <f t="shared" si="71"/>
        <v>0.50171763323660867</v>
      </c>
      <c r="I118" s="803">
        <f t="shared" si="71"/>
        <v>0.52122448341529104</v>
      </c>
      <c r="J118" s="803">
        <f t="shared" si="71"/>
        <v>0.45782482796375357</v>
      </c>
      <c r="K118" s="803">
        <f t="shared" si="71"/>
        <v>0.4520957652431371</v>
      </c>
      <c r="L118" s="803">
        <f t="shared" si="71"/>
        <v>0.45238830296961807</v>
      </c>
      <c r="M118" s="512"/>
      <c r="O118" s="421"/>
      <c r="P118" s="37" t="s">
        <v>118</v>
      </c>
      <c r="Q118" s="37" t="s">
        <v>118</v>
      </c>
    </row>
    <row r="119" spans="1:17">
      <c r="A119" s="424">
        <f>ROW()</f>
        <v>119</v>
      </c>
      <c r="B119" s="35" t="s">
        <v>98</v>
      </c>
      <c r="C119" s="514">
        <f t="shared" ref="C119:C126" si="72">IFERROR(C37/C$32,0)</f>
        <v>0.18220653642815207</v>
      </c>
      <c r="D119" s="514"/>
      <c r="E119" s="514"/>
      <c r="F119" s="803">
        <f t="shared" si="71"/>
        <v>0</v>
      </c>
      <c r="G119" s="803">
        <f t="shared" si="71"/>
        <v>0.25233039816428704</v>
      </c>
      <c r="H119" s="803">
        <f t="shared" si="71"/>
        <v>0.20395757385437091</v>
      </c>
      <c r="I119" s="803">
        <f t="shared" si="71"/>
        <v>0.17899999827229696</v>
      </c>
      <c r="J119" s="803">
        <f t="shared" si="71"/>
        <v>0.17405932159077375</v>
      </c>
      <c r="K119" s="803">
        <f t="shared" si="71"/>
        <v>0.17298598284930072</v>
      </c>
      <c r="L119" s="803">
        <f t="shared" si="71"/>
        <v>0.17420111052646861</v>
      </c>
      <c r="M119" s="512"/>
      <c r="O119" s="421"/>
      <c r="P119" s="37" t="s">
        <v>118</v>
      </c>
      <c r="Q119" s="37" t="s">
        <v>118</v>
      </c>
    </row>
    <row r="120" spans="1:17">
      <c r="A120" s="424">
        <f>ROW()</f>
        <v>120</v>
      </c>
      <c r="B120" s="35" t="s">
        <v>149</v>
      </c>
      <c r="C120" s="514">
        <f t="shared" si="72"/>
        <v>0.15041168032571858</v>
      </c>
      <c r="D120" s="514"/>
      <c r="E120" s="514"/>
      <c r="F120" s="803">
        <f t="shared" si="71"/>
        <v>0.19038000586028503</v>
      </c>
      <c r="G120" s="803">
        <f t="shared" si="71"/>
        <v>0.1561885953181131</v>
      </c>
      <c r="H120" s="803">
        <f t="shared" si="71"/>
        <v>0.15875194731007089</v>
      </c>
      <c r="I120" s="803">
        <f t="shared" si="71"/>
        <v>0.152078597005988</v>
      </c>
      <c r="J120" s="803">
        <f t="shared" si="71"/>
        <v>0.14747699673781647</v>
      </c>
      <c r="K120" s="803">
        <f t="shared" si="71"/>
        <v>0.14467864829570778</v>
      </c>
      <c r="L120" s="803">
        <f t="shared" si="71"/>
        <v>0.14535319581770595</v>
      </c>
      <c r="M120" s="512"/>
      <c r="O120" s="421"/>
      <c r="P120" s="37" t="s">
        <v>118</v>
      </c>
      <c r="Q120" s="37" t="s">
        <v>118</v>
      </c>
    </row>
    <row r="121" spans="1:17">
      <c r="A121" s="424">
        <f>ROW()</f>
        <v>121</v>
      </c>
      <c r="B121" s="35" t="s">
        <v>201</v>
      </c>
      <c r="C121" s="514">
        <f t="shared" si="72"/>
        <v>2.7823168355396971E-2</v>
      </c>
      <c r="D121" s="514"/>
      <c r="E121" s="514"/>
      <c r="F121" s="803">
        <f t="shared" si="71"/>
        <v>3.6026342461607928E-2</v>
      </c>
      <c r="G121" s="803">
        <f t="shared" si="71"/>
        <v>2.6935569847568912E-3</v>
      </c>
      <c r="H121" s="803">
        <f t="shared" si="71"/>
        <v>2.9999999999999995E-2</v>
      </c>
      <c r="I121" s="803">
        <f t="shared" si="71"/>
        <v>0.03</v>
      </c>
      <c r="J121" s="803">
        <f t="shared" si="71"/>
        <v>0.03</v>
      </c>
      <c r="K121" s="803">
        <f t="shared" si="71"/>
        <v>0.03</v>
      </c>
      <c r="L121" s="803">
        <f t="shared" si="71"/>
        <v>0.03</v>
      </c>
      <c r="M121" s="512"/>
      <c r="O121" s="421"/>
      <c r="P121" s="37" t="s">
        <v>118</v>
      </c>
      <c r="Q121" s="37" t="s">
        <v>118</v>
      </c>
    </row>
    <row r="122" spans="1:17">
      <c r="A122" s="424">
        <f>ROW()</f>
        <v>122</v>
      </c>
      <c r="B122" s="37" t="s">
        <v>104</v>
      </c>
      <c r="C122" s="514">
        <f t="shared" si="72"/>
        <v>9.0820551627571206E-3</v>
      </c>
      <c r="D122" s="512"/>
      <c r="E122" s="512"/>
      <c r="F122" s="780">
        <f t="shared" si="71"/>
        <v>0.25605362641163221</v>
      </c>
      <c r="G122" s="780">
        <f t="shared" si="71"/>
        <v>3.5016240801839585E-2</v>
      </c>
      <c r="H122" s="780">
        <f t="shared" si="71"/>
        <v>1.6070483243380651E-3</v>
      </c>
      <c r="I122" s="780">
        <f t="shared" si="71"/>
        <v>1.3331128727487667E-3</v>
      </c>
      <c r="J122" s="780">
        <f t="shared" si="71"/>
        <v>1.164253892287793E-3</v>
      </c>
      <c r="K122" s="780">
        <f t="shared" si="71"/>
        <v>1.6544854908488358E-3</v>
      </c>
      <c r="L122" s="780">
        <f t="shared" si="71"/>
        <v>1.6544854908488358E-3</v>
      </c>
      <c r="M122" s="512"/>
      <c r="O122" s="421"/>
      <c r="P122" s="37" t="s">
        <v>118</v>
      </c>
      <c r="Q122" s="37" t="s">
        <v>118</v>
      </c>
    </row>
    <row r="123" spans="1:17">
      <c r="A123" s="424">
        <f>ROW()</f>
        <v>123</v>
      </c>
      <c r="B123" s="37" t="s">
        <v>100</v>
      </c>
      <c r="C123" s="514">
        <f t="shared" si="72"/>
        <v>2.1268519472994706E-2</v>
      </c>
      <c r="D123" s="512"/>
      <c r="E123" s="512"/>
      <c r="F123" s="780">
        <f t="shared" si="71"/>
        <v>0.22567381269184028</v>
      </c>
      <c r="G123" s="780">
        <f t="shared" si="71"/>
        <v>4.4275612292639877E-2</v>
      </c>
      <c r="H123" s="780">
        <f t="shared" si="71"/>
        <v>3.2163625868134468E-2</v>
      </c>
      <c r="I123" s="780">
        <f t="shared" si="71"/>
        <v>1.6077007967131938E-2</v>
      </c>
      <c r="J123" s="780">
        <f t="shared" si="71"/>
        <v>1.4166012082129083E-2</v>
      </c>
      <c r="K123" s="780">
        <f t="shared" si="71"/>
        <v>8.8101757794093166E-3</v>
      </c>
      <c r="L123" s="780">
        <f t="shared" si="71"/>
        <v>8.0505510041082046E-3</v>
      </c>
      <c r="M123" s="512"/>
      <c r="O123" s="421"/>
      <c r="P123" s="37" t="s">
        <v>118</v>
      </c>
      <c r="Q123" s="37" t="s">
        <v>118</v>
      </c>
    </row>
    <row r="124" spans="1:17">
      <c r="A124" s="424">
        <f>ROW()</f>
        <v>124</v>
      </c>
      <c r="B124" s="37" t="s">
        <v>140</v>
      </c>
      <c r="C124" s="514">
        <f t="shared" si="72"/>
        <v>2.5803146560013021E-2</v>
      </c>
      <c r="D124" s="512"/>
      <c r="E124" s="512"/>
      <c r="F124" s="780">
        <f t="shared" si="71"/>
        <v>0</v>
      </c>
      <c r="G124" s="780">
        <f t="shared" si="71"/>
        <v>2.3318122817040408E-2</v>
      </c>
      <c r="H124" s="780">
        <f t="shared" si="71"/>
        <v>2.1579444899211538E-2</v>
      </c>
      <c r="I124" s="780">
        <f t="shared" si="71"/>
        <v>3.5991381338471205E-2</v>
      </c>
      <c r="J124" s="780">
        <f t="shared" si="71"/>
        <v>2.527828050935256E-2</v>
      </c>
      <c r="K124" s="780">
        <f t="shared" si="71"/>
        <v>2.4945964567576334E-2</v>
      </c>
      <c r="L124" s="780">
        <f t="shared" si="71"/>
        <v>2.4945964567576334E-2</v>
      </c>
      <c r="M124" s="512"/>
      <c r="O124" s="421"/>
      <c r="P124" s="37" t="s">
        <v>118</v>
      </c>
      <c r="Q124" s="37" t="s">
        <v>118</v>
      </c>
    </row>
    <row r="125" spans="1:17">
      <c r="A125" s="424">
        <f>ROW()</f>
        <v>125</v>
      </c>
      <c r="B125" s="37" t="s">
        <v>151</v>
      </c>
      <c r="C125" s="514">
        <f t="shared" si="72"/>
        <v>5.9418247200770762E-3</v>
      </c>
      <c r="D125" s="512"/>
      <c r="E125" s="512"/>
      <c r="F125" s="780">
        <f t="shared" si="71"/>
        <v>1.4962940902387826E-3</v>
      </c>
      <c r="G125" s="780">
        <f t="shared" si="71"/>
        <v>9.3423330459308021E-3</v>
      </c>
      <c r="H125" s="780">
        <f t="shared" si="71"/>
        <v>6.157007106716861E-3</v>
      </c>
      <c r="I125" s="780">
        <f t="shared" si="71"/>
        <v>5.6623670119475226E-3</v>
      </c>
      <c r="J125" s="780">
        <f t="shared" si="71"/>
        <v>5.5449709244354698E-3</v>
      </c>
      <c r="K125" s="780">
        <f t="shared" si="71"/>
        <v>5.6017688589519912E-3</v>
      </c>
      <c r="L125" s="780">
        <f t="shared" si="71"/>
        <v>5.7353534769945336E-3</v>
      </c>
      <c r="M125" s="512"/>
      <c r="O125" s="421"/>
      <c r="P125" s="37" t="s">
        <v>118</v>
      </c>
      <c r="Q125" s="37" t="s">
        <v>118</v>
      </c>
    </row>
    <row r="126" spans="1:17">
      <c r="A126" s="424">
        <f>ROW()</f>
        <v>126</v>
      </c>
      <c r="B126" s="37" t="s">
        <v>202</v>
      </c>
      <c r="C126" s="514">
        <f t="shared" si="72"/>
        <v>0</v>
      </c>
      <c r="D126" s="512"/>
      <c r="E126" s="512"/>
      <c r="F126" s="780">
        <f t="shared" si="71"/>
        <v>0</v>
      </c>
      <c r="G126" s="780">
        <f t="shared" si="71"/>
        <v>0</v>
      </c>
      <c r="H126" s="780">
        <f t="shared" si="71"/>
        <v>0</v>
      </c>
      <c r="I126" s="780">
        <f t="shared" si="71"/>
        <v>0</v>
      </c>
      <c r="J126" s="780">
        <f t="shared" si="71"/>
        <v>0</v>
      </c>
      <c r="K126" s="780">
        <f t="shared" si="71"/>
        <v>0</v>
      </c>
      <c r="L126" s="780">
        <f t="shared" si="71"/>
        <v>0</v>
      </c>
      <c r="M126" s="512"/>
      <c r="O126" s="421"/>
      <c r="P126" s="37" t="s">
        <v>118</v>
      </c>
      <c r="Q126" s="37" t="s">
        <v>118</v>
      </c>
    </row>
    <row r="127" spans="1:17" ht="15.75" thickBot="1">
      <c r="A127" s="424">
        <f>ROW()</f>
        <v>127</v>
      </c>
      <c r="B127" s="802" t="s">
        <v>152</v>
      </c>
      <c r="C127" s="800">
        <f>IFERROR(C45/C$32,0)</f>
        <v>0.89266114513812334</v>
      </c>
      <c r="D127" s="800"/>
      <c r="E127" s="800"/>
      <c r="F127" s="801">
        <f t="shared" si="71"/>
        <v>1.048193639188975</v>
      </c>
      <c r="G127" s="801">
        <f t="shared" si="71"/>
        <v>0.97889642440733149</v>
      </c>
      <c r="H127" s="801">
        <f t="shared" si="71"/>
        <v>0.9559342805994514</v>
      </c>
      <c r="I127" s="801">
        <f t="shared" si="71"/>
        <v>0.94136694788387543</v>
      </c>
      <c r="J127" s="801">
        <f t="shared" si="71"/>
        <v>0.85551466370054863</v>
      </c>
      <c r="K127" s="801">
        <f t="shared" si="71"/>
        <v>0.84077279108493208</v>
      </c>
      <c r="L127" s="801">
        <f t="shared" si="71"/>
        <v>0.84232896385332068</v>
      </c>
      <c r="M127" s="512"/>
      <c r="O127" s="421"/>
      <c r="P127" s="37" t="s">
        <v>118</v>
      </c>
      <c r="Q127" s="37" t="s">
        <v>118</v>
      </c>
    </row>
    <row r="128" spans="1:17" ht="15.75" thickBot="1">
      <c r="A128" s="424">
        <f>ROW()</f>
        <v>128</v>
      </c>
      <c r="B128" s="516" t="s">
        <v>203</v>
      </c>
      <c r="C128" s="517">
        <f>IFERROR(C47/C$32,0)</f>
        <v>0.10733885486187662</v>
      </c>
      <c r="D128" s="517"/>
      <c r="E128" s="517"/>
      <c r="F128" s="781">
        <f t="shared" ref="F128:L128" si="73">IFERROR(F47/F$32,0)</f>
        <v>-4.8193639188974978E-2</v>
      </c>
      <c r="G128" s="781">
        <f t="shared" si="73"/>
        <v>2.1103575592668483E-2</v>
      </c>
      <c r="H128" s="781">
        <f t="shared" si="73"/>
        <v>4.4065719400548639E-2</v>
      </c>
      <c r="I128" s="781">
        <f t="shared" si="73"/>
        <v>5.8633052116124539E-2</v>
      </c>
      <c r="J128" s="781">
        <f t="shared" si="73"/>
        <v>0.1444853362994514</v>
      </c>
      <c r="K128" s="781">
        <f t="shared" si="73"/>
        <v>0.15922720891506795</v>
      </c>
      <c r="L128" s="781">
        <f t="shared" si="73"/>
        <v>0.15767103614667932</v>
      </c>
      <c r="M128" s="512"/>
      <c r="O128" s="421"/>
      <c r="P128" s="37" t="s">
        <v>118</v>
      </c>
      <c r="Q128" s="37" t="s">
        <v>118</v>
      </c>
    </row>
    <row r="129" spans="1:19">
      <c r="A129" s="424">
        <f>ROW()</f>
        <v>129</v>
      </c>
      <c r="B129" s="220" t="s">
        <v>155</v>
      </c>
      <c r="C129" s="862"/>
      <c r="D129" s="862"/>
      <c r="E129" s="862"/>
      <c r="F129" s="154">
        <f t="shared" ref="F129:L129" si="74">+F48</f>
        <v>0</v>
      </c>
      <c r="G129" s="154">
        <f t="shared" si="74"/>
        <v>261.161179710147</v>
      </c>
      <c r="H129" s="154">
        <f t="shared" si="74"/>
        <v>507.78301336210291</v>
      </c>
      <c r="I129" s="154">
        <f t="shared" si="74"/>
        <v>698.12795746516258</v>
      </c>
      <c r="J129" s="154">
        <f t="shared" si="74"/>
        <v>1723.6281495211672</v>
      </c>
      <c r="K129" s="154">
        <f t="shared" si="74"/>
        <v>1924.7942613673358</v>
      </c>
      <c r="L129" s="154">
        <f t="shared" si="74"/>
        <v>1905.9826999847066</v>
      </c>
      <c r="M129" s="512"/>
      <c r="O129" s="421"/>
      <c r="P129" s="37" t="s">
        <v>118</v>
      </c>
      <c r="Q129" s="37" t="s">
        <v>118</v>
      </c>
    </row>
    <row r="130" spans="1:19">
      <c r="A130" s="424">
        <f>ROW()</f>
        <v>130</v>
      </c>
      <c r="C130" s="62"/>
      <c r="D130" s="62"/>
      <c r="E130" s="62"/>
      <c r="F130" s="150"/>
      <c r="G130" s="150"/>
      <c r="H130" s="150"/>
      <c r="I130" s="150"/>
      <c r="J130" s="150"/>
      <c r="K130" s="150"/>
      <c r="L130" s="150"/>
      <c r="M130" s="512"/>
      <c r="O130" s="421"/>
      <c r="P130" s="37" t="s">
        <v>118</v>
      </c>
      <c r="Q130" s="37" t="s">
        <v>118</v>
      </c>
    </row>
    <row r="131" spans="1:19">
      <c r="A131" s="424">
        <f>ROW()</f>
        <v>131</v>
      </c>
      <c r="B131" s="37" t="s">
        <v>204</v>
      </c>
      <c r="C131" s="125">
        <f>+C63</f>
        <v>0</v>
      </c>
      <c r="D131" s="125"/>
      <c r="E131" s="125"/>
      <c r="F131" s="150">
        <f t="shared" ref="F131:L131" si="75">+F63</f>
        <v>-20066</v>
      </c>
      <c r="G131" s="150">
        <f t="shared" si="75"/>
        <v>19108.176956522046</v>
      </c>
      <c r="H131" s="150">
        <f t="shared" si="75"/>
        <v>156209.59056428983</v>
      </c>
      <c r="I131" s="150">
        <f t="shared" si="75"/>
        <v>376119.89716581604</v>
      </c>
      <c r="J131" s="150">
        <f t="shared" si="75"/>
        <v>996626.03099343623</v>
      </c>
      <c r="K131" s="150">
        <f t="shared" si="75"/>
        <v>1689551.9650856771</v>
      </c>
      <c r="L131" s="150">
        <f t="shared" si="75"/>
        <v>2375705.7370801717</v>
      </c>
      <c r="M131" s="512"/>
      <c r="O131" s="421"/>
      <c r="P131" s="37" t="s">
        <v>118</v>
      </c>
      <c r="Q131" s="37" t="s">
        <v>118</v>
      </c>
    </row>
    <row r="132" spans="1:19">
      <c r="A132" s="424">
        <f>ROW()</f>
        <v>132</v>
      </c>
      <c r="F132" s="611"/>
      <c r="G132" s="611"/>
      <c r="H132" s="611"/>
      <c r="I132" s="611"/>
      <c r="J132" s="611"/>
      <c r="K132" s="611"/>
      <c r="L132" s="611"/>
      <c r="M132" s="512"/>
      <c r="O132" s="421"/>
      <c r="P132" s="37" t="s">
        <v>118</v>
      </c>
      <c r="Q132" s="37" t="s">
        <v>118</v>
      </c>
    </row>
    <row r="133" spans="1:19" ht="18">
      <c r="A133" s="424">
        <f>ROW()</f>
        <v>133</v>
      </c>
      <c r="B133" s="1171" t="s">
        <v>205</v>
      </c>
      <c r="C133" s="1172"/>
      <c r="D133" s="1172"/>
      <c r="E133" s="1172"/>
      <c r="F133" s="1179" t="str">
        <f t="shared" ref="F133:L133" si="76">F6</f>
        <v>SY 0/Incu</v>
      </c>
      <c r="G133" s="1180">
        <f t="shared" si="76"/>
        <v>1</v>
      </c>
      <c r="H133" s="1180">
        <f t="shared" si="76"/>
        <v>2</v>
      </c>
      <c r="I133" s="1180">
        <f t="shared" si="76"/>
        <v>3</v>
      </c>
      <c r="J133" s="1180">
        <f t="shared" si="76"/>
        <v>4</v>
      </c>
      <c r="K133" s="1180">
        <f t="shared" si="76"/>
        <v>5</v>
      </c>
      <c r="L133" s="1180">
        <f t="shared" si="76"/>
        <v>6</v>
      </c>
      <c r="M133" s="512"/>
      <c r="O133" s="421"/>
      <c r="P133" s="37" t="s">
        <v>118</v>
      </c>
      <c r="Q133" s="37" t="s">
        <v>118</v>
      </c>
    </row>
    <row r="134" spans="1:19">
      <c r="A134" s="424">
        <f>ROW()</f>
        <v>134</v>
      </c>
      <c r="B134" s="1181" t="s">
        <v>122</v>
      </c>
      <c r="C134" s="1182" t="s">
        <v>206</v>
      </c>
      <c r="D134" s="1183"/>
      <c r="E134" s="1183"/>
      <c r="F134" s="1184"/>
      <c r="G134" s="1184"/>
      <c r="H134" s="1184"/>
      <c r="I134" s="1184"/>
      <c r="J134" s="1184"/>
      <c r="K134" s="1184"/>
      <c r="L134" s="1184"/>
      <c r="M134" s="512"/>
      <c r="O134" s="421"/>
      <c r="P134" s="37" t="s">
        <v>118</v>
      </c>
      <c r="Q134" s="37" t="s">
        <v>118</v>
      </c>
    </row>
    <row r="135" spans="1:19">
      <c r="A135" s="424">
        <f>ROW()</f>
        <v>135</v>
      </c>
      <c r="B135" s="37" t="str">
        <f>+B98</f>
        <v>PCFP Revenue</v>
      </c>
      <c r="C135" s="67">
        <f t="shared" ref="C135:C152" si="77">AVERAGE(G135:L135)</f>
        <v>10120.209819772024</v>
      </c>
      <c r="D135" s="511"/>
      <c r="E135" s="512"/>
      <c r="F135" s="779"/>
      <c r="G135" s="779">
        <f>IFERROR(G13/G$66,0)</f>
        <v>9414</v>
      </c>
      <c r="H135" s="779">
        <f t="shared" ref="H135:L135" si="78">IFERROR(H13/H$66,0)</f>
        <v>9996.1716969999998</v>
      </c>
      <c r="I135" s="779">
        <f t="shared" si="78"/>
        <v>10261.103189657144</v>
      </c>
      <c r="J135" s="779">
        <f t="shared" si="78"/>
        <v>10276.789922775</v>
      </c>
      <c r="K135" s="779">
        <f t="shared" si="78"/>
        <v>10386.597054600001</v>
      </c>
      <c r="L135" s="779">
        <f t="shared" si="78"/>
        <v>10386.597054600001</v>
      </c>
      <c r="M135" s="512"/>
      <c r="O135" s="421"/>
      <c r="P135" s="37" t="s">
        <v>118</v>
      </c>
      <c r="Q135" s="37" t="s">
        <v>118</v>
      </c>
      <c r="S135" s="103"/>
    </row>
    <row r="136" spans="1:19">
      <c r="A136" s="424">
        <f>ROW()</f>
        <v>136</v>
      </c>
      <c r="B136" s="37" t="str">
        <f>+B99</f>
        <v>CS Sponsorship Fee</v>
      </c>
      <c r="C136" s="61">
        <f t="shared" si="77"/>
        <v>-126.50262274715033</v>
      </c>
      <c r="D136" s="61"/>
      <c r="E136" s="512"/>
      <c r="F136" s="114"/>
      <c r="G136" s="114">
        <f>IFERROR(G14/G$66,0)</f>
        <v>-117.675</v>
      </c>
      <c r="H136" s="114">
        <f t="shared" ref="H136:L136" si="79">IFERROR(H14/H$66,0)</f>
        <v>-124.95214621250001</v>
      </c>
      <c r="I136" s="114">
        <f t="shared" si="79"/>
        <v>-128.26378987071431</v>
      </c>
      <c r="J136" s="114">
        <f t="shared" si="79"/>
        <v>-128.45987403468752</v>
      </c>
      <c r="K136" s="114">
        <f t="shared" si="79"/>
        <v>-129.83246318250002</v>
      </c>
      <c r="L136" s="114">
        <f t="shared" si="79"/>
        <v>-129.83246318250002</v>
      </c>
      <c r="M136" s="512"/>
      <c r="O136" s="421"/>
      <c r="P136" s="37" t="s">
        <v>118</v>
      </c>
      <c r="Q136" s="37" t="s">
        <v>118</v>
      </c>
    </row>
    <row r="137" spans="1:19">
      <c r="A137" s="424">
        <f>ROW()</f>
        <v>137</v>
      </c>
      <c r="B137" s="37" t="s">
        <v>135</v>
      </c>
      <c r="C137" s="61">
        <f t="shared" si="77"/>
        <v>288.60540892857142</v>
      </c>
      <c r="D137" s="61"/>
      <c r="E137" s="512"/>
      <c r="F137" s="114"/>
      <c r="G137" s="114">
        <f>IFERROR(G22/G$66,0)</f>
        <v>0</v>
      </c>
      <c r="H137" s="114">
        <f t="shared" ref="H137:L137" si="80">IFERROR(H22/H$66,0)</f>
        <v>224.36700000000002</v>
      </c>
      <c r="I137" s="114">
        <f t="shared" si="80"/>
        <v>346.16622857142863</v>
      </c>
      <c r="J137" s="114">
        <f t="shared" si="80"/>
        <v>353.37802500000004</v>
      </c>
      <c r="K137" s="114">
        <f t="shared" si="80"/>
        <v>403.86060000000003</v>
      </c>
      <c r="L137" s="114">
        <f t="shared" si="80"/>
        <v>403.86060000000003</v>
      </c>
      <c r="M137" s="512"/>
      <c r="O137" s="421"/>
      <c r="P137" s="37" t="s">
        <v>118</v>
      </c>
      <c r="Q137" s="37" t="s">
        <v>118</v>
      </c>
    </row>
    <row r="138" spans="1:19">
      <c r="A138" s="424">
        <f>ROW()</f>
        <v>138</v>
      </c>
      <c r="B138" s="37" t="s">
        <v>128</v>
      </c>
      <c r="C138" s="61">
        <f t="shared" si="77"/>
        <v>297.5</v>
      </c>
      <c r="D138" s="61"/>
      <c r="E138" s="512"/>
      <c r="F138" s="114"/>
      <c r="G138" s="114">
        <f>IFERROR(G15/G$66,0)</f>
        <v>297.5</v>
      </c>
      <c r="H138" s="114">
        <f t="shared" ref="H138:L138" si="81">IFERROR(H15/H$66,0)</f>
        <v>297.5</v>
      </c>
      <c r="I138" s="114">
        <f t="shared" si="81"/>
        <v>297.5</v>
      </c>
      <c r="J138" s="114">
        <f t="shared" si="81"/>
        <v>297.5</v>
      </c>
      <c r="K138" s="114">
        <f t="shared" si="81"/>
        <v>297.5</v>
      </c>
      <c r="L138" s="114">
        <f t="shared" si="81"/>
        <v>297.5</v>
      </c>
      <c r="M138" s="61"/>
      <c r="O138" s="421"/>
      <c r="P138" s="37" t="s">
        <v>118</v>
      </c>
      <c r="Q138" s="37" t="s">
        <v>118</v>
      </c>
    </row>
    <row r="139" spans="1:19">
      <c r="A139" s="424">
        <f>ROW()</f>
        <v>139</v>
      </c>
      <c r="B139" s="37" t="s">
        <v>129</v>
      </c>
      <c r="C139" s="61">
        <f t="shared" si="77"/>
        <v>65.55</v>
      </c>
      <c r="D139" s="61"/>
      <c r="E139" s="512"/>
      <c r="F139" s="114"/>
      <c r="G139" s="114">
        <f>IFERROR(G16/G$66,0)</f>
        <v>65.55</v>
      </c>
      <c r="H139" s="114">
        <f t="shared" ref="H139:L139" si="82">IFERROR(H16/H$66,0)</f>
        <v>65.55</v>
      </c>
      <c r="I139" s="114">
        <f t="shared" si="82"/>
        <v>65.55</v>
      </c>
      <c r="J139" s="114">
        <f t="shared" si="82"/>
        <v>65.55</v>
      </c>
      <c r="K139" s="114">
        <f t="shared" si="82"/>
        <v>65.55</v>
      </c>
      <c r="L139" s="114">
        <f t="shared" si="82"/>
        <v>65.55</v>
      </c>
      <c r="M139" s="61"/>
      <c r="O139" s="421"/>
      <c r="P139" s="37" t="s">
        <v>118</v>
      </c>
      <c r="Q139" s="37" t="s">
        <v>118</v>
      </c>
    </row>
    <row r="140" spans="1:19">
      <c r="A140" s="424">
        <f>ROW()</f>
        <v>140</v>
      </c>
      <c r="B140" s="37" t="s">
        <v>130</v>
      </c>
      <c r="C140" s="61">
        <f t="shared" si="77"/>
        <v>11.039000000000001</v>
      </c>
      <c r="D140" s="61"/>
      <c r="E140" s="512"/>
      <c r="F140" s="114"/>
      <c r="G140" s="114">
        <f>IFERROR(G17/G$66,0)</f>
        <v>11.039000000000001</v>
      </c>
      <c r="H140" s="114">
        <f t="shared" ref="H140:L140" si="83">IFERROR(H17/H$66,0)</f>
        <v>11.039000000000001</v>
      </c>
      <c r="I140" s="114">
        <f t="shared" si="83"/>
        <v>11.039000000000001</v>
      </c>
      <c r="J140" s="114">
        <f t="shared" si="83"/>
        <v>11.039000000000001</v>
      </c>
      <c r="K140" s="114">
        <f t="shared" si="83"/>
        <v>11.039000000000001</v>
      </c>
      <c r="L140" s="114">
        <f t="shared" si="83"/>
        <v>11.039000000000001</v>
      </c>
      <c r="M140" s="61"/>
      <c r="O140" s="421"/>
      <c r="P140" s="37" t="s">
        <v>118</v>
      </c>
      <c r="Q140" s="37" t="s">
        <v>118</v>
      </c>
    </row>
    <row r="141" spans="1:19">
      <c r="A141" s="424">
        <f>ROW()</f>
        <v>141</v>
      </c>
      <c r="B141" s="37" t="s">
        <v>132</v>
      </c>
      <c r="C141" s="61">
        <f t="shared" si="77"/>
        <v>306.54399999999993</v>
      </c>
      <c r="D141" s="61"/>
      <c r="E141" s="512"/>
      <c r="F141" s="114"/>
      <c r="G141" s="114">
        <f>IFERROR(G19/G$66,0)</f>
        <v>306.54399999999998</v>
      </c>
      <c r="H141" s="114">
        <f t="shared" ref="H141:L141" si="84">IFERROR(H19/H$66,0)</f>
        <v>306.54399999999998</v>
      </c>
      <c r="I141" s="114">
        <f t="shared" si="84"/>
        <v>306.54399999999998</v>
      </c>
      <c r="J141" s="114">
        <f t="shared" si="84"/>
        <v>306.54399999999998</v>
      </c>
      <c r="K141" s="114">
        <f t="shared" si="84"/>
        <v>306.54399999999998</v>
      </c>
      <c r="L141" s="114">
        <f t="shared" si="84"/>
        <v>306.54399999999998</v>
      </c>
      <c r="M141" s="61"/>
      <c r="O141" s="421"/>
      <c r="P141" s="37" t="s">
        <v>118</v>
      </c>
      <c r="Q141" s="37" t="s">
        <v>118</v>
      </c>
    </row>
    <row r="142" spans="1:19">
      <c r="A142" s="424">
        <f>ROW()</f>
        <v>142</v>
      </c>
      <c r="B142" s="37" t="s">
        <v>133</v>
      </c>
      <c r="C142" s="61">
        <f t="shared" si="77"/>
        <v>552.09199999999998</v>
      </c>
      <c r="D142" s="61"/>
      <c r="E142" s="512"/>
      <c r="F142" s="114"/>
      <c r="G142" s="114">
        <f>IFERROR(G20/G$66,0)</f>
        <v>552.09199999999987</v>
      </c>
      <c r="H142" s="114">
        <f t="shared" ref="H142:L142" si="85">IFERROR(H20/H$66,0)</f>
        <v>552.09199999999998</v>
      </c>
      <c r="I142" s="114">
        <f t="shared" si="85"/>
        <v>552.09199999999998</v>
      </c>
      <c r="J142" s="114">
        <f t="shared" si="85"/>
        <v>552.09199999999998</v>
      </c>
      <c r="K142" s="114">
        <f t="shared" si="85"/>
        <v>552.09199999999998</v>
      </c>
      <c r="L142" s="114">
        <f t="shared" si="85"/>
        <v>552.09199999999998</v>
      </c>
      <c r="M142" s="61"/>
      <c r="O142" s="421"/>
      <c r="P142" s="37" t="s">
        <v>118</v>
      </c>
      <c r="Q142" s="37" t="s">
        <v>118</v>
      </c>
    </row>
    <row r="143" spans="1:19">
      <c r="A143" s="424">
        <f>ROW()</f>
        <v>143</v>
      </c>
      <c r="B143" s="37" t="s">
        <v>134</v>
      </c>
      <c r="C143" s="61">
        <f t="shared" si="77"/>
        <v>195</v>
      </c>
      <c r="D143" s="61"/>
      <c r="E143" s="512"/>
      <c r="F143" s="114"/>
      <c r="G143" s="114">
        <f>IFERROR(G21/G$66,0)</f>
        <v>195</v>
      </c>
      <c r="H143" s="114">
        <f t="shared" ref="H143:L143" si="86">IFERROR(H21/H$66,0)</f>
        <v>195</v>
      </c>
      <c r="I143" s="114">
        <f t="shared" si="86"/>
        <v>195.00000000000003</v>
      </c>
      <c r="J143" s="114">
        <f t="shared" si="86"/>
        <v>195</v>
      </c>
      <c r="K143" s="114">
        <f t="shared" si="86"/>
        <v>195</v>
      </c>
      <c r="L143" s="114">
        <f t="shared" si="86"/>
        <v>195</v>
      </c>
      <c r="M143" s="61"/>
      <c r="O143" s="421"/>
      <c r="P143" s="37" t="s">
        <v>118</v>
      </c>
      <c r="Q143" s="37" t="s">
        <v>118</v>
      </c>
    </row>
    <row r="144" spans="1:19">
      <c r="A144" s="424">
        <f>ROW()</f>
        <v>144</v>
      </c>
      <c r="B144" s="37" t="s">
        <v>140</v>
      </c>
      <c r="C144" s="61">
        <f t="shared" si="77"/>
        <v>0</v>
      </c>
      <c r="D144" s="61"/>
      <c r="E144" s="512"/>
      <c r="F144" s="114"/>
      <c r="G144" s="114">
        <f>IFERROR(G27/G$66,0)</f>
        <v>0</v>
      </c>
      <c r="H144" s="114">
        <f t="shared" ref="H144:L144" si="87">IFERROR(H27/H$66,0)</f>
        <v>0</v>
      </c>
      <c r="I144" s="114">
        <f t="shared" si="87"/>
        <v>0</v>
      </c>
      <c r="J144" s="114">
        <f t="shared" si="87"/>
        <v>0</v>
      </c>
      <c r="K144" s="114">
        <f t="shared" si="87"/>
        <v>0</v>
      </c>
      <c r="L144" s="114">
        <f t="shared" si="87"/>
        <v>0</v>
      </c>
      <c r="M144" s="61"/>
      <c r="O144" s="421"/>
      <c r="P144" s="37" t="s">
        <v>118</v>
      </c>
      <c r="Q144" s="37" t="s">
        <v>118</v>
      </c>
    </row>
    <row r="145" spans="1:17">
      <c r="A145" s="424">
        <f>ROW()</f>
        <v>145</v>
      </c>
      <c r="B145" s="37" t="s">
        <v>198</v>
      </c>
      <c r="C145" s="61">
        <f t="shared" si="77"/>
        <v>0</v>
      </c>
      <c r="D145" s="61"/>
      <c r="E145" s="512"/>
      <c r="F145" s="114"/>
      <c r="G145" s="114">
        <f>IFERROR(G23/G$66,0)</f>
        <v>0</v>
      </c>
      <c r="H145" s="114">
        <f t="shared" ref="H145:L145" si="88">IFERROR(H23/H$66,0)</f>
        <v>0</v>
      </c>
      <c r="I145" s="114">
        <f t="shared" si="88"/>
        <v>0</v>
      </c>
      <c r="J145" s="114">
        <f t="shared" si="88"/>
        <v>0</v>
      </c>
      <c r="K145" s="114">
        <f t="shared" si="88"/>
        <v>0</v>
      </c>
      <c r="L145" s="114">
        <f t="shared" si="88"/>
        <v>0</v>
      </c>
      <c r="M145" s="61"/>
      <c r="O145" s="421"/>
      <c r="P145" s="37" t="s">
        <v>118</v>
      </c>
      <c r="Q145" s="37" t="s">
        <v>118</v>
      </c>
    </row>
    <row r="146" spans="1:17">
      <c r="A146" s="424">
        <f>ROW()</f>
        <v>146</v>
      </c>
      <c r="B146" s="37" t="s">
        <v>199</v>
      </c>
      <c r="C146" s="61">
        <f t="shared" si="77"/>
        <v>75.193333333333342</v>
      </c>
      <c r="D146" s="61"/>
      <c r="E146" s="512"/>
      <c r="F146" s="114"/>
      <c r="G146" s="114">
        <f>IFERROR(G24/G$66,0)</f>
        <v>451.16</v>
      </c>
      <c r="H146" s="114">
        <f t="shared" ref="H146:L146" si="89">IFERROR(H24/H$66,0)</f>
        <v>0</v>
      </c>
      <c r="I146" s="114">
        <f t="shared" si="89"/>
        <v>0</v>
      </c>
      <c r="J146" s="114">
        <f t="shared" si="89"/>
        <v>0</v>
      </c>
      <c r="K146" s="114">
        <f t="shared" si="89"/>
        <v>0</v>
      </c>
      <c r="L146" s="114">
        <f t="shared" si="89"/>
        <v>0</v>
      </c>
      <c r="M146" s="61"/>
      <c r="O146" s="421"/>
      <c r="P146" s="37" t="s">
        <v>118</v>
      </c>
      <c r="Q146" s="37" t="s">
        <v>118</v>
      </c>
    </row>
    <row r="147" spans="1:17">
      <c r="A147" s="424">
        <f>ROW()</f>
        <v>147</v>
      </c>
      <c r="B147" s="37" t="s">
        <v>138</v>
      </c>
      <c r="C147" s="61">
        <f t="shared" si="77"/>
        <v>0</v>
      </c>
      <c r="D147" s="61"/>
      <c r="E147" s="512"/>
      <c r="F147" s="114"/>
      <c r="G147" s="114">
        <f>IFERROR(G25/G$66,0)</f>
        <v>0</v>
      </c>
      <c r="H147" s="114">
        <f t="shared" ref="H147:L147" si="90">IFERROR(H25/H$66,0)</f>
        <v>0</v>
      </c>
      <c r="I147" s="114">
        <f t="shared" si="90"/>
        <v>0</v>
      </c>
      <c r="J147" s="114">
        <f t="shared" si="90"/>
        <v>0</v>
      </c>
      <c r="K147" s="114">
        <f t="shared" si="90"/>
        <v>0</v>
      </c>
      <c r="L147" s="114">
        <f t="shared" si="90"/>
        <v>0</v>
      </c>
      <c r="M147" s="61"/>
      <c r="O147" s="421"/>
      <c r="P147" s="37" t="s">
        <v>118</v>
      </c>
      <c r="Q147" s="37" t="s">
        <v>118</v>
      </c>
    </row>
    <row r="148" spans="1:17">
      <c r="A148" s="424">
        <f>ROW()</f>
        <v>148</v>
      </c>
      <c r="B148" s="37" t="s">
        <v>141</v>
      </c>
      <c r="C148" s="61">
        <f t="shared" si="77"/>
        <v>0</v>
      </c>
      <c r="D148" s="61"/>
      <c r="E148" s="512"/>
      <c r="F148" s="114"/>
      <c r="G148" s="114">
        <f>IFERROR(G28/G$66,0)</f>
        <v>0</v>
      </c>
      <c r="H148" s="114">
        <f t="shared" ref="H148:L148" si="91">IFERROR(H28/H$66,0)</f>
        <v>0</v>
      </c>
      <c r="I148" s="114">
        <f t="shared" si="91"/>
        <v>0</v>
      </c>
      <c r="J148" s="114">
        <f t="shared" si="91"/>
        <v>0</v>
      </c>
      <c r="K148" s="114">
        <f t="shared" si="91"/>
        <v>0</v>
      </c>
      <c r="L148" s="114">
        <f t="shared" si="91"/>
        <v>0</v>
      </c>
      <c r="M148" s="61"/>
      <c r="O148" s="421"/>
      <c r="P148" s="37" t="s">
        <v>118</v>
      </c>
      <c r="Q148" s="37" t="s">
        <v>118</v>
      </c>
    </row>
    <row r="149" spans="1:17">
      <c r="A149" s="424">
        <f>ROW()</f>
        <v>149</v>
      </c>
      <c r="B149" s="37" t="s">
        <v>142</v>
      </c>
      <c r="C149" s="61">
        <f t="shared" si="77"/>
        <v>0</v>
      </c>
      <c r="D149" s="61"/>
      <c r="E149" s="512"/>
      <c r="F149" s="114"/>
      <c r="G149" s="114">
        <f>IFERROR(G29/G$66,0)</f>
        <v>0</v>
      </c>
      <c r="H149" s="114">
        <f t="shared" ref="H149:L149" si="92">IFERROR(H29/H$66,0)</f>
        <v>0</v>
      </c>
      <c r="I149" s="114">
        <f t="shared" si="92"/>
        <v>0</v>
      </c>
      <c r="J149" s="114">
        <f t="shared" si="92"/>
        <v>0</v>
      </c>
      <c r="K149" s="114">
        <f t="shared" si="92"/>
        <v>0</v>
      </c>
      <c r="L149" s="114">
        <f t="shared" si="92"/>
        <v>0</v>
      </c>
      <c r="M149" s="61"/>
      <c r="O149" s="421"/>
      <c r="P149" s="37" t="s">
        <v>118</v>
      </c>
      <c r="Q149" s="37" t="s">
        <v>118</v>
      </c>
    </row>
    <row r="150" spans="1:17">
      <c r="A150" s="424">
        <f>ROW()</f>
        <v>150</v>
      </c>
      <c r="B150" s="37" t="s">
        <v>143</v>
      </c>
      <c r="C150" s="61">
        <f t="shared" si="77"/>
        <v>133.33333333333334</v>
      </c>
      <c r="D150" s="61"/>
      <c r="E150" s="512"/>
      <c r="F150" s="114"/>
      <c r="G150" s="114">
        <f>IFERROR(G30/G$66,0)</f>
        <v>800</v>
      </c>
      <c r="H150" s="114">
        <f t="shared" ref="H150:L150" si="93">IFERROR(H30/H$66,0)</f>
        <v>0</v>
      </c>
      <c r="I150" s="114">
        <f t="shared" si="93"/>
        <v>0</v>
      </c>
      <c r="J150" s="114">
        <f t="shared" si="93"/>
        <v>0</v>
      </c>
      <c r="K150" s="114">
        <f t="shared" si="93"/>
        <v>0</v>
      </c>
      <c r="L150" s="114">
        <f t="shared" si="93"/>
        <v>0</v>
      </c>
      <c r="M150" s="61"/>
      <c r="O150" s="421"/>
      <c r="P150" s="37" t="s">
        <v>118</v>
      </c>
      <c r="Q150" s="37" t="s">
        <v>118</v>
      </c>
    </row>
    <row r="151" spans="1:17">
      <c r="A151" s="424">
        <f>ROW()</f>
        <v>151</v>
      </c>
      <c r="B151" s="37" t="s">
        <v>144</v>
      </c>
      <c r="C151" s="61">
        <f t="shared" si="77"/>
        <v>66.666666666666671</v>
      </c>
      <c r="D151" s="61"/>
      <c r="E151" s="512"/>
      <c r="F151" s="114"/>
      <c r="G151" s="114">
        <f>IFERROR(G31/G$66,0)</f>
        <v>400</v>
      </c>
      <c r="H151" s="114">
        <f t="shared" ref="H151:L151" si="94">IFERROR(H31/H$66,0)</f>
        <v>0</v>
      </c>
      <c r="I151" s="114">
        <f t="shared" si="94"/>
        <v>0</v>
      </c>
      <c r="J151" s="114">
        <f t="shared" si="94"/>
        <v>0</v>
      </c>
      <c r="K151" s="114">
        <f t="shared" si="94"/>
        <v>0</v>
      </c>
      <c r="L151" s="114">
        <f t="shared" si="94"/>
        <v>0</v>
      </c>
      <c r="M151" s="61"/>
      <c r="O151" s="421"/>
      <c r="P151" s="37" t="s">
        <v>118</v>
      </c>
      <c r="Q151" s="37" t="s">
        <v>118</v>
      </c>
    </row>
    <row r="152" spans="1:17">
      <c r="A152" s="424">
        <f>ROW()</f>
        <v>152</v>
      </c>
      <c r="B152" s="35" t="s">
        <v>200</v>
      </c>
      <c r="C152" s="861">
        <f t="shared" si="77"/>
        <v>11985.230939286781</v>
      </c>
      <c r="D152" s="861"/>
      <c r="E152" s="861"/>
      <c r="F152" s="1515"/>
      <c r="G152" s="1515">
        <f t="shared" ref="G152:J152" si="95">SUM(G135:G151)</f>
        <v>12375.210000000001</v>
      </c>
      <c r="H152" s="1515">
        <f t="shared" si="95"/>
        <v>11523.311550787501</v>
      </c>
      <c r="I152" s="1515">
        <f t="shared" si="95"/>
        <v>11906.730628357858</v>
      </c>
      <c r="J152" s="1515">
        <f t="shared" si="95"/>
        <v>11929.433073740312</v>
      </c>
      <c r="K152" s="1515">
        <f>SUM(K135:K151)</f>
        <v>12088.350191417501</v>
      </c>
      <c r="L152" s="1515">
        <f>SUM(L135:L151)</f>
        <v>12088.350191417501</v>
      </c>
      <c r="M152" s="61"/>
      <c r="O152" s="421"/>
      <c r="P152" s="37" t="s">
        <v>118</v>
      </c>
      <c r="Q152" s="37" t="s">
        <v>118</v>
      </c>
    </row>
    <row r="153" spans="1:17">
      <c r="A153" s="424">
        <f>ROW()</f>
        <v>153</v>
      </c>
      <c r="C153" s="66"/>
      <c r="D153" s="66"/>
      <c r="E153" s="66"/>
      <c r="F153" s="611"/>
      <c r="G153" s="611"/>
      <c r="H153" s="611"/>
      <c r="I153" s="611"/>
      <c r="J153" s="611"/>
      <c r="K153" s="611"/>
      <c r="L153" s="611"/>
      <c r="M153" s="61"/>
      <c r="O153" s="421"/>
      <c r="P153" s="37" t="s">
        <v>118</v>
      </c>
      <c r="Q153" s="37" t="s">
        <v>118</v>
      </c>
    </row>
    <row r="154" spans="1:17">
      <c r="A154" s="424">
        <f>ROW()</f>
        <v>154</v>
      </c>
      <c r="B154" s="1176" t="s">
        <v>147</v>
      </c>
      <c r="C154" s="1177"/>
      <c r="D154" s="1177"/>
      <c r="E154" s="1177"/>
      <c r="F154" s="1178"/>
      <c r="G154" s="1178"/>
      <c r="H154" s="1178"/>
      <c r="I154" s="1178"/>
      <c r="J154" s="1178"/>
      <c r="K154" s="1178"/>
      <c r="L154" s="1178"/>
      <c r="M154" s="61"/>
      <c r="O154" s="421"/>
      <c r="P154" s="37" t="s">
        <v>118</v>
      </c>
      <c r="Q154" s="37" t="s">
        <v>118</v>
      </c>
    </row>
    <row r="155" spans="1:17">
      <c r="A155" s="424">
        <f>ROW()</f>
        <v>155</v>
      </c>
      <c r="B155" s="37" t="s">
        <v>148</v>
      </c>
      <c r="C155" s="320">
        <f>AVERAGE(G155:L155)</f>
        <v>5670.4354572223156</v>
      </c>
      <c r="D155" s="67"/>
      <c r="E155" s="512"/>
      <c r="F155" s="114"/>
      <c r="G155" s="114">
        <f t="shared" ref="G155:G163" si="96">IFERROR(G36/G$66,0)</f>
        <v>5639.7738202898545</v>
      </c>
      <c r="H155" s="114">
        <f t="shared" ref="H155:L155" si="97">IFERROR(H36/H$66,0)</f>
        <v>5781.448598309179</v>
      </c>
      <c r="I155" s="114">
        <f t="shared" si="97"/>
        <v>6206.079520930849</v>
      </c>
      <c r="J155" s="114">
        <f t="shared" si="97"/>
        <v>5461.5906446902709</v>
      </c>
      <c r="K155" s="114">
        <f t="shared" si="97"/>
        <v>5465.0919303159171</v>
      </c>
      <c r="L155" s="114">
        <f t="shared" si="97"/>
        <v>5468.6282287978202</v>
      </c>
      <c r="M155" s="61"/>
      <c r="O155" s="421"/>
      <c r="P155" s="37" t="s">
        <v>118</v>
      </c>
      <c r="Q155" s="37" t="s">
        <v>118</v>
      </c>
    </row>
    <row r="156" spans="1:17">
      <c r="A156" s="424">
        <f>ROW()</f>
        <v>156</v>
      </c>
      <c r="B156" s="37" t="s">
        <v>98</v>
      </c>
      <c r="C156" s="61">
        <f>AVERAGE(G156:L156)</f>
        <v>2312.9268816137569</v>
      </c>
      <c r="D156" s="61"/>
      <c r="E156" s="512"/>
      <c r="F156" s="114"/>
      <c r="G156" s="114">
        <f t="shared" si="96"/>
        <v>3122.6416666666669</v>
      </c>
      <c r="H156" s="114">
        <f t="shared" ref="H156:L156" si="98">IFERROR(H37/H$66,0)</f>
        <v>2350.2666666666669</v>
      </c>
      <c r="I156" s="114">
        <f t="shared" si="98"/>
        <v>2131.304761904762</v>
      </c>
      <c r="J156" s="114">
        <f t="shared" si="98"/>
        <v>2076.4290277777777</v>
      </c>
      <c r="K156" s="114">
        <f t="shared" si="98"/>
        <v>2091.1151388888889</v>
      </c>
      <c r="L156" s="114">
        <f t="shared" si="98"/>
        <v>2105.8040277777777</v>
      </c>
      <c r="M156" s="61"/>
      <c r="O156" s="421"/>
      <c r="P156" s="37" t="s">
        <v>118</v>
      </c>
      <c r="Q156" s="37" t="s">
        <v>118</v>
      </c>
    </row>
    <row r="157" spans="1:17">
      <c r="A157" s="424">
        <f>ROW()</f>
        <v>157</v>
      </c>
      <c r="B157" s="37" t="s">
        <v>149</v>
      </c>
      <c r="C157" s="61">
        <f>AVERAGE(G157:L157)</f>
        <v>1806.3828607515431</v>
      </c>
      <c r="D157" s="61"/>
      <c r="E157" s="512"/>
      <c r="F157" s="114"/>
      <c r="G157" s="114">
        <f t="shared" si="96"/>
        <v>1932.8666666666666</v>
      </c>
      <c r="H157" s="114">
        <f t="shared" ref="H157:L157" si="99">IFERROR(H38/H$66,0)</f>
        <v>1829.3481481481481</v>
      </c>
      <c r="I157" s="114">
        <f t="shared" si="99"/>
        <v>1810.758888888889</v>
      </c>
      <c r="J157" s="114">
        <f t="shared" si="99"/>
        <v>1759.3169625</v>
      </c>
      <c r="K157" s="114">
        <f t="shared" si="99"/>
        <v>1748.9261658194443</v>
      </c>
      <c r="L157" s="114">
        <f t="shared" si="99"/>
        <v>1757.0803324861108</v>
      </c>
      <c r="M157" s="61"/>
      <c r="O157" s="421"/>
      <c r="P157" s="37" t="s">
        <v>118</v>
      </c>
      <c r="Q157" s="37" t="s">
        <v>118</v>
      </c>
    </row>
    <row r="158" spans="1:17">
      <c r="A158" s="424">
        <f>ROW()</f>
        <v>158</v>
      </c>
      <c r="B158" s="37" t="s">
        <v>201</v>
      </c>
      <c r="C158" s="61">
        <f t="shared" ref="C158:C164" si="100">AVERAGE(G158:L158)</f>
        <v>303.23643373415888</v>
      </c>
      <c r="D158" s="61"/>
      <c r="E158" s="512"/>
      <c r="F158" s="114"/>
      <c r="G158" s="114">
        <f t="shared" si="96"/>
        <v>33.333333333333336</v>
      </c>
      <c r="H158" s="114">
        <f t="shared" ref="H158:L158" si="101">IFERROR(H39/H$66,0)</f>
        <v>345.69934652362491</v>
      </c>
      <c r="I158" s="114">
        <f t="shared" si="101"/>
        <v>357.20191885073575</v>
      </c>
      <c r="J158" s="114">
        <f t="shared" si="101"/>
        <v>357.88299221220939</v>
      </c>
      <c r="K158" s="114">
        <f t="shared" si="101"/>
        <v>362.65050574252496</v>
      </c>
      <c r="L158" s="114">
        <f t="shared" si="101"/>
        <v>362.65050574252496</v>
      </c>
      <c r="M158" s="61"/>
      <c r="O158" s="421"/>
      <c r="P158" s="37" t="s">
        <v>118</v>
      </c>
      <c r="Q158" s="37" t="s">
        <v>118</v>
      </c>
    </row>
    <row r="159" spans="1:17">
      <c r="A159" s="424">
        <f>ROW()</f>
        <v>159</v>
      </c>
      <c r="B159" s="37" t="s">
        <v>104</v>
      </c>
      <c r="C159" s="61">
        <f t="shared" si="100"/>
        <v>86.935626102292773</v>
      </c>
      <c r="D159" s="61"/>
      <c r="E159" s="512"/>
      <c r="F159" s="114"/>
      <c r="G159" s="114">
        <f t="shared" si="96"/>
        <v>433.33333333333331</v>
      </c>
      <c r="H159" s="114">
        <f t="shared" ref="H159:L159" si="102">IFERROR(H40/H$66,0)</f>
        <v>18.518518518518519</v>
      </c>
      <c r="I159" s="114">
        <f t="shared" si="102"/>
        <v>15.873015873015873</v>
      </c>
      <c r="J159" s="114">
        <f t="shared" si="102"/>
        <v>13.888888888888889</v>
      </c>
      <c r="K159" s="114">
        <f t="shared" si="102"/>
        <v>20</v>
      </c>
      <c r="L159" s="114">
        <f t="shared" si="102"/>
        <v>20</v>
      </c>
      <c r="M159" s="61"/>
      <c r="O159" s="421"/>
      <c r="P159" s="37" t="s">
        <v>118</v>
      </c>
      <c r="Q159" s="37" t="s">
        <v>118</v>
      </c>
    </row>
    <row r="160" spans="1:17">
      <c r="A160" s="424">
        <f>ROW()</f>
        <v>160</v>
      </c>
      <c r="B160" s="37" t="s">
        <v>100</v>
      </c>
      <c r="C160" s="61">
        <f>AVERAGE(G160:L160)</f>
        <v>247.13115792543536</v>
      </c>
      <c r="D160" s="61"/>
      <c r="E160" s="512"/>
      <c r="F160" s="114"/>
      <c r="G160" s="114">
        <f t="shared" si="96"/>
        <v>547.91999999999996</v>
      </c>
      <c r="H160" s="114">
        <f t="shared" ref="H160:L160" si="103">IFERROR(H41/H$66,0)</f>
        <v>370.6314814814815</v>
      </c>
      <c r="I160" s="114">
        <f t="shared" si="103"/>
        <v>191.42460317460316</v>
      </c>
      <c r="J160" s="114">
        <f t="shared" si="103"/>
        <v>168.99249305555557</v>
      </c>
      <c r="K160" s="114">
        <f t="shared" si="103"/>
        <v>106.50049006944444</v>
      </c>
      <c r="L160" s="114">
        <f t="shared" si="103"/>
        <v>97.317879771527771</v>
      </c>
      <c r="M160" s="61"/>
      <c r="O160" s="421"/>
      <c r="P160" s="37" t="s">
        <v>118</v>
      </c>
      <c r="Q160" s="37" t="s">
        <v>118</v>
      </c>
    </row>
    <row r="161" spans="1:17">
      <c r="A161" s="424">
        <f>ROW()</f>
        <v>161</v>
      </c>
      <c r="B161" s="37" t="s">
        <v>140</v>
      </c>
      <c r="C161" s="61">
        <f t="shared" si="100"/>
        <v>311.73994708994707</v>
      </c>
      <c r="D161" s="61"/>
      <c r="E161" s="512"/>
      <c r="F161" s="114"/>
      <c r="G161" s="114">
        <f t="shared" si="96"/>
        <v>288.56666666666666</v>
      </c>
      <c r="H161" s="114">
        <f t="shared" ref="H161:L161" si="104">IFERROR(H42/H$66,0)</f>
        <v>248.66666666666666</v>
      </c>
      <c r="I161" s="114">
        <f t="shared" si="104"/>
        <v>428.53968253968253</v>
      </c>
      <c r="J161" s="114">
        <f t="shared" si="104"/>
        <v>301.55555555555554</v>
      </c>
      <c r="K161" s="114">
        <f t="shared" si="104"/>
        <v>301.55555555555554</v>
      </c>
      <c r="L161" s="114">
        <f t="shared" si="104"/>
        <v>301.55555555555554</v>
      </c>
      <c r="M161" s="61"/>
      <c r="O161" s="421"/>
      <c r="P161" s="37" t="s">
        <v>118</v>
      </c>
      <c r="Q161" s="37" t="s">
        <v>118</v>
      </c>
    </row>
    <row r="162" spans="1:17">
      <c r="A162" s="424">
        <f>ROW()</f>
        <v>162</v>
      </c>
      <c r="B162" s="37" t="s">
        <v>151</v>
      </c>
      <c r="C162" s="61">
        <f>AVERAGE(G162:L162)</f>
        <v>76.196364612225807</v>
      </c>
      <c r="D162" s="61"/>
      <c r="E162" s="512"/>
      <c r="F162" s="114"/>
      <c r="G162" s="114">
        <f t="shared" si="96"/>
        <v>115.61333333333333</v>
      </c>
      <c r="H162" s="114">
        <f t="shared" ref="H162:L162" si="105">IFERROR(H43/H$66,0)</f>
        <v>70.949111111111122</v>
      </c>
      <c r="I162" s="114">
        <f t="shared" si="105"/>
        <v>67.420278730158728</v>
      </c>
      <c r="J162" s="114">
        <f t="shared" si="105"/>
        <v>66.148359538888897</v>
      </c>
      <c r="K162" s="114">
        <f t="shared" si="105"/>
        <v>67.716143658388901</v>
      </c>
      <c r="L162" s="114">
        <f t="shared" si="105"/>
        <v>69.330961301473891</v>
      </c>
      <c r="M162" s="61"/>
      <c r="O162" s="421"/>
      <c r="P162" s="37" t="s">
        <v>118</v>
      </c>
      <c r="Q162" s="37" t="s">
        <v>118</v>
      </c>
    </row>
    <row r="163" spans="1:17">
      <c r="A163" s="424">
        <f>ROW()</f>
        <v>163</v>
      </c>
      <c r="B163" s="37" t="s">
        <v>202</v>
      </c>
      <c r="C163" s="61">
        <f>AVERAGE(G163:L163)</f>
        <v>0</v>
      </c>
      <c r="D163" s="61"/>
      <c r="E163" s="512"/>
      <c r="F163" s="114"/>
      <c r="G163" s="114">
        <f t="shared" si="96"/>
        <v>0</v>
      </c>
      <c r="H163" s="114">
        <f t="shared" ref="H163:L163" si="106">IFERROR(H44/H$66,0)</f>
        <v>0</v>
      </c>
      <c r="I163" s="114">
        <f t="shared" si="106"/>
        <v>0</v>
      </c>
      <c r="J163" s="114">
        <f t="shared" si="106"/>
        <v>0</v>
      </c>
      <c r="K163" s="114">
        <f t="shared" si="106"/>
        <v>0</v>
      </c>
      <c r="L163" s="114">
        <f t="shared" si="106"/>
        <v>0</v>
      </c>
      <c r="P163" s="37" t="s">
        <v>118</v>
      </c>
      <c r="Q163" s="37" t="s">
        <v>118</v>
      </c>
    </row>
    <row r="164" spans="1:17">
      <c r="A164" s="424">
        <f>ROW()</f>
        <v>164</v>
      </c>
      <c r="B164" s="35" t="s">
        <v>152</v>
      </c>
      <c r="C164" s="861">
        <f t="shared" si="100"/>
        <v>10814.984729051674</v>
      </c>
      <c r="D164" s="861"/>
      <c r="E164" s="861"/>
      <c r="F164" s="1515"/>
      <c r="G164" s="1515">
        <f t="shared" ref="G164:L164" si="107">SUM(G155:G163)</f>
        <v>12114.048820289856</v>
      </c>
      <c r="H164" s="1515">
        <f t="shared" si="107"/>
        <v>11015.528537425396</v>
      </c>
      <c r="I164" s="1515">
        <f t="shared" si="107"/>
        <v>11208.602670892695</v>
      </c>
      <c r="J164" s="1515">
        <f t="shared" si="107"/>
        <v>10205.804924219145</v>
      </c>
      <c r="K164" s="1515">
        <f t="shared" si="107"/>
        <v>10163.555930050163</v>
      </c>
      <c r="L164" s="1515">
        <f t="shared" si="107"/>
        <v>10182.367491432791</v>
      </c>
      <c r="M164" s="61"/>
      <c r="O164" s="421"/>
      <c r="P164" s="37" t="s">
        <v>118</v>
      </c>
      <c r="Q164" s="37" t="s">
        <v>118</v>
      </c>
    </row>
    <row r="165" spans="1:17" ht="15.75" thickBot="1">
      <c r="A165" s="424">
        <f>ROW()</f>
        <v>165</v>
      </c>
      <c r="B165" s="35"/>
      <c r="C165" s="515"/>
      <c r="D165" s="515"/>
      <c r="E165" s="514"/>
      <c r="F165" s="769"/>
      <c r="G165" s="769"/>
      <c r="H165" s="769"/>
      <c r="I165" s="769"/>
      <c r="J165" s="769"/>
      <c r="K165" s="769"/>
      <c r="L165" s="769"/>
      <c r="M165" s="61"/>
      <c r="O165" s="421"/>
      <c r="P165" s="37" t="s">
        <v>118</v>
      </c>
      <c r="Q165" s="37" t="s">
        <v>118</v>
      </c>
    </row>
    <row r="166" spans="1:17" ht="15.75" thickBot="1">
      <c r="A166" s="424">
        <f>ROW()</f>
        <v>166</v>
      </c>
      <c r="B166" s="516" t="s">
        <v>207</v>
      </c>
      <c r="C166" s="864">
        <f>C152-C164</f>
        <v>1170.2462102351074</v>
      </c>
      <c r="D166" s="530"/>
      <c r="E166" s="530"/>
      <c r="F166" s="783"/>
      <c r="G166" s="865">
        <f t="shared" ref="G166:L166" si="108">G152-G164</f>
        <v>261.16117971014501</v>
      </c>
      <c r="H166" s="865">
        <f t="shared" si="108"/>
        <v>507.78301336210461</v>
      </c>
      <c r="I166" s="865">
        <f t="shared" si="108"/>
        <v>698.12795746516349</v>
      </c>
      <c r="J166" s="865">
        <f t="shared" si="108"/>
        <v>1723.6281495211679</v>
      </c>
      <c r="K166" s="865">
        <f t="shared" si="108"/>
        <v>1924.7942613673385</v>
      </c>
      <c r="L166" s="865">
        <f t="shared" si="108"/>
        <v>1905.9826999847101</v>
      </c>
      <c r="M166" s="61"/>
      <c r="O166" s="421"/>
      <c r="P166" s="37" t="s">
        <v>118</v>
      </c>
      <c r="Q166" s="37" t="s">
        <v>118</v>
      </c>
    </row>
    <row r="167" spans="1:17" hidden="1">
      <c r="A167" s="424">
        <f>ROW()</f>
        <v>167</v>
      </c>
      <c r="B167" s="220" t="s">
        <v>155</v>
      </c>
      <c r="C167" s="518"/>
      <c r="D167" s="518"/>
      <c r="E167" s="518"/>
      <c r="F167" s="782"/>
      <c r="G167" s="782" t="e">
        <f>G166/#REF!</f>
        <v>#REF!</v>
      </c>
      <c r="H167" s="782" t="e">
        <f>H166/#REF!</f>
        <v>#REF!</v>
      </c>
      <c r="I167" s="782" t="e">
        <f>I166/#REF!</f>
        <v>#REF!</v>
      </c>
      <c r="J167" s="782" t="e">
        <f>J166/#REF!</f>
        <v>#REF!</v>
      </c>
      <c r="K167" s="782" t="e">
        <f>K166/#REF!</f>
        <v>#REF!</v>
      </c>
      <c r="L167" s="782" t="e">
        <f>+K167</f>
        <v>#REF!</v>
      </c>
      <c r="M167" s="61"/>
      <c r="O167" s="421"/>
      <c r="P167" s="37" t="s">
        <v>118</v>
      </c>
      <c r="Q167" s="37" t="s">
        <v>118</v>
      </c>
    </row>
    <row r="168" spans="1:17" hidden="1">
      <c r="A168" s="424">
        <f>ROW()</f>
        <v>168</v>
      </c>
      <c r="F168" s="611"/>
      <c r="G168" s="611"/>
      <c r="H168" s="611"/>
      <c r="I168" s="611"/>
      <c r="J168" s="611"/>
      <c r="K168" s="611"/>
      <c r="L168" s="611"/>
      <c r="M168" s="61"/>
      <c r="O168" s="421"/>
      <c r="P168" s="37" t="s">
        <v>118</v>
      </c>
      <c r="Q168" s="37" t="s">
        <v>118</v>
      </c>
    </row>
    <row r="169" spans="1:17" hidden="1">
      <c r="A169" s="424">
        <f>ROW()</f>
        <v>169</v>
      </c>
      <c r="B169" s="37" t="s">
        <v>208</v>
      </c>
      <c r="C169" s="51">
        <f>C166</f>
        <v>1170.2462102351074</v>
      </c>
      <c r="D169" s="51"/>
      <c r="E169" s="51"/>
      <c r="F169" s="776"/>
      <c r="G169" s="776" t="e">
        <f>#REF!+G166</f>
        <v>#REF!</v>
      </c>
      <c r="H169" s="776" t="e">
        <f>#REF!+H166</f>
        <v>#REF!</v>
      </c>
      <c r="I169" s="776" t="e">
        <f>H169+I166</f>
        <v>#REF!</v>
      </c>
      <c r="J169" s="776" t="e">
        <f>I169+J166</f>
        <v>#REF!</v>
      </c>
      <c r="K169" s="776" t="e">
        <f>J169+K166</f>
        <v>#REF!</v>
      </c>
      <c r="L169" s="776" t="e">
        <f>K169+L166</f>
        <v>#REF!</v>
      </c>
      <c r="M169" s="61"/>
      <c r="O169" s="421"/>
      <c r="P169" s="37" t="s">
        <v>118</v>
      </c>
      <c r="Q169" s="37" t="s">
        <v>118</v>
      </c>
    </row>
    <row r="170" spans="1:17" hidden="1">
      <c r="A170" s="424">
        <f>ROW()</f>
        <v>170</v>
      </c>
      <c r="C170" s="51"/>
      <c r="D170" s="51"/>
      <c r="E170" s="51"/>
      <c r="F170" s="776"/>
      <c r="G170" s="776"/>
      <c r="H170" s="776"/>
      <c r="I170" s="776"/>
      <c r="J170" s="776"/>
      <c r="K170" s="776"/>
      <c r="L170" s="776"/>
      <c r="M170" s="61"/>
      <c r="O170" s="421"/>
      <c r="P170" s="37" t="s">
        <v>118</v>
      </c>
      <c r="Q170" s="37" t="s">
        <v>118</v>
      </c>
    </row>
    <row r="171" spans="1:17">
      <c r="A171" s="424">
        <f>ROW()</f>
        <v>171</v>
      </c>
      <c r="B171" s="531" t="s">
        <v>209</v>
      </c>
      <c r="C171" s="532"/>
      <c r="D171" s="532"/>
      <c r="E171" s="532"/>
      <c r="F171" s="784"/>
      <c r="G171" s="863">
        <f>IFERROR(+G166/G152,0)</f>
        <v>2.1103575592668327E-2</v>
      </c>
      <c r="H171" s="863">
        <f t="shared" ref="H171:K171" si="109">IFERROR(+H166/H152,0)</f>
        <v>4.4065719400548778E-2</v>
      </c>
      <c r="I171" s="863">
        <f t="shared" si="109"/>
        <v>5.8633052116124615E-2</v>
      </c>
      <c r="J171" s="863">
        <f t="shared" si="109"/>
        <v>0.14448533629945146</v>
      </c>
      <c r="K171" s="863">
        <f t="shared" si="109"/>
        <v>0.15922720891506814</v>
      </c>
      <c r="L171" s="863">
        <f>IFERROR(+L166/L152,0)</f>
        <v>0.1576710361466796</v>
      </c>
      <c r="M171" s="61"/>
      <c r="O171" s="421"/>
      <c r="P171" s="37" t="s">
        <v>118</v>
      </c>
      <c r="Q171" s="37" t="s">
        <v>118</v>
      </c>
    </row>
    <row r="172" spans="1:17">
      <c r="B172" s="438"/>
      <c r="C172" s="532"/>
      <c r="D172" s="532"/>
      <c r="E172" s="532"/>
      <c r="F172" s="617"/>
      <c r="G172" s="784"/>
      <c r="H172" s="784"/>
      <c r="I172" s="784"/>
      <c r="J172" s="784"/>
      <c r="K172" s="784"/>
      <c r="L172" s="784"/>
      <c r="M172" s="61"/>
      <c r="O172" s="421"/>
      <c r="P172" s="37" t="s">
        <v>118</v>
      </c>
      <c r="Q172" s="37" t="s">
        <v>118</v>
      </c>
    </row>
    <row r="173" spans="1:17">
      <c r="F173" s="617"/>
      <c r="G173" s="611"/>
      <c r="H173" s="611"/>
      <c r="I173" s="611"/>
      <c r="J173" s="611"/>
      <c r="K173" s="611"/>
      <c r="L173" s="611"/>
      <c r="M173" s="61"/>
      <c r="P173" s="37" t="s">
        <v>118</v>
      </c>
      <c r="Q173" s="37" t="s">
        <v>118</v>
      </c>
    </row>
    <row r="174" spans="1:17">
      <c r="A174" s="37" t="s">
        <v>118</v>
      </c>
      <c r="B174" s="37" t="s">
        <v>118</v>
      </c>
      <c r="C174" s="37" t="s">
        <v>118</v>
      </c>
      <c r="E174" s="37" t="s">
        <v>118</v>
      </c>
      <c r="F174" s="66" t="s">
        <v>118</v>
      </c>
      <c r="G174" s="37" t="s">
        <v>118</v>
      </c>
      <c r="H174" s="37" t="s">
        <v>118</v>
      </c>
      <c r="I174" s="37" t="s">
        <v>118</v>
      </c>
      <c r="J174" s="37" t="s">
        <v>118</v>
      </c>
      <c r="K174" s="37" t="s">
        <v>118</v>
      </c>
      <c r="L174" s="37" t="s">
        <v>118</v>
      </c>
      <c r="M174" s="61" t="s">
        <v>118</v>
      </c>
      <c r="N174" s="37" t="s">
        <v>118</v>
      </c>
      <c r="O174" s="37" t="s">
        <v>118</v>
      </c>
      <c r="P174" s="37" t="s">
        <v>118</v>
      </c>
      <c r="Q174" s="37" t="s">
        <v>118</v>
      </c>
    </row>
    <row r="175" spans="1:17">
      <c r="A175" s="37" t="s">
        <v>118</v>
      </c>
      <c r="B175" s="37" t="s">
        <v>118</v>
      </c>
      <c r="C175" s="37" t="s">
        <v>118</v>
      </c>
      <c r="E175" s="37" t="s">
        <v>118</v>
      </c>
      <c r="F175" s="66" t="s">
        <v>118</v>
      </c>
      <c r="G175" s="37" t="s">
        <v>118</v>
      </c>
      <c r="H175" s="37" t="s">
        <v>118</v>
      </c>
      <c r="I175" s="37" t="s">
        <v>118</v>
      </c>
      <c r="J175" s="37" t="s">
        <v>118</v>
      </c>
      <c r="K175" s="37" t="s">
        <v>118</v>
      </c>
      <c r="L175" s="37" t="s">
        <v>118</v>
      </c>
      <c r="M175" s="61" t="s">
        <v>118</v>
      </c>
      <c r="N175" s="37" t="s">
        <v>118</v>
      </c>
      <c r="O175" s="37" t="s">
        <v>118</v>
      </c>
      <c r="P175" s="37" t="s">
        <v>118</v>
      </c>
      <c r="Q175" s="37" t="s">
        <v>118</v>
      </c>
    </row>
    <row r="176" spans="1:17">
      <c r="F176" s="66"/>
    </row>
    <row r="177" spans="6:6">
      <c r="F177" s="66"/>
    </row>
    <row r="178" spans="6:6">
      <c r="F178" s="66"/>
    </row>
    <row r="179" spans="6:6">
      <c r="F179" s="66"/>
    </row>
  </sheetData>
  <phoneticPr fontId="7" type="noConversion"/>
  <conditionalFormatting sqref="C98:C114">
    <cfRule type="cellIs" dxfId="75" priority="5" stopIfTrue="1" operator="equal">
      <formula>0</formula>
    </cfRule>
  </conditionalFormatting>
  <conditionalFormatting sqref="C118:C126">
    <cfRule type="cellIs" dxfId="74" priority="7" stopIfTrue="1" operator="equal">
      <formula>0</formula>
    </cfRule>
  </conditionalFormatting>
  <conditionalFormatting sqref="C135:C152">
    <cfRule type="cellIs" dxfId="73" priority="9" stopIfTrue="1" operator="equal">
      <formula>0</formula>
    </cfRule>
  </conditionalFormatting>
  <conditionalFormatting sqref="C155:C163">
    <cfRule type="cellIs" dxfId="72" priority="10" stopIfTrue="1" operator="equal">
      <formula>0</formula>
    </cfRule>
  </conditionalFormatting>
  <conditionalFormatting sqref="E1">
    <cfRule type="expression" dxfId="71" priority="2" stopIfTrue="1">
      <formula>MOD(ROW(),2)=0</formula>
    </cfRule>
  </conditionalFormatting>
  <conditionalFormatting sqref="F98:L114">
    <cfRule type="cellIs" dxfId="70" priority="4" stopIfTrue="1" operator="equal">
      <formula>0</formula>
    </cfRule>
  </conditionalFormatting>
  <conditionalFormatting sqref="F118:L126">
    <cfRule type="cellIs" dxfId="69" priority="6" stopIfTrue="1" operator="equal">
      <formula>0</formula>
    </cfRule>
  </conditionalFormatting>
  <conditionalFormatting sqref="G135:L151">
    <cfRule type="cellIs" dxfId="68" priority="8" stopIfTrue="1" operator="equal">
      <formula>0</formula>
    </cfRule>
  </conditionalFormatting>
  <conditionalFormatting sqref="G155:L163">
    <cfRule type="cellIs" dxfId="67" priority="11" stopIfTrue="1" operator="equal">
      <formula>0</formula>
    </cfRule>
  </conditionalFormatting>
  <conditionalFormatting sqref="L1">
    <cfRule type="expression" dxfId="66" priority="3" stopIfTrue="1">
      <formula>MOD(ROW(),2)=0</formula>
    </cfRule>
  </conditionalFormatting>
  <conditionalFormatting sqref="N47">
    <cfRule type="cellIs" dxfId="65"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3" manualBreakCount="3">
    <brk id="55" max="12" man="1"/>
    <brk id="95" max="11" man="1"/>
    <brk id="131"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81"/>
  <sheetViews>
    <sheetView workbookViewId="0">
      <selection activeCell="E24" sqref="E24"/>
    </sheetView>
  </sheetViews>
  <sheetFormatPr defaultColWidth="8.85546875" defaultRowHeight="15"/>
  <cols>
    <col min="1" max="1" width="6.7109375" style="37" bestFit="1" customWidth="1"/>
    <col min="2" max="2" width="21" style="37" customWidth="1"/>
    <col min="3" max="3" width="17.28515625" style="37" customWidth="1"/>
    <col min="4" max="4" width="11.42578125" style="37" customWidth="1"/>
    <col min="5" max="6" width="11" style="37" customWidth="1"/>
    <col min="7" max="7" width="11.5703125" style="37" customWidth="1"/>
    <col min="8" max="8" width="11.85546875" style="37" customWidth="1"/>
    <col min="9" max="9" width="9.7109375" style="37" customWidth="1"/>
    <col min="10" max="10" width="9.85546875" style="37" customWidth="1"/>
    <col min="11" max="11" width="1.85546875" style="37" customWidth="1"/>
    <col min="12" max="12" width="61.28515625" style="37" customWidth="1"/>
    <col min="13" max="14" width="4.5703125" style="37" customWidth="1"/>
    <col min="15" max="15" width="7.140625" style="37" customWidth="1"/>
    <col min="16" max="19" width="4.5703125" style="37" customWidth="1"/>
    <col min="20" max="16384" width="8.85546875" style="37"/>
  </cols>
  <sheetData>
    <row r="1" spans="1:23" ht="18">
      <c r="A1" s="142" t="s">
        <v>210</v>
      </c>
      <c r="B1" s="40"/>
      <c r="C1" s="40"/>
      <c r="D1" s="508" t="s">
        <v>2</v>
      </c>
      <c r="E1" s="201" t="s">
        <v>211</v>
      </c>
      <c r="F1" s="201"/>
      <c r="G1" s="201"/>
      <c r="H1" s="71"/>
      <c r="I1" s="71"/>
      <c r="L1" s="555"/>
      <c r="M1" s="555"/>
      <c r="N1" s="555"/>
      <c r="O1" s="555"/>
      <c r="P1" s="555"/>
      <c r="Q1" s="35"/>
    </row>
    <row r="2" spans="1:23" ht="15.75">
      <c r="A2" s="133" t="str">
        <f>SchoolName</f>
        <v>Rooted School Clark County</v>
      </c>
      <c r="B2" s="43"/>
      <c r="C2" s="43"/>
      <c r="E2" s="37" t="s">
        <v>212</v>
      </c>
      <c r="F2" s="190" t="str">
        <f>+Facilities!G2</f>
        <v>Nevada Prep - 2525 Emerson Avenue, Las Vegas, NV 89121 (shared space arrangement)</v>
      </c>
      <c r="G2" s="186"/>
      <c r="H2" s="186"/>
      <c r="I2" s="186"/>
      <c r="J2" s="186"/>
      <c r="K2" s="234"/>
      <c r="L2" s="201" t="s">
        <v>83</v>
      </c>
      <c r="M2" s="555"/>
      <c r="N2" s="555"/>
      <c r="O2" s="555"/>
      <c r="P2" s="555"/>
      <c r="Q2" s="555"/>
      <c r="R2" s="555"/>
      <c r="S2" s="555"/>
      <c r="T2" s="555"/>
      <c r="U2" s="555"/>
      <c r="V2" s="555"/>
    </row>
    <row r="3" spans="1:23">
      <c r="A3" s="44" t="s">
        <v>62</v>
      </c>
      <c r="E3" s="37" t="s">
        <v>71</v>
      </c>
      <c r="F3" s="191">
        <f>+Facilities!G3</f>
        <v>0</v>
      </c>
      <c r="G3" s="187"/>
      <c r="H3" s="187"/>
      <c r="I3" s="187"/>
      <c r="J3" s="187"/>
      <c r="K3" s="234"/>
      <c r="L3" s="566"/>
      <c r="M3" s="555"/>
      <c r="N3" s="555"/>
      <c r="O3" s="555"/>
      <c r="P3" s="555"/>
      <c r="Q3" s="555"/>
      <c r="R3" s="555"/>
      <c r="S3" s="555"/>
      <c r="T3" s="555"/>
      <c r="U3" s="555"/>
      <c r="V3" s="555"/>
    </row>
    <row r="4" spans="1:23">
      <c r="A4" s="45" t="s">
        <v>63</v>
      </c>
      <c r="F4" s="88" t="s">
        <v>213</v>
      </c>
      <c r="L4" s="421"/>
      <c r="M4" s="555"/>
      <c r="N4" s="555"/>
      <c r="O4" s="555"/>
      <c r="P4" s="555"/>
      <c r="Q4" s="555"/>
      <c r="R4" s="555"/>
      <c r="S4" s="555"/>
      <c r="T4" s="555"/>
      <c r="U4" s="555"/>
      <c r="V4" s="555"/>
    </row>
    <row r="5" spans="1:23">
      <c r="A5" s="34" t="str">
        <f ca="1">CELL("filename")</f>
        <v>C:\Users\CRaymond\Char. School Bus Mgt Dropbox\Collin Raymond\Growth Team\Growth 2.0\Growth &amp; Data\Client Projects\Rooted LV\[Rooted School-SPCSA-Operating Budget-V10 (1) - Rev9.xlsx]Summary</v>
      </c>
      <c r="L5" s="421"/>
      <c r="M5" s="555"/>
      <c r="N5" s="555"/>
      <c r="O5" s="555"/>
      <c r="P5" s="555"/>
      <c r="Q5" s="555"/>
      <c r="R5" s="555"/>
      <c r="S5" s="555"/>
      <c r="T5" s="555"/>
      <c r="U5" s="555"/>
      <c r="V5" s="555"/>
    </row>
    <row r="6" spans="1:23">
      <c r="A6" s="72"/>
      <c r="B6" s="107"/>
      <c r="C6" s="107"/>
      <c r="D6" s="107"/>
      <c r="E6" s="36"/>
      <c r="L6" s="421"/>
      <c r="M6" s="555"/>
      <c r="N6" s="555"/>
      <c r="O6" s="555"/>
      <c r="P6" s="555"/>
      <c r="Q6" s="555"/>
      <c r="R6" s="555"/>
      <c r="S6" s="555"/>
      <c r="T6" s="555"/>
      <c r="U6" s="555"/>
      <c r="V6" s="555"/>
    </row>
    <row r="7" spans="1:23">
      <c r="A7" s="424"/>
      <c r="D7" s="1080" t="s">
        <v>214</v>
      </c>
      <c r="E7" s="1081">
        <v>1</v>
      </c>
      <c r="F7" s="1081">
        <v>2</v>
      </c>
      <c r="G7" s="1081">
        <v>3</v>
      </c>
      <c r="H7" s="1081">
        <v>4</v>
      </c>
      <c r="I7" s="1081">
        <v>5</v>
      </c>
      <c r="J7" s="1082">
        <v>6</v>
      </c>
      <c r="K7" s="36"/>
      <c r="L7" s="421" t="s">
        <v>215</v>
      </c>
      <c r="M7" s="555"/>
      <c r="N7" s="555"/>
      <c r="O7" s="555"/>
      <c r="P7" s="555"/>
      <c r="Q7" s="555"/>
      <c r="R7" s="555"/>
      <c r="S7" s="555"/>
      <c r="T7" s="555"/>
      <c r="U7" s="555"/>
      <c r="V7" s="555"/>
    </row>
    <row r="8" spans="1:23" ht="15.75">
      <c r="A8" s="424"/>
      <c r="D8" s="1080">
        <f>' Enrol &amp; Rev'!G10</f>
        <v>2024</v>
      </c>
      <c r="E8" s="1083">
        <f>' Enrol &amp; Rev'!H10</f>
        <v>2025</v>
      </c>
      <c r="F8" s="1083">
        <f>+E9</f>
        <v>2026</v>
      </c>
      <c r="G8" s="1083">
        <f>+F9</f>
        <v>2027</v>
      </c>
      <c r="H8" s="1083">
        <f>+G9</f>
        <v>2028</v>
      </c>
      <c r="I8" s="1083">
        <f>+H9</f>
        <v>2029</v>
      </c>
      <c r="J8" s="1084">
        <f>+I9</f>
        <v>2030</v>
      </c>
      <c r="K8" s="366"/>
      <c r="L8" s="421"/>
      <c r="M8" s="555"/>
      <c r="N8" s="555"/>
      <c r="O8" s="555"/>
      <c r="P8" s="555"/>
      <c r="Q8" s="555"/>
      <c r="R8" s="555"/>
      <c r="S8" s="555"/>
      <c r="T8" s="555"/>
      <c r="U8" s="555"/>
      <c r="V8" s="555"/>
    </row>
    <row r="9" spans="1:23" ht="15.75">
      <c r="A9" s="424"/>
      <c r="D9" s="881">
        <f>+D8+1</f>
        <v>2025</v>
      </c>
      <c r="E9" s="882">
        <f t="shared" ref="E9:J9" si="0">+E8+1</f>
        <v>2026</v>
      </c>
      <c r="F9" s="882">
        <f t="shared" si="0"/>
        <v>2027</v>
      </c>
      <c r="G9" s="882">
        <f t="shared" si="0"/>
        <v>2028</v>
      </c>
      <c r="H9" s="882">
        <f t="shared" si="0"/>
        <v>2029</v>
      </c>
      <c r="I9" s="882">
        <f t="shared" si="0"/>
        <v>2030</v>
      </c>
      <c r="J9" s="883">
        <f t="shared" si="0"/>
        <v>2031</v>
      </c>
      <c r="K9" s="367"/>
      <c r="L9" s="421"/>
      <c r="M9" s="555"/>
      <c r="N9" s="555"/>
      <c r="O9" s="555"/>
      <c r="P9" s="555"/>
      <c r="Q9" s="555"/>
      <c r="R9" s="555"/>
      <c r="S9" s="555"/>
      <c r="T9" s="555"/>
      <c r="U9" s="555"/>
      <c r="V9" s="555"/>
    </row>
    <row r="10" spans="1:23" ht="15.75">
      <c r="A10" s="424">
        <f>ROW()</f>
        <v>10</v>
      </c>
      <c r="B10" s="874" t="s">
        <v>216</v>
      </c>
      <c r="C10" s="874"/>
      <c r="D10" s="35"/>
      <c r="E10" s="319"/>
      <c r="F10" s="319"/>
      <c r="G10" s="319"/>
      <c r="H10" s="319"/>
      <c r="I10" s="319"/>
      <c r="J10" s="319"/>
      <c r="K10" s="366"/>
      <c r="L10" s="421"/>
      <c r="M10" s="555"/>
      <c r="N10" s="555"/>
      <c r="O10" s="555"/>
      <c r="P10" s="555"/>
      <c r="Q10" s="555"/>
      <c r="R10" s="555"/>
      <c r="S10" s="555"/>
      <c r="T10" s="555"/>
      <c r="U10" s="555"/>
      <c r="V10" s="555"/>
    </row>
    <row r="11" spans="1:23">
      <c r="A11" s="424">
        <f>ROW()</f>
        <v>11</v>
      </c>
      <c r="B11" s="875" t="s">
        <v>217</v>
      </c>
      <c r="C11" s="875"/>
      <c r="D11" s="364">
        <f t="shared" ref="D11:J11" si="1">COUNTIF(D14:D26,"&gt;0")</f>
        <v>0</v>
      </c>
      <c r="E11" s="364">
        <f t="shared" si="1"/>
        <v>3</v>
      </c>
      <c r="F11" s="354">
        <f t="shared" si="1"/>
        <v>4</v>
      </c>
      <c r="G11" s="354">
        <f t="shared" si="1"/>
        <v>4</v>
      </c>
      <c r="H11" s="354">
        <f t="shared" si="1"/>
        <v>4</v>
      </c>
      <c r="I11" s="354">
        <f t="shared" si="1"/>
        <v>4</v>
      </c>
      <c r="J11" s="355">
        <f t="shared" si="1"/>
        <v>4</v>
      </c>
      <c r="K11" s="368"/>
      <c r="L11" s="421"/>
      <c r="M11" s="555"/>
      <c r="N11" s="555"/>
      <c r="O11" s="555"/>
      <c r="P11" s="555"/>
      <c r="Q11" s="555"/>
      <c r="R11" s="555"/>
      <c r="S11" s="555"/>
      <c r="T11" s="555"/>
      <c r="U11" s="555"/>
      <c r="V11" s="555"/>
    </row>
    <row r="12" spans="1:23">
      <c r="A12" s="424">
        <f>ROW()</f>
        <v>12</v>
      </c>
      <c r="B12" s="70" t="s">
        <v>218</v>
      </c>
      <c r="C12" s="70"/>
      <c r="D12" s="365">
        <f>+' Enrol &amp; Rev'!G17</f>
        <v>0</v>
      </c>
      <c r="E12" s="369">
        <f>+' Enrol &amp; Rev'!H17</f>
        <v>6</v>
      </c>
      <c r="F12" s="370">
        <f>+' Enrol &amp; Rev'!I17</f>
        <v>10.8</v>
      </c>
      <c r="G12" s="370">
        <f>+' Enrol &amp; Rev'!J17</f>
        <v>12.6</v>
      </c>
      <c r="H12" s="370">
        <f>+' Enrol &amp; Rev'!K17</f>
        <v>14.4</v>
      </c>
      <c r="I12" s="370">
        <f>+' Enrol &amp; Rev'!L17</f>
        <v>14.4</v>
      </c>
      <c r="J12" s="371">
        <f>+' Enrol &amp; Rev'!M17</f>
        <v>14.4</v>
      </c>
      <c r="K12" s="368"/>
      <c r="L12" s="421"/>
      <c r="M12" s="555"/>
      <c r="N12" s="555"/>
      <c r="O12" s="555"/>
      <c r="P12" s="555"/>
      <c r="Q12" s="555"/>
      <c r="R12" s="555"/>
      <c r="S12" s="555"/>
      <c r="T12" s="555"/>
      <c r="U12" s="555"/>
      <c r="V12" s="555"/>
    </row>
    <row r="13" spans="1:23">
      <c r="A13" s="424">
        <f>ROW()</f>
        <v>13</v>
      </c>
      <c r="B13" s="46"/>
      <c r="C13" s="46"/>
      <c r="D13" s="733"/>
      <c r="E13" s="733"/>
      <c r="F13" s="733"/>
      <c r="G13" s="733"/>
      <c r="H13" s="733"/>
      <c r="I13" s="733"/>
      <c r="J13" s="733"/>
      <c r="K13" s="322"/>
      <c r="L13" s="421"/>
      <c r="M13" s="555"/>
      <c r="N13" s="555"/>
      <c r="O13" s="555"/>
      <c r="P13" s="555"/>
      <c r="Q13" s="555"/>
      <c r="R13" s="555"/>
      <c r="S13" s="555"/>
      <c r="T13" s="555"/>
      <c r="U13" s="555"/>
      <c r="V13" s="555"/>
      <c r="W13" s="555"/>
    </row>
    <row r="14" spans="1:23">
      <c r="A14" s="424">
        <f>ROW()</f>
        <v>14</v>
      </c>
      <c r="B14" s="798" t="s">
        <v>219</v>
      </c>
      <c r="C14" s="1060"/>
      <c r="D14" s="735">
        <f>' Enrol &amp; Rev'!G21</f>
        <v>0</v>
      </c>
      <c r="E14" s="735">
        <f>' Enrol &amp; Rev'!H21</f>
        <v>0</v>
      </c>
      <c r="F14" s="735">
        <f>' Enrol &amp; Rev'!I21</f>
        <v>0</v>
      </c>
      <c r="G14" s="735">
        <f>' Enrol &amp; Rev'!J21</f>
        <v>0</v>
      </c>
      <c r="H14" s="735">
        <f>' Enrol &amp; Rev'!K21</f>
        <v>0</v>
      </c>
      <c r="I14" s="735">
        <f>' Enrol &amp; Rev'!L21</f>
        <v>0</v>
      </c>
      <c r="J14" s="735">
        <f>' Enrol &amp; Rev'!M21</f>
        <v>0</v>
      </c>
      <c r="K14" s="61"/>
      <c r="L14" s="421"/>
      <c r="M14" s="555"/>
      <c r="N14" s="555"/>
      <c r="O14" s="555"/>
      <c r="P14" s="555"/>
      <c r="Q14" s="555"/>
      <c r="R14" s="555"/>
      <c r="S14" s="555"/>
      <c r="T14" s="555"/>
      <c r="U14" s="555"/>
      <c r="V14" s="555"/>
      <c r="W14" s="555"/>
    </row>
    <row r="15" spans="1:23">
      <c r="A15" s="424">
        <f>ROW()</f>
        <v>15</v>
      </c>
      <c r="B15" s="78" t="s">
        <v>220</v>
      </c>
      <c r="C15" s="403"/>
      <c r="D15" s="734">
        <f>' Enrol &amp; Rev'!G22</f>
        <v>0</v>
      </c>
      <c r="E15" s="734">
        <f>' Enrol &amp; Rev'!H22</f>
        <v>0</v>
      </c>
      <c r="F15" s="734">
        <f>' Enrol &amp; Rev'!I22</f>
        <v>0</v>
      </c>
      <c r="G15" s="734">
        <f>' Enrol &amp; Rev'!J22</f>
        <v>0</v>
      </c>
      <c r="H15" s="734">
        <f>' Enrol &amp; Rev'!K22</f>
        <v>0</v>
      </c>
      <c r="I15" s="734">
        <f>' Enrol &amp; Rev'!L22</f>
        <v>0</v>
      </c>
      <c r="J15" s="734">
        <f>' Enrol &amp; Rev'!M22</f>
        <v>0</v>
      </c>
      <c r="K15" s="61"/>
      <c r="L15" s="421"/>
      <c r="M15" s="555"/>
      <c r="N15" s="555"/>
      <c r="O15" s="555"/>
      <c r="P15" s="555"/>
      <c r="Q15" s="555"/>
      <c r="R15" s="555"/>
      <c r="S15" s="555"/>
      <c r="T15" s="555"/>
      <c r="U15" s="555"/>
      <c r="V15" s="555"/>
      <c r="W15" s="555"/>
    </row>
    <row r="16" spans="1:23">
      <c r="A16" s="424">
        <f>ROW()</f>
        <v>16</v>
      </c>
      <c r="B16" s="78" t="s">
        <v>221</v>
      </c>
      <c r="C16" s="403"/>
      <c r="D16" s="734">
        <f>' Enrol &amp; Rev'!G23</f>
        <v>0</v>
      </c>
      <c r="E16" s="734">
        <f>' Enrol &amp; Rev'!H23</f>
        <v>0</v>
      </c>
      <c r="F16" s="734">
        <f>' Enrol &amp; Rev'!I23</f>
        <v>0</v>
      </c>
      <c r="G16" s="734">
        <f>' Enrol &amp; Rev'!J23</f>
        <v>0</v>
      </c>
      <c r="H16" s="734">
        <f>' Enrol &amp; Rev'!K23</f>
        <v>0</v>
      </c>
      <c r="I16" s="734">
        <f>' Enrol &amp; Rev'!L23</f>
        <v>0</v>
      </c>
      <c r="J16" s="734">
        <f>' Enrol &amp; Rev'!M23</f>
        <v>0</v>
      </c>
      <c r="K16" s="61"/>
      <c r="L16" s="421"/>
      <c r="M16" s="555"/>
      <c r="N16" s="555"/>
      <c r="O16" s="555"/>
      <c r="P16" s="555"/>
      <c r="Q16" s="555"/>
      <c r="R16" s="555"/>
      <c r="S16" s="555"/>
      <c r="T16" s="555"/>
      <c r="U16" s="555"/>
      <c r="V16" s="555"/>
      <c r="W16" s="555"/>
    </row>
    <row r="17" spans="1:23">
      <c r="A17" s="424">
        <f>ROW()</f>
        <v>17</v>
      </c>
      <c r="B17" s="78" t="s">
        <v>222</v>
      </c>
      <c r="C17" s="403"/>
      <c r="D17" s="734">
        <f>' Enrol &amp; Rev'!G24</f>
        <v>0</v>
      </c>
      <c r="E17" s="734">
        <f>' Enrol &amp; Rev'!H24</f>
        <v>0</v>
      </c>
      <c r="F17" s="734">
        <f>' Enrol &amp; Rev'!I24</f>
        <v>0</v>
      </c>
      <c r="G17" s="734">
        <f>' Enrol &amp; Rev'!J24</f>
        <v>0</v>
      </c>
      <c r="H17" s="734">
        <f>' Enrol &amp; Rev'!K24</f>
        <v>0</v>
      </c>
      <c r="I17" s="734">
        <f>' Enrol &amp; Rev'!L24</f>
        <v>0</v>
      </c>
      <c r="J17" s="734">
        <f>' Enrol &amp; Rev'!M24</f>
        <v>0</v>
      </c>
      <c r="K17" s="61"/>
      <c r="L17" s="421"/>
      <c r="M17" s="555"/>
      <c r="N17" s="555"/>
      <c r="O17" s="555"/>
      <c r="P17" s="555"/>
      <c r="Q17" s="555"/>
      <c r="R17" s="555"/>
      <c r="S17" s="555"/>
      <c r="T17" s="555"/>
      <c r="U17" s="555"/>
      <c r="V17" s="555"/>
      <c r="W17" s="555"/>
    </row>
    <row r="18" spans="1:23">
      <c r="A18" s="424">
        <f>ROW()</f>
        <v>18</v>
      </c>
      <c r="B18" s="78" t="s">
        <v>223</v>
      </c>
      <c r="C18" s="403"/>
      <c r="D18" s="734">
        <f>' Enrol &amp; Rev'!G25</f>
        <v>0</v>
      </c>
      <c r="E18" s="734">
        <f>' Enrol &amp; Rev'!H25</f>
        <v>0</v>
      </c>
      <c r="F18" s="734">
        <f>' Enrol &amp; Rev'!I25</f>
        <v>0</v>
      </c>
      <c r="G18" s="734">
        <f>' Enrol &amp; Rev'!J25</f>
        <v>0</v>
      </c>
      <c r="H18" s="734">
        <f>' Enrol &amp; Rev'!K25</f>
        <v>0</v>
      </c>
      <c r="I18" s="734">
        <f>' Enrol &amp; Rev'!L25</f>
        <v>0</v>
      </c>
      <c r="J18" s="734">
        <f>' Enrol &amp; Rev'!M25</f>
        <v>0</v>
      </c>
      <c r="K18" s="61"/>
      <c r="L18" s="421"/>
      <c r="M18" s="555"/>
      <c r="N18" s="555"/>
      <c r="O18" s="555"/>
      <c r="P18" s="555"/>
      <c r="Q18" s="555"/>
      <c r="R18" s="555"/>
      <c r="S18" s="555"/>
      <c r="T18" s="555"/>
      <c r="U18" s="555"/>
      <c r="V18" s="555"/>
      <c r="W18" s="555"/>
    </row>
    <row r="19" spans="1:23">
      <c r="A19" s="424">
        <f>ROW()</f>
        <v>19</v>
      </c>
      <c r="B19" s="78" t="s">
        <v>224</v>
      </c>
      <c r="C19" s="403"/>
      <c r="D19" s="734">
        <f>' Enrol &amp; Rev'!G26</f>
        <v>0</v>
      </c>
      <c r="E19" s="734">
        <f>' Enrol &amp; Rev'!H26</f>
        <v>0</v>
      </c>
      <c r="F19" s="734">
        <f>' Enrol &amp; Rev'!I26</f>
        <v>0</v>
      </c>
      <c r="G19" s="734">
        <f>' Enrol &amp; Rev'!J26</f>
        <v>0</v>
      </c>
      <c r="H19" s="734">
        <f>' Enrol &amp; Rev'!K26</f>
        <v>0</v>
      </c>
      <c r="I19" s="734">
        <f>' Enrol &amp; Rev'!L26</f>
        <v>0</v>
      </c>
      <c r="J19" s="734">
        <f>' Enrol &amp; Rev'!M26</f>
        <v>0</v>
      </c>
      <c r="K19" s="61"/>
      <c r="L19" s="421"/>
      <c r="M19" s="555"/>
      <c r="N19" s="555"/>
      <c r="O19" s="555"/>
      <c r="P19" s="555"/>
      <c r="Q19" s="555"/>
      <c r="R19" s="555"/>
      <c r="S19" s="555"/>
      <c r="T19" s="555"/>
      <c r="U19" s="555"/>
      <c r="V19" s="555"/>
      <c r="W19" s="555"/>
    </row>
    <row r="20" spans="1:23">
      <c r="A20" s="424">
        <f>ROW()</f>
        <v>20</v>
      </c>
      <c r="B20" s="78" t="s">
        <v>225</v>
      </c>
      <c r="C20" s="403"/>
      <c r="D20" s="734">
        <f>' Enrol &amp; Rev'!G27</f>
        <v>0</v>
      </c>
      <c r="E20" s="734">
        <f>' Enrol &amp; Rev'!H27</f>
        <v>0</v>
      </c>
      <c r="F20" s="734">
        <f>' Enrol &amp; Rev'!I27</f>
        <v>0</v>
      </c>
      <c r="G20" s="734">
        <f>' Enrol &amp; Rev'!J27</f>
        <v>0</v>
      </c>
      <c r="H20" s="734">
        <f>' Enrol &amp; Rev'!K27</f>
        <v>0</v>
      </c>
      <c r="I20" s="734">
        <f>' Enrol &amp; Rev'!L27</f>
        <v>0</v>
      </c>
      <c r="J20" s="734">
        <f>' Enrol &amp; Rev'!M27</f>
        <v>0</v>
      </c>
      <c r="K20" s="61"/>
      <c r="L20" s="421"/>
      <c r="M20" s="555"/>
      <c r="N20" s="555"/>
      <c r="O20" s="555"/>
      <c r="P20" s="555"/>
      <c r="Q20" s="555"/>
      <c r="R20" s="555"/>
      <c r="S20" s="555"/>
      <c r="T20" s="555"/>
      <c r="U20" s="555"/>
      <c r="V20" s="555"/>
      <c r="W20" s="555"/>
    </row>
    <row r="21" spans="1:23">
      <c r="A21" s="424">
        <f>ROW()</f>
        <v>21</v>
      </c>
      <c r="B21" s="78" t="s">
        <v>226</v>
      </c>
      <c r="C21" s="403"/>
      <c r="D21" s="734">
        <f>' Enrol &amp; Rev'!G28</f>
        <v>0</v>
      </c>
      <c r="E21" s="734">
        <f>' Enrol &amp; Rev'!H28</f>
        <v>0</v>
      </c>
      <c r="F21" s="734">
        <f>' Enrol &amp; Rev'!I28</f>
        <v>0</v>
      </c>
      <c r="G21" s="734">
        <f>' Enrol &amp; Rev'!J28</f>
        <v>0</v>
      </c>
      <c r="H21" s="734">
        <f>' Enrol &amp; Rev'!K28</f>
        <v>0</v>
      </c>
      <c r="I21" s="734">
        <f>' Enrol &amp; Rev'!L28</f>
        <v>0</v>
      </c>
      <c r="J21" s="734">
        <f>' Enrol &amp; Rev'!M28</f>
        <v>0</v>
      </c>
      <c r="K21" s="61"/>
      <c r="L21" s="421"/>
      <c r="M21" s="555"/>
      <c r="N21" s="555"/>
      <c r="O21" s="555"/>
      <c r="P21" s="555"/>
      <c r="Q21" s="555"/>
      <c r="R21" s="555"/>
      <c r="S21" s="555"/>
      <c r="T21" s="555"/>
      <c r="U21" s="555"/>
      <c r="V21" s="555"/>
    </row>
    <row r="22" spans="1:23">
      <c r="A22" s="424">
        <f>ROW()</f>
        <v>22</v>
      </c>
      <c r="B22" s="78" t="s">
        <v>227</v>
      </c>
      <c r="C22" s="403"/>
      <c r="D22" s="734">
        <f>' Enrol &amp; Rev'!G29</f>
        <v>0</v>
      </c>
      <c r="E22" s="734">
        <f>' Enrol &amp; Rev'!H29</f>
        <v>0</v>
      </c>
      <c r="F22" s="734">
        <f>' Enrol &amp; Rev'!I29</f>
        <v>0</v>
      </c>
      <c r="G22" s="734">
        <f>' Enrol &amp; Rev'!J29</f>
        <v>0</v>
      </c>
      <c r="H22" s="734">
        <f>' Enrol &amp; Rev'!K29</f>
        <v>0</v>
      </c>
      <c r="I22" s="734">
        <f>' Enrol &amp; Rev'!L29</f>
        <v>0</v>
      </c>
      <c r="J22" s="734">
        <f>' Enrol &amp; Rev'!M29</f>
        <v>0</v>
      </c>
      <c r="K22" s="61"/>
      <c r="L22" s="421"/>
      <c r="M22" s="555"/>
      <c r="N22" s="555"/>
      <c r="O22" s="555"/>
      <c r="P22" s="555"/>
      <c r="Q22" s="555"/>
      <c r="R22" s="555"/>
      <c r="S22" s="555"/>
      <c r="T22" s="555"/>
      <c r="U22" s="555"/>
      <c r="V22" s="555"/>
    </row>
    <row r="23" spans="1:23">
      <c r="A23" s="424">
        <f>ROW()</f>
        <v>23</v>
      </c>
      <c r="B23" s="78" t="s">
        <v>228</v>
      </c>
      <c r="C23" s="403"/>
      <c r="D23" s="734">
        <f>' Enrol &amp; Rev'!G30</f>
        <v>0</v>
      </c>
      <c r="E23" s="734">
        <f>' Enrol &amp; Rev'!H30</f>
        <v>75</v>
      </c>
      <c r="F23" s="734">
        <f>' Enrol &amp; Rev'!I30</f>
        <v>90</v>
      </c>
      <c r="G23" s="734">
        <f>' Enrol &amp; Rev'!J30</f>
        <v>90</v>
      </c>
      <c r="H23" s="734">
        <f>' Enrol &amp; Rev'!K30</f>
        <v>90</v>
      </c>
      <c r="I23" s="734">
        <f>' Enrol &amp; Rev'!L30</f>
        <v>90</v>
      </c>
      <c r="J23" s="734">
        <f>' Enrol &amp; Rev'!M30</f>
        <v>90</v>
      </c>
      <c r="K23" s="61"/>
      <c r="L23" s="421"/>
      <c r="M23" s="555"/>
      <c r="N23" s="555"/>
      <c r="O23" s="555"/>
      <c r="P23" s="555"/>
      <c r="Q23" s="555"/>
      <c r="R23" s="555"/>
      <c r="S23" s="555"/>
      <c r="T23" s="555"/>
      <c r="U23" s="555"/>
      <c r="V23" s="555"/>
    </row>
    <row r="24" spans="1:23">
      <c r="A24" s="424">
        <f>ROW()</f>
        <v>24</v>
      </c>
      <c r="B24" s="78" t="s">
        <v>229</v>
      </c>
      <c r="C24" s="403"/>
      <c r="D24" s="734">
        <f>' Enrol &amp; Rev'!G31</f>
        <v>0</v>
      </c>
      <c r="E24" s="734">
        <f>' Enrol &amp; Rev'!H31</f>
        <v>45</v>
      </c>
      <c r="F24" s="734">
        <f>' Enrol &amp; Rev'!I31</f>
        <v>90</v>
      </c>
      <c r="G24" s="734">
        <f>' Enrol &amp; Rev'!J31</f>
        <v>90</v>
      </c>
      <c r="H24" s="734">
        <f>' Enrol &amp; Rev'!K31</f>
        <v>90</v>
      </c>
      <c r="I24" s="734">
        <f>' Enrol &amp; Rev'!L31</f>
        <v>90</v>
      </c>
      <c r="J24" s="734">
        <f>' Enrol &amp; Rev'!M31</f>
        <v>90</v>
      </c>
      <c r="K24" s="61"/>
      <c r="L24" s="421"/>
      <c r="M24" s="555"/>
      <c r="N24" s="555"/>
      <c r="O24" s="555"/>
      <c r="P24" s="555"/>
      <c r="Q24" s="555"/>
      <c r="R24" s="555"/>
      <c r="S24" s="555"/>
      <c r="T24" s="555"/>
      <c r="U24" s="555"/>
      <c r="V24" s="555"/>
    </row>
    <row r="25" spans="1:23">
      <c r="A25" s="424">
        <f>ROW()</f>
        <v>25</v>
      </c>
      <c r="B25" s="78" t="s">
        <v>230</v>
      </c>
      <c r="C25" s="403"/>
      <c r="D25" s="734">
        <f>' Enrol &amp; Rev'!G32</f>
        <v>0</v>
      </c>
      <c r="E25" s="734">
        <f>' Enrol &amp; Rev'!H32</f>
        <v>30</v>
      </c>
      <c r="F25" s="734">
        <f>' Enrol &amp; Rev'!I32</f>
        <v>45</v>
      </c>
      <c r="G25" s="734">
        <f>' Enrol &amp; Rev'!J32</f>
        <v>90</v>
      </c>
      <c r="H25" s="734">
        <f>' Enrol &amp; Rev'!K32</f>
        <v>90</v>
      </c>
      <c r="I25" s="734">
        <f>' Enrol &amp; Rev'!L32</f>
        <v>90</v>
      </c>
      <c r="J25" s="734">
        <f>' Enrol &amp; Rev'!M32</f>
        <v>90</v>
      </c>
      <c r="K25" s="61"/>
      <c r="L25" s="421"/>
      <c r="M25" s="555"/>
      <c r="N25" s="555"/>
      <c r="O25" s="555"/>
      <c r="P25" s="555"/>
      <c r="Q25" s="555"/>
      <c r="R25" s="555"/>
      <c r="S25" s="555"/>
      <c r="T25" s="555"/>
      <c r="U25" s="555"/>
      <c r="V25" s="555"/>
    </row>
    <row r="26" spans="1:23">
      <c r="A26" s="424">
        <f>ROW()</f>
        <v>26</v>
      </c>
      <c r="B26" s="797" t="s">
        <v>231</v>
      </c>
      <c r="C26" s="1061"/>
      <c r="D26" s="736">
        <f>' Enrol &amp; Rev'!G33</f>
        <v>0</v>
      </c>
      <c r="E26" s="736">
        <f>' Enrol &amp; Rev'!H33</f>
        <v>0</v>
      </c>
      <c r="F26" s="736">
        <f>' Enrol &amp; Rev'!I33</f>
        <v>45</v>
      </c>
      <c r="G26" s="736">
        <f>' Enrol &amp; Rev'!J33</f>
        <v>45</v>
      </c>
      <c r="H26" s="736">
        <f>' Enrol &amp; Rev'!K33</f>
        <v>90</v>
      </c>
      <c r="I26" s="736">
        <f>' Enrol &amp; Rev'!L33</f>
        <v>90</v>
      </c>
      <c r="J26" s="736">
        <f>' Enrol &amp; Rev'!M33</f>
        <v>90</v>
      </c>
      <c r="K26" s="61"/>
      <c r="L26" s="421"/>
      <c r="M26" s="555"/>
      <c r="N26" s="555"/>
      <c r="O26" s="555"/>
      <c r="P26" s="555"/>
      <c r="Q26" s="555"/>
      <c r="R26" s="555"/>
      <c r="S26" s="555"/>
      <c r="T26" s="555"/>
      <c r="U26" s="555"/>
      <c r="V26" s="555"/>
    </row>
    <row r="27" spans="1:23">
      <c r="A27" s="424">
        <f>ROW()</f>
        <v>27</v>
      </c>
      <c r="B27" s="200" t="s">
        <v>232</v>
      </c>
      <c r="C27" s="200"/>
      <c r="D27" s="218">
        <f t="shared" ref="D27:J27" si="2">SUM(D14:D26)</f>
        <v>0</v>
      </c>
      <c r="E27" s="218">
        <f t="shared" si="2"/>
        <v>150</v>
      </c>
      <c r="F27" s="218">
        <f t="shared" si="2"/>
        <v>270</v>
      </c>
      <c r="G27" s="218">
        <f t="shared" si="2"/>
        <v>315</v>
      </c>
      <c r="H27" s="218">
        <f t="shared" si="2"/>
        <v>360</v>
      </c>
      <c r="I27" s="218">
        <f t="shared" si="2"/>
        <v>360</v>
      </c>
      <c r="J27" s="218">
        <f t="shared" si="2"/>
        <v>360</v>
      </c>
      <c r="K27" s="218"/>
      <c r="L27" s="421"/>
      <c r="M27" s="555"/>
      <c r="N27" s="555"/>
      <c r="O27" s="555"/>
      <c r="P27" s="555"/>
      <c r="Q27" s="555"/>
      <c r="R27" s="555"/>
      <c r="S27" s="555"/>
      <c r="T27" s="555"/>
      <c r="U27" s="555"/>
      <c r="V27" s="555"/>
    </row>
    <row r="28" spans="1:23">
      <c r="A28" s="424">
        <f>ROW()</f>
        <v>28</v>
      </c>
      <c r="B28" s="46" t="s">
        <v>233</v>
      </c>
      <c r="C28" s="46"/>
      <c r="D28" s="143"/>
      <c r="E28" s="143">
        <f>IFERROR(E27/E12,0)</f>
        <v>25</v>
      </c>
      <c r="F28" s="143">
        <f t="shared" ref="F28:J28" si="3">IFERROR(F27/F12,0)</f>
        <v>25</v>
      </c>
      <c r="G28" s="143">
        <f t="shared" si="3"/>
        <v>25</v>
      </c>
      <c r="H28" s="143">
        <f t="shared" si="3"/>
        <v>25</v>
      </c>
      <c r="I28" s="143">
        <f t="shared" si="3"/>
        <v>25</v>
      </c>
      <c r="J28" s="143">
        <f t="shared" si="3"/>
        <v>25</v>
      </c>
      <c r="K28" s="143"/>
      <c r="L28" s="421"/>
      <c r="M28" s="555"/>
      <c r="N28" s="555"/>
      <c r="O28" s="555"/>
      <c r="P28" s="555"/>
      <c r="Q28" s="555"/>
      <c r="R28" s="555"/>
      <c r="S28" s="555"/>
      <c r="T28" s="555"/>
      <c r="U28" s="555"/>
      <c r="V28" s="555"/>
    </row>
    <row r="29" spans="1:23">
      <c r="A29" s="424">
        <f>ROW()</f>
        <v>29</v>
      </c>
      <c r="B29" s="46" t="s">
        <v>234</v>
      </c>
      <c r="C29" s="46"/>
      <c r="D29" s="143"/>
      <c r="E29" s="447">
        <f t="shared" ref="E29:J29" si="4">IFERROR(IF(AND(E27,$G$51)&gt;0,E27/$G51,0),0)</f>
        <v>0.36057692307692307</v>
      </c>
      <c r="F29" s="448">
        <f t="shared" si="4"/>
        <v>0.64903846153846156</v>
      </c>
      <c r="G29" s="448">
        <f>IFERROR(IF(AND(G27,$G$51)&gt;0,G27/$G51,0),0)</f>
        <v>0.75721153846153844</v>
      </c>
      <c r="H29" s="448">
        <f t="shared" si="4"/>
        <v>0.86538461538461542</v>
      </c>
      <c r="I29" s="448">
        <f t="shared" si="4"/>
        <v>0.86538461538461542</v>
      </c>
      <c r="J29" s="448">
        <f t="shared" si="4"/>
        <v>0.86538461538461542</v>
      </c>
      <c r="K29" s="143"/>
      <c r="L29" s="421"/>
      <c r="M29" s="555"/>
      <c r="N29" s="555"/>
      <c r="O29" s="555"/>
      <c r="P29" s="555"/>
      <c r="Q29" s="555"/>
      <c r="R29" s="555"/>
      <c r="S29" s="555"/>
      <c r="T29" s="555"/>
      <c r="U29" s="555"/>
      <c r="V29" s="555"/>
    </row>
    <row r="30" spans="1:23">
      <c r="A30" s="424">
        <f>ROW()</f>
        <v>30</v>
      </c>
      <c r="B30" s="46" t="s">
        <v>235</v>
      </c>
      <c r="C30" s="46"/>
      <c r="D30" s="143"/>
      <c r="E30" s="447">
        <f t="shared" ref="E30:J30" si="5">IFERROR(IF(AND(E27,$G$67)&gt;0,E27/$G67,0),0)</f>
        <v>0.17584994138335286</v>
      </c>
      <c r="F30" s="447">
        <f t="shared" si="5"/>
        <v>0.31652989449003516</v>
      </c>
      <c r="G30" s="447">
        <f t="shared" si="5"/>
        <v>0.36928487690504103</v>
      </c>
      <c r="H30" s="447">
        <f t="shared" si="5"/>
        <v>0.4220398593200469</v>
      </c>
      <c r="I30" s="447">
        <f t="shared" si="5"/>
        <v>0.4220398593200469</v>
      </c>
      <c r="J30" s="447">
        <f t="shared" si="5"/>
        <v>0.4220398593200469</v>
      </c>
      <c r="K30" s="143"/>
      <c r="L30" s="421"/>
      <c r="M30" s="555"/>
      <c r="N30" s="555"/>
      <c r="O30" s="555"/>
      <c r="P30" s="555"/>
      <c r="Q30" s="555"/>
      <c r="R30" s="555"/>
      <c r="S30" s="555"/>
      <c r="T30" s="555"/>
      <c r="U30" s="555"/>
      <c r="V30" s="555"/>
    </row>
    <row r="31" spans="1:23">
      <c r="A31" s="424">
        <f>ROW()</f>
        <v>31</v>
      </c>
      <c r="B31" s="189" t="s">
        <v>236</v>
      </c>
      <c r="C31" s="46"/>
      <c r="D31" s="143"/>
      <c r="E31" s="447"/>
      <c r="F31" s="448"/>
      <c r="G31" s="448"/>
      <c r="H31" s="448"/>
      <c r="I31" s="448"/>
      <c r="J31" s="448"/>
      <c r="K31" s="143"/>
      <c r="L31" s="421"/>
      <c r="M31" s="555"/>
      <c r="N31" s="555"/>
      <c r="O31" s="555"/>
      <c r="P31" s="555"/>
      <c r="Q31" s="555"/>
      <c r="R31" s="555"/>
      <c r="S31" s="555"/>
      <c r="T31" s="555"/>
      <c r="U31" s="555"/>
      <c r="V31" s="555"/>
    </row>
    <row r="32" spans="1:23">
      <c r="A32" s="424"/>
      <c r="B32" s="52"/>
      <c r="C32" s="52"/>
      <c r="D32" s="52"/>
      <c r="E32" s="46"/>
      <c r="F32" s="81"/>
      <c r="G32" s="82"/>
      <c r="H32" s="82"/>
      <c r="I32" s="82"/>
      <c r="J32" s="82"/>
      <c r="K32" s="82"/>
      <c r="L32" s="421"/>
      <c r="M32" s="555"/>
      <c r="N32" s="555"/>
      <c r="O32" s="555"/>
      <c r="P32" s="555"/>
      <c r="Q32" s="555"/>
      <c r="R32" s="555"/>
      <c r="S32" s="555"/>
      <c r="T32" s="555"/>
      <c r="U32" s="555"/>
      <c r="V32" s="555"/>
    </row>
    <row r="33" spans="1:22" ht="15.75">
      <c r="A33" s="236" t="s">
        <v>237</v>
      </c>
      <c r="B33" s="52"/>
      <c r="C33" s="52"/>
      <c r="D33" s="52"/>
      <c r="E33" s="46"/>
      <c r="F33" s="81"/>
      <c r="G33" s="82"/>
      <c r="H33" s="82"/>
      <c r="L33" s="421"/>
      <c r="M33" s="555"/>
      <c r="N33" s="555"/>
      <c r="O33" s="555"/>
      <c r="P33" s="555"/>
      <c r="Q33" s="555"/>
      <c r="R33" s="555"/>
      <c r="S33" s="555"/>
      <c r="T33" s="555"/>
      <c r="U33" s="555"/>
      <c r="V33" s="555"/>
    </row>
    <row r="34" spans="1:22" ht="30" customHeight="1">
      <c r="A34" s="1062"/>
      <c r="B34" s="1685" t="s">
        <v>238</v>
      </c>
      <c r="C34" s="1685"/>
      <c r="D34" s="1506"/>
      <c r="E34" s="1063" t="s">
        <v>239</v>
      </c>
      <c r="F34" s="1064" t="s">
        <v>240</v>
      </c>
      <c r="G34" s="1064" t="s">
        <v>241</v>
      </c>
      <c r="H34" s="873" t="s">
        <v>242</v>
      </c>
      <c r="I34" s="56"/>
      <c r="K34" s="54"/>
      <c r="L34" s="1146" t="s">
        <v>243</v>
      </c>
      <c r="M34" s="555"/>
      <c r="N34" s="555"/>
      <c r="O34" s="555"/>
      <c r="P34" s="555"/>
      <c r="Q34" s="555"/>
      <c r="R34" s="555"/>
      <c r="S34" s="555"/>
      <c r="T34" s="555"/>
      <c r="U34" s="555"/>
      <c r="V34" s="555"/>
    </row>
    <row r="35" spans="1:22">
      <c r="A35" s="1065">
        <f>ROW()</f>
        <v>35</v>
      </c>
      <c r="B35" s="1508" t="s">
        <v>1357</v>
      </c>
      <c r="C35" s="1508"/>
      <c r="D35" s="1508"/>
      <c r="E35" s="372">
        <v>2</v>
      </c>
      <c r="F35" s="373" t="s">
        <v>1351</v>
      </c>
      <c r="G35" s="326">
        <v>416</v>
      </c>
      <c r="H35" s="1066">
        <v>3</v>
      </c>
      <c r="I35" s="56"/>
      <c r="K35" s="54"/>
      <c r="L35" s="421" t="s">
        <v>1360</v>
      </c>
      <c r="M35" s="555"/>
      <c r="N35" s="555"/>
      <c r="O35" s="555"/>
      <c r="P35" s="555"/>
      <c r="Q35" s="555"/>
      <c r="R35" s="555"/>
      <c r="S35" s="555"/>
      <c r="T35" s="555"/>
      <c r="U35" s="555"/>
      <c r="V35" s="555"/>
    </row>
    <row r="36" spans="1:22">
      <c r="A36" s="737">
        <f>ROW()</f>
        <v>36</v>
      </c>
      <c r="B36" s="1508"/>
      <c r="C36" s="1508"/>
      <c r="D36" s="1508"/>
      <c r="E36" s="372"/>
      <c r="F36" s="373"/>
      <c r="G36" s="326"/>
      <c r="H36" s="1067"/>
      <c r="I36" s="56"/>
      <c r="K36" s="54"/>
      <c r="L36" s="421" t="s">
        <v>1360</v>
      </c>
      <c r="M36" s="555"/>
      <c r="N36" s="555"/>
      <c r="O36" s="555"/>
      <c r="P36" s="555"/>
      <c r="Q36" s="555"/>
      <c r="R36" s="555"/>
      <c r="S36" s="555"/>
      <c r="T36" s="555"/>
      <c r="U36" s="555"/>
      <c r="V36" s="555"/>
    </row>
    <row r="37" spans="1:22">
      <c r="A37" s="737">
        <f>ROW()</f>
        <v>37</v>
      </c>
      <c r="B37" s="1687"/>
      <c r="C37" s="1687"/>
      <c r="D37" s="1687"/>
      <c r="E37" s="372"/>
      <c r="F37" s="373"/>
      <c r="G37" s="326"/>
      <c r="H37" s="1067"/>
      <c r="I37" s="56"/>
      <c r="K37" s="54"/>
      <c r="L37" s="421" t="s">
        <v>1360</v>
      </c>
      <c r="M37" s="555"/>
      <c r="N37" s="555"/>
      <c r="O37" s="555"/>
      <c r="P37" s="555"/>
      <c r="Q37" s="555"/>
      <c r="R37" s="555"/>
      <c r="S37" s="555"/>
      <c r="T37" s="555"/>
      <c r="U37" s="555"/>
      <c r="V37" s="555"/>
    </row>
    <row r="38" spans="1:22">
      <c r="A38" s="737">
        <f>ROW()</f>
        <v>38</v>
      </c>
      <c r="B38" s="1687"/>
      <c r="C38" s="1687"/>
      <c r="D38" s="1687"/>
      <c r="E38" s="372"/>
      <c r="F38" s="373"/>
      <c r="G38" s="326"/>
      <c r="H38" s="1067">
        <v>0</v>
      </c>
      <c r="I38" s="56"/>
      <c r="K38" s="54"/>
      <c r="L38" s="421"/>
      <c r="M38" s="555"/>
      <c r="N38" s="555"/>
      <c r="O38" s="555"/>
      <c r="P38" s="555"/>
      <c r="Q38" s="555"/>
      <c r="R38" s="555"/>
      <c r="S38" s="555"/>
      <c r="T38" s="555"/>
      <c r="U38" s="555"/>
      <c r="V38" s="555"/>
    </row>
    <row r="39" spans="1:22">
      <c r="A39" s="737">
        <f>ROW()</f>
        <v>39</v>
      </c>
      <c r="B39" s="1687"/>
      <c r="C39" s="1687"/>
      <c r="D39" s="1687"/>
      <c r="E39" s="372"/>
      <c r="F39" s="373"/>
      <c r="G39" s="326">
        <v>0</v>
      </c>
      <c r="H39" s="1067">
        <v>0</v>
      </c>
      <c r="I39" s="56"/>
      <c r="K39" s="54"/>
      <c r="L39" s="421"/>
      <c r="M39" s="555"/>
      <c r="N39" s="555"/>
      <c r="O39" s="555"/>
      <c r="P39" s="555"/>
      <c r="Q39" s="555"/>
      <c r="R39" s="555"/>
      <c r="S39" s="555"/>
      <c r="T39" s="555"/>
      <c r="U39" s="555"/>
      <c r="V39" s="555"/>
    </row>
    <row r="40" spans="1:22">
      <c r="A40" s="737">
        <f>ROW()</f>
        <v>40</v>
      </c>
      <c r="B40" s="1687"/>
      <c r="C40" s="1687"/>
      <c r="D40" s="1687"/>
      <c r="E40" s="372"/>
      <c r="F40" s="373"/>
      <c r="G40" s="326">
        <v>0</v>
      </c>
      <c r="H40" s="1067">
        <v>0</v>
      </c>
      <c r="I40" s="56"/>
      <c r="K40" s="54"/>
      <c r="L40" s="421"/>
      <c r="M40" s="555"/>
      <c r="N40" s="555"/>
      <c r="O40" s="555"/>
      <c r="P40" s="555"/>
      <c r="Q40" s="555"/>
      <c r="R40" s="555"/>
      <c r="S40" s="555"/>
      <c r="T40" s="555"/>
      <c r="U40" s="555"/>
      <c r="V40" s="555"/>
    </row>
    <row r="41" spans="1:22">
      <c r="A41" s="737">
        <f>ROW()</f>
        <v>41</v>
      </c>
      <c r="B41" s="1687"/>
      <c r="C41" s="1687"/>
      <c r="D41" s="1687"/>
      <c r="E41" s="372"/>
      <c r="F41" s="373"/>
      <c r="G41" s="326">
        <v>0</v>
      </c>
      <c r="H41" s="1067">
        <v>0</v>
      </c>
      <c r="I41" s="56"/>
      <c r="K41" s="54"/>
      <c r="L41" s="421"/>
      <c r="M41" s="555"/>
      <c r="N41" s="555"/>
      <c r="O41" s="555"/>
      <c r="P41" s="555"/>
      <c r="Q41" s="555"/>
      <c r="R41" s="555"/>
      <c r="S41" s="555"/>
      <c r="T41" s="555"/>
      <c r="U41" s="555"/>
      <c r="V41" s="555"/>
    </row>
    <row r="42" spans="1:22">
      <c r="A42" s="737">
        <f>ROW()</f>
        <v>42</v>
      </c>
      <c r="B42" s="1687"/>
      <c r="C42" s="1687"/>
      <c r="D42" s="1687"/>
      <c r="E42" s="372"/>
      <c r="F42" s="373"/>
      <c r="G42" s="326">
        <v>0</v>
      </c>
      <c r="H42" s="1067">
        <v>0</v>
      </c>
      <c r="I42" s="56"/>
      <c r="K42" s="54"/>
      <c r="L42" s="421"/>
      <c r="M42" s="555"/>
      <c r="N42" s="555"/>
      <c r="O42" s="555"/>
      <c r="P42" s="555"/>
      <c r="Q42" s="555"/>
      <c r="R42" s="555"/>
      <c r="S42" s="555"/>
      <c r="T42" s="555"/>
      <c r="U42" s="555"/>
      <c r="V42" s="555"/>
    </row>
    <row r="43" spans="1:22">
      <c r="A43" s="737">
        <f>ROW()</f>
        <v>43</v>
      </c>
      <c r="B43" s="1508"/>
      <c r="C43" s="1508"/>
      <c r="D43" s="1508"/>
      <c r="E43" s="372"/>
      <c r="F43" s="373"/>
      <c r="G43" s="326"/>
      <c r="H43" s="1067"/>
      <c r="I43" s="56"/>
      <c r="K43" s="54"/>
      <c r="L43" s="421"/>
      <c r="M43" s="555"/>
      <c r="N43" s="555"/>
      <c r="O43" s="555"/>
      <c r="P43" s="555"/>
      <c r="Q43" s="555"/>
      <c r="R43" s="555"/>
      <c r="S43" s="555"/>
      <c r="T43" s="555"/>
      <c r="U43" s="555"/>
      <c r="V43" s="555"/>
    </row>
    <row r="44" spans="1:22">
      <c r="A44" s="737">
        <f>ROW()</f>
        <v>44</v>
      </c>
      <c r="B44" s="1508"/>
      <c r="C44" s="1508"/>
      <c r="D44" s="1508"/>
      <c r="E44" s="372"/>
      <c r="F44" s="373"/>
      <c r="G44" s="326"/>
      <c r="H44" s="1067"/>
      <c r="I44" s="56"/>
      <c r="K44" s="54"/>
      <c r="L44" s="421"/>
      <c r="M44" s="555"/>
      <c r="N44" s="555"/>
      <c r="O44" s="555"/>
      <c r="P44" s="555"/>
      <c r="Q44" s="555"/>
      <c r="R44" s="555"/>
      <c r="S44" s="555"/>
      <c r="T44" s="555"/>
      <c r="U44" s="555"/>
      <c r="V44" s="555"/>
    </row>
    <row r="45" spans="1:22">
      <c r="A45" s="737">
        <f>ROW()</f>
        <v>45</v>
      </c>
      <c r="B45" s="1687"/>
      <c r="C45" s="1687"/>
      <c r="D45" s="1687"/>
      <c r="E45" s="372"/>
      <c r="F45" s="373"/>
      <c r="G45" s="326">
        <v>0</v>
      </c>
      <c r="H45" s="1067">
        <v>0</v>
      </c>
      <c r="I45" s="56"/>
      <c r="K45" s="54"/>
      <c r="L45" s="421"/>
      <c r="M45" s="555"/>
      <c r="N45" s="555"/>
      <c r="O45" s="555"/>
      <c r="P45" s="555"/>
      <c r="Q45" s="555"/>
      <c r="R45" s="555"/>
      <c r="S45" s="555"/>
      <c r="T45" s="555"/>
      <c r="U45" s="555"/>
      <c r="V45" s="555"/>
    </row>
    <row r="46" spans="1:22">
      <c r="A46" s="1224">
        <f>ROW()</f>
        <v>46</v>
      </c>
      <c r="B46" s="1509"/>
      <c r="C46" s="1509"/>
      <c r="D46" s="1509"/>
      <c r="E46" s="1140"/>
      <c r="F46" s="1141"/>
      <c r="G46" s="328"/>
      <c r="H46" s="1142"/>
      <c r="I46" s="56"/>
      <c r="K46" s="54"/>
      <c r="L46" s="421"/>
      <c r="M46" s="555"/>
      <c r="N46" s="555"/>
      <c r="O46" s="555"/>
      <c r="P46" s="555"/>
      <c r="Q46" s="555"/>
      <c r="R46" s="555"/>
      <c r="S46" s="555"/>
      <c r="T46" s="555"/>
      <c r="U46" s="555"/>
      <c r="V46" s="555"/>
    </row>
    <row r="47" spans="1:22">
      <c r="A47" s="1224">
        <f>ROW()</f>
        <v>47</v>
      </c>
      <c r="B47" s="1509"/>
      <c r="C47" s="1509"/>
      <c r="D47" s="1509"/>
      <c r="E47" s="1140"/>
      <c r="F47" s="1141"/>
      <c r="G47" s="328"/>
      <c r="H47" s="1142"/>
      <c r="I47" s="56"/>
      <c r="K47" s="54"/>
      <c r="L47" s="421"/>
      <c r="M47" s="555"/>
      <c r="N47" s="555"/>
      <c r="O47" s="555"/>
      <c r="P47" s="555"/>
      <c r="Q47" s="555"/>
      <c r="R47" s="555"/>
      <c r="S47" s="555"/>
      <c r="T47" s="555"/>
      <c r="U47" s="555"/>
      <c r="V47" s="555"/>
    </row>
    <row r="48" spans="1:22">
      <c r="A48" s="1224">
        <f>ROW()</f>
        <v>48</v>
      </c>
      <c r="B48" s="1509"/>
      <c r="C48" s="1509"/>
      <c r="D48" s="1509"/>
      <c r="E48" s="1140"/>
      <c r="F48" s="1141"/>
      <c r="G48" s="328"/>
      <c r="H48" s="1142"/>
      <c r="I48" s="56"/>
      <c r="K48" s="54"/>
      <c r="L48" s="421"/>
      <c r="M48" s="555"/>
      <c r="N48" s="555"/>
      <c r="O48" s="555"/>
      <c r="P48" s="555"/>
      <c r="Q48" s="555"/>
      <c r="R48" s="555"/>
      <c r="S48" s="555"/>
      <c r="T48" s="555"/>
      <c r="U48" s="555"/>
      <c r="V48" s="555"/>
    </row>
    <row r="49" spans="1:22">
      <c r="A49" s="1224">
        <f>ROW()</f>
        <v>49</v>
      </c>
      <c r="B49" s="1509"/>
      <c r="C49" s="1509"/>
      <c r="D49" s="1509"/>
      <c r="E49" s="1140"/>
      <c r="F49" s="1141"/>
      <c r="G49" s="328"/>
      <c r="H49" s="1142"/>
      <c r="I49" s="56"/>
      <c r="K49" s="54"/>
      <c r="L49" s="421"/>
      <c r="M49" s="555"/>
      <c r="N49" s="555"/>
      <c r="O49" s="555"/>
      <c r="P49" s="555"/>
      <c r="Q49" s="555"/>
      <c r="R49" s="555"/>
      <c r="S49" s="555"/>
      <c r="T49" s="555"/>
      <c r="U49" s="555"/>
      <c r="V49" s="555"/>
    </row>
    <row r="50" spans="1:22">
      <c r="A50" s="1145">
        <f>ROW()</f>
        <v>50</v>
      </c>
      <c r="B50" s="1509"/>
      <c r="C50" s="1509"/>
      <c r="D50" s="1509"/>
      <c r="E50" s="1140"/>
      <c r="F50" s="1141"/>
      <c r="G50" s="328">
        <v>0</v>
      </c>
      <c r="H50" s="1142">
        <v>0</v>
      </c>
      <c r="I50" s="56"/>
      <c r="K50" s="54"/>
      <c r="L50" s="421"/>
      <c r="M50" s="555"/>
      <c r="N50" s="555"/>
      <c r="O50" s="555"/>
      <c r="P50" s="555"/>
      <c r="Q50" s="555"/>
      <c r="R50" s="555"/>
      <c r="S50" s="555"/>
      <c r="T50" s="555"/>
      <c r="U50" s="555"/>
      <c r="V50" s="555"/>
    </row>
    <row r="51" spans="1:22">
      <c r="A51" s="72"/>
      <c r="B51" s="166"/>
      <c r="C51" s="166"/>
      <c r="D51" s="166"/>
      <c r="E51" s="166"/>
      <c r="F51" s="1143"/>
      <c r="G51" s="1143">
        <f>SUM(G35:G50)</f>
        <v>416</v>
      </c>
      <c r="H51" s="1144">
        <f>IFERROR(SUMPRODUCT(G35:G50,H35:H50)/G51,0)</f>
        <v>3</v>
      </c>
      <c r="I51" s="56"/>
      <c r="K51" s="391"/>
      <c r="L51" s="421"/>
      <c r="M51" s="555"/>
      <c r="N51" s="555"/>
      <c r="O51" s="555"/>
      <c r="P51" s="555"/>
      <c r="Q51" s="555"/>
      <c r="R51" s="555"/>
      <c r="S51" s="555"/>
      <c r="T51" s="555"/>
      <c r="U51" s="555"/>
      <c r="V51" s="555"/>
    </row>
    <row r="52" spans="1:22">
      <c r="A52" s="72"/>
      <c r="B52" s="46" t="s">
        <v>244</v>
      </c>
      <c r="C52" s="46"/>
      <c r="D52" s="46"/>
      <c r="E52" s="46"/>
      <c r="F52" s="185"/>
      <c r="G52" s="185"/>
      <c r="H52" s="392"/>
      <c r="I52" s="56"/>
      <c r="K52" s="391"/>
      <c r="L52" s="421"/>
      <c r="M52" s="555"/>
      <c r="N52" s="555"/>
      <c r="O52" s="555"/>
      <c r="P52" s="555"/>
      <c r="Q52" s="555"/>
      <c r="R52" s="555"/>
      <c r="S52" s="555"/>
      <c r="T52" s="555"/>
      <c r="U52" s="555"/>
      <c r="V52" s="555"/>
    </row>
    <row r="53" spans="1:22">
      <c r="A53" s="72"/>
      <c r="B53" s="189" t="s">
        <v>245</v>
      </c>
      <c r="C53" s="46"/>
      <c r="D53" s="46"/>
      <c r="E53" s="46"/>
      <c r="F53" s="185"/>
      <c r="G53" s="185"/>
      <c r="H53" s="392"/>
      <c r="I53" s="56"/>
      <c r="K53" s="391"/>
      <c r="L53" s="421"/>
      <c r="M53" s="555"/>
      <c r="N53" s="555"/>
      <c r="O53" s="555"/>
      <c r="P53" s="555"/>
      <c r="Q53" s="555"/>
      <c r="R53" s="555"/>
      <c r="S53" s="555"/>
      <c r="T53" s="555"/>
      <c r="U53" s="555"/>
      <c r="V53" s="555"/>
    </row>
    <row r="54" spans="1:22">
      <c r="A54" s="72"/>
      <c r="B54" s="46"/>
      <c r="C54" s="46"/>
      <c r="D54" s="46"/>
      <c r="E54" s="46"/>
      <c r="F54" s="185"/>
      <c r="G54" s="185"/>
      <c r="H54" s="392"/>
      <c r="I54" s="56"/>
      <c r="K54" s="391"/>
      <c r="L54" s="421"/>
      <c r="M54" s="555"/>
      <c r="N54" s="555"/>
      <c r="O54" s="555"/>
      <c r="P54" s="555"/>
      <c r="Q54" s="555"/>
      <c r="R54" s="555"/>
      <c r="S54" s="555"/>
      <c r="T54" s="555"/>
      <c r="U54" s="555"/>
      <c r="V54" s="555"/>
    </row>
    <row r="55" spans="1:22" ht="15.75">
      <c r="A55" s="236" t="s">
        <v>246</v>
      </c>
      <c r="B55" s="571"/>
      <c r="C55" s="571"/>
      <c r="D55" s="571"/>
      <c r="E55" s="77"/>
      <c r="F55" s="859"/>
      <c r="G55" s="860"/>
      <c r="H55" s="860"/>
      <c r="I55" s="56"/>
      <c r="L55" s="421"/>
      <c r="M55" s="555"/>
      <c r="N55" s="555"/>
      <c r="O55" s="555"/>
      <c r="P55" s="555"/>
      <c r="Q55" s="555"/>
      <c r="R55" s="555"/>
      <c r="S55" s="555"/>
      <c r="T55" s="555"/>
      <c r="U55" s="555"/>
      <c r="V55" s="555"/>
    </row>
    <row r="56" spans="1:22" ht="35.25" customHeight="1">
      <c r="A56" s="235"/>
      <c r="B56" s="1686" t="s">
        <v>238</v>
      </c>
      <c r="C56" s="1686"/>
      <c r="D56" s="1507"/>
      <c r="E56" s="871" t="s">
        <v>239</v>
      </c>
      <c r="F56" s="872" t="s">
        <v>240</v>
      </c>
      <c r="G56" s="872" t="s">
        <v>241</v>
      </c>
      <c r="H56" s="873" t="s">
        <v>242</v>
      </c>
      <c r="I56" s="56"/>
      <c r="L56" s="1146" t="s">
        <v>247</v>
      </c>
      <c r="M56" s="555"/>
      <c r="N56" s="555"/>
      <c r="O56" s="555"/>
      <c r="P56" s="555"/>
      <c r="Q56" s="555"/>
      <c r="R56" s="555"/>
      <c r="S56" s="555"/>
      <c r="T56" s="555"/>
      <c r="U56" s="555"/>
      <c r="V56" s="555"/>
    </row>
    <row r="57" spans="1:22">
      <c r="A57" s="738">
        <f>ROW()</f>
        <v>57</v>
      </c>
      <c r="B57" s="1508" t="s">
        <v>1358</v>
      </c>
      <c r="C57" s="1508"/>
      <c r="D57" s="1508"/>
      <c r="E57" s="372">
        <v>0</v>
      </c>
      <c r="F57" s="373" t="s">
        <v>1351</v>
      </c>
      <c r="G57" s="326">
        <v>547</v>
      </c>
      <c r="H57" s="1067">
        <v>1.6</v>
      </c>
      <c r="I57" s="56"/>
      <c r="L57" s="421" t="s">
        <v>1388</v>
      </c>
      <c r="M57" s="555"/>
      <c r="N57" s="555"/>
      <c r="O57" s="555"/>
      <c r="P57" s="555"/>
      <c r="Q57" s="555"/>
      <c r="R57" s="555"/>
      <c r="S57" s="555"/>
      <c r="T57" s="555"/>
      <c r="U57" s="555"/>
      <c r="V57" s="555"/>
    </row>
    <row r="58" spans="1:22">
      <c r="A58" s="737">
        <f>ROW()</f>
        <v>58</v>
      </c>
      <c r="B58" s="1687" t="s">
        <v>1359</v>
      </c>
      <c r="C58" s="1687"/>
      <c r="D58" s="1687"/>
      <c r="E58" s="372">
        <v>1</v>
      </c>
      <c r="F58" s="373" t="s">
        <v>1351</v>
      </c>
      <c r="G58" s="326">
        <v>306</v>
      </c>
      <c r="H58" s="1067">
        <v>3.2</v>
      </c>
      <c r="I58" s="56"/>
      <c r="L58" s="421"/>
      <c r="M58" s="555"/>
      <c r="N58" s="555"/>
      <c r="O58" s="555"/>
      <c r="P58" s="555"/>
      <c r="Q58" s="555"/>
      <c r="R58" s="555"/>
      <c r="S58" s="555"/>
      <c r="T58" s="555"/>
      <c r="U58" s="555"/>
      <c r="V58" s="555"/>
    </row>
    <row r="59" spans="1:22">
      <c r="A59" s="737">
        <f>ROW()</f>
        <v>59</v>
      </c>
      <c r="B59" s="1687"/>
      <c r="C59" s="1687"/>
      <c r="D59" s="1687"/>
      <c r="E59" s="372"/>
      <c r="F59" s="373"/>
      <c r="G59" s="326">
        <v>0</v>
      </c>
      <c r="H59" s="1067">
        <v>0</v>
      </c>
      <c r="I59" s="56"/>
      <c r="L59" s="421"/>
      <c r="M59" s="555"/>
      <c r="N59" s="555"/>
      <c r="O59" s="555"/>
      <c r="P59" s="555"/>
      <c r="Q59" s="555"/>
      <c r="R59" s="555"/>
      <c r="S59" s="555"/>
      <c r="T59" s="555"/>
      <c r="U59" s="555"/>
      <c r="V59" s="555"/>
    </row>
    <row r="60" spans="1:22">
      <c r="A60" s="737">
        <f>ROW()</f>
        <v>60</v>
      </c>
      <c r="B60" s="1687"/>
      <c r="C60" s="1687"/>
      <c r="D60" s="1687"/>
      <c r="E60" s="372"/>
      <c r="F60" s="373"/>
      <c r="G60" s="326">
        <v>0</v>
      </c>
      <c r="H60" s="1067">
        <v>0</v>
      </c>
      <c r="I60" s="56"/>
      <c r="L60" s="421"/>
      <c r="M60" s="555"/>
      <c r="N60" s="555"/>
      <c r="O60" s="555"/>
      <c r="P60" s="555"/>
      <c r="Q60" s="555"/>
      <c r="R60" s="555"/>
      <c r="S60" s="555"/>
      <c r="T60" s="555"/>
      <c r="U60" s="555"/>
      <c r="V60" s="555"/>
    </row>
    <row r="61" spans="1:22">
      <c r="A61" s="737">
        <f>ROW()</f>
        <v>61</v>
      </c>
      <c r="B61" s="1687"/>
      <c r="C61" s="1687"/>
      <c r="D61" s="1687"/>
      <c r="E61" s="372"/>
      <c r="F61" s="373"/>
      <c r="G61" s="326">
        <v>0</v>
      </c>
      <c r="H61" s="1067">
        <v>0</v>
      </c>
      <c r="I61" s="56"/>
      <c r="L61" s="421"/>
      <c r="M61" s="555"/>
      <c r="N61" s="555"/>
      <c r="O61" s="555"/>
      <c r="P61" s="555"/>
      <c r="Q61" s="555"/>
      <c r="R61" s="555"/>
      <c r="S61" s="555"/>
      <c r="T61" s="555"/>
      <c r="U61" s="555"/>
      <c r="V61" s="555"/>
    </row>
    <row r="62" spans="1:22">
      <c r="A62" s="737">
        <f>ROW()</f>
        <v>62</v>
      </c>
      <c r="B62" s="1508"/>
      <c r="C62" s="1508"/>
      <c r="D62" s="1508"/>
      <c r="E62" s="372"/>
      <c r="F62" s="373"/>
      <c r="G62" s="326">
        <v>0</v>
      </c>
      <c r="H62" s="1067">
        <v>0</v>
      </c>
      <c r="I62" s="56"/>
      <c r="L62" s="421"/>
      <c r="M62" s="555"/>
      <c r="N62" s="555"/>
      <c r="O62" s="555"/>
      <c r="P62" s="555"/>
      <c r="Q62" s="555"/>
      <c r="R62" s="555"/>
      <c r="S62" s="555"/>
      <c r="T62" s="555"/>
      <c r="U62" s="555"/>
      <c r="V62" s="555"/>
    </row>
    <row r="63" spans="1:22">
      <c r="A63" s="737">
        <f>ROW()</f>
        <v>63</v>
      </c>
      <c r="B63" s="1508"/>
      <c r="C63" s="1508"/>
      <c r="D63" s="1508"/>
      <c r="E63" s="372"/>
      <c r="F63" s="373"/>
      <c r="G63" s="326">
        <v>0</v>
      </c>
      <c r="H63" s="1067">
        <v>0</v>
      </c>
      <c r="I63" s="56"/>
      <c r="L63" s="421"/>
      <c r="M63" s="555"/>
      <c r="N63" s="555"/>
      <c r="O63" s="555"/>
      <c r="P63" s="555"/>
      <c r="Q63" s="555"/>
      <c r="R63" s="555"/>
      <c r="S63" s="555"/>
      <c r="T63" s="555"/>
      <c r="U63" s="555"/>
      <c r="V63" s="555"/>
    </row>
    <row r="64" spans="1:22">
      <c r="A64" s="737">
        <f>ROW()</f>
        <v>64</v>
      </c>
      <c r="B64" s="1508"/>
      <c r="C64" s="1508"/>
      <c r="D64" s="1508"/>
      <c r="E64" s="372"/>
      <c r="F64" s="373"/>
      <c r="G64" s="326">
        <v>0</v>
      </c>
      <c r="H64" s="1067">
        <v>0</v>
      </c>
      <c r="I64" s="56"/>
      <c r="L64" s="421"/>
      <c r="M64" s="555"/>
      <c r="N64" s="555"/>
      <c r="O64" s="555"/>
      <c r="P64" s="555"/>
      <c r="Q64" s="555"/>
      <c r="R64" s="555"/>
      <c r="S64" s="555"/>
      <c r="T64" s="555"/>
      <c r="U64" s="555"/>
      <c r="V64" s="555"/>
    </row>
    <row r="65" spans="1:22">
      <c r="A65" s="737">
        <f>ROW()</f>
        <v>65</v>
      </c>
      <c r="B65" s="1508"/>
      <c r="C65" s="1508"/>
      <c r="D65" s="1508"/>
      <c r="E65" s="372"/>
      <c r="F65" s="373"/>
      <c r="G65" s="326">
        <v>0</v>
      </c>
      <c r="H65" s="1067">
        <v>0</v>
      </c>
      <c r="I65" s="56"/>
      <c r="L65" s="421"/>
      <c r="M65" s="555"/>
      <c r="N65" s="555"/>
      <c r="O65" s="555"/>
      <c r="P65" s="555"/>
      <c r="Q65" s="555"/>
      <c r="R65" s="555"/>
      <c r="S65" s="555"/>
      <c r="T65" s="555"/>
      <c r="U65" s="555"/>
      <c r="V65" s="555"/>
    </row>
    <row r="66" spans="1:22">
      <c r="A66" s="1145">
        <f>ROW()</f>
        <v>66</v>
      </c>
      <c r="B66" s="1688"/>
      <c r="C66" s="1688"/>
      <c r="D66" s="1688"/>
      <c r="E66" s="1140"/>
      <c r="F66" s="1141"/>
      <c r="G66" s="328">
        <v>0</v>
      </c>
      <c r="H66" s="1142">
        <v>0</v>
      </c>
      <c r="I66" s="56"/>
      <c r="L66" s="421"/>
      <c r="M66" s="555"/>
      <c r="N66" s="555"/>
      <c r="O66" s="555"/>
      <c r="P66" s="555"/>
      <c r="Q66" s="555"/>
      <c r="R66" s="555"/>
      <c r="S66" s="555"/>
      <c r="T66" s="555"/>
      <c r="U66" s="555"/>
      <c r="V66" s="555"/>
    </row>
    <row r="67" spans="1:22" ht="13.5" customHeight="1">
      <c r="A67" s="72"/>
      <c r="B67" s="166"/>
      <c r="C67" s="166"/>
      <c r="D67" s="166"/>
      <c r="E67" s="166"/>
      <c r="F67" s="1143"/>
      <c r="G67" s="1143">
        <f>SUM(G57:G66)</f>
        <v>853</v>
      </c>
      <c r="H67" s="1144">
        <f>IFERROR(SUMPRODUCT(G57:G66,H57:H66)/G67,0)</f>
        <v>2.173974208675264</v>
      </c>
      <c r="I67" s="56"/>
      <c r="K67" s="185"/>
      <c r="L67" s="421"/>
      <c r="M67" s="555"/>
      <c r="N67" s="555"/>
      <c r="O67" s="555"/>
      <c r="P67" s="555"/>
      <c r="Q67" s="555"/>
      <c r="R67" s="555"/>
      <c r="S67" s="555"/>
      <c r="T67" s="555"/>
      <c r="U67" s="555"/>
      <c r="V67" s="555"/>
    </row>
    <row r="68" spans="1:22">
      <c r="A68" s="72"/>
      <c r="B68" s="52"/>
      <c r="C68" s="52"/>
      <c r="D68" s="52"/>
      <c r="E68" s="46"/>
      <c r="F68" s="81"/>
      <c r="G68" s="82"/>
      <c r="H68" s="82"/>
      <c r="I68" s="56"/>
      <c r="K68" s="185"/>
      <c r="L68" s="421"/>
      <c r="M68" s="555"/>
      <c r="N68" s="555"/>
      <c r="O68" s="555"/>
      <c r="P68" s="555"/>
      <c r="Q68" s="555"/>
      <c r="R68" s="555"/>
      <c r="S68" s="555"/>
      <c r="T68" s="555"/>
      <c r="U68" s="555"/>
      <c r="V68" s="555"/>
    </row>
    <row r="69" spans="1:22">
      <c r="I69" s="56"/>
      <c r="M69" s="555"/>
      <c r="N69" s="555"/>
      <c r="O69" s="555"/>
      <c r="P69" s="555"/>
      <c r="Q69" s="555"/>
      <c r="R69" s="555"/>
      <c r="S69" s="555"/>
      <c r="T69" s="555"/>
      <c r="U69" s="555"/>
      <c r="V69" s="555"/>
    </row>
    <row r="70" spans="1:22">
      <c r="M70" s="555"/>
      <c r="N70" s="555"/>
      <c r="O70" s="555"/>
      <c r="P70" s="555"/>
      <c r="Q70" s="555"/>
      <c r="R70" s="555"/>
      <c r="S70" s="555"/>
      <c r="T70" s="555"/>
      <c r="U70" s="555"/>
      <c r="V70" s="555"/>
    </row>
    <row r="71" spans="1:22">
      <c r="M71" s="555"/>
      <c r="N71" s="555"/>
      <c r="O71" s="555"/>
      <c r="P71" s="555"/>
      <c r="Q71" s="555"/>
      <c r="R71" s="555"/>
      <c r="S71" s="555"/>
      <c r="T71" s="555"/>
      <c r="U71" s="555"/>
      <c r="V71" s="555"/>
    </row>
    <row r="72" spans="1:22">
      <c r="M72" s="555"/>
      <c r="N72" s="555"/>
      <c r="O72" s="555"/>
      <c r="P72" s="555"/>
      <c r="Q72" s="555"/>
      <c r="R72" s="555"/>
      <c r="S72" s="555"/>
      <c r="T72" s="555"/>
      <c r="U72" s="555"/>
      <c r="V72" s="555"/>
    </row>
    <row r="73" spans="1:22">
      <c r="M73" s="555"/>
      <c r="N73" s="555"/>
      <c r="O73" s="555"/>
      <c r="P73" s="555"/>
      <c r="Q73" s="555"/>
      <c r="R73" s="555"/>
      <c r="S73" s="555"/>
      <c r="T73" s="555"/>
      <c r="U73" s="555"/>
      <c r="V73" s="555"/>
    </row>
    <row r="74" spans="1:22">
      <c r="M74" s="555"/>
      <c r="N74" s="555"/>
      <c r="O74" s="555"/>
      <c r="P74" s="555"/>
      <c r="Q74" s="555"/>
      <c r="R74" s="555"/>
      <c r="S74" s="555"/>
      <c r="T74" s="555"/>
      <c r="U74" s="555"/>
      <c r="V74" s="555"/>
    </row>
    <row r="75" spans="1:22">
      <c r="M75" s="555"/>
      <c r="N75" s="555"/>
      <c r="O75" s="555"/>
      <c r="P75" s="555"/>
      <c r="Q75" s="555"/>
      <c r="R75" s="555"/>
      <c r="S75" s="555"/>
      <c r="T75" s="555"/>
      <c r="U75" s="555"/>
      <c r="V75" s="555"/>
    </row>
    <row r="76" spans="1:22">
      <c r="M76" s="555"/>
      <c r="N76" s="555"/>
      <c r="O76" s="555"/>
      <c r="P76" s="555"/>
      <c r="Q76" s="555"/>
      <c r="R76" s="555"/>
      <c r="S76" s="555"/>
      <c r="T76" s="555"/>
      <c r="U76" s="555"/>
      <c r="V76" s="555"/>
    </row>
    <row r="77" spans="1:22">
      <c r="M77" s="555"/>
      <c r="N77" s="555"/>
      <c r="O77" s="555"/>
      <c r="P77" s="555"/>
      <c r="Q77" s="555"/>
      <c r="R77" s="555"/>
      <c r="S77" s="555"/>
      <c r="T77" s="555"/>
      <c r="U77" s="555"/>
      <c r="V77" s="555"/>
    </row>
    <row r="78" spans="1:22">
      <c r="M78" s="555"/>
      <c r="N78" s="555"/>
      <c r="O78" s="555"/>
      <c r="P78" s="555"/>
      <c r="Q78" s="555"/>
      <c r="R78" s="555"/>
      <c r="S78" s="555"/>
      <c r="T78" s="555"/>
      <c r="U78" s="555"/>
      <c r="V78" s="555"/>
    </row>
    <row r="79" spans="1:22">
      <c r="M79" s="555"/>
      <c r="N79" s="555"/>
      <c r="O79" s="555"/>
      <c r="P79" s="555"/>
      <c r="Q79" s="555"/>
      <c r="R79" s="555"/>
      <c r="S79" s="555"/>
      <c r="T79" s="555"/>
      <c r="U79" s="555"/>
      <c r="V79" s="555"/>
    </row>
    <row r="80" spans="1:22">
      <c r="M80" s="555"/>
      <c r="N80" s="555"/>
      <c r="O80" s="555"/>
      <c r="P80" s="555"/>
      <c r="Q80" s="555"/>
      <c r="R80" s="555"/>
      <c r="S80" s="555"/>
      <c r="T80" s="555"/>
      <c r="U80" s="555"/>
      <c r="V80" s="555"/>
    </row>
    <row r="81" spans="13:22">
      <c r="M81" s="555"/>
      <c r="N81" s="555"/>
      <c r="O81" s="555"/>
      <c r="P81" s="555"/>
      <c r="Q81" s="555"/>
      <c r="R81" s="555"/>
      <c r="S81" s="555"/>
      <c r="T81" s="555"/>
      <c r="U81" s="555"/>
      <c r="V81" s="555"/>
    </row>
  </sheetData>
  <mergeCells count="14">
    <mergeCell ref="B66:D66"/>
    <mergeCell ref="B58:D58"/>
    <mergeCell ref="B59:D59"/>
    <mergeCell ref="B60:D60"/>
    <mergeCell ref="B61:D61"/>
    <mergeCell ref="B34:C34"/>
    <mergeCell ref="B56:C56"/>
    <mergeCell ref="B37:D37"/>
    <mergeCell ref="B38:D38"/>
    <mergeCell ref="B39:D39"/>
    <mergeCell ref="B40:D40"/>
    <mergeCell ref="B41:D41"/>
    <mergeCell ref="B42:D42"/>
    <mergeCell ref="B45:D45"/>
  </mergeCells>
  <conditionalFormatting sqref="B14:C26">
    <cfRule type="expression" dxfId="64" priority="66" stopIfTrue="1">
      <formula>MOD(ROW(),2)=0</formula>
    </cfRule>
  </conditionalFormatting>
  <conditionalFormatting sqref="D1">
    <cfRule type="expression" dxfId="63" priority="7" stopIfTrue="1">
      <formula>MOD(ROW(),2)=0</formula>
    </cfRule>
  </conditionalFormatting>
  <conditionalFormatting sqref="D11:J12">
    <cfRule type="cellIs" dxfId="62" priority="68" stopIfTrue="1" operator="equal">
      <formula>0</formula>
    </cfRule>
  </conditionalFormatting>
  <conditionalFormatting sqref="D14:J26">
    <cfRule type="cellIs" dxfId="61" priority="67" stopIfTrue="1" operator="equal">
      <formula>0</formula>
    </cfRule>
  </conditionalFormatting>
  <hyperlinks>
    <hyperlink ref="D1" location="HypLink1" display="HypLink1" xr:uid="{A10A35EE-80B5-4044-9D6A-1FACE9E32D18}"/>
  </hyperlinks>
  <pageMargins left="0.25" right="0.25" top="0.5" bottom="0.45" header="0.25" footer="0.25"/>
  <pageSetup scale="89" fitToHeight="4" orientation="landscape" r:id="rId1"/>
  <headerFooter>
    <oddHeader xml:space="preserve">&amp;L &amp;C &amp;R </oddHeader>
    <oddFooter>&amp;L&amp;7&amp;D  at &amp;T Mike 702.854.0691&amp;C&amp;7&amp;F  &amp;A&amp;R&amp;7Page &amp;P of &amp;N</oddFooter>
  </headerFooter>
  <rowBreaks count="1" manualBreakCount="1">
    <brk id="3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O113"/>
  <sheetViews>
    <sheetView showGridLines="0" topLeftCell="A9" zoomScale="80" zoomScaleNormal="80" workbookViewId="0">
      <pane xSplit="2" ySplit="3" topLeftCell="E79" activePane="bottomRight" state="frozen"/>
      <selection activeCell="B65" sqref="B65"/>
      <selection pane="topRight" activeCell="B65" sqref="B65"/>
      <selection pane="bottomLeft" activeCell="B65" sqref="B65"/>
      <selection pane="bottomRight" activeCell="O108" sqref="O108"/>
    </sheetView>
  </sheetViews>
  <sheetFormatPr defaultColWidth="8.85546875" defaultRowHeight="15" outlineLevelRow="1"/>
  <cols>
    <col min="1" max="1" width="5.5703125" style="37" customWidth="1"/>
    <col min="2" max="2" width="44.140625" style="37" customWidth="1"/>
    <col min="3" max="3" width="17.7109375" style="37" customWidth="1"/>
    <col min="4" max="5" width="8.85546875" style="37" customWidth="1"/>
    <col min="6" max="6" width="11" style="37" customWidth="1"/>
    <col min="7" max="7" width="15.28515625" style="37" customWidth="1"/>
    <col min="8" max="8" width="16.140625" style="37" customWidth="1"/>
    <col min="9" max="10" width="21" style="37" customWidth="1"/>
    <col min="11" max="13" width="17" style="37" customWidth="1"/>
    <col min="14" max="14" width="1.140625" style="37" customWidth="1"/>
    <col min="15" max="15" width="88.5703125" style="37" customWidth="1"/>
    <col min="16" max="25" width="12.28515625" style="37" customWidth="1"/>
    <col min="26" max="16384" width="8.85546875" style="37"/>
  </cols>
  <sheetData>
    <row r="1" spans="1:15" ht="18">
      <c r="A1" s="142" t="s">
        <v>248</v>
      </c>
      <c r="B1" s="40"/>
      <c r="D1" s="508" t="s">
        <v>2</v>
      </c>
      <c r="E1" s="508"/>
      <c r="F1" s="508"/>
    </row>
    <row r="2" spans="1:15" ht="15.75">
      <c r="A2" s="133" t="str">
        <f>SchoolName</f>
        <v>Rooted School Clark County</v>
      </c>
      <c r="B2" s="43"/>
    </row>
    <row r="3" spans="1:15">
      <c r="A3" s="44" t="s">
        <v>62</v>
      </c>
      <c r="L3" s="35"/>
    </row>
    <row r="4" spans="1:15">
      <c r="A4" s="45" t="s">
        <v>63</v>
      </c>
    </row>
    <row r="5" spans="1:15">
      <c r="A5" s="34" t="str">
        <f ca="1">CELL("filename")</f>
        <v>C:\Users\CRaymond\Char. School Bus Mgt Dropbox\Collin Raymond\Growth Team\Growth 2.0\Growth &amp; Data\Client Projects\Rooted LV\[Rooted School-SPCSA-Operating Budget-V10 (1) - Rev9.xlsx]Summary</v>
      </c>
    </row>
    <row r="6" spans="1:15" ht="15.75">
      <c r="A6" s="72"/>
      <c r="D6" s="73" t="s">
        <v>249</v>
      </c>
      <c r="E6" s="73"/>
      <c r="F6" s="73"/>
      <c r="H6" s="330"/>
      <c r="K6" s="73"/>
    </row>
    <row r="7" spans="1:15">
      <c r="A7" s="72"/>
      <c r="D7" s="36" t="s">
        <v>250</v>
      </c>
      <c r="E7" s="36"/>
      <c r="F7" s="36"/>
      <c r="H7" s="36"/>
      <c r="K7" s="36"/>
    </row>
    <row r="8" spans="1:15">
      <c r="A8" s="72"/>
      <c r="G8" s="36"/>
      <c r="H8" s="35"/>
    </row>
    <row r="9" spans="1:15">
      <c r="A9" s="72"/>
      <c r="B9" s="35"/>
      <c r="G9" s="876" t="s">
        <v>214</v>
      </c>
      <c r="H9" s="877">
        <v>1</v>
      </c>
      <c r="I9" s="877">
        <f>1+H9</f>
        <v>2</v>
      </c>
      <c r="J9" s="877">
        <f>1+I9</f>
        <v>3</v>
      </c>
      <c r="K9" s="877">
        <f>1+J9</f>
        <v>4</v>
      </c>
      <c r="L9" s="877">
        <f>1+K9</f>
        <v>5</v>
      </c>
      <c r="M9" s="1514">
        <f>1+L9</f>
        <v>6</v>
      </c>
    </row>
    <row r="10" spans="1:15">
      <c r="A10" s="424"/>
      <c r="B10" s="74"/>
      <c r="G10" s="878">
        <f>+H10-1</f>
        <v>2024</v>
      </c>
      <c r="H10" s="879">
        <v>2025</v>
      </c>
      <c r="I10" s="879">
        <f>+H11</f>
        <v>2026</v>
      </c>
      <c r="J10" s="879">
        <f>+I11</f>
        <v>2027</v>
      </c>
      <c r="K10" s="879">
        <f>+J11</f>
        <v>2028</v>
      </c>
      <c r="L10" s="879">
        <f>+K11</f>
        <v>2029</v>
      </c>
      <c r="M10" s="880">
        <f>+L11</f>
        <v>2030</v>
      </c>
    </row>
    <row r="11" spans="1:15" ht="18.75">
      <c r="A11" s="424">
        <f>ROW()</f>
        <v>11</v>
      </c>
      <c r="B11" s="884" t="s">
        <v>248</v>
      </c>
      <c r="C11" s="885" t="s">
        <v>251</v>
      </c>
      <c r="D11" s="886"/>
      <c r="E11" s="886"/>
      <c r="F11" s="1483"/>
      <c r="G11" s="881">
        <f>+H11-1</f>
        <v>2025</v>
      </c>
      <c r="H11" s="882">
        <f t="shared" ref="H11:M11" si="0">+H10+1</f>
        <v>2026</v>
      </c>
      <c r="I11" s="882">
        <f t="shared" si="0"/>
        <v>2027</v>
      </c>
      <c r="J11" s="882">
        <f t="shared" si="0"/>
        <v>2028</v>
      </c>
      <c r="K11" s="882">
        <f t="shared" si="0"/>
        <v>2029</v>
      </c>
      <c r="L11" s="882">
        <f t="shared" si="0"/>
        <v>2030</v>
      </c>
      <c r="M11" s="883">
        <f t="shared" si="0"/>
        <v>2031</v>
      </c>
    </row>
    <row r="12" spans="1:15" ht="15.75">
      <c r="A12" s="424">
        <f>ROW()</f>
        <v>12</v>
      </c>
      <c r="B12" s="88" t="s">
        <v>252</v>
      </c>
      <c r="D12" s="766"/>
      <c r="E12" s="766"/>
      <c r="F12" s="766"/>
      <c r="G12" s="318"/>
      <c r="H12" s="1524"/>
      <c r="I12" s="1524"/>
      <c r="J12" s="1524"/>
      <c r="K12" s="1524"/>
      <c r="L12" s="1524"/>
      <c r="M12" s="1524"/>
    </row>
    <row r="13" spans="1:15" ht="15.75">
      <c r="A13" s="424">
        <f>ROW()</f>
        <v>13</v>
      </c>
      <c r="B13" s="1068" t="s">
        <v>122</v>
      </c>
      <c r="C13" s="1069"/>
      <c r="D13" s="1069"/>
      <c r="E13" s="1069"/>
      <c r="F13" s="1069"/>
      <c r="G13" s="886"/>
      <c r="H13" s="885"/>
      <c r="I13" s="885"/>
      <c r="J13" s="885"/>
      <c r="K13" s="885"/>
      <c r="L13" s="885"/>
      <c r="M13" s="885"/>
      <c r="O13" s="201" t="s">
        <v>83</v>
      </c>
    </row>
    <row r="14" spans="1:15" ht="15.75">
      <c r="A14" s="424">
        <f>ROW()</f>
        <v>14</v>
      </c>
      <c r="B14" s="35" t="s">
        <v>216</v>
      </c>
      <c r="G14" s="353"/>
      <c r="H14" s="366"/>
      <c r="I14" s="366"/>
      <c r="J14" s="366"/>
      <c r="K14" s="366"/>
      <c r="L14" s="366"/>
      <c r="M14" s="366"/>
      <c r="O14" s="566"/>
    </row>
    <row r="15" spans="1:15">
      <c r="A15" s="424">
        <f>ROW()</f>
        <v>15</v>
      </c>
      <c r="B15" s="798" t="s">
        <v>217</v>
      </c>
      <c r="C15" s="634"/>
      <c r="D15" s="634"/>
      <c r="E15" s="634"/>
      <c r="F15" s="634"/>
      <c r="G15" s="799"/>
      <c r="H15" s="1016">
        <f t="shared" ref="H15:M15" si="1">COUNTIF(H21:H33,"&gt;0")</f>
        <v>3</v>
      </c>
      <c r="I15" s="1016">
        <f t="shared" si="1"/>
        <v>4</v>
      </c>
      <c r="J15" s="1016">
        <f t="shared" si="1"/>
        <v>4</v>
      </c>
      <c r="K15" s="1016">
        <f t="shared" si="1"/>
        <v>4</v>
      </c>
      <c r="L15" s="1016">
        <f t="shared" si="1"/>
        <v>4</v>
      </c>
      <c r="M15" s="1016">
        <f t="shared" si="1"/>
        <v>4</v>
      </c>
      <c r="O15" s="421"/>
    </row>
    <row r="16" spans="1:15">
      <c r="A16" s="424">
        <f>ROW()</f>
        <v>16</v>
      </c>
      <c r="B16" s="78" t="s">
        <v>253</v>
      </c>
      <c r="C16" s="80"/>
      <c r="D16" s="80"/>
      <c r="E16" s="80"/>
      <c r="F16" s="80"/>
      <c r="G16" s="599"/>
      <c r="H16" s="758">
        <v>25</v>
      </c>
      <c r="I16" s="758">
        <v>25</v>
      </c>
      <c r="J16" s="758">
        <v>25</v>
      </c>
      <c r="K16" s="758">
        <v>25</v>
      </c>
      <c r="L16" s="758">
        <v>25</v>
      </c>
      <c r="M16" s="758">
        <v>25</v>
      </c>
      <c r="O16" s="421"/>
    </row>
    <row r="17" spans="1:15">
      <c r="A17" s="424">
        <f>ROW()</f>
        <v>17</v>
      </c>
      <c r="B17" s="78" t="s">
        <v>254</v>
      </c>
      <c r="C17" s="80"/>
      <c r="D17" s="80"/>
      <c r="E17" s="80"/>
      <c r="F17" s="80"/>
      <c r="G17" s="599"/>
      <c r="H17" s="1017">
        <f>IFERROR(+H34/H16,0)</f>
        <v>6</v>
      </c>
      <c r="I17" s="1017">
        <f t="shared" ref="I17:M17" si="2">IFERROR(+I34/I16,0)</f>
        <v>10.8</v>
      </c>
      <c r="J17" s="1017">
        <f t="shared" si="2"/>
        <v>12.6</v>
      </c>
      <c r="K17" s="1017">
        <f t="shared" si="2"/>
        <v>14.4</v>
      </c>
      <c r="L17" s="1017">
        <f t="shared" si="2"/>
        <v>14.4</v>
      </c>
      <c r="M17" s="1017">
        <f t="shared" si="2"/>
        <v>14.4</v>
      </c>
      <c r="O17" s="421"/>
    </row>
    <row r="18" spans="1:15">
      <c r="A18" s="424">
        <f>ROW()</f>
        <v>18</v>
      </c>
      <c r="B18" s="78" t="s">
        <v>255</v>
      </c>
      <c r="C18" s="80"/>
      <c r="D18" s="80"/>
      <c r="E18" s="80"/>
      <c r="F18" s="80"/>
      <c r="G18" s="599"/>
      <c r="H18" s="1018">
        <v>6</v>
      </c>
      <c r="I18" s="1019">
        <v>10</v>
      </c>
      <c r="J18" s="1019">
        <v>15</v>
      </c>
      <c r="K18" s="1019">
        <v>19</v>
      </c>
      <c r="L18" s="1019">
        <v>19</v>
      </c>
      <c r="M18" s="1019">
        <v>19</v>
      </c>
      <c r="O18" s="421"/>
    </row>
    <row r="19" spans="1:15">
      <c r="A19" s="424">
        <f>ROW()</f>
        <v>19</v>
      </c>
      <c r="B19" s="797" t="s">
        <v>256</v>
      </c>
      <c r="C19" s="817"/>
      <c r="D19" s="817"/>
      <c r="E19" s="817"/>
      <c r="F19" s="817"/>
      <c r="G19" s="818"/>
      <c r="H19" s="1020">
        <f>IFERROR(H34/H18,0)</f>
        <v>25</v>
      </c>
      <c r="I19" s="1020">
        <f t="shared" ref="I19:M19" si="3">IFERROR(I34/I18,0)</f>
        <v>27</v>
      </c>
      <c r="J19" s="1020">
        <f t="shared" si="3"/>
        <v>21</v>
      </c>
      <c r="K19" s="1020">
        <f t="shared" si="3"/>
        <v>18.94736842105263</v>
      </c>
      <c r="L19" s="1020">
        <f t="shared" si="3"/>
        <v>18.94736842105263</v>
      </c>
      <c r="M19" s="1020">
        <f t="shared" si="3"/>
        <v>18.94736842105263</v>
      </c>
      <c r="O19" s="421"/>
    </row>
    <row r="20" spans="1:15">
      <c r="A20" s="424">
        <f>ROW()</f>
        <v>20</v>
      </c>
      <c r="B20" s="46"/>
      <c r="C20" s="46"/>
      <c r="D20" s="46"/>
      <c r="E20" s="46"/>
      <c r="F20" s="46"/>
      <c r="G20" s="322"/>
      <c r="H20" s="322"/>
      <c r="I20" s="322"/>
      <c r="J20" s="322"/>
      <c r="K20" s="322"/>
      <c r="L20" s="322"/>
      <c r="M20" s="322"/>
      <c r="O20" s="421"/>
    </row>
    <row r="21" spans="1:15">
      <c r="A21" s="424">
        <f>ROW()</f>
        <v>21</v>
      </c>
      <c r="B21" s="166" t="s">
        <v>219</v>
      </c>
      <c r="C21" s="144"/>
      <c r="D21" s="144"/>
      <c r="E21" s="144"/>
      <c r="F21" s="144"/>
      <c r="G21" s="816"/>
      <c r="H21" s="1021">
        <v>0</v>
      </c>
      <c r="I21" s="1021">
        <v>0</v>
      </c>
      <c r="J21" s="1021">
        <v>0</v>
      </c>
      <c r="K21" s="1021">
        <v>0</v>
      </c>
      <c r="L21" s="1021">
        <v>0</v>
      </c>
      <c r="M21" s="1021">
        <v>0</v>
      </c>
      <c r="O21" s="421"/>
    </row>
    <row r="22" spans="1:15">
      <c r="A22" s="424">
        <f>ROW()</f>
        <v>22</v>
      </c>
      <c r="B22" s="78" t="s">
        <v>220</v>
      </c>
      <c r="C22" s="80"/>
      <c r="D22" s="80"/>
      <c r="E22" s="80"/>
      <c r="F22" s="80"/>
      <c r="G22" s="597"/>
      <c r="H22" s="759"/>
      <c r="I22" s="759">
        <v>0</v>
      </c>
      <c r="J22" s="759">
        <v>0</v>
      </c>
      <c r="K22" s="759">
        <v>0</v>
      </c>
      <c r="L22" s="759">
        <v>0</v>
      </c>
      <c r="M22" s="759">
        <v>0</v>
      </c>
      <c r="O22" s="421"/>
    </row>
    <row r="23" spans="1:15">
      <c r="A23" s="424">
        <f>ROW()</f>
        <v>23</v>
      </c>
      <c r="B23" s="78" t="s">
        <v>221</v>
      </c>
      <c r="C23" s="80"/>
      <c r="D23" s="80"/>
      <c r="E23" s="80"/>
      <c r="F23" s="80"/>
      <c r="G23" s="597"/>
      <c r="H23" s="759"/>
      <c r="I23" s="759">
        <v>0</v>
      </c>
      <c r="J23" s="759">
        <v>0</v>
      </c>
      <c r="K23" s="759">
        <v>0</v>
      </c>
      <c r="L23" s="759">
        <v>0</v>
      </c>
      <c r="M23" s="759">
        <v>0</v>
      </c>
      <c r="O23" s="421"/>
    </row>
    <row r="24" spans="1:15">
      <c r="A24" s="424">
        <f>ROW()</f>
        <v>24</v>
      </c>
      <c r="B24" s="78" t="s">
        <v>222</v>
      </c>
      <c r="C24" s="80"/>
      <c r="D24" s="80"/>
      <c r="E24" s="80"/>
      <c r="F24" s="80"/>
      <c r="G24" s="597"/>
      <c r="H24" s="759"/>
      <c r="I24" s="759">
        <v>0</v>
      </c>
      <c r="J24" s="759">
        <v>0</v>
      </c>
      <c r="K24" s="759">
        <v>0</v>
      </c>
      <c r="L24" s="759">
        <v>0</v>
      </c>
      <c r="M24" s="759">
        <v>0</v>
      </c>
      <c r="O24" s="421"/>
    </row>
    <row r="25" spans="1:15">
      <c r="A25" s="424">
        <f>ROW()</f>
        <v>25</v>
      </c>
      <c r="B25" s="78" t="s">
        <v>223</v>
      </c>
      <c r="C25" s="80"/>
      <c r="D25" s="80"/>
      <c r="E25" s="80"/>
      <c r="F25" s="80"/>
      <c r="G25" s="597"/>
      <c r="H25" s="759"/>
      <c r="I25" s="759"/>
      <c r="J25" s="759"/>
      <c r="K25" s="759"/>
      <c r="L25" s="759"/>
      <c r="M25" s="759"/>
      <c r="O25" s="421"/>
    </row>
    <row r="26" spans="1:15">
      <c r="A26" s="424">
        <f>ROW()</f>
        <v>26</v>
      </c>
      <c r="B26" s="78" t="s">
        <v>224</v>
      </c>
      <c r="C26" s="80"/>
      <c r="D26" s="80"/>
      <c r="E26" s="80"/>
      <c r="F26" s="80"/>
      <c r="G26" s="598"/>
      <c r="H26" s="759">
        <v>0</v>
      </c>
      <c r="I26" s="759">
        <v>0</v>
      </c>
      <c r="J26" s="759">
        <v>0</v>
      </c>
      <c r="K26" s="759">
        <v>0</v>
      </c>
      <c r="L26" s="759">
        <v>0</v>
      </c>
      <c r="M26" s="759">
        <v>0</v>
      </c>
      <c r="O26" s="421"/>
    </row>
    <row r="27" spans="1:15">
      <c r="A27" s="424">
        <f>ROW()</f>
        <v>27</v>
      </c>
      <c r="B27" s="78" t="s">
        <v>225</v>
      </c>
      <c r="C27" s="80"/>
      <c r="D27" s="80"/>
      <c r="E27" s="80"/>
      <c r="F27" s="80"/>
      <c r="G27" s="598"/>
      <c r="H27" s="759">
        <v>0</v>
      </c>
      <c r="I27" s="759">
        <v>0</v>
      </c>
      <c r="J27" s="759">
        <v>0</v>
      </c>
      <c r="K27" s="759">
        <v>0</v>
      </c>
      <c r="L27" s="759">
        <v>0</v>
      </c>
      <c r="M27" s="759">
        <v>0</v>
      </c>
      <c r="O27" s="421"/>
    </row>
    <row r="28" spans="1:15">
      <c r="A28" s="424">
        <f>ROW()</f>
        <v>28</v>
      </c>
      <c r="B28" s="78" t="s">
        <v>226</v>
      </c>
      <c r="C28" s="80"/>
      <c r="D28" s="80"/>
      <c r="E28" s="80"/>
      <c r="F28" s="80"/>
      <c r="G28" s="598"/>
      <c r="H28" s="759">
        <v>0</v>
      </c>
      <c r="I28" s="759">
        <v>0</v>
      </c>
      <c r="J28" s="759">
        <v>0</v>
      </c>
      <c r="K28" s="759">
        <v>0</v>
      </c>
      <c r="L28" s="759">
        <v>0</v>
      </c>
      <c r="M28" s="759">
        <v>0</v>
      </c>
      <c r="O28" s="421"/>
    </row>
    <row r="29" spans="1:15">
      <c r="A29" s="424">
        <f>ROW()</f>
        <v>29</v>
      </c>
      <c r="B29" s="78" t="s">
        <v>227</v>
      </c>
      <c r="C29" s="80"/>
      <c r="D29" s="80"/>
      <c r="E29" s="80"/>
      <c r="F29" s="80"/>
      <c r="G29" s="598"/>
      <c r="H29" s="759">
        <v>0</v>
      </c>
      <c r="I29" s="759">
        <v>0</v>
      </c>
      <c r="J29" s="759">
        <v>0</v>
      </c>
      <c r="K29" s="759">
        <v>0</v>
      </c>
      <c r="L29" s="759">
        <v>0</v>
      </c>
      <c r="M29" s="759">
        <v>0</v>
      </c>
      <c r="O29" s="421"/>
    </row>
    <row r="30" spans="1:15">
      <c r="A30" s="424">
        <f>ROW()</f>
        <v>30</v>
      </c>
      <c r="B30" s="78" t="s">
        <v>228</v>
      </c>
      <c r="C30" s="80"/>
      <c r="D30" s="80"/>
      <c r="E30" s="80"/>
      <c r="F30" s="80"/>
      <c r="G30" s="598"/>
      <c r="H30" s="1647">
        <v>75</v>
      </c>
      <c r="I30" s="759">
        <v>90</v>
      </c>
      <c r="J30" s="759">
        <v>90</v>
      </c>
      <c r="K30" s="759">
        <v>90</v>
      </c>
      <c r="L30" s="759">
        <v>90</v>
      </c>
      <c r="M30" s="759">
        <v>90</v>
      </c>
      <c r="O30" s="421" t="s">
        <v>1405</v>
      </c>
    </row>
    <row r="31" spans="1:15">
      <c r="A31" s="424">
        <f>ROW()</f>
        <v>31</v>
      </c>
      <c r="B31" s="78" t="s">
        <v>229</v>
      </c>
      <c r="C31" s="80"/>
      <c r="D31" s="80"/>
      <c r="E31" s="80"/>
      <c r="F31" s="80"/>
      <c r="G31" s="598"/>
      <c r="H31" s="759">
        <v>45</v>
      </c>
      <c r="I31" s="759">
        <v>90</v>
      </c>
      <c r="J31" s="759">
        <v>90</v>
      </c>
      <c r="K31" s="759">
        <v>90</v>
      </c>
      <c r="L31" s="759">
        <v>90</v>
      </c>
      <c r="M31" s="759">
        <v>90</v>
      </c>
      <c r="O31" s="421"/>
    </row>
    <row r="32" spans="1:15">
      <c r="A32" s="424">
        <f>ROW()</f>
        <v>32</v>
      </c>
      <c r="B32" s="78" t="s">
        <v>230</v>
      </c>
      <c r="C32" s="80"/>
      <c r="D32" s="80"/>
      <c r="E32" s="80"/>
      <c r="F32" s="80"/>
      <c r="G32" s="598"/>
      <c r="H32" s="759">
        <v>30</v>
      </c>
      <c r="I32" s="759">
        <v>45</v>
      </c>
      <c r="J32" s="759">
        <v>90</v>
      </c>
      <c r="K32" s="759">
        <v>90</v>
      </c>
      <c r="L32" s="759">
        <v>90</v>
      </c>
      <c r="M32" s="759">
        <v>90</v>
      </c>
      <c r="O32" s="421"/>
    </row>
    <row r="33" spans="1:15">
      <c r="A33" s="424">
        <f>ROW()</f>
        <v>33</v>
      </c>
      <c r="B33" s="78" t="s">
        <v>231</v>
      </c>
      <c r="G33" s="1025"/>
      <c r="H33" s="760">
        <v>0</v>
      </c>
      <c r="I33" s="760">
        <v>45</v>
      </c>
      <c r="J33" s="760">
        <v>45</v>
      </c>
      <c r="K33" s="759">
        <v>90</v>
      </c>
      <c r="L33" s="759">
        <v>90</v>
      </c>
      <c r="M33" s="759">
        <v>90</v>
      </c>
      <c r="O33" s="421"/>
    </row>
    <row r="34" spans="1:15">
      <c r="A34" s="424">
        <f>ROW()</f>
        <v>34</v>
      </c>
      <c r="B34" s="200" t="s">
        <v>232</v>
      </c>
      <c r="C34" s="144"/>
      <c r="D34" s="144"/>
      <c r="E34" s="144"/>
      <c r="F34" s="144"/>
      <c r="G34" s="145"/>
      <c r="H34" s="1525">
        <f t="shared" ref="H34:M34" si="4">SUM(H21:H33)</f>
        <v>150</v>
      </c>
      <c r="I34" s="1525">
        <f t="shared" si="4"/>
        <v>270</v>
      </c>
      <c r="J34" s="1525">
        <f t="shared" si="4"/>
        <v>315</v>
      </c>
      <c r="K34" s="1525">
        <f t="shared" si="4"/>
        <v>360</v>
      </c>
      <c r="L34" s="1525">
        <f t="shared" si="4"/>
        <v>360</v>
      </c>
      <c r="M34" s="1525">
        <f t="shared" si="4"/>
        <v>360</v>
      </c>
      <c r="O34" s="421"/>
    </row>
    <row r="35" spans="1:15">
      <c r="A35" s="424">
        <f>ROW()</f>
        <v>35</v>
      </c>
      <c r="O35" s="421"/>
    </row>
    <row r="36" spans="1:15">
      <c r="A36" s="424">
        <f>ROW()</f>
        <v>36</v>
      </c>
      <c r="B36" s="141" t="s">
        <v>257</v>
      </c>
      <c r="G36" s="601"/>
      <c r="H36" s="1022">
        <v>0.85</v>
      </c>
      <c r="I36" s="1022">
        <v>0.85</v>
      </c>
      <c r="J36" s="1022">
        <v>0.85</v>
      </c>
      <c r="K36" s="1022">
        <v>0.85</v>
      </c>
      <c r="L36" s="1022">
        <v>0.85</v>
      </c>
      <c r="M36" s="1022">
        <v>0.85</v>
      </c>
      <c r="O36" s="421"/>
    </row>
    <row r="37" spans="1:15">
      <c r="A37" s="424">
        <f>ROW()</f>
        <v>37</v>
      </c>
      <c r="B37" s="141" t="s">
        <v>258</v>
      </c>
      <c r="G37" s="82"/>
      <c r="H37" s="1023">
        <f t="shared" ref="H37:M37" si="5">+H34*(1-H36)</f>
        <v>22.500000000000004</v>
      </c>
      <c r="I37" s="1023">
        <f t="shared" si="5"/>
        <v>40.500000000000007</v>
      </c>
      <c r="J37" s="1023">
        <f t="shared" si="5"/>
        <v>47.250000000000007</v>
      </c>
      <c r="K37" s="1023">
        <f t="shared" si="5"/>
        <v>54.000000000000007</v>
      </c>
      <c r="L37" s="1023">
        <f t="shared" si="5"/>
        <v>54.000000000000007</v>
      </c>
      <c r="M37" s="1023">
        <f t="shared" si="5"/>
        <v>54.000000000000007</v>
      </c>
      <c r="O37" s="421"/>
    </row>
    <row r="38" spans="1:15">
      <c r="A38" s="424">
        <f>ROW()</f>
        <v>38</v>
      </c>
      <c r="B38" s="141"/>
      <c r="G38" s="82"/>
      <c r="H38" s="1023"/>
      <c r="I38" s="1023"/>
      <c r="J38" s="1023"/>
      <c r="K38" s="1023"/>
      <c r="L38" s="1023"/>
      <c r="M38" s="1023"/>
      <c r="O38" s="421"/>
    </row>
    <row r="39" spans="1:15">
      <c r="A39" s="424">
        <f>ROW()</f>
        <v>39</v>
      </c>
      <c r="B39" s="1491" t="s">
        <v>216</v>
      </c>
      <c r="C39" s="1459"/>
      <c r="D39" s="1459" t="s">
        <v>259</v>
      </c>
      <c r="E39" s="1492"/>
      <c r="F39" s="1492" t="s">
        <v>260</v>
      </c>
      <c r="G39" s="381"/>
      <c r="H39" s="1493"/>
      <c r="I39" s="381"/>
      <c r="J39" s="381"/>
      <c r="K39" s="381"/>
      <c r="L39" s="381"/>
      <c r="M39" s="381"/>
      <c r="O39" s="421"/>
    </row>
    <row r="40" spans="1:15">
      <c r="A40" s="424">
        <f>ROW()</f>
        <v>40</v>
      </c>
      <c r="B40" s="381"/>
      <c r="C40" s="1492"/>
      <c r="D40" s="1459" t="s">
        <v>261</v>
      </c>
      <c r="E40" s="1459" t="s">
        <v>262</v>
      </c>
      <c r="F40" s="1459" t="s">
        <v>259</v>
      </c>
      <c r="G40" s="381"/>
      <c r="H40" s="381"/>
      <c r="I40" s="381"/>
      <c r="J40" s="381"/>
      <c r="K40" s="381"/>
      <c r="L40" s="381"/>
      <c r="M40" s="381"/>
      <c r="O40" s="421"/>
    </row>
    <row r="41" spans="1:15">
      <c r="A41" s="424">
        <f>ROW()</f>
        <v>41</v>
      </c>
      <c r="B41" s="381"/>
      <c r="C41" s="1459" t="s">
        <v>263</v>
      </c>
      <c r="D41" s="1459" t="s">
        <v>264</v>
      </c>
      <c r="E41" s="1459" t="s">
        <v>265</v>
      </c>
      <c r="F41" s="1459" t="s">
        <v>266</v>
      </c>
      <c r="G41" s="381"/>
      <c r="H41" s="381"/>
      <c r="I41" s="381"/>
      <c r="J41" s="381"/>
      <c r="K41" s="381"/>
      <c r="L41" s="381"/>
      <c r="M41" s="381"/>
      <c r="O41" s="421"/>
    </row>
    <row r="42" spans="1:15">
      <c r="A42" s="424">
        <f>ROW()</f>
        <v>42</v>
      </c>
      <c r="B42" s="1467" t="s">
        <v>267</v>
      </c>
      <c r="C42" s="1466"/>
      <c r="D42" s="1467"/>
      <c r="E42" s="1468"/>
      <c r="F42" s="1468"/>
      <c r="G42" s="1469"/>
      <c r="H42" s="1469"/>
      <c r="I42" s="1469"/>
      <c r="J42" s="1469"/>
      <c r="K42" s="1469"/>
      <c r="L42" s="1469"/>
      <c r="M42" s="1469"/>
      <c r="O42" s="421"/>
    </row>
    <row r="43" spans="1:15">
      <c r="A43" s="424">
        <f>ROW()</f>
        <v>43</v>
      </c>
      <c r="B43" s="1494" t="s">
        <v>268</v>
      </c>
      <c r="C43" s="1460">
        <v>0.33</v>
      </c>
      <c r="D43" s="1463">
        <v>0.13</v>
      </c>
      <c r="E43" s="1490">
        <v>0</v>
      </c>
      <c r="F43" s="1463">
        <f>D43*(1-E43)</f>
        <v>0.13</v>
      </c>
      <c r="G43" s="1438"/>
      <c r="H43" s="1439">
        <f>+$F43*H$34</f>
        <v>19.5</v>
      </c>
      <c r="I43" s="1439">
        <f t="shared" ref="I43:M46" si="6">+$F43*I$34</f>
        <v>35.1</v>
      </c>
      <c r="J43" s="1439">
        <f t="shared" si="6"/>
        <v>40.950000000000003</v>
      </c>
      <c r="K43" s="1439">
        <f t="shared" si="6"/>
        <v>46.800000000000004</v>
      </c>
      <c r="L43" s="1439">
        <f t="shared" si="6"/>
        <v>46.800000000000004</v>
      </c>
      <c r="M43" s="1439">
        <f t="shared" si="6"/>
        <v>46.800000000000004</v>
      </c>
      <c r="O43" s="421"/>
    </row>
    <row r="44" spans="1:15">
      <c r="A44" s="424">
        <f>ROW()</f>
        <v>44</v>
      </c>
      <c r="B44" s="1495" t="s">
        <v>269</v>
      </c>
      <c r="C44" s="1461">
        <v>0.23</v>
      </c>
      <c r="D44" s="1463">
        <v>0.14000000000000001</v>
      </c>
      <c r="E44" s="1462">
        <v>0.05</v>
      </c>
      <c r="F44" s="1463">
        <f t="shared" ref="F44:F47" si="7">D44*(1-E44)</f>
        <v>0.13300000000000001</v>
      </c>
      <c r="G44" s="1457"/>
      <c r="H44" s="1458">
        <f t="shared" ref="H44:H46" si="8">+$F44*H$34</f>
        <v>19.950000000000003</v>
      </c>
      <c r="I44" s="1458">
        <f t="shared" si="6"/>
        <v>35.910000000000004</v>
      </c>
      <c r="J44" s="1458">
        <f t="shared" si="6"/>
        <v>41.895000000000003</v>
      </c>
      <c r="K44" s="1458">
        <f t="shared" si="6"/>
        <v>47.88</v>
      </c>
      <c r="L44" s="1458">
        <f t="shared" si="6"/>
        <v>47.88</v>
      </c>
      <c r="M44" s="1458">
        <f t="shared" si="6"/>
        <v>47.88</v>
      </c>
      <c r="O44" s="421"/>
    </row>
    <row r="45" spans="1:15">
      <c r="A45" s="424">
        <f>ROW()</f>
        <v>45</v>
      </c>
      <c r="B45" s="1495" t="s">
        <v>270</v>
      </c>
      <c r="C45" s="1461">
        <v>0.12</v>
      </c>
      <c r="D45" s="1463">
        <v>0</v>
      </c>
      <c r="E45" s="1462">
        <v>0</v>
      </c>
      <c r="F45" s="1463">
        <f t="shared" si="7"/>
        <v>0</v>
      </c>
      <c r="G45" s="1440"/>
      <c r="H45" s="1439">
        <f t="shared" si="8"/>
        <v>0</v>
      </c>
      <c r="I45" s="1439">
        <f t="shared" si="6"/>
        <v>0</v>
      </c>
      <c r="J45" s="1439">
        <f t="shared" si="6"/>
        <v>0</v>
      </c>
      <c r="K45" s="1439">
        <f t="shared" si="6"/>
        <v>0</v>
      </c>
      <c r="L45" s="1439">
        <f t="shared" si="6"/>
        <v>0</v>
      </c>
      <c r="M45" s="1439">
        <f t="shared" si="6"/>
        <v>0</v>
      </c>
      <c r="O45" s="421"/>
    </row>
    <row r="46" spans="1:15">
      <c r="A46" s="424">
        <f>ROW()</f>
        <v>46</v>
      </c>
      <c r="B46" s="1495" t="s">
        <v>271</v>
      </c>
      <c r="C46" s="1461">
        <v>0.03</v>
      </c>
      <c r="D46" s="1463">
        <v>0.7</v>
      </c>
      <c r="E46" s="1462">
        <v>0.1</v>
      </c>
      <c r="F46" s="1463">
        <f>D46*(1-E46)</f>
        <v>0.63</v>
      </c>
      <c r="G46" s="1440"/>
      <c r="H46" s="1458">
        <f t="shared" si="8"/>
        <v>94.5</v>
      </c>
      <c r="I46" s="1458">
        <f t="shared" si="6"/>
        <v>170.1</v>
      </c>
      <c r="J46" s="1458">
        <f t="shared" si="6"/>
        <v>198.45</v>
      </c>
      <c r="K46" s="1458">
        <f t="shared" si="6"/>
        <v>226.8</v>
      </c>
      <c r="L46" s="1458">
        <f t="shared" si="6"/>
        <v>226.8</v>
      </c>
      <c r="M46" s="1458">
        <f t="shared" si="6"/>
        <v>226.8</v>
      </c>
      <c r="O46" s="421"/>
    </row>
    <row r="47" spans="1:15">
      <c r="A47" s="424">
        <f>ROW()</f>
        <v>47</v>
      </c>
      <c r="B47" s="1496" t="s">
        <v>272</v>
      </c>
      <c r="C47" s="1470">
        <v>0</v>
      </c>
      <c r="D47" s="1465">
        <f>1-SUM(D43:D46)</f>
        <v>3.0000000000000027E-2</v>
      </c>
      <c r="E47" s="1464">
        <v>0</v>
      </c>
      <c r="F47" s="1465">
        <f t="shared" si="7"/>
        <v>3.0000000000000027E-2</v>
      </c>
      <c r="G47" s="1449"/>
      <c r="H47" s="1441">
        <f t="shared" ref="H47:M47" si="9">H34-SUM(H43:H46)</f>
        <v>16.050000000000011</v>
      </c>
      <c r="I47" s="1441">
        <f t="shared" si="9"/>
        <v>28.889999999999986</v>
      </c>
      <c r="J47" s="1441">
        <f t="shared" si="9"/>
        <v>33.705000000000041</v>
      </c>
      <c r="K47" s="1441">
        <f t="shared" si="9"/>
        <v>38.519999999999982</v>
      </c>
      <c r="L47" s="1441">
        <f t="shared" si="9"/>
        <v>38.519999999999982</v>
      </c>
      <c r="M47" s="1441">
        <f t="shared" si="9"/>
        <v>38.519999999999982</v>
      </c>
      <c r="O47" s="421"/>
    </row>
    <row r="48" spans="1:15">
      <c r="A48" s="424">
        <f>ROW()</f>
        <v>48</v>
      </c>
      <c r="B48" s="1497" t="s">
        <v>273</v>
      </c>
      <c r="C48" s="381"/>
      <c r="D48" s="1498"/>
      <c r="E48" s="1498"/>
      <c r="F48" s="1498"/>
      <c r="G48" s="1499"/>
      <c r="H48" s="1500">
        <f>SUM(H43:H47)</f>
        <v>150</v>
      </c>
      <c r="I48" s="1500">
        <f t="shared" ref="I48:M48" si="10">SUM(I43:I47)</f>
        <v>270</v>
      </c>
      <c r="J48" s="1500">
        <f t="shared" si="10"/>
        <v>315</v>
      </c>
      <c r="K48" s="1500">
        <f t="shared" si="10"/>
        <v>360</v>
      </c>
      <c r="L48" s="1500">
        <f t="shared" si="10"/>
        <v>360</v>
      </c>
      <c r="M48" s="1500">
        <f t="shared" si="10"/>
        <v>360</v>
      </c>
      <c r="O48" s="421"/>
    </row>
    <row r="49" spans="1:15">
      <c r="A49" s="424">
        <f>ROW()</f>
        <v>49</v>
      </c>
      <c r="B49" s="1497" t="s">
        <v>274</v>
      </c>
      <c r="C49" s="381"/>
      <c r="D49" s="381"/>
      <c r="E49" s="381"/>
      <c r="F49" s="381"/>
      <c r="G49" s="1501"/>
      <c r="H49" s="1502" t="str">
        <f>IF(H48=H34,"Ck ok", "Error")</f>
        <v>Ck ok</v>
      </c>
      <c r="I49" s="1502" t="str">
        <f t="shared" ref="I49:M49" si="11">IF(I48=I34,"Ck ok", "Error")</f>
        <v>Ck ok</v>
      </c>
      <c r="J49" s="1502" t="str">
        <f t="shared" si="11"/>
        <v>Ck ok</v>
      </c>
      <c r="K49" s="1502" t="str">
        <f t="shared" si="11"/>
        <v>Ck ok</v>
      </c>
      <c r="L49" s="1502" t="str">
        <f t="shared" si="11"/>
        <v>Ck ok</v>
      </c>
      <c r="M49" s="1502" t="str">
        <f t="shared" si="11"/>
        <v>Ck ok</v>
      </c>
      <c r="O49" s="421"/>
    </row>
    <row r="50" spans="1:15" ht="15.75" thickBot="1">
      <c r="A50" s="424">
        <f>ROW()</f>
        <v>50</v>
      </c>
      <c r="B50" s="381"/>
      <c r="C50" s="381"/>
      <c r="D50" s="381"/>
      <c r="E50" s="381"/>
      <c r="F50" s="381"/>
      <c r="G50" s="1501"/>
      <c r="H50" s="1503"/>
      <c r="I50" s="1503"/>
      <c r="J50" s="1503"/>
      <c r="K50" s="1503"/>
      <c r="L50" s="1503"/>
      <c r="M50" s="1503"/>
      <c r="O50" s="421"/>
    </row>
    <row r="51" spans="1:15" ht="15.75" thickBot="1">
      <c r="A51" s="424">
        <f>ROW()</f>
        <v>51</v>
      </c>
      <c r="B51" s="381" t="s">
        <v>275</v>
      </c>
      <c r="C51" s="1504" t="s">
        <v>1060</v>
      </c>
      <c r="D51" s="381" t="s">
        <v>277</v>
      </c>
      <c r="E51" s="381"/>
      <c r="F51" s="381"/>
      <c r="G51" s="381"/>
      <c r="H51" s="381"/>
      <c r="I51" s="381"/>
      <c r="J51" s="381"/>
      <c r="K51" s="381"/>
      <c r="L51" s="381"/>
      <c r="M51" s="381"/>
      <c r="O51" s="421"/>
    </row>
    <row r="52" spans="1:15">
      <c r="A52" s="424">
        <f>ROW()</f>
        <v>52</v>
      </c>
      <c r="B52" s="381" t="s">
        <v>278</v>
      </c>
      <c r="C52" s="381"/>
      <c r="D52" s="381"/>
      <c r="E52" s="381"/>
      <c r="F52" s="381"/>
      <c r="G52" s="1450"/>
      <c r="H52" s="1451"/>
      <c r="I52" s="1451"/>
      <c r="J52" s="1451"/>
      <c r="K52" s="1451"/>
      <c r="L52" s="1451"/>
      <c r="M52" s="1451"/>
      <c r="O52" s="421"/>
    </row>
    <row r="53" spans="1:15">
      <c r="A53" s="424">
        <f>ROW()</f>
        <v>53</v>
      </c>
      <c r="B53" s="381" t="str">
        <f>+B42</f>
        <v>Local SPED</v>
      </c>
      <c r="C53" s="381"/>
      <c r="D53" s="381"/>
      <c r="E53" s="381"/>
      <c r="F53" s="381"/>
      <c r="G53" s="1450"/>
      <c r="H53" s="1437"/>
      <c r="I53" s="1437"/>
      <c r="J53" s="1437"/>
      <c r="K53" s="1437"/>
      <c r="L53" s="1437"/>
      <c r="M53" s="1437"/>
      <c r="O53" s="421" t="s">
        <v>1389</v>
      </c>
    </row>
    <row r="54" spans="1:15">
      <c r="A54" s="424">
        <f>ROW()</f>
        <v>54</v>
      </c>
      <c r="B54" s="941" t="str">
        <f t="shared" ref="B54:C57" si="12">+B43</f>
        <v>State Special Education (SPED) (placeholder %)</v>
      </c>
      <c r="C54" s="1471">
        <f>+C43</f>
        <v>0.33</v>
      </c>
      <c r="F54" s="1444">
        <f>+$C$58*C54</f>
        <v>3106.6200000000003</v>
      </c>
      <c r="G54" s="1454"/>
      <c r="H54" s="1455">
        <f>+G43*$F54</f>
        <v>0</v>
      </c>
      <c r="I54" s="1455">
        <f>+H43*$F54</f>
        <v>60579.090000000004</v>
      </c>
      <c r="J54" s="1455">
        <f t="shared" ref="J54:M54" si="13">+I43*$F54</f>
        <v>109042.36200000002</v>
      </c>
      <c r="K54" s="1455">
        <f t="shared" si="13"/>
        <v>127216.08900000002</v>
      </c>
      <c r="L54" s="1455">
        <f t="shared" si="13"/>
        <v>145389.81600000002</v>
      </c>
      <c r="M54" s="1455">
        <f t="shared" si="13"/>
        <v>145389.81600000002</v>
      </c>
      <c r="O54" s="421"/>
    </row>
    <row r="55" spans="1:15">
      <c r="A55" s="424">
        <f>ROW()</f>
        <v>55</v>
      </c>
      <c r="B55" s="37" t="str">
        <f t="shared" si="12"/>
        <v>English Language Learners (ELL)</v>
      </c>
      <c r="C55" s="1443">
        <f t="shared" si="12"/>
        <v>0.23</v>
      </c>
      <c r="F55" s="56">
        <f>+$C$58*C55</f>
        <v>2165.2200000000003</v>
      </c>
      <c r="G55" s="1450"/>
      <c r="H55" s="1456">
        <f t="shared" ref="H55" si="14">+G44*$F55</f>
        <v>0</v>
      </c>
      <c r="I55" s="1456">
        <f t="shared" ref="I55:M55" si="15">+H44*$F55</f>
        <v>43196.13900000001</v>
      </c>
      <c r="J55" s="1456">
        <f t="shared" si="15"/>
        <v>77753.050200000012</v>
      </c>
      <c r="K55" s="1456">
        <f t="shared" si="15"/>
        <v>90711.891900000017</v>
      </c>
      <c r="L55" s="1456">
        <f t="shared" si="15"/>
        <v>103670.73360000002</v>
      </c>
      <c r="M55" s="1456">
        <f t="shared" si="15"/>
        <v>103670.73360000002</v>
      </c>
      <c r="O55" s="421"/>
    </row>
    <row r="56" spans="1:15">
      <c r="A56" s="424">
        <f>ROW()</f>
        <v>56</v>
      </c>
      <c r="B56" s="37" t="str">
        <f t="shared" si="12"/>
        <v>Gifted &amp; Talented (GATE)</v>
      </c>
      <c r="C56" s="1443">
        <f t="shared" si="12"/>
        <v>0.12</v>
      </c>
      <c r="F56" s="56">
        <f t="shared" ref="F56:F57" si="16">+$C$58*C56</f>
        <v>1129.68</v>
      </c>
      <c r="G56" s="1450"/>
      <c r="H56" s="1456">
        <f t="shared" ref="H56" si="17">+G45*$F56</f>
        <v>0</v>
      </c>
      <c r="I56" s="1456">
        <f t="shared" ref="I56:M56" si="18">+H45*$F56</f>
        <v>0</v>
      </c>
      <c r="J56" s="1456">
        <f t="shared" si="18"/>
        <v>0</v>
      </c>
      <c r="K56" s="1456">
        <f t="shared" si="18"/>
        <v>0</v>
      </c>
      <c r="L56" s="1456">
        <f t="shared" si="18"/>
        <v>0</v>
      </c>
      <c r="M56" s="1456">
        <f t="shared" si="18"/>
        <v>0</v>
      </c>
      <c r="O56" s="421"/>
    </row>
    <row r="57" spans="1:15">
      <c r="A57" s="424">
        <f>ROW()</f>
        <v>57</v>
      </c>
      <c r="B57" s="37" t="str">
        <f t="shared" si="12"/>
        <v>At Risk (AR, fka FRL)</v>
      </c>
      <c r="C57" s="1443">
        <f t="shared" si="12"/>
        <v>0.03</v>
      </c>
      <c r="F57" s="56">
        <f t="shared" si="16"/>
        <v>282.42</v>
      </c>
      <c r="G57" s="1450"/>
      <c r="H57" s="1456">
        <f t="shared" ref="H57" si="19">+G46*$F57</f>
        <v>0</v>
      </c>
      <c r="I57" s="1456">
        <f t="shared" ref="I57:M57" si="20">+H46*$F57</f>
        <v>26688.690000000002</v>
      </c>
      <c r="J57" s="1456">
        <f t="shared" si="20"/>
        <v>48039.642</v>
      </c>
      <c r="K57" s="1456">
        <f t="shared" si="20"/>
        <v>56046.249000000003</v>
      </c>
      <c r="L57" s="1456">
        <f t="shared" si="20"/>
        <v>64052.856000000007</v>
      </c>
      <c r="M57" s="1456">
        <f t="shared" si="20"/>
        <v>64052.856000000007</v>
      </c>
      <c r="O57" s="421"/>
    </row>
    <row r="58" spans="1:15">
      <c r="A58" s="424">
        <f>ROW()</f>
        <v>58</v>
      </c>
      <c r="B58" s="37" t="s">
        <v>279</v>
      </c>
      <c r="C58" s="1633">
        <f>_xlfn.XLOOKUP(C51,'PCFP Rates'!B84:B90,'PCFP Rates'!D105:D111)</f>
        <v>9414</v>
      </c>
      <c r="F58" s="62">
        <f>+C58</f>
        <v>9414</v>
      </c>
      <c r="H58" s="1456">
        <f t="shared" ref="H58" si="21">+H48*$F58</f>
        <v>1412100</v>
      </c>
      <c r="I58" s="1456">
        <f t="shared" ref="I58:M58" si="22">+I48*$F58</f>
        <v>2541780</v>
      </c>
      <c r="J58" s="1456">
        <f t="shared" si="22"/>
        <v>2965410</v>
      </c>
      <c r="K58" s="1456">
        <f t="shared" si="22"/>
        <v>3389040</v>
      </c>
      <c r="L58" s="1456">
        <f t="shared" si="22"/>
        <v>3389040</v>
      </c>
      <c r="M58" s="1456">
        <f t="shared" si="22"/>
        <v>3389040</v>
      </c>
      <c r="O58" s="421"/>
    </row>
    <row r="59" spans="1:15">
      <c r="A59" s="424">
        <f>ROW()</f>
        <v>59</v>
      </c>
      <c r="C59" s="273"/>
      <c r="D59" s="273"/>
      <c r="E59" s="273"/>
      <c r="F59" s="1598">
        <f>F58/2</f>
        <v>4707</v>
      </c>
      <c r="H59" s="1479"/>
      <c r="I59" s="1479"/>
      <c r="J59" s="1479"/>
      <c r="K59" s="1479"/>
      <c r="L59" s="1479"/>
      <c r="M59" s="1479"/>
      <c r="O59" s="421"/>
    </row>
    <row r="60" spans="1:15">
      <c r="A60" s="424">
        <f>ROW()</f>
        <v>60</v>
      </c>
      <c r="B60" s="141" t="s">
        <v>280</v>
      </c>
      <c r="C60" s="273"/>
      <c r="D60" s="273"/>
      <c r="E60" s="273"/>
      <c r="F60" s="273"/>
      <c r="G60" s="82"/>
      <c r="H60" s="81"/>
      <c r="I60" s="81"/>
      <c r="J60" s="81"/>
      <c r="K60" s="81"/>
      <c r="L60" s="81"/>
      <c r="M60" s="81"/>
      <c r="O60" s="421"/>
    </row>
    <row r="61" spans="1:15">
      <c r="A61" s="424">
        <f>ROW()</f>
        <v>61</v>
      </c>
      <c r="B61" s="78" t="s">
        <v>281</v>
      </c>
      <c r="C61" s="80"/>
      <c r="D61" s="80"/>
      <c r="E61" s="80"/>
      <c r="F61" s="80"/>
      <c r="G61" s="1474"/>
      <c r="H61" s="1475">
        <v>0.85</v>
      </c>
      <c r="I61" s="1475">
        <f>+H61</f>
        <v>0.85</v>
      </c>
      <c r="J61" s="1475">
        <f t="shared" ref="J61:M61" si="23">+I61</f>
        <v>0.85</v>
      </c>
      <c r="K61" s="1475">
        <f t="shared" si="23"/>
        <v>0.85</v>
      </c>
      <c r="L61" s="1475">
        <f t="shared" si="23"/>
        <v>0.85</v>
      </c>
      <c r="M61" s="1475">
        <f t="shared" si="23"/>
        <v>0.85</v>
      </c>
      <c r="O61" s="421" t="s">
        <v>1356</v>
      </c>
    </row>
    <row r="62" spans="1:15">
      <c r="A62" s="424">
        <f>ROW()</f>
        <v>62</v>
      </c>
      <c r="B62" s="78" t="s">
        <v>282</v>
      </c>
      <c r="C62" s="80"/>
      <c r="D62" s="80"/>
      <c r="E62" s="80"/>
      <c r="F62" s="80"/>
      <c r="G62" s="1474"/>
      <c r="H62" s="1475">
        <f>+F44</f>
        <v>0.13300000000000001</v>
      </c>
      <c r="I62" s="1475">
        <f t="shared" ref="I62:M62" si="24">+H62</f>
        <v>0.13300000000000001</v>
      </c>
      <c r="J62" s="1475">
        <f t="shared" si="24"/>
        <v>0.13300000000000001</v>
      </c>
      <c r="K62" s="1475">
        <f t="shared" si="24"/>
        <v>0.13300000000000001</v>
      </c>
      <c r="L62" s="1475">
        <f t="shared" si="24"/>
        <v>0.13300000000000001</v>
      </c>
      <c r="M62" s="1475">
        <f t="shared" si="24"/>
        <v>0.13300000000000001</v>
      </c>
      <c r="O62" s="421"/>
    </row>
    <row r="63" spans="1:15">
      <c r="A63" s="424">
        <f>ROW()</f>
        <v>63</v>
      </c>
      <c r="B63" s="78" t="s">
        <v>283</v>
      </c>
      <c r="C63" s="80"/>
      <c r="D63" s="80"/>
      <c r="E63" s="80"/>
      <c r="F63" s="80"/>
      <c r="G63" s="1474"/>
      <c r="H63" s="1475">
        <f>+F43</f>
        <v>0.13</v>
      </c>
      <c r="I63" s="1475">
        <f t="shared" ref="I63:M63" si="25">+H63</f>
        <v>0.13</v>
      </c>
      <c r="J63" s="1475">
        <f t="shared" si="25"/>
        <v>0.13</v>
      </c>
      <c r="K63" s="1475">
        <f t="shared" si="25"/>
        <v>0.13</v>
      </c>
      <c r="L63" s="1475">
        <f t="shared" si="25"/>
        <v>0.13</v>
      </c>
      <c r="M63" s="1475">
        <f t="shared" si="25"/>
        <v>0.13</v>
      </c>
      <c r="O63" s="421"/>
    </row>
    <row r="64" spans="1:15">
      <c r="A64" s="424">
        <f>ROW()</f>
        <v>64</v>
      </c>
      <c r="B64" s="78" t="s">
        <v>284</v>
      </c>
      <c r="C64" s="80"/>
      <c r="D64" s="80"/>
      <c r="E64" s="80"/>
      <c r="F64" s="80"/>
      <c r="G64" s="602"/>
      <c r="H64" s="1024">
        <f t="shared" ref="H64:M64" si="26">+H$34*H63</f>
        <v>19.5</v>
      </c>
      <c r="I64" s="1024">
        <f t="shared" si="26"/>
        <v>35.1</v>
      </c>
      <c r="J64" s="1024">
        <f t="shared" si="26"/>
        <v>40.950000000000003</v>
      </c>
      <c r="K64" s="1024">
        <f t="shared" si="26"/>
        <v>46.800000000000004</v>
      </c>
      <c r="L64" s="1024">
        <f t="shared" si="26"/>
        <v>46.800000000000004</v>
      </c>
      <c r="M64" s="1024">
        <f t="shared" si="26"/>
        <v>46.800000000000004</v>
      </c>
      <c r="O64" s="421"/>
    </row>
    <row r="65" spans="1:15" outlineLevel="1">
      <c r="A65" s="424">
        <f>ROW()</f>
        <v>65</v>
      </c>
      <c r="B65" s="46"/>
      <c r="C65" s="46"/>
      <c r="D65" s="46"/>
      <c r="E65" s="46"/>
      <c r="F65" s="46"/>
      <c r="G65" s="46"/>
      <c r="H65" s="46"/>
      <c r="K65" s="84"/>
      <c r="L65" s="146"/>
      <c r="M65" s="84"/>
      <c r="N65" s="84"/>
      <c r="O65" s="421"/>
    </row>
    <row r="66" spans="1:15" ht="30" outlineLevel="1">
      <c r="A66" s="424">
        <f>ROW()</f>
        <v>66</v>
      </c>
      <c r="B66" s="1229" t="s">
        <v>285</v>
      </c>
      <c r="C66" s="1230">
        <f>IFERROR(VLOOKUP(C79,'PCFP Rates'!O14:AB42,4,FALSE),0)</f>
        <v>0</v>
      </c>
      <c r="D66" s="1231" t="s">
        <v>286</v>
      </c>
      <c r="E66" s="1231"/>
      <c r="F66" s="1231"/>
      <c r="G66" s="71"/>
      <c r="H66" s="71"/>
      <c r="I66" s="71"/>
      <c r="J66" s="71"/>
      <c r="K66" s="1232"/>
      <c r="L66" s="1232"/>
      <c r="M66" s="1232"/>
      <c r="N66" s="110"/>
      <c r="O66" s="421"/>
    </row>
    <row r="67" spans="1:15">
      <c r="A67" s="424">
        <f>ROW()</f>
        <v>67</v>
      </c>
      <c r="B67" s="46" t="s">
        <v>287</v>
      </c>
      <c r="C67" s="1228">
        <v>0.01</v>
      </c>
      <c r="D67" s="46" t="s">
        <v>1198</v>
      </c>
      <c r="E67" s="46"/>
      <c r="F67" s="46"/>
      <c r="K67" s="46"/>
      <c r="L67" s="46"/>
      <c r="M67" s="46"/>
      <c r="N67" s="46"/>
      <c r="O67" s="421"/>
    </row>
    <row r="68" spans="1:15">
      <c r="A68" s="424">
        <f>ROW()</f>
        <v>68</v>
      </c>
      <c r="B68" s="443" t="s">
        <v>288</v>
      </c>
      <c r="C68" s="1505">
        <v>3000</v>
      </c>
      <c r="D68" s="356" t="s">
        <v>289</v>
      </c>
      <c r="E68" s="356"/>
      <c r="F68" s="356"/>
      <c r="I68" s="111"/>
      <c r="J68" s="111"/>
      <c r="K68" s="46"/>
      <c r="L68" s="46"/>
      <c r="M68" s="46"/>
      <c r="N68" s="46"/>
      <c r="O68" s="421"/>
    </row>
    <row r="69" spans="1:15">
      <c r="A69" s="424">
        <f>ROW()</f>
        <v>69</v>
      </c>
      <c r="B69" s="46" t="s">
        <v>1199</v>
      </c>
      <c r="C69" s="986">
        <v>1.2500000000000001E-2</v>
      </c>
      <c r="D69" s="82"/>
      <c r="E69" s="82"/>
      <c r="F69" s="82"/>
      <c r="I69" s="36"/>
      <c r="J69" s="36"/>
      <c r="K69" s="112"/>
      <c r="L69" s="112"/>
      <c r="M69" s="112"/>
      <c r="N69" s="112"/>
      <c r="O69" s="421"/>
    </row>
    <row r="70" spans="1:15">
      <c r="A70" s="424">
        <f>ROW()</f>
        <v>70</v>
      </c>
      <c r="B70" s="46" t="s">
        <v>290</v>
      </c>
      <c r="C70" s="1226">
        <v>350</v>
      </c>
      <c r="D70" s="356" t="s">
        <v>291</v>
      </c>
      <c r="E70" s="356"/>
      <c r="F70" s="356"/>
      <c r="I70" s="111"/>
      <c r="J70" s="111"/>
      <c r="K70" s="84"/>
      <c r="L70" s="84"/>
      <c r="M70" s="84"/>
      <c r="N70" s="84"/>
      <c r="O70" s="421" t="s">
        <v>1214</v>
      </c>
    </row>
    <row r="71" spans="1:15">
      <c r="A71" s="424">
        <f>ROW()</f>
        <v>71</v>
      </c>
      <c r="B71" s="46" t="s">
        <v>129</v>
      </c>
      <c r="C71" s="1226">
        <v>73</v>
      </c>
      <c r="D71" s="356" t="s">
        <v>292</v>
      </c>
      <c r="E71" s="356"/>
      <c r="F71" s="356"/>
      <c r="I71" s="111"/>
      <c r="J71" s="111"/>
      <c r="K71" s="84"/>
      <c r="L71" s="84"/>
      <c r="M71" s="84"/>
      <c r="N71" s="84"/>
      <c r="O71" s="421" t="s">
        <v>1214</v>
      </c>
    </row>
    <row r="72" spans="1:15">
      <c r="A72" s="424">
        <f>ROW()</f>
        <v>72</v>
      </c>
      <c r="B72" s="46" t="s">
        <v>130</v>
      </c>
      <c r="C72" s="1226">
        <v>83</v>
      </c>
      <c r="D72" s="356" t="s">
        <v>293</v>
      </c>
      <c r="E72" s="356"/>
      <c r="F72" s="356"/>
      <c r="I72" s="111"/>
      <c r="J72" s="111"/>
      <c r="K72" s="84"/>
      <c r="L72" s="84"/>
      <c r="M72" s="84"/>
      <c r="N72" s="84"/>
      <c r="O72" s="421" t="s">
        <v>1214</v>
      </c>
    </row>
    <row r="73" spans="1:15">
      <c r="A73" s="424">
        <f>ROW()</f>
        <v>73</v>
      </c>
      <c r="B73" s="46" t="s">
        <v>131</v>
      </c>
      <c r="C73" s="987" t="str">
        <f>"See row "&amp;ROW(H95)</f>
        <v>See row 95</v>
      </c>
      <c r="D73" s="356"/>
      <c r="E73" s="356"/>
      <c r="F73" s="356"/>
      <c r="I73" s="111"/>
      <c r="J73" s="111"/>
      <c r="K73" s="84"/>
      <c r="L73" s="84"/>
      <c r="M73" s="84"/>
      <c r="N73" s="84"/>
      <c r="O73" s="421" t="s">
        <v>1214</v>
      </c>
    </row>
    <row r="74" spans="1:15">
      <c r="A74" s="424">
        <f>ROW()</f>
        <v>74</v>
      </c>
      <c r="B74" s="46" t="s">
        <v>294</v>
      </c>
      <c r="C74" s="1226">
        <v>1500</v>
      </c>
      <c r="D74" s="46" t="s">
        <v>295</v>
      </c>
      <c r="E74" s="46"/>
      <c r="F74" s="46"/>
      <c r="K74" s="46"/>
      <c r="L74" s="46"/>
      <c r="M74" s="46"/>
      <c r="N74" s="46"/>
      <c r="O74" s="421" t="s">
        <v>1214</v>
      </c>
    </row>
    <row r="75" spans="1:15">
      <c r="A75" s="424">
        <f>ROW()</f>
        <v>75</v>
      </c>
      <c r="B75" s="46" t="s">
        <v>296</v>
      </c>
      <c r="C75" s="988" t="s">
        <v>297</v>
      </c>
      <c r="D75" s="46" t="s">
        <v>298</v>
      </c>
      <c r="E75" s="46"/>
      <c r="F75" s="46"/>
      <c r="H75" s="62"/>
      <c r="K75" s="46"/>
      <c r="L75" s="46"/>
      <c r="M75" s="46"/>
      <c r="N75" s="46"/>
      <c r="O75" s="421"/>
    </row>
    <row r="76" spans="1:15">
      <c r="A76" s="424">
        <f>ROW()</f>
        <v>76</v>
      </c>
      <c r="B76" s="46" t="s">
        <v>299</v>
      </c>
      <c r="C76" s="988">
        <v>1.96</v>
      </c>
      <c r="D76" s="46" t="s">
        <v>300</v>
      </c>
      <c r="E76" s="46"/>
      <c r="F76" s="46"/>
      <c r="H76" s="62"/>
      <c r="K76" s="46"/>
      <c r="L76" s="46"/>
      <c r="M76" s="46"/>
      <c r="N76" s="46"/>
      <c r="O76" s="421" t="s">
        <v>1347</v>
      </c>
    </row>
    <row r="77" spans="1:15">
      <c r="A77" s="424">
        <f>ROW()</f>
        <v>77</v>
      </c>
      <c r="B77" s="46" t="s">
        <v>301</v>
      </c>
      <c r="C77" s="988">
        <v>3.53</v>
      </c>
      <c r="D77" s="46" t="s">
        <v>300</v>
      </c>
      <c r="E77" s="46"/>
      <c r="F77" s="46"/>
      <c r="I77" s="103"/>
      <c r="K77" s="46"/>
      <c r="L77" s="46"/>
      <c r="M77" s="46"/>
      <c r="N77" s="46"/>
      <c r="O77" s="421" t="s">
        <v>1347</v>
      </c>
    </row>
    <row r="78" spans="1:15">
      <c r="A78" s="424">
        <f>ROW()</f>
        <v>78</v>
      </c>
      <c r="B78" s="46" t="s">
        <v>142</v>
      </c>
      <c r="C78" s="988">
        <v>100</v>
      </c>
      <c r="D78" s="46" t="s">
        <v>302</v>
      </c>
      <c r="E78" s="46"/>
      <c r="F78" s="46"/>
      <c r="H78" s="56"/>
      <c r="I78" s="62"/>
      <c r="K78" s="46"/>
      <c r="L78" s="46"/>
      <c r="M78" s="46"/>
      <c r="N78" s="46"/>
      <c r="O78" s="421"/>
    </row>
    <row r="79" spans="1:15">
      <c r="A79" s="424">
        <f>ROW()</f>
        <v>79</v>
      </c>
      <c r="B79" s="52" t="s">
        <v>303</v>
      </c>
      <c r="C79" s="1227" t="str">
        <f>+C51</f>
        <v xml:space="preserve">Clark </v>
      </c>
      <c r="D79" s="205"/>
      <c r="E79" s="205"/>
      <c r="F79" s="205"/>
      <c r="G79" s="46"/>
      <c r="H79" s="167"/>
      <c r="I79" s="430"/>
      <c r="K79" s="46"/>
      <c r="L79" s="46"/>
      <c r="M79" s="46"/>
      <c r="N79" s="46"/>
      <c r="O79" s="421"/>
    </row>
    <row r="80" spans="1:15">
      <c r="A80" s="424">
        <f>ROW()</f>
        <v>80</v>
      </c>
      <c r="B80" s="147"/>
      <c r="C80" s="147"/>
      <c r="D80" s="147"/>
      <c r="E80" s="147"/>
      <c r="F80" s="147"/>
      <c r="G80" s="144"/>
      <c r="H80" s="436"/>
      <c r="I80" s="436"/>
      <c r="J80" s="436"/>
      <c r="K80" s="436"/>
      <c r="L80" s="436"/>
      <c r="M80" s="436"/>
      <c r="N80" s="113"/>
      <c r="O80" s="421"/>
    </row>
    <row r="81" spans="1:15">
      <c r="A81" s="424">
        <f>ROW()</f>
        <v>81</v>
      </c>
      <c r="B81" s="35" t="s">
        <v>304</v>
      </c>
      <c r="C81" s="35"/>
      <c r="D81" s="35"/>
      <c r="E81" s="35"/>
      <c r="F81" s="35"/>
      <c r="G81" s="1450"/>
      <c r="H81" s="56">
        <f t="shared" ref="H81:M81" si="27">+H34</f>
        <v>150</v>
      </c>
      <c r="I81" s="56">
        <f t="shared" si="27"/>
        <v>270</v>
      </c>
      <c r="J81" s="56">
        <f t="shared" si="27"/>
        <v>315</v>
      </c>
      <c r="K81" s="56">
        <f t="shared" si="27"/>
        <v>360</v>
      </c>
      <c r="L81" s="56">
        <f t="shared" si="27"/>
        <v>360</v>
      </c>
      <c r="M81" s="56">
        <f t="shared" si="27"/>
        <v>360</v>
      </c>
      <c r="N81" s="113"/>
      <c r="O81" s="421"/>
    </row>
    <row r="82" spans="1:15">
      <c r="A82" s="424">
        <f>ROW()</f>
        <v>82</v>
      </c>
      <c r="B82" s="35" t="s">
        <v>305</v>
      </c>
      <c r="C82" s="35"/>
      <c r="D82" s="35"/>
      <c r="E82" s="35"/>
      <c r="F82" s="35"/>
      <c r="G82" s="1450"/>
      <c r="H82" s="56"/>
      <c r="I82" s="56"/>
      <c r="J82" s="56"/>
      <c r="K82" s="56"/>
      <c r="L82" s="56"/>
      <c r="M82" s="56"/>
      <c r="N82" s="113"/>
      <c r="O82" s="421"/>
    </row>
    <row r="83" spans="1:15">
      <c r="A83" s="424">
        <f>ROW()</f>
        <v>83</v>
      </c>
      <c r="B83" s="144" t="s">
        <v>306</v>
      </c>
      <c r="C83" s="144"/>
      <c r="D83" s="144"/>
      <c r="E83" s="144"/>
      <c r="F83" s="144"/>
      <c r="G83" s="1477"/>
      <c r="H83" s="1472">
        <f t="shared" ref="H83:M83" si="28">SUM(H53:H58)</f>
        <v>1412100</v>
      </c>
      <c r="I83" s="1472">
        <f t="shared" si="28"/>
        <v>2672243.9190000002</v>
      </c>
      <c r="J83" s="1472">
        <f t="shared" si="28"/>
        <v>3200245.0542000001</v>
      </c>
      <c r="K83" s="1472">
        <f t="shared" si="28"/>
        <v>3663014.2299000002</v>
      </c>
      <c r="L83" s="1472">
        <f t="shared" si="28"/>
        <v>3702153.4056000002</v>
      </c>
      <c r="M83" s="1472">
        <f t="shared" si="28"/>
        <v>3702153.4056000002</v>
      </c>
      <c r="N83" s="113"/>
      <c r="O83" s="421"/>
    </row>
    <row r="84" spans="1:15">
      <c r="A84" s="424">
        <f>ROW()</f>
        <v>84</v>
      </c>
      <c r="B84" s="1484" t="s">
        <v>307</v>
      </c>
      <c r="C84" s="88"/>
      <c r="D84" s="88"/>
      <c r="E84" s="88"/>
      <c r="F84" s="88"/>
      <c r="G84" s="1481"/>
      <c r="H84" s="1482">
        <f t="shared" ref="H84:M84" si="29">+H83/H34</f>
        <v>9414</v>
      </c>
      <c r="I84" s="1482">
        <f t="shared" si="29"/>
        <v>9897.199700000001</v>
      </c>
      <c r="J84" s="1482">
        <f t="shared" si="29"/>
        <v>10159.508108571428</v>
      </c>
      <c r="K84" s="1482">
        <f t="shared" si="29"/>
        <v>10175.039527500001</v>
      </c>
      <c r="L84" s="1482">
        <f t="shared" si="29"/>
        <v>10283.759460000001</v>
      </c>
      <c r="M84" s="1482">
        <f t="shared" si="29"/>
        <v>10283.759460000001</v>
      </c>
      <c r="N84" s="113"/>
      <c r="O84" s="421"/>
    </row>
    <row r="85" spans="1:15">
      <c r="A85" s="424">
        <f>ROW()</f>
        <v>85</v>
      </c>
      <c r="B85" s="37" t="s">
        <v>308</v>
      </c>
      <c r="C85" s="1476">
        <f>+C67</f>
        <v>0.01</v>
      </c>
      <c r="H85" s="1473"/>
      <c r="I85" s="1453">
        <f>+$C$67*I83</f>
        <v>26722.439190000005</v>
      </c>
      <c r="J85" s="1453">
        <f>+$C$67*J83</f>
        <v>32002.450542000002</v>
      </c>
      <c r="K85" s="1453">
        <f>+$C$67*K83</f>
        <v>36630.142298999999</v>
      </c>
      <c r="L85" s="1453">
        <f>+$C$67*L83</f>
        <v>37021.534056000004</v>
      </c>
      <c r="M85" s="1453">
        <f>+$C$67*M83</f>
        <v>37021.534056000004</v>
      </c>
      <c r="N85" s="113"/>
      <c r="O85" s="421"/>
    </row>
    <row r="86" spans="1:15">
      <c r="A86" s="424">
        <f>ROW()</f>
        <v>86</v>
      </c>
      <c r="B86" s="144" t="s">
        <v>309</v>
      </c>
      <c r="C86" s="144"/>
      <c r="D86" s="144"/>
      <c r="E86" s="144"/>
      <c r="F86" s="144"/>
      <c r="G86" s="1477"/>
      <c r="H86" s="1478">
        <f t="shared" ref="H86:M86" si="30">+H83+H85</f>
        <v>1412100</v>
      </c>
      <c r="I86" s="1478">
        <f t="shared" si="30"/>
        <v>2698966.3581900001</v>
      </c>
      <c r="J86" s="1478">
        <f t="shared" si="30"/>
        <v>3232247.5047420003</v>
      </c>
      <c r="K86" s="1478">
        <f t="shared" si="30"/>
        <v>3699644.3721990003</v>
      </c>
      <c r="L86" s="1478">
        <f t="shared" si="30"/>
        <v>3739174.9396560001</v>
      </c>
      <c r="M86" s="1478">
        <f t="shared" si="30"/>
        <v>3739174.9396560001</v>
      </c>
      <c r="N86" s="113"/>
      <c r="O86" s="421"/>
    </row>
    <row r="87" spans="1:15">
      <c r="A87" s="424">
        <f>ROW()</f>
        <v>87</v>
      </c>
      <c r="B87" s="37" t="s">
        <v>1199</v>
      </c>
      <c r="C87" s="35"/>
      <c r="G87" s="1452"/>
      <c r="H87" s="1453">
        <f t="shared" ref="H87:M87" si="31">-H86*$C$69</f>
        <v>-17651.25</v>
      </c>
      <c r="I87" s="1453">
        <f t="shared" si="31"/>
        <v>-33737.079477375002</v>
      </c>
      <c r="J87" s="1453">
        <f t="shared" si="31"/>
        <v>-40403.093809275008</v>
      </c>
      <c r="K87" s="1453">
        <f t="shared" si="31"/>
        <v>-46245.55465248751</v>
      </c>
      <c r="L87" s="1453">
        <f t="shared" si="31"/>
        <v>-46739.686745700004</v>
      </c>
      <c r="M87" s="1453">
        <f t="shared" si="31"/>
        <v>-46739.686745700004</v>
      </c>
      <c r="N87" s="113"/>
      <c r="O87" s="421"/>
    </row>
    <row r="88" spans="1:15">
      <c r="A88" s="424">
        <f>ROW()</f>
        <v>88</v>
      </c>
      <c r="B88" s="147" t="s">
        <v>310</v>
      </c>
      <c r="C88" s="147"/>
      <c r="D88" s="147"/>
      <c r="E88" s="147"/>
      <c r="F88" s="147"/>
      <c r="G88" s="144"/>
      <c r="H88" s="1480">
        <f>SUM(H86:H87)</f>
        <v>1394448.75</v>
      </c>
      <c r="I88" s="1480">
        <f t="shared" ref="I88:M88" si="32">SUM(I86:I87)</f>
        <v>2665229.2787126251</v>
      </c>
      <c r="J88" s="1480">
        <f t="shared" si="32"/>
        <v>3191844.4109327253</v>
      </c>
      <c r="K88" s="1480">
        <f t="shared" si="32"/>
        <v>3653398.8175465129</v>
      </c>
      <c r="L88" s="1480">
        <f t="shared" si="32"/>
        <v>3692435.2529103002</v>
      </c>
      <c r="M88" s="1480">
        <f t="shared" si="32"/>
        <v>3692435.2529103002</v>
      </c>
      <c r="N88" s="113"/>
      <c r="O88" s="421"/>
    </row>
    <row r="89" spans="1:15">
      <c r="A89" s="424">
        <f>ROW()</f>
        <v>89</v>
      </c>
      <c r="B89" s="35"/>
      <c r="C89" s="35"/>
      <c r="D89" s="35"/>
      <c r="E89" s="35"/>
      <c r="F89" s="35"/>
      <c r="H89" s="62"/>
      <c r="I89" s="62"/>
      <c r="J89" s="62"/>
      <c r="K89" s="62"/>
      <c r="L89" s="62"/>
      <c r="M89" s="62"/>
      <c r="N89" s="113"/>
      <c r="O89" s="421"/>
    </row>
    <row r="90" spans="1:15" hidden="1">
      <c r="A90" s="424">
        <f>ROW()</f>
        <v>90</v>
      </c>
      <c r="B90" s="443" t="s">
        <v>126</v>
      </c>
      <c r="C90" s="1404">
        <f t="shared" ref="C90:C99" si="33">SUM(G90:M90)</f>
        <v>0</v>
      </c>
      <c r="D90" s="1404"/>
      <c r="E90" s="1404"/>
      <c r="F90" s="1404"/>
      <c r="G90" s="1405"/>
      <c r="H90" s="1406">
        <f t="shared" ref="H90:M90" si="34">IF($H$88&gt;0,0,($C$66*H34))</f>
        <v>0</v>
      </c>
      <c r="I90" s="1407">
        <f t="shared" si="34"/>
        <v>0</v>
      </c>
      <c r="J90" s="1406">
        <f t="shared" si="34"/>
        <v>0</v>
      </c>
      <c r="K90" s="1406">
        <f t="shared" si="34"/>
        <v>0</v>
      </c>
      <c r="L90" s="1406">
        <f t="shared" si="34"/>
        <v>0</v>
      </c>
      <c r="M90" s="1406">
        <f t="shared" si="34"/>
        <v>0</v>
      </c>
      <c r="O90" s="421"/>
    </row>
    <row r="91" spans="1:15" hidden="1">
      <c r="A91" s="424">
        <f>ROW()</f>
        <v>91</v>
      </c>
      <c r="B91" s="443" t="s">
        <v>127</v>
      </c>
      <c r="C91" s="1408">
        <f>IFERROR(SUM(G91:M91),0)</f>
        <v>0</v>
      </c>
      <c r="D91" s="1409"/>
      <c r="E91" s="1409"/>
      <c r="F91" s="1409"/>
      <c r="G91" s="1410"/>
      <c r="H91" s="1411">
        <f>-$C$69*H90</f>
        <v>0</v>
      </c>
      <c r="I91" s="1412">
        <f t="shared" ref="I91:M91" si="35">-$C$69*I90</f>
        <v>0</v>
      </c>
      <c r="J91" s="1412">
        <f t="shared" si="35"/>
        <v>0</v>
      </c>
      <c r="K91" s="1412">
        <f t="shared" si="35"/>
        <v>0</v>
      </c>
      <c r="L91" s="1412">
        <f t="shared" si="35"/>
        <v>0</v>
      </c>
      <c r="M91" s="1412">
        <f t="shared" si="35"/>
        <v>0</v>
      </c>
      <c r="O91" s="421"/>
    </row>
    <row r="92" spans="1:15">
      <c r="A92" s="424">
        <f>ROW()</f>
        <v>92</v>
      </c>
      <c r="B92" s="37" t="s">
        <v>128</v>
      </c>
      <c r="C92" s="56">
        <f t="shared" si="33"/>
        <v>539962.5</v>
      </c>
      <c r="D92" s="56"/>
      <c r="E92" s="56"/>
      <c r="F92" s="56"/>
      <c r="G92" s="734"/>
      <c r="H92" s="983">
        <f>(H34*H61)*($C$70)</f>
        <v>44625</v>
      </c>
      <c r="I92" s="983">
        <f t="shared" ref="I92:M92" si="36">(I34*I61)*($C$70)</f>
        <v>80325</v>
      </c>
      <c r="J92" s="983">
        <f t="shared" si="36"/>
        <v>93712.5</v>
      </c>
      <c r="K92" s="983">
        <f t="shared" si="36"/>
        <v>107100</v>
      </c>
      <c r="L92" s="983">
        <f t="shared" si="36"/>
        <v>107100</v>
      </c>
      <c r="M92" s="983">
        <f t="shared" si="36"/>
        <v>107100</v>
      </c>
      <c r="O92" s="421" t="s">
        <v>311</v>
      </c>
    </row>
    <row r="93" spans="1:15">
      <c r="A93" s="424">
        <f>ROW()</f>
        <v>93</v>
      </c>
      <c r="B93" s="37" t="s">
        <v>129</v>
      </c>
      <c r="C93" s="56">
        <f t="shared" si="33"/>
        <v>118973.25</v>
      </c>
      <c r="D93" s="56"/>
      <c r="E93" s="56"/>
      <c r="F93" s="56"/>
      <c r="G93" s="734"/>
      <c r="H93" s="983">
        <f t="shared" ref="H93:M93" si="37">($C$71*H34*H61)+(H34*3.5)</f>
        <v>9832.5</v>
      </c>
      <c r="I93" s="983">
        <f t="shared" si="37"/>
        <v>17698.5</v>
      </c>
      <c r="J93" s="983">
        <f t="shared" si="37"/>
        <v>20648.25</v>
      </c>
      <c r="K93" s="983">
        <f t="shared" si="37"/>
        <v>23598</v>
      </c>
      <c r="L93" s="983">
        <f t="shared" si="37"/>
        <v>23598</v>
      </c>
      <c r="M93" s="983">
        <f t="shared" si="37"/>
        <v>23598</v>
      </c>
      <c r="O93" s="421"/>
    </row>
    <row r="94" spans="1:15">
      <c r="A94" s="424">
        <f>ROW()</f>
        <v>94</v>
      </c>
      <c r="B94" s="37" t="s">
        <v>130</v>
      </c>
      <c r="C94" s="56">
        <f t="shared" si="33"/>
        <v>20035.785000000003</v>
      </c>
      <c r="D94" s="56"/>
      <c r="E94" s="56"/>
      <c r="F94" s="56"/>
      <c r="G94" s="734"/>
      <c r="H94" s="983">
        <f t="shared" ref="H94:M94" si="38">$C$72*H34*H62</f>
        <v>1655.8500000000001</v>
      </c>
      <c r="I94" s="983">
        <f t="shared" si="38"/>
        <v>2980.53</v>
      </c>
      <c r="J94" s="983">
        <f t="shared" si="38"/>
        <v>3477.2850000000003</v>
      </c>
      <c r="K94" s="983">
        <f t="shared" si="38"/>
        <v>3974.0400000000004</v>
      </c>
      <c r="L94" s="983">
        <f t="shared" si="38"/>
        <v>3974.0400000000004</v>
      </c>
      <c r="M94" s="983">
        <f t="shared" si="38"/>
        <v>3974.0400000000004</v>
      </c>
      <c r="O94" s="421"/>
    </row>
    <row r="95" spans="1:15">
      <c r="A95" s="424">
        <f>ROW()</f>
        <v>95</v>
      </c>
      <c r="B95" s="37" t="s">
        <v>131</v>
      </c>
      <c r="C95" s="56">
        <v>0</v>
      </c>
      <c r="D95" s="56"/>
      <c r="E95" s="56"/>
      <c r="F95" s="56"/>
      <c r="G95" s="984"/>
      <c r="H95" s="1127">
        <v>0</v>
      </c>
      <c r="I95" s="985"/>
      <c r="J95" s="985"/>
      <c r="K95" s="985"/>
      <c r="L95" s="985"/>
      <c r="M95" s="985"/>
      <c r="O95" s="421" t="s">
        <v>1390</v>
      </c>
    </row>
    <row r="96" spans="1:15">
      <c r="A96" s="424">
        <f>ROW()</f>
        <v>96</v>
      </c>
      <c r="B96" s="37" t="s">
        <v>132</v>
      </c>
      <c r="C96" s="56">
        <f t="shared" si="33"/>
        <v>556377.35999999987</v>
      </c>
      <c r="D96" s="56"/>
      <c r="E96" s="56"/>
      <c r="F96" s="56"/>
      <c r="G96" s="734"/>
      <c r="H96" s="983">
        <f>IF($C$75="yes",$C$76*Staff!$C$65*(H34*H61),0)</f>
        <v>45981.599999999999</v>
      </c>
      <c r="I96" s="983">
        <f>IF($C$75="yes",$C$76*Staff!$C$65*(I34*I61),0)</f>
        <v>82766.87999999999</v>
      </c>
      <c r="J96" s="983">
        <f>IF($C$75="yes",$C$76*Staff!$C$65*(J34*J61),0)</f>
        <v>96561.36</v>
      </c>
      <c r="K96" s="983">
        <f>IF($C$75="yes",$C$76*Staff!$C$65*(K34*K61),0)</f>
        <v>110355.84</v>
      </c>
      <c r="L96" s="983">
        <f>IF($C$75="yes",$C$76*Staff!$C$65*(L34*L61),0)</f>
        <v>110355.84</v>
      </c>
      <c r="M96" s="983">
        <f>IF($C$75="yes",$C$76*Staff!$C$65*(M34*M61),0)</f>
        <v>110355.84</v>
      </c>
      <c r="O96" s="421"/>
    </row>
    <row r="97" spans="1:15">
      <c r="A97" s="424">
        <f>ROW()</f>
        <v>97</v>
      </c>
      <c r="B97" s="37" t="s">
        <v>312</v>
      </c>
      <c r="C97" s="56">
        <f t="shared" si="33"/>
        <v>1002046.98</v>
      </c>
      <c r="D97" s="56"/>
      <c r="E97" s="56"/>
      <c r="F97" s="56"/>
      <c r="G97" s="734"/>
      <c r="H97" s="983">
        <f>(H34*H61)*Staff!$C$65*$C$77</f>
        <v>82813.799999999988</v>
      </c>
      <c r="I97" s="983">
        <f>(I34*I61)*Staff!$C$65*$C$77</f>
        <v>149064.84</v>
      </c>
      <c r="J97" s="983">
        <f>(J34*J61)*Staff!$C$65*$C$77</f>
        <v>173908.97999999998</v>
      </c>
      <c r="K97" s="983">
        <f>(K34*K61)*Staff!$C$65*$C$77</f>
        <v>198753.12</v>
      </c>
      <c r="L97" s="983">
        <f>(L34*L61)*Staff!$C$65*$C$77</f>
        <v>198753.12</v>
      </c>
      <c r="M97" s="983">
        <f>(M34*M61)*Staff!$C$65*$C$77</f>
        <v>198753.12</v>
      </c>
      <c r="O97" s="421"/>
    </row>
    <row r="98" spans="1:15">
      <c r="A98" s="424">
        <f>ROW()</f>
        <v>98</v>
      </c>
      <c r="B98" s="37" t="s">
        <v>134</v>
      </c>
      <c r="C98" s="56">
        <f t="shared" si="33"/>
        <v>353925</v>
      </c>
      <c r="D98" s="56"/>
      <c r="E98" s="56"/>
      <c r="F98" s="56"/>
      <c r="G98" s="734"/>
      <c r="H98" s="983">
        <f t="shared" ref="H98:M98" si="39">(H34*H63)*$C$74</f>
        <v>29250</v>
      </c>
      <c r="I98" s="983">
        <f t="shared" si="39"/>
        <v>52650</v>
      </c>
      <c r="J98" s="983">
        <f t="shared" si="39"/>
        <v>61425.000000000007</v>
      </c>
      <c r="K98" s="983">
        <f t="shared" si="39"/>
        <v>70200</v>
      </c>
      <c r="L98" s="983">
        <f t="shared" si="39"/>
        <v>70200</v>
      </c>
      <c r="M98" s="983">
        <f t="shared" si="39"/>
        <v>70200</v>
      </c>
      <c r="O98" s="421"/>
    </row>
    <row r="99" spans="1:15">
      <c r="A99" s="424">
        <f>ROW()</f>
        <v>99</v>
      </c>
      <c r="B99" s="37" t="s">
        <v>313</v>
      </c>
      <c r="C99" s="56">
        <f t="shared" si="33"/>
        <v>587617.17300000007</v>
      </c>
      <c r="D99" s="56"/>
      <c r="E99" s="56"/>
      <c r="F99" s="56"/>
      <c r="G99" s="982"/>
      <c r="H99" s="1137"/>
      <c r="I99" s="762">
        <f>+I54</f>
        <v>60579.090000000004</v>
      </c>
      <c r="J99" s="762">
        <f>+J54</f>
        <v>109042.36200000002</v>
      </c>
      <c r="K99" s="762">
        <f>+K54</f>
        <v>127216.08900000002</v>
      </c>
      <c r="L99" s="762">
        <f>+L54</f>
        <v>145389.81600000002</v>
      </c>
      <c r="M99" s="762">
        <f>+M54</f>
        <v>145389.81600000002</v>
      </c>
      <c r="O99" s="1135" t="s">
        <v>314</v>
      </c>
    </row>
    <row r="100" spans="1:15" ht="30">
      <c r="A100" s="1121">
        <f>ROW()</f>
        <v>100</v>
      </c>
      <c r="B100" s="48" t="s">
        <v>315</v>
      </c>
      <c r="C100" s="56">
        <f>SUM(G100:M100)</f>
        <v>0</v>
      </c>
      <c r="D100" s="56"/>
      <c r="E100" s="56"/>
      <c r="F100" s="56"/>
      <c r="G100" s="1149">
        <v>0</v>
      </c>
      <c r="H100" s="1149">
        <v>0</v>
      </c>
      <c r="I100" s="1149">
        <v>0</v>
      </c>
      <c r="J100" s="1149">
        <v>0</v>
      </c>
      <c r="K100" s="1149">
        <v>0</v>
      </c>
      <c r="L100" s="1149">
        <v>0</v>
      </c>
      <c r="M100" s="1149">
        <v>0</v>
      </c>
      <c r="O100" s="421"/>
    </row>
    <row r="101" spans="1:15">
      <c r="A101" s="424">
        <f>ROW()</f>
        <v>101</v>
      </c>
      <c r="B101" s="37" t="s">
        <v>316</v>
      </c>
      <c r="C101" s="56">
        <f t="shared" ref="C101:C108" si="40">SUM(G101:M101)</f>
        <v>67674</v>
      </c>
      <c r="D101" s="56"/>
      <c r="E101" s="56"/>
      <c r="F101" s="56"/>
      <c r="G101" s="1670">
        <v>0</v>
      </c>
      <c r="H101" s="1670">
        <f>67674</f>
        <v>67674</v>
      </c>
      <c r="I101" s="1670">
        <v>0</v>
      </c>
      <c r="J101" s="1149">
        <v>0</v>
      </c>
      <c r="K101" s="1149">
        <v>0</v>
      </c>
      <c r="L101" s="1671">
        <v>0</v>
      </c>
      <c r="M101" s="1671">
        <v>0</v>
      </c>
      <c r="O101" s="421" t="s">
        <v>1436</v>
      </c>
    </row>
    <row r="102" spans="1:15">
      <c r="A102" s="424">
        <f>ROW()</f>
        <v>102</v>
      </c>
      <c r="B102" s="37" t="s">
        <v>317</v>
      </c>
      <c r="C102" s="56">
        <f t="shared" si="40"/>
        <v>0</v>
      </c>
      <c r="D102" s="56"/>
      <c r="E102" s="56"/>
      <c r="F102" s="56"/>
      <c r="G102" s="1672"/>
      <c r="H102" s="1672"/>
      <c r="I102" s="1672"/>
      <c r="J102" s="1672"/>
      <c r="K102" s="1672"/>
      <c r="L102" s="1672"/>
      <c r="M102" s="1672"/>
      <c r="N102" s="1630"/>
      <c r="O102" s="421" t="s">
        <v>1361</v>
      </c>
    </row>
    <row r="103" spans="1:15">
      <c r="A103" s="424">
        <f>ROW()</f>
        <v>103</v>
      </c>
      <c r="B103" s="37" t="s">
        <v>138</v>
      </c>
      <c r="C103" s="56">
        <f t="shared" si="40"/>
        <v>0</v>
      </c>
      <c r="D103" s="56"/>
      <c r="E103" s="56"/>
      <c r="F103" s="56"/>
      <c r="G103" s="1671">
        <v>0</v>
      </c>
      <c r="H103" s="1671">
        <v>0</v>
      </c>
      <c r="I103" s="1671">
        <v>0</v>
      </c>
      <c r="J103" s="1671">
        <v>0</v>
      </c>
      <c r="K103" s="1671">
        <v>0</v>
      </c>
      <c r="L103" s="1671">
        <v>0</v>
      </c>
      <c r="M103" s="1671">
        <v>0</v>
      </c>
      <c r="O103" s="421"/>
    </row>
    <row r="104" spans="1:15">
      <c r="A104" s="424">
        <f>ROW()</f>
        <v>104</v>
      </c>
      <c r="B104" s="37" t="s">
        <v>318</v>
      </c>
      <c r="C104" s="56">
        <f t="shared" si="40"/>
        <v>0</v>
      </c>
      <c r="D104" s="56"/>
      <c r="E104" s="56"/>
      <c r="F104" s="56"/>
      <c r="G104" s="1671">
        <v>0</v>
      </c>
      <c r="H104" s="1671">
        <v>0</v>
      </c>
      <c r="I104" s="1671">
        <v>0</v>
      </c>
      <c r="J104" s="1671">
        <v>0</v>
      </c>
      <c r="K104" s="1671">
        <v>0</v>
      </c>
      <c r="L104" s="1671">
        <v>0</v>
      </c>
      <c r="M104" s="1671">
        <v>0</v>
      </c>
      <c r="O104" s="421"/>
    </row>
    <row r="105" spans="1:15">
      <c r="A105" s="424">
        <f>ROW()</f>
        <v>105</v>
      </c>
      <c r="B105" s="37" t="s">
        <v>319</v>
      </c>
      <c r="C105" s="56">
        <f t="shared" si="40"/>
        <v>0</v>
      </c>
      <c r="D105" s="56"/>
      <c r="E105" s="56"/>
      <c r="F105" s="56"/>
      <c r="G105" s="1671">
        <v>0</v>
      </c>
      <c r="H105" s="1671">
        <v>0</v>
      </c>
      <c r="I105" s="1671">
        <v>0</v>
      </c>
      <c r="J105" s="1671">
        <v>0</v>
      </c>
      <c r="K105" s="1671"/>
      <c r="L105" s="1671">
        <v>0</v>
      </c>
      <c r="M105" s="1671">
        <v>0</v>
      </c>
      <c r="O105" s="421"/>
    </row>
    <row r="106" spans="1:15">
      <c r="A106" s="424">
        <f>ROW()</f>
        <v>106</v>
      </c>
      <c r="B106" s="37" t="s">
        <v>141</v>
      </c>
      <c r="C106" s="56">
        <f t="shared" si="40"/>
        <v>0</v>
      </c>
      <c r="D106" s="56"/>
      <c r="E106" s="56"/>
      <c r="F106" s="56"/>
      <c r="G106" s="1671">
        <v>0</v>
      </c>
      <c r="H106" s="1671">
        <v>0</v>
      </c>
      <c r="I106" s="1671">
        <v>0</v>
      </c>
      <c r="J106" s="1671">
        <v>0</v>
      </c>
      <c r="K106" s="1671">
        <v>0</v>
      </c>
      <c r="L106" s="1671">
        <v>0</v>
      </c>
      <c r="M106" s="1671">
        <v>0</v>
      </c>
      <c r="O106" s="421"/>
    </row>
    <row r="107" spans="1:15">
      <c r="A107" s="424">
        <f>ROW()</f>
        <v>107</v>
      </c>
      <c r="B107" s="37" t="s">
        <v>143</v>
      </c>
      <c r="C107" s="56">
        <f t="shared" si="40"/>
        <v>120000</v>
      </c>
      <c r="D107" s="56"/>
      <c r="E107" s="56"/>
      <c r="F107" s="56"/>
      <c r="G107" s="1671">
        <v>0</v>
      </c>
      <c r="H107" s="1671">
        <v>120000</v>
      </c>
      <c r="I107" s="1671"/>
      <c r="J107" s="1671"/>
      <c r="K107" s="1671"/>
      <c r="L107" s="1671">
        <v>0</v>
      </c>
      <c r="M107" s="1671">
        <v>0</v>
      </c>
      <c r="O107" s="421" t="s">
        <v>1442</v>
      </c>
    </row>
    <row r="108" spans="1:15" ht="75">
      <c r="A108" s="424">
        <f>ROW()</f>
        <v>108</v>
      </c>
      <c r="B108" s="37" t="s">
        <v>320</v>
      </c>
      <c r="C108" s="56">
        <f t="shared" si="40"/>
        <v>60000</v>
      </c>
      <c r="D108" s="56"/>
      <c r="E108" s="56"/>
      <c r="F108" s="56"/>
      <c r="G108" s="1671"/>
      <c r="H108" s="1673">
        <f>50000+10000</f>
        <v>60000</v>
      </c>
      <c r="I108" s="1671">
        <v>0</v>
      </c>
      <c r="J108" s="1671">
        <v>0</v>
      </c>
      <c r="K108" s="1671">
        <v>0</v>
      </c>
      <c r="L108" s="1671">
        <v>0</v>
      </c>
      <c r="M108" s="1671">
        <v>0</v>
      </c>
      <c r="O108" s="1146" t="s">
        <v>1437</v>
      </c>
    </row>
    <row r="109" spans="1:15" ht="15.75">
      <c r="A109" s="424">
        <f>ROW()</f>
        <v>109</v>
      </c>
      <c r="B109" s="1526" t="s">
        <v>200</v>
      </c>
      <c r="C109" s="440">
        <f t="shared" ref="C109" si="41">SUM(H109:M109)</f>
        <v>21716403.811012462</v>
      </c>
      <c r="D109" s="441"/>
      <c r="E109" s="441"/>
      <c r="F109" s="441"/>
      <c r="G109" s="442">
        <f>G90+G91+G92+G93+G94+G96+G97+G98+G99+G100+G101+G102+G103+G106+G107+G108</f>
        <v>0</v>
      </c>
      <c r="H109" s="442">
        <f t="shared" ref="H109:M109" si="42">SUM(H88:H108)</f>
        <v>1856281.5000000002</v>
      </c>
      <c r="I109" s="442">
        <f t="shared" si="42"/>
        <v>3111294.1187126245</v>
      </c>
      <c r="J109" s="442">
        <f t="shared" si="42"/>
        <v>3750620.1479327255</v>
      </c>
      <c r="K109" s="442">
        <f t="shared" si="42"/>
        <v>4294595.9065465126</v>
      </c>
      <c r="L109" s="442">
        <f t="shared" si="42"/>
        <v>4351806.0689102998</v>
      </c>
      <c r="M109" s="442">
        <f t="shared" si="42"/>
        <v>4351806.0689102998</v>
      </c>
      <c r="O109" s="421"/>
    </row>
    <row r="110" spans="1:15">
      <c r="A110" s="424">
        <f>ROW()</f>
        <v>110</v>
      </c>
      <c r="B110" s="220" t="s">
        <v>146</v>
      </c>
      <c r="C110" s="88"/>
      <c r="D110" s="88"/>
      <c r="E110" s="88"/>
      <c r="F110" s="88"/>
      <c r="G110" s="1488"/>
      <c r="H110" s="1489">
        <f t="shared" ref="H110:M110" si="43">IFERROR(H109/H34,0)</f>
        <v>12375.210000000001</v>
      </c>
      <c r="I110" s="1489">
        <f t="shared" si="43"/>
        <v>11523.311550787499</v>
      </c>
      <c r="J110" s="1489">
        <f t="shared" si="43"/>
        <v>11906.730628357858</v>
      </c>
      <c r="K110" s="1489">
        <f t="shared" si="43"/>
        <v>11929.433073740312</v>
      </c>
      <c r="L110" s="1489">
        <f t="shared" si="43"/>
        <v>12088.350191417499</v>
      </c>
      <c r="M110" s="1489">
        <f t="shared" si="43"/>
        <v>12088.350191417499</v>
      </c>
      <c r="O110" s="421"/>
    </row>
    <row r="111" spans="1:15">
      <c r="A111" s="424"/>
      <c r="B111" s="35"/>
      <c r="C111" s="35"/>
      <c r="D111" s="35"/>
      <c r="E111" s="35"/>
      <c r="F111" s="35"/>
    </row>
    <row r="112" spans="1:15">
      <c r="A112" s="72"/>
      <c r="B112" s="35"/>
      <c r="C112" s="35"/>
      <c r="D112" s="35"/>
      <c r="E112" s="35"/>
      <c r="F112" s="35"/>
      <c r="G112" s="1570"/>
      <c r="H112" s="1570"/>
      <c r="I112" s="1570"/>
      <c r="J112" s="1570"/>
      <c r="K112" s="1570"/>
    </row>
    <row r="113" spans="9:9">
      <c r="I113" s="1620"/>
    </row>
  </sheetData>
  <phoneticPr fontId="7" type="noConversion"/>
  <conditionalFormatting sqref="C13:F13 B21:F33">
    <cfRule type="expression" dxfId="60" priority="165" stopIfTrue="1">
      <formula>MOD(ROW(),2)=0</formula>
    </cfRule>
  </conditionalFormatting>
  <conditionalFormatting sqref="D1:F1">
    <cfRule type="expression" dxfId="59" priority="13" stopIfTrue="1">
      <formula>MOD(ROW(),2)=0</formula>
    </cfRule>
  </conditionalFormatting>
  <conditionalFormatting sqref="H63:I63">
    <cfRule type="cellIs" dxfId="58" priority="15" operator="greaterThan">
      <formula>0.25</formula>
    </cfRule>
  </conditionalFormatting>
  <conditionalFormatting sqref="H15:M15">
    <cfRule type="cellIs" dxfId="57" priority="209" stopIfTrue="1" operator="equal">
      <formula>0</formula>
    </cfRule>
  </conditionalFormatting>
  <conditionalFormatting sqref="H17:M17">
    <cfRule type="cellIs" dxfId="56" priority="8" stopIfTrue="1" operator="equal">
      <formula>0</formula>
    </cfRule>
  </conditionalFormatting>
  <conditionalFormatting sqref="H64:M64">
    <cfRule type="cellIs" dxfId="55" priority="140" stopIfTrue="1" operator="equal">
      <formula>0</formula>
    </cfRule>
  </conditionalFormatting>
  <hyperlinks>
    <hyperlink ref="D1" location="HypLink1" display="HypLink1" xr:uid="{50C40886-9D9F-4AD7-81F3-10148FDA785C}"/>
  </hyperlinks>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65" max="11" man="1"/>
  </rowBreaks>
  <drawing r:id="rId2"/>
  <legacyDrawing r:id="rId3"/>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promptTitle="County" prompt="In the Dropdown Box select the county where your school will be located." xr:uid="{00000000-0002-0000-0100-000000000000}">
          <x14:formula1>
            <xm:f>'PCFP Rates'!$O$14:$O$42</xm:f>
          </x14:formula1>
          <xm:sqref>D79:F79</xm:sqref>
        </x14:dataValidation>
        <x14:dataValidation type="list" allowBlank="1" showInputMessage="1" showErrorMessage="1" xr:uid="{072BB3B4-7B2D-4CBC-801C-1A2DCA639C70}">
          <x14:formula1>
            <xm:f>'PCFP Rates'!$B$105:$B$111</xm:f>
          </x14:formula1>
          <xm:sqref>C51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sheetPr>
  <dimension ref="A1:T132"/>
  <sheetViews>
    <sheetView topLeftCell="A26" zoomScaleNormal="100" workbookViewId="0">
      <selection activeCell="G22" sqref="G22"/>
    </sheetView>
  </sheetViews>
  <sheetFormatPr defaultColWidth="9.140625" defaultRowHeight="15"/>
  <cols>
    <col min="1" max="1" width="4.7109375" style="37" customWidth="1"/>
    <col min="2" max="2" width="28.85546875" style="37" customWidth="1"/>
    <col min="3" max="3" width="12.28515625" style="37" customWidth="1"/>
    <col min="4" max="4" width="11.5703125" style="37" customWidth="1"/>
    <col min="5" max="6" width="13.7109375" style="37" customWidth="1"/>
    <col min="7" max="15" width="12.7109375" style="37" customWidth="1"/>
    <col min="16" max="17" width="11.85546875" style="37" customWidth="1"/>
    <col min="18" max="18" width="2.42578125" style="37" customWidth="1"/>
    <col min="19" max="19" width="3.85546875" style="37" customWidth="1"/>
    <col min="20" max="20" width="58.7109375" style="37" customWidth="1"/>
    <col min="21" max="16384" width="9.140625" style="37"/>
  </cols>
  <sheetData>
    <row r="1" spans="1:20" ht="15.75">
      <c r="A1" s="131" t="s">
        <v>321</v>
      </c>
      <c r="B1" s="131"/>
      <c r="C1" s="40"/>
      <c r="D1" s="508" t="s">
        <v>2</v>
      </c>
      <c r="F1" s="88"/>
      <c r="G1" s="88"/>
      <c r="H1" s="88"/>
      <c r="I1" s="88"/>
      <c r="J1" s="88"/>
      <c r="K1" s="88"/>
      <c r="L1" s="88"/>
      <c r="P1" s="41"/>
    </row>
    <row r="2" spans="1:20" ht="15.75">
      <c r="A2" s="133" t="str">
        <f>SchoolName</f>
        <v>Rooted School Clark County</v>
      </c>
      <c r="B2" s="133"/>
      <c r="C2" s="42"/>
      <c r="F2" s="88"/>
      <c r="G2" s="88"/>
      <c r="H2" s="88"/>
      <c r="I2" s="88"/>
      <c r="J2" s="88"/>
      <c r="K2" s="88"/>
      <c r="L2" s="88"/>
    </row>
    <row r="3" spans="1:20">
      <c r="A3" s="44" t="s">
        <v>62</v>
      </c>
      <c r="B3" s="44"/>
      <c r="C3" s="44"/>
      <c r="D3" s="44"/>
      <c r="L3" s="88"/>
    </row>
    <row r="4" spans="1:20">
      <c r="A4" s="45" t="s">
        <v>63</v>
      </c>
      <c r="B4" s="45"/>
      <c r="C4" s="45"/>
      <c r="D4" s="45"/>
      <c r="L4" s="88"/>
    </row>
    <row r="5" spans="1:20">
      <c r="A5" s="34" t="str">
        <f ca="1">CELL("filename")</f>
        <v>C:\Users\CRaymond\Char. School Bus Mgt Dropbox\Collin Raymond\Growth Team\Growth 2.0\Growth &amp; Data\Client Projects\Rooted LV\[Rooted School-SPCSA-Operating Budget-V10 (1) - Rev9.xlsx]Summary</v>
      </c>
      <c r="B5" s="34"/>
      <c r="C5" s="34"/>
      <c r="D5" s="34"/>
      <c r="L5" s="88"/>
    </row>
    <row r="7" spans="1:20" ht="18.75">
      <c r="B7" s="85" t="s">
        <v>322</v>
      </c>
      <c r="C7" s="85"/>
      <c r="D7" s="85"/>
      <c r="E7" s="272">
        <f>' Enrol &amp; Rev'!H10</f>
        <v>2025</v>
      </c>
      <c r="F7" s="86" t="s">
        <v>323</v>
      </c>
      <c r="M7" s="12"/>
      <c r="N7" s="12"/>
      <c r="O7" s="12"/>
      <c r="P7" s="12"/>
      <c r="Q7" s="12"/>
    </row>
    <row r="8" spans="1:20">
      <c r="B8" s="87" t="s">
        <v>324</v>
      </c>
      <c r="C8" s="87"/>
      <c r="D8" s="87"/>
      <c r="E8" s="272">
        <f>' Enrol &amp; Rev'!H11</f>
        <v>2026</v>
      </c>
      <c r="F8" s="220" t="s">
        <v>325</v>
      </c>
      <c r="G8" s="89"/>
      <c r="L8" s="89"/>
      <c r="M8" s="89"/>
      <c r="N8" s="89"/>
      <c r="O8" s="89"/>
      <c r="P8" s="89"/>
      <c r="Q8" s="89"/>
    </row>
    <row r="9" spans="1:20">
      <c r="B9" s="87" t="s">
        <v>326</v>
      </c>
      <c r="C9" s="87"/>
      <c r="D9" s="87"/>
      <c r="E9" s="315">
        <v>1.2500000000000001E-2</v>
      </c>
      <c r="F9" s="438" t="s">
        <v>327</v>
      </c>
      <c r="G9" s="89"/>
      <c r="L9" s="89"/>
      <c r="M9" s="89"/>
      <c r="N9" s="89"/>
      <c r="O9" s="89"/>
      <c r="P9" s="89"/>
      <c r="Q9" s="89"/>
    </row>
    <row r="10" spans="1:20">
      <c r="B10" s="88" t="s">
        <v>328</v>
      </c>
      <c r="C10" s="88"/>
      <c r="D10" s="88"/>
      <c r="E10" s="12"/>
      <c r="F10" s="90"/>
      <c r="G10" s="90"/>
      <c r="H10" s="12"/>
      <c r="I10" s="90"/>
      <c r="J10" s="12"/>
      <c r="K10" s="12"/>
      <c r="L10" s="12"/>
      <c r="M10" s="12"/>
      <c r="N10" s="12"/>
      <c r="O10" s="12"/>
      <c r="P10" s="12"/>
      <c r="Q10" s="12"/>
    </row>
    <row r="11" spans="1:20" ht="15" customHeight="1">
      <c r="C11" s="646" t="s">
        <v>329</v>
      </c>
      <c r="D11" s="647"/>
      <c r="E11" s="953" t="s">
        <v>330</v>
      </c>
      <c r="F11" s="954" t="s">
        <v>331</v>
      </c>
      <c r="G11" s="954" t="s">
        <v>331</v>
      </c>
      <c r="H11" s="648" t="s">
        <v>331</v>
      </c>
      <c r="I11" s="954" t="s">
        <v>331</v>
      </c>
      <c r="J11" s="954" t="s">
        <v>331</v>
      </c>
      <c r="K11" s="648" t="s">
        <v>331</v>
      </c>
      <c r="L11" s="954" t="s">
        <v>331</v>
      </c>
      <c r="M11" s="954" t="s">
        <v>331</v>
      </c>
      <c r="N11" s="648" t="s">
        <v>331</v>
      </c>
      <c r="O11" s="954" t="s">
        <v>331</v>
      </c>
      <c r="P11" s="954" t="s">
        <v>331</v>
      </c>
      <c r="Q11" s="649" t="s">
        <v>331</v>
      </c>
    </row>
    <row r="12" spans="1:20">
      <c r="B12" s="13"/>
      <c r="C12" s="1034" t="s">
        <v>332</v>
      </c>
      <c r="D12" s="1035" t="s">
        <v>333</v>
      </c>
      <c r="E12" s="1036">
        <f>+E8</f>
        <v>2026</v>
      </c>
      <c r="F12" s="1037" t="s">
        <v>334</v>
      </c>
      <c r="G12" s="1037" t="s">
        <v>335</v>
      </c>
      <c r="H12" s="1038" t="s">
        <v>336</v>
      </c>
      <c r="I12" s="1037" t="s">
        <v>337</v>
      </c>
      <c r="J12" s="1037" t="s">
        <v>338</v>
      </c>
      <c r="K12" s="1038" t="s">
        <v>339</v>
      </c>
      <c r="L12" s="1037" t="s">
        <v>340</v>
      </c>
      <c r="M12" s="1037" t="s">
        <v>341</v>
      </c>
      <c r="N12" s="1038" t="s">
        <v>342</v>
      </c>
      <c r="O12" s="1037" t="s">
        <v>343</v>
      </c>
      <c r="P12" s="1037" t="s">
        <v>344</v>
      </c>
      <c r="Q12" s="1039" t="s">
        <v>345</v>
      </c>
      <c r="T12" s="201" t="s">
        <v>346</v>
      </c>
    </row>
    <row r="13" spans="1:20">
      <c r="A13" s="424">
        <f>ROW()</f>
        <v>13</v>
      </c>
      <c r="B13" s="1043" t="s">
        <v>347</v>
      </c>
      <c r="C13" s="1043"/>
      <c r="D13" s="1043"/>
      <c r="E13" s="1044"/>
      <c r="F13" s="1045"/>
      <c r="G13" s="1045"/>
      <c r="H13" s="1045"/>
      <c r="I13" s="1045"/>
      <c r="J13" s="1045"/>
      <c r="K13" s="1045"/>
      <c r="L13" s="1045"/>
      <c r="M13" s="1045"/>
      <c r="N13" s="1045"/>
      <c r="O13" s="1045"/>
      <c r="P13" s="1045"/>
      <c r="Q13" s="1045"/>
    </row>
    <row r="14" spans="1:20">
      <c r="A14" s="424">
        <f>ROW()</f>
        <v>14</v>
      </c>
      <c r="B14" s="1085" t="s">
        <v>1191</v>
      </c>
      <c r="C14" s="1040">
        <f>' Enrol &amp; Rev'!H86</f>
        <v>1412100</v>
      </c>
      <c r="D14" s="1040">
        <f>+C14-E14</f>
        <v>0</v>
      </c>
      <c r="E14" s="1040">
        <f>SUM(F14:Q14)</f>
        <v>1412100</v>
      </c>
      <c r="F14" s="1041">
        <f>(C14/4)*0.75</f>
        <v>264768.75</v>
      </c>
      <c r="G14" s="1042"/>
      <c r="H14" s="1042"/>
      <c r="I14" s="1041">
        <f>+(C14-F14)/3</f>
        <v>382443.75</v>
      </c>
      <c r="J14" s="1042"/>
      <c r="K14" s="1042"/>
      <c r="L14" s="1042">
        <f>+I14</f>
        <v>382443.75</v>
      </c>
      <c r="M14" s="1042"/>
      <c r="N14" s="1042"/>
      <c r="O14" s="1042">
        <f>+L14</f>
        <v>382443.75</v>
      </c>
      <c r="P14" s="1042"/>
      <c r="Q14" s="1042"/>
      <c r="T14" s="421" t="s">
        <v>348</v>
      </c>
    </row>
    <row r="15" spans="1:20">
      <c r="A15" s="424">
        <f>ROW()</f>
        <v>15</v>
      </c>
      <c r="B15" s="1086" t="s">
        <v>1192</v>
      </c>
      <c r="C15" s="641">
        <f>' Enrol &amp; Rev'!H87</f>
        <v>-17651.25</v>
      </c>
      <c r="D15" s="641">
        <f t="shared" ref="D15:D30" si="0">+C15-E15</f>
        <v>0</v>
      </c>
      <c r="E15" s="641">
        <f>SUM(F15:Q15)</f>
        <v>-17651.25</v>
      </c>
      <c r="F15" s="642">
        <f>-0.0125*F14</f>
        <v>-3309.609375</v>
      </c>
      <c r="G15" s="642">
        <f t="shared" ref="G15:Q15" si="1">-0.0125*G14</f>
        <v>0</v>
      </c>
      <c r="H15" s="642">
        <f t="shared" si="1"/>
        <v>0</v>
      </c>
      <c r="I15" s="642">
        <f t="shared" si="1"/>
        <v>-4780.546875</v>
      </c>
      <c r="J15" s="642">
        <f t="shared" si="1"/>
        <v>0</v>
      </c>
      <c r="K15" s="642">
        <f t="shared" si="1"/>
        <v>0</v>
      </c>
      <c r="L15" s="642">
        <f t="shared" si="1"/>
        <v>-4780.546875</v>
      </c>
      <c r="M15" s="642">
        <f t="shared" si="1"/>
        <v>0</v>
      </c>
      <c r="N15" s="642">
        <f t="shared" si="1"/>
        <v>0</v>
      </c>
      <c r="O15" s="642">
        <f t="shared" si="1"/>
        <v>-4780.546875</v>
      </c>
      <c r="P15" s="642">
        <f t="shared" si="1"/>
        <v>0</v>
      </c>
      <c r="Q15" s="642">
        <f t="shared" si="1"/>
        <v>0</v>
      </c>
      <c r="T15" s="421" t="s">
        <v>349</v>
      </c>
    </row>
    <row r="16" spans="1:20">
      <c r="A16" s="424">
        <f>ROW()</f>
        <v>16</v>
      </c>
      <c r="B16" s="1086" t="s">
        <v>128</v>
      </c>
      <c r="C16" s="641">
        <f>' Enrol &amp; Rev'!H92</f>
        <v>44625</v>
      </c>
      <c r="D16" s="641">
        <f t="shared" si="0"/>
        <v>0</v>
      </c>
      <c r="E16" s="641">
        <f>SUM(F16:Q16)</f>
        <v>44625</v>
      </c>
      <c r="F16" s="642"/>
      <c r="G16" s="642"/>
      <c r="H16" s="642"/>
      <c r="I16" s="642"/>
      <c r="J16" s="642"/>
      <c r="K16" s="642"/>
      <c r="L16" s="642"/>
      <c r="M16" s="642"/>
      <c r="N16" s="642">
        <f>$C$16/4</f>
        <v>11156.25</v>
      </c>
      <c r="O16" s="642">
        <f>$C$16/4</f>
        <v>11156.25</v>
      </c>
      <c r="P16" s="642">
        <f>$C$16/4</f>
        <v>11156.25</v>
      </c>
      <c r="Q16" s="642">
        <f>$C$16/4</f>
        <v>11156.25</v>
      </c>
      <c r="T16" s="421" t="s">
        <v>1346</v>
      </c>
    </row>
    <row r="17" spans="1:20">
      <c r="A17" s="424">
        <f>ROW()</f>
        <v>17</v>
      </c>
      <c r="B17" s="1086" t="s">
        <v>129</v>
      </c>
      <c r="C17" s="641">
        <f>' Enrol &amp; Rev'!H93</f>
        <v>9832.5</v>
      </c>
      <c r="D17" s="641">
        <f t="shared" si="0"/>
        <v>0</v>
      </c>
      <c r="E17" s="641">
        <f>SUM(F17:Q17)</f>
        <v>9832.5</v>
      </c>
      <c r="F17" s="642"/>
      <c r="G17" s="642"/>
      <c r="H17" s="642"/>
      <c r="I17" s="642"/>
      <c r="J17" s="642"/>
      <c r="K17" s="642"/>
      <c r="L17" s="642"/>
      <c r="M17" s="642"/>
      <c r="N17" s="642">
        <f>$C$17/4</f>
        <v>2458.125</v>
      </c>
      <c r="O17" s="642">
        <f>$C$17/4</f>
        <v>2458.125</v>
      </c>
      <c r="P17" s="642">
        <f>$C$17/4</f>
        <v>2458.125</v>
      </c>
      <c r="Q17" s="642">
        <f>$C$17/4</f>
        <v>2458.125</v>
      </c>
      <c r="T17" s="421" t="s">
        <v>1346</v>
      </c>
    </row>
    <row r="18" spans="1:20">
      <c r="A18" s="424">
        <f>ROW()</f>
        <v>18</v>
      </c>
      <c r="B18" s="1086" t="s">
        <v>130</v>
      </c>
      <c r="C18" s="641">
        <f>' Enrol &amp; Rev'!H94</f>
        <v>1655.8500000000001</v>
      </c>
      <c r="D18" s="641">
        <f t="shared" si="0"/>
        <v>0</v>
      </c>
      <c r="E18" s="641">
        <f t="shared" ref="E18:E29" si="2">SUM(F18:Q18)</f>
        <v>1655.8500000000001</v>
      </c>
      <c r="F18" s="642"/>
      <c r="G18" s="642">
        <v>0</v>
      </c>
      <c r="H18" s="642">
        <v>0</v>
      </c>
      <c r="I18" s="642">
        <v>0</v>
      </c>
      <c r="J18" s="642">
        <v>0</v>
      </c>
      <c r="K18" s="642">
        <v>0</v>
      </c>
      <c r="L18" s="642">
        <v>0</v>
      </c>
      <c r="M18" s="642">
        <v>0</v>
      </c>
      <c r="N18" s="642">
        <f>$C$18/4</f>
        <v>413.96250000000003</v>
      </c>
      <c r="O18" s="642">
        <f>$C$18/4</f>
        <v>413.96250000000003</v>
      </c>
      <c r="P18" s="642">
        <f>$C$18/4</f>
        <v>413.96250000000003</v>
      </c>
      <c r="Q18" s="642">
        <f>$C$18/4</f>
        <v>413.96250000000003</v>
      </c>
      <c r="T18" s="421" t="s">
        <v>1346</v>
      </c>
    </row>
    <row r="19" spans="1:20">
      <c r="A19" s="424">
        <f>ROW()</f>
        <v>19</v>
      </c>
      <c r="B19" s="1086" t="s">
        <v>132</v>
      </c>
      <c r="C19" s="641">
        <f>' Enrol &amp; Rev'!HI96</f>
        <v>0</v>
      </c>
      <c r="D19" s="641">
        <f t="shared" si="0"/>
        <v>0</v>
      </c>
      <c r="E19" s="641">
        <f t="shared" si="2"/>
        <v>0</v>
      </c>
      <c r="F19" s="643"/>
      <c r="G19" s="642">
        <v>0</v>
      </c>
      <c r="H19" s="642">
        <v>0</v>
      </c>
      <c r="I19" s="642">
        <f>$C$19/10</f>
        <v>0</v>
      </c>
      <c r="J19" s="642">
        <f t="shared" ref="J19:P19" si="3">$C$19/10</f>
        <v>0</v>
      </c>
      <c r="K19" s="642">
        <f t="shared" si="3"/>
        <v>0</v>
      </c>
      <c r="L19" s="642">
        <f t="shared" si="3"/>
        <v>0</v>
      </c>
      <c r="M19" s="642">
        <f t="shared" si="3"/>
        <v>0</v>
      </c>
      <c r="N19" s="642">
        <f t="shared" si="3"/>
        <v>0</v>
      </c>
      <c r="O19" s="642">
        <f t="shared" si="3"/>
        <v>0</v>
      </c>
      <c r="P19" s="642">
        <f t="shared" si="3"/>
        <v>0</v>
      </c>
      <c r="Q19" s="642">
        <f>$C$19/10*2</f>
        <v>0</v>
      </c>
      <c r="T19" s="421" t="s">
        <v>1378</v>
      </c>
    </row>
    <row r="20" spans="1:20">
      <c r="A20" s="424">
        <f>ROW()</f>
        <v>20</v>
      </c>
      <c r="B20" s="1086" t="s">
        <v>133</v>
      </c>
      <c r="C20" s="641">
        <f>' Enrol &amp; Rev'!H97</f>
        <v>82813.799999999988</v>
      </c>
      <c r="D20" s="641">
        <f t="shared" si="0"/>
        <v>0</v>
      </c>
      <c r="E20" s="641">
        <f t="shared" si="2"/>
        <v>82813.799999999988</v>
      </c>
      <c r="F20" s="643"/>
      <c r="G20" s="642">
        <v>0</v>
      </c>
      <c r="H20" s="642">
        <v>0</v>
      </c>
      <c r="I20" s="642">
        <f>$C$20/10</f>
        <v>8281.3799999999992</v>
      </c>
      <c r="J20" s="642">
        <f t="shared" ref="J20:P20" si="4">$C$20/10</f>
        <v>8281.3799999999992</v>
      </c>
      <c r="K20" s="642">
        <f t="shared" si="4"/>
        <v>8281.3799999999992</v>
      </c>
      <c r="L20" s="642">
        <f t="shared" si="4"/>
        <v>8281.3799999999992</v>
      </c>
      <c r="M20" s="642">
        <f t="shared" si="4"/>
        <v>8281.3799999999992</v>
      </c>
      <c r="N20" s="642">
        <f t="shared" si="4"/>
        <v>8281.3799999999992</v>
      </c>
      <c r="O20" s="642">
        <f t="shared" si="4"/>
        <v>8281.3799999999992</v>
      </c>
      <c r="P20" s="642">
        <f t="shared" si="4"/>
        <v>8281.3799999999992</v>
      </c>
      <c r="Q20" s="642">
        <f>$C$20/10*2</f>
        <v>16562.759999999998</v>
      </c>
      <c r="T20" s="421" t="s">
        <v>1378</v>
      </c>
    </row>
    <row r="21" spans="1:20">
      <c r="A21" s="424">
        <f>ROW()</f>
        <v>21</v>
      </c>
      <c r="B21" s="1086" t="s">
        <v>134</v>
      </c>
      <c r="C21" s="641">
        <f>' Enrol &amp; Rev'!H98</f>
        <v>29250</v>
      </c>
      <c r="D21" s="641">
        <f t="shared" si="0"/>
        <v>0</v>
      </c>
      <c r="E21" s="641">
        <f t="shared" si="2"/>
        <v>29250</v>
      </c>
      <c r="F21" s="643"/>
      <c r="G21" s="642"/>
      <c r="H21" s="642"/>
      <c r="I21" s="642"/>
      <c r="J21" s="643"/>
      <c r="K21" s="642"/>
      <c r="L21" s="642"/>
      <c r="M21" s="642"/>
      <c r="N21" s="642">
        <f>$C$21/4</f>
        <v>7312.5</v>
      </c>
      <c r="O21" s="642">
        <f>$C$21/4</f>
        <v>7312.5</v>
      </c>
      <c r="P21" s="642">
        <f t="shared" ref="P21:Q21" si="5">$C$21/4</f>
        <v>7312.5</v>
      </c>
      <c r="Q21" s="642">
        <f t="shared" si="5"/>
        <v>7312.5</v>
      </c>
      <c r="T21" s="421"/>
    </row>
    <row r="22" spans="1:20">
      <c r="A22" s="424">
        <f>ROW()</f>
        <v>22</v>
      </c>
      <c r="B22" s="1086" t="s">
        <v>313</v>
      </c>
      <c r="C22" s="641">
        <f>' Enrol &amp; Rev'!H99</f>
        <v>0</v>
      </c>
      <c r="D22" s="641">
        <f t="shared" si="0"/>
        <v>0</v>
      </c>
      <c r="E22" s="641">
        <f t="shared" si="2"/>
        <v>0</v>
      </c>
      <c r="F22" s="643"/>
      <c r="G22" s="642"/>
      <c r="H22" s="642"/>
      <c r="I22" s="642"/>
      <c r="J22" s="643"/>
      <c r="K22" s="642"/>
      <c r="L22" s="642"/>
      <c r="M22" s="642"/>
      <c r="N22" s="643"/>
      <c r="O22" s="642"/>
      <c r="P22" s="642"/>
      <c r="Q22" s="642">
        <v>0</v>
      </c>
      <c r="T22" s="421"/>
    </row>
    <row r="23" spans="1:20">
      <c r="A23" s="424">
        <f>ROW()</f>
        <v>23</v>
      </c>
      <c r="B23" s="1086" t="s">
        <v>350</v>
      </c>
      <c r="C23" s="641">
        <f>' Enrol &amp; Rev'!H100</f>
        <v>0</v>
      </c>
      <c r="D23" s="641">
        <f t="shared" si="0"/>
        <v>0</v>
      </c>
      <c r="E23" s="641">
        <f t="shared" si="2"/>
        <v>0</v>
      </c>
      <c r="F23" s="643"/>
      <c r="G23" s="642"/>
      <c r="H23" s="642"/>
      <c r="I23" s="642"/>
      <c r="J23" s="643"/>
      <c r="K23" s="642"/>
      <c r="L23" s="642"/>
      <c r="M23" s="642"/>
      <c r="N23" s="643"/>
      <c r="O23" s="642"/>
      <c r="P23" s="642"/>
      <c r="Q23" s="642"/>
      <c r="T23" s="421"/>
    </row>
    <row r="24" spans="1:20">
      <c r="A24" s="424">
        <f>ROW()</f>
        <v>24</v>
      </c>
      <c r="B24" s="1086" t="s">
        <v>351</v>
      </c>
      <c r="C24" s="641">
        <f>' Enrol &amp; Rev'!H101</f>
        <v>67674</v>
      </c>
      <c r="D24" s="641">
        <f t="shared" si="0"/>
        <v>0</v>
      </c>
      <c r="E24" s="641">
        <f t="shared" si="2"/>
        <v>67674</v>
      </c>
      <c r="F24" s="642">
        <f>$C$24*(1/6)</f>
        <v>11279</v>
      </c>
      <c r="G24" s="642">
        <f>$C$24*(1/6)</f>
        <v>11279</v>
      </c>
      <c r="H24" s="642">
        <f>$C$24*(1/6)</f>
        <v>11279</v>
      </c>
      <c r="I24" s="642">
        <f>$C$24*(1/6)</f>
        <v>11279</v>
      </c>
      <c r="J24" s="643"/>
      <c r="K24" s="642"/>
      <c r="L24" s="642"/>
      <c r="M24" s="642">
        <f>$C$24*(1/6)</f>
        <v>11279</v>
      </c>
      <c r="N24" s="643"/>
      <c r="O24" s="642">
        <f>$C$24*(1/6)</f>
        <v>11279</v>
      </c>
      <c r="P24" s="642"/>
      <c r="Q24" s="642"/>
      <c r="T24" s="421" t="s">
        <v>1379</v>
      </c>
    </row>
    <row r="25" spans="1:20">
      <c r="A25" s="424">
        <f>ROW()</f>
        <v>25</v>
      </c>
      <c r="B25" s="1086" t="s">
        <v>142</v>
      </c>
      <c r="C25" s="641">
        <f>' Enrol &amp; Rev'!H102</f>
        <v>0</v>
      </c>
      <c r="D25" s="641">
        <f t="shared" si="0"/>
        <v>0</v>
      </c>
      <c r="E25" s="641">
        <f t="shared" si="2"/>
        <v>0</v>
      </c>
      <c r="F25" s="643">
        <f>C25</f>
        <v>0</v>
      </c>
      <c r="G25" s="642"/>
      <c r="H25" s="642"/>
      <c r="I25" s="642"/>
      <c r="J25" s="643"/>
      <c r="K25" s="642"/>
      <c r="L25" s="642"/>
      <c r="M25" s="642"/>
      <c r="N25" s="643"/>
      <c r="O25" s="642"/>
      <c r="P25" s="642"/>
      <c r="Q25" s="642"/>
      <c r="T25" s="421"/>
    </row>
    <row r="26" spans="1:20">
      <c r="A26" s="424">
        <f>ROW()</f>
        <v>26</v>
      </c>
      <c r="B26" s="1086" t="s">
        <v>352</v>
      </c>
      <c r="C26" s="641">
        <f>' Enrol &amp; Rev'!H103</f>
        <v>0</v>
      </c>
      <c r="D26" s="641">
        <f t="shared" si="0"/>
        <v>0</v>
      </c>
      <c r="E26" s="641">
        <f t="shared" si="2"/>
        <v>0</v>
      </c>
      <c r="F26" s="643"/>
      <c r="G26" s="642">
        <v>0</v>
      </c>
      <c r="H26" s="642">
        <v>0</v>
      </c>
      <c r="I26" s="642">
        <v>0</v>
      </c>
      <c r="J26" s="642">
        <v>0</v>
      </c>
      <c r="K26" s="642">
        <v>0</v>
      </c>
      <c r="L26" s="642">
        <v>0</v>
      </c>
      <c r="M26" s="642">
        <v>0</v>
      </c>
      <c r="N26" s="642">
        <v>0</v>
      </c>
      <c r="O26" s="642">
        <v>0</v>
      </c>
      <c r="P26" s="642">
        <v>0</v>
      </c>
      <c r="Q26" s="642"/>
      <c r="T26" s="421"/>
    </row>
    <row r="27" spans="1:20">
      <c r="A27" s="424">
        <f>ROW()</f>
        <v>27</v>
      </c>
      <c r="B27" s="1086" t="s">
        <v>141</v>
      </c>
      <c r="C27" s="641">
        <f>' Enrol &amp; Rev'!H106</f>
        <v>0</v>
      </c>
      <c r="D27" s="641">
        <f t="shared" si="0"/>
        <v>0</v>
      </c>
      <c r="E27" s="641">
        <f t="shared" si="2"/>
        <v>0</v>
      </c>
      <c r="F27" s="643"/>
      <c r="G27" s="642"/>
      <c r="H27" s="642"/>
      <c r="I27" s="642"/>
      <c r="J27" s="643"/>
      <c r="K27" s="642"/>
      <c r="L27" s="642"/>
      <c r="M27" s="642"/>
      <c r="N27" s="643"/>
      <c r="O27" s="642"/>
      <c r="P27" s="642"/>
      <c r="Q27" s="642"/>
      <c r="T27" s="421"/>
    </row>
    <row r="28" spans="1:20">
      <c r="A28" s="424">
        <f>ROW()</f>
        <v>28</v>
      </c>
      <c r="B28" s="1086" t="s">
        <v>353</v>
      </c>
      <c r="C28" s="641">
        <f>' Enrol &amp; Rev'!H107</f>
        <v>120000</v>
      </c>
      <c r="D28" s="641">
        <f t="shared" si="0"/>
        <v>120000</v>
      </c>
      <c r="E28" s="641">
        <f t="shared" si="2"/>
        <v>0</v>
      </c>
      <c r="F28" s="643"/>
      <c r="G28" s="642">
        <v>0</v>
      </c>
      <c r="H28" s="642">
        <v>0</v>
      </c>
      <c r="I28" s="642"/>
      <c r="J28" s="643"/>
      <c r="K28" s="642"/>
      <c r="L28" s="642"/>
      <c r="M28" s="642"/>
      <c r="N28" s="643"/>
      <c r="O28" s="642"/>
      <c r="P28" s="642"/>
      <c r="Q28" s="642"/>
      <c r="T28" s="421"/>
    </row>
    <row r="29" spans="1:20">
      <c r="A29" s="424">
        <f>ROW()</f>
        <v>29</v>
      </c>
      <c r="B29" s="1087" t="s">
        <v>354</v>
      </c>
      <c r="C29" s="644">
        <f>+' Enrol &amp; Rev'!H108</f>
        <v>60000</v>
      </c>
      <c r="D29" s="661">
        <f t="shared" si="0"/>
        <v>60000</v>
      </c>
      <c r="E29" s="661">
        <f t="shared" si="2"/>
        <v>0</v>
      </c>
      <c r="F29" s="1033">
        <v>0</v>
      </c>
      <c r="G29" s="662">
        <v>0</v>
      </c>
      <c r="H29" s="662"/>
      <c r="I29" s="662"/>
      <c r="J29" s="662"/>
      <c r="K29" s="662"/>
      <c r="L29" s="662">
        <v>0</v>
      </c>
      <c r="M29" s="662"/>
      <c r="N29" s="662"/>
      <c r="O29" s="662"/>
      <c r="P29" s="662"/>
      <c r="Q29" s="662"/>
      <c r="T29" s="421" t="s">
        <v>1406</v>
      </c>
    </row>
    <row r="30" spans="1:20">
      <c r="A30" s="424">
        <f>ROW()</f>
        <v>30</v>
      </c>
      <c r="B30" s="1088" t="s">
        <v>355</v>
      </c>
      <c r="C30" s="658">
        <f>+' Enrol &amp; Rev'!H109</f>
        <v>1856281.5000000002</v>
      </c>
      <c r="D30" s="658">
        <f t="shared" si="0"/>
        <v>225981.60000000009</v>
      </c>
      <c r="E30" s="659">
        <f t="shared" ref="E30:Q30" si="6">SUM(E14:E29)</f>
        <v>1630299.9000000001</v>
      </c>
      <c r="F30" s="658">
        <f t="shared" si="6"/>
        <v>272738.140625</v>
      </c>
      <c r="G30" s="658">
        <f t="shared" si="6"/>
        <v>11279</v>
      </c>
      <c r="H30" s="658">
        <f>SUM(H14:H29)</f>
        <v>11279</v>
      </c>
      <c r="I30" s="658">
        <f t="shared" si="6"/>
        <v>397223.583125</v>
      </c>
      <c r="J30" s="658">
        <f t="shared" si="6"/>
        <v>8281.3799999999992</v>
      </c>
      <c r="K30" s="658">
        <f t="shared" si="6"/>
        <v>8281.3799999999992</v>
      </c>
      <c r="L30" s="658">
        <f t="shared" si="6"/>
        <v>385944.583125</v>
      </c>
      <c r="M30" s="658">
        <f t="shared" si="6"/>
        <v>19560.379999999997</v>
      </c>
      <c r="N30" s="658">
        <f t="shared" si="6"/>
        <v>29622.217499999999</v>
      </c>
      <c r="O30" s="658">
        <f t="shared" si="6"/>
        <v>418564.42062500003</v>
      </c>
      <c r="P30" s="658">
        <f t="shared" si="6"/>
        <v>29622.217499999999</v>
      </c>
      <c r="Q30" s="660">
        <f t="shared" si="6"/>
        <v>37903.597499999996</v>
      </c>
      <c r="T30" s="421"/>
    </row>
    <row r="31" spans="1:20">
      <c r="A31" s="424">
        <f>ROW()</f>
        <v>31</v>
      </c>
      <c r="B31" s="13" t="s">
        <v>356</v>
      </c>
      <c r="C31" s="13"/>
      <c r="D31" s="650" t="str">
        <f>IF(ABS(D30)&gt;(0.0025*E30),"Var",0)</f>
        <v>Var</v>
      </c>
      <c r="E31" s="651"/>
      <c r="F31" s="651">
        <f>F30</f>
        <v>272738.140625</v>
      </c>
      <c r="G31" s="652">
        <f t="shared" ref="G31:Q31" si="7">F31+G30</f>
        <v>284017.140625</v>
      </c>
      <c r="H31" s="652">
        <f t="shared" si="7"/>
        <v>295296.140625</v>
      </c>
      <c r="I31" s="652">
        <f t="shared" si="7"/>
        <v>692519.72375</v>
      </c>
      <c r="J31" s="652">
        <f t="shared" si="7"/>
        <v>700801.10375000001</v>
      </c>
      <c r="K31" s="652">
        <f t="shared" si="7"/>
        <v>709082.48375000001</v>
      </c>
      <c r="L31" s="652">
        <f t="shared" si="7"/>
        <v>1095027.066875</v>
      </c>
      <c r="M31" s="652">
        <f t="shared" si="7"/>
        <v>1114587.4468749999</v>
      </c>
      <c r="N31" s="652">
        <f t="shared" si="7"/>
        <v>1144209.6643749999</v>
      </c>
      <c r="O31" s="652">
        <f t="shared" si="7"/>
        <v>1562774.085</v>
      </c>
      <c r="P31" s="652">
        <f t="shared" si="7"/>
        <v>1592396.3025</v>
      </c>
      <c r="Q31" s="652">
        <f t="shared" si="7"/>
        <v>1630299.9</v>
      </c>
      <c r="T31" s="421"/>
    </row>
    <row r="32" spans="1:20">
      <c r="A32" s="424">
        <f>ROW()</f>
        <v>32</v>
      </c>
      <c r="B32" s="14" t="s">
        <v>357</v>
      </c>
      <c r="C32" s="14"/>
      <c r="D32" s="653"/>
      <c r="E32" s="12"/>
      <c r="F32" s="654">
        <f>IFERROR(F31/$E30,0)</f>
        <v>0.16729323275122571</v>
      </c>
      <c r="G32" s="654">
        <f t="shared" ref="G32:Q32" si="8">IFERROR(G31/$E30,0)</f>
        <v>0.17421159175989642</v>
      </c>
      <c r="H32" s="654">
        <f t="shared" si="8"/>
        <v>0.18112995076856717</v>
      </c>
      <c r="I32" s="654">
        <f t="shared" si="8"/>
        <v>0.42478057181381162</v>
      </c>
      <c r="J32" s="654">
        <f t="shared" si="8"/>
        <v>0.42986023844447269</v>
      </c>
      <c r="K32" s="654">
        <f t="shared" si="8"/>
        <v>0.43493990507513369</v>
      </c>
      <c r="L32" s="654">
        <f t="shared" si="8"/>
        <v>0.67167216711170741</v>
      </c>
      <c r="M32" s="654">
        <f t="shared" si="8"/>
        <v>0.68367019275103913</v>
      </c>
      <c r="N32" s="654">
        <f t="shared" si="8"/>
        <v>0.70183998930196823</v>
      </c>
      <c r="O32" s="654">
        <f t="shared" si="8"/>
        <v>0.95858074026748075</v>
      </c>
      <c r="P32" s="654">
        <f t="shared" si="8"/>
        <v>0.97675053681840984</v>
      </c>
      <c r="Q32" s="654">
        <f t="shared" si="8"/>
        <v>0.99999999999999989</v>
      </c>
      <c r="T32" s="421"/>
    </row>
    <row r="33" spans="1:20">
      <c r="A33" s="424">
        <f>ROW()</f>
        <v>33</v>
      </c>
      <c r="B33" s="12"/>
      <c r="C33" s="12"/>
      <c r="D33" s="12"/>
      <c r="E33" s="12"/>
      <c r="F33" s="655"/>
      <c r="G33" s="656"/>
      <c r="H33" s="656"/>
      <c r="I33" s="656"/>
      <c r="J33" s="655"/>
      <c r="K33" s="656"/>
      <c r="L33" s="656"/>
      <c r="M33" s="656"/>
      <c r="N33" s="655"/>
      <c r="O33" s="656"/>
      <c r="P33" s="656"/>
      <c r="Q33" s="656"/>
      <c r="T33" s="421"/>
    </row>
    <row r="34" spans="1:20" ht="14.25" customHeight="1">
      <c r="A34" s="424">
        <f>ROW()</f>
        <v>34</v>
      </c>
      <c r="B34" s="1046" t="s">
        <v>358</v>
      </c>
      <c r="C34" s="1046"/>
      <c r="D34" s="1046"/>
      <c r="E34" s="1047"/>
      <c r="F34" s="1048"/>
      <c r="G34" s="1048"/>
      <c r="H34" s="1048"/>
      <c r="I34" s="1048"/>
      <c r="J34" s="1048"/>
      <c r="K34" s="1048"/>
      <c r="L34" s="1048"/>
      <c r="M34" s="1048"/>
      <c r="N34" s="1048"/>
      <c r="O34" s="1048"/>
      <c r="P34" s="1048"/>
      <c r="Q34" s="1048"/>
      <c r="T34" s="421"/>
    </row>
    <row r="35" spans="1:20">
      <c r="A35" s="424">
        <f>ROW()</f>
        <v>35</v>
      </c>
      <c r="B35" s="1030" t="s">
        <v>359</v>
      </c>
      <c r="C35" s="1031">
        <f>+Staff!H445</f>
        <v>845966.07304347819</v>
      </c>
      <c r="D35" s="1031">
        <f t="shared" ref="D35:D46" si="9">+C35-E35</f>
        <v>138910.07304347807</v>
      </c>
      <c r="E35" s="1031">
        <f t="shared" ref="E35:E45" si="10">SUM(F35:Q35)</f>
        <v>707056.00000000012</v>
      </c>
      <c r="F35" s="1032">
        <f>707056/12</f>
        <v>58921.333333333336</v>
      </c>
      <c r="G35" s="1032">
        <f t="shared" ref="G35:Q35" si="11">707056/12</f>
        <v>58921.333333333336</v>
      </c>
      <c r="H35" s="1032">
        <f t="shared" si="11"/>
        <v>58921.333333333336</v>
      </c>
      <c r="I35" s="1032">
        <f t="shared" si="11"/>
        <v>58921.333333333336</v>
      </c>
      <c r="J35" s="1032">
        <f t="shared" si="11"/>
        <v>58921.333333333336</v>
      </c>
      <c r="K35" s="1032">
        <f t="shared" si="11"/>
        <v>58921.333333333336</v>
      </c>
      <c r="L35" s="1032">
        <f t="shared" si="11"/>
        <v>58921.333333333336</v>
      </c>
      <c r="M35" s="1032">
        <f t="shared" si="11"/>
        <v>58921.333333333336</v>
      </c>
      <c r="N35" s="1032">
        <f t="shared" si="11"/>
        <v>58921.333333333336</v>
      </c>
      <c r="O35" s="1032">
        <f t="shared" si="11"/>
        <v>58921.333333333336</v>
      </c>
      <c r="P35" s="1032">
        <f t="shared" si="11"/>
        <v>58921.333333333336</v>
      </c>
      <c r="Q35" s="1032">
        <f t="shared" si="11"/>
        <v>58921.333333333336</v>
      </c>
      <c r="T35" s="421" t="s">
        <v>1350</v>
      </c>
    </row>
    <row r="36" spans="1:20">
      <c r="A36" s="424">
        <f>ROW()</f>
        <v>36</v>
      </c>
      <c r="B36" s="1027" t="s">
        <v>360</v>
      </c>
      <c r="C36" s="641">
        <f>'Gen Optg'!G102</f>
        <v>146225</v>
      </c>
      <c r="D36" s="641">
        <f t="shared" si="9"/>
        <v>6518.9999999999418</v>
      </c>
      <c r="E36" s="641">
        <f>SUM(F36:Q36)</f>
        <v>139706.00000000006</v>
      </c>
      <c r="F36" s="642">
        <f>C36*0.4</f>
        <v>58490</v>
      </c>
      <c r="G36" s="642">
        <f>C36*0.4</f>
        <v>58490</v>
      </c>
      <c r="H36" s="642">
        <f>22726/10</f>
        <v>2272.6</v>
      </c>
      <c r="I36" s="642">
        <f t="shared" ref="I36:Q36" si="12">22726/10</f>
        <v>2272.6</v>
      </c>
      <c r="J36" s="642">
        <f t="shared" si="12"/>
        <v>2272.6</v>
      </c>
      <c r="K36" s="642">
        <f t="shared" si="12"/>
        <v>2272.6</v>
      </c>
      <c r="L36" s="642">
        <f t="shared" si="12"/>
        <v>2272.6</v>
      </c>
      <c r="M36" s="642">
        <f t="shared" si="12"/>
        <v>2272.6</v>
      </c>
      <c r="N36" s="642">
        <f t="shared" si="12"/>
        <v>2272.6</v>
      </c>
      <c r="O36" s="642">
        <f t="shared" si="12"/>
        <v>2272.6</v>
      </c>
      <c r="P36" s="642">
        <f t="shared" si="12"/>
        <v>2272.6</v>
      </c>
      <c r="Q36" s="642">
        <f t="shared" si="12"/>
        <v>2272.6</v>
      </c>
      <c r="T36" s="421" t="s">
        <v>1376</v>
      </c>
    </row>
    <row r="37" spans="1:20">
      <c r="A37" s="424">
        <f>ROW()</f>
        <v>37</v>
      </c>
      <c r="B37" s="1027" t="s">
        <v>361</v>
      </c>
      <c r="C37" s="641">
        <f>+'Gen Optg'!G110</f>
        <v>27785</v>
      </c>
      <c r="D37" s="641">
        <f t="shared" si="9"/>
        <v>0</v>
      </c>
      <c r="E37" s="641">
        <f t="shared" si="10"/>
        <v>27785</v>
      </c>
      <c r="F37" s="642">
        <v>0</v>
      </c>
      <c r="G37" s="642">
        <v>0</v>
      </c>
      <c r="H37" s="642">
        <f>$C$37/10</f>
        <v>2778.5</v>
      </c>
      <c r="I37" s="642">
        <f t="shared" ref="I37:Q37" si="13">$C$37/10</f>
        <v>2778.5</v>
      </c>
      <c r="J37" s="642">
        <f t="shared" si="13"/>
        <v>2778.5</v>
      </c>
      <c r="K37" s="642">
        <f t="shared" si="13"/>
        <v>2778.5</v>
      </c>
      <c r="L37" s="642">
        <f t="shared" si="13"/>
        <v>2778.5</v>
      </c>
      <c r="M37" s="642">
        <f t="shared" si="13"/>
        <v>2778.5</v>
      </c>
      <c r="N37" s="642">
        <f t="shared" si="13"/>
        <v>2778.5</v>
      </c>
      <c r="O37" s="642">
        <f t="shared" si="13"/>
        <v>2778.5</v>
      </c>
      <c r="P37" s="642">
        <f t="shared" si="13"/>
        <v>2778.5</v>
      </c>
      <c r="Q37" s="642">
        <f t="shared" si="13"/>
        <v>2778.5</v>
      </c>
      <c r="T37" s="421"/>
    </row>
    <row r="38" spans="1:20">
      <c r="A38" s="424">
        <f>ROW()</f>
        <v>38</v>
      </c>
      <c r="B38" s="1027" t="s">
        <v>362</v>
      </c>
      <c r="C38" s="641">
        <f>'Gen Optg'!G146+'Gen Optg'!G118</f>
        <v>159205</v>
      </c>
      <c r="D38" s="641">
        <f t="shared" si="9"/>
        <v>0</v>
      </c>
      <c r="E38" s="641">
        <f t="shared" si="10"/>
        <v>159205</v>
      </c>
      <c r="F38" s="642">
        <v>0</v>
      </c>
      <c r="G38" s="642"/>
      <c r="H38" s="642">
        <f t="shared" ref="H38:Q38" si="14">$C$38/10</f>
        <v>15920.5</v>
      </c>
      <c r="I38" s="642">
        <f t="shared" si="14"/>
        <v>15920.5</v>
      </c>
      <c r="J38" s="642">
        <f t="shared" si="14"/>
        <v>15920.5</v>
      </c>
      <c r="K38" s="642">
        <f t="shared" si="14"/>
        <v>15920.5</v>
      </c>
      <c r="L38" s="642">
        <f t="shared" si="14"/>
        <v>15920.5</v>
      </c>
      <c r="M38" s="642">
        <f t="shared" si="14"/>
        <v>15920.5</v>
      </c>
      <c r="N38" s="642">
        <f t="shared" si="14"/>
        <v>15920.5</v>
      </c>
      <c r="O38" s="642">
        <f t="shared" si="14"/>
        <v>15920.5</v>
      </c>
      <c r="P38" s="642">
        <f t="shared" si="14"/>
        <v>15920.5</v>
      </c>
      <c r="Q38" s="642">
        <f t="shared" si="14"/>
        <v>15920.5</v>
      </c>
      <c r="T38" s="421"/>
    </row>
    <row r="39" spans="1:20">
      <c r="A39" s="424">
        <f>ROW()</f>
        <v>39</v>
      </c>
      <c r="B39" s="1028" t="s">
        <v>363</v>
      </c>
      <c r="C39" s="641">
        <f>'Gen Optg'!G159</f>
        <v>0</v>
      </c>
      <c r="D39" s="641">
        <f t="shared" si="9"/>
        <v>0</v>
      </c>
      <c r="E39" s="641">
        <f t="shared" si="10"/>
        <v>0</v>
      </c>
      <c r="F39" s="642">
        <v>0</v>
      </c>
      <c r="G39" s="642"/>
      <c r="H39" s="642">
        <v>0</v>
      </c>
      <c r="I39" s="642">
        <v>0</v>
      </c>
      <c r="J39" s="642">
        <v>0</v>
      </c>
      <c r="K39" s="642">
        <v>0</v>
      </c>
      <c r="L39" s="642">
        <v>0</v>
      </c>
      <c r="M39" s="642">
        <v>0</v>
      </c>
      <c r="N39" s="642">
        <v>0</v>
      </c>
      <c r="O39" s="642">
        <v>0</v>
      </c>
      <c r="P39" s="642">
        <v>0</v>
      </c>
      <c r="Q39" s="642">
        <v>0</v>
      </c>
      <c r="T39" s="421"/>
    </row>
    <row r="40" spans="1:20">
      <c r="A40" s="424">
        <f>ROW()</f>
        <v>40</v>
      </c>
      <c r="B40" s="1028" t="s">
        <v>364</v>
      </c>
      <c r="C40" s="641">
        <f>+'Gen Optg'!G161</f>
        <v>0</v>
      </c>
      <c r="D40" s="641">
        <f>+C40</f>
        <v>0</v>
      </c>
      <c r="E40" s="641">
        <f>+'Gen Optg'!G161</f>
        <v>0</v>
      </c>
      <c r="F40" s="642"/>
      <c r="G40" s="642"/>
      <c r="H40" s="642"/>
      <c r="I40" s="642"/>
      <c r="J40" s="642"/>
      <c r="K40" s="642"/>
      <c r="L40" s="642"/>
      <c r="M40" s="642"/>
      <c r="N40" s="642"/>
      <c r="O40" s="642"/>
      <c r="P40" s="642"/>
      <c r="Q40" s="642"/>
      <c r="T40" s="421"/>
    </row>
    <row r="41" spans="1:20">
      <c r="A41" s="424">
        <f>ROW()</f>
        <v>41</v>
      </c>
      <c r="B41" s="1029" t="s">
        <v>104</v>
      </c>
      <c r="C41" s="641">
        <f>Marketing!I44-50000-10000</f>
        <v>5000</v>
      </c>
      <c r="D41" s="641">
        <f t="shared" si="9"/>
        <v>0</v>
      </c>
      <c r="E41" s="641">
        <f t="shared" si="10"/>
        <v>5000</v>
      </c>
      <c r="F41" s="642">
        <v>0</v>
      </c>
      <c r="G41" s="642">
        <v>0</v>
      </c>
      <c r="H41" s="642">
        <v>0</v>
      </c>
      <c r="I41" s="642">
        <v>0</v>
      </c>
      <c r="J41" s="642">
        <v>0</v>
      </c>
      <c r="K41" s="642">
        <f>$C$41/4</f>
        <v>1250</v>
      </c>
      <c r="L41" s="642">
        <f t="shared" ref="L41:N41" si="15">$C$41/4</f>
        <v>1250</v>
      </c>
      <c r="M41" s="642">
        <f t="shared" si="15"/>
        <v>1250</v>
      </c>
      <c r="N41" s="642">
        <f t="shared" si="15"/>
        <v>1250</v>
      </c>
      <c r="O41" s="642">
        <v>0</v>
      </c>
      <c r="P41" s="642">
        <v>0</v>
      </c>
      <c r="Q41" s="642">
        <v>0</v>
      </c>
      <c r="T41" s="421"/>
    </row>
    <row r="42" spans="1:20">
      <c r="A42" s="424">
        <f>ROW()</f>
        <v>42</v>
      </c>
      <c r="B42" s="1027" t="s">
        <v>365</v>
      </c>
      <c r="C42" s="641">
        <f>Facilities!G68</f>
        <v>468396.25</v>
      </c>
      <c r="D42" s="641">
        <f t="shared" si="9"/>
        <v>0</v>
      </c>
      <c r="E42" s="641">
        <f t="shared" si="10"/>
        <v>468396.24999999994</v>
      </c>
      <c r="F42" s="642">
        <f>$C$42/12</f>
        <v>39033.020833333336</v>
      </c>
      <c r="G42" s="642">
        <f t="shared" ref="G42:Q42" si="16">$C$42/12</f>
        <v>39033.020833333336</v>
      </c>
      <c r="H42" s="642">
        <f t="shared" si="16"/>
        <v>39033.020833333336</v>
      </c>
      <c r="I42" s="642">
        <f t="shared" si="16"/>
        <v>39033.020833333336</v>
      </c>
      <c r="J42" s="642">
        <f t="shared" si="16"/>
        <v>39033.020833333336</v>
      </c>
      <c r="K42" s="642">
        <f t="shared" si="16"/>
        <v>39033.020833333336</v>
      </c>
      <c r="L42" s="642">
        <f t="shared" si="16"/>
        <v>39033.020833333336</v>
      </c>
      <c r="M42" s="642">
        <f t="shared" si="16"/>
        <v>39033.020833333336</v>
      </c>
      <c r="N42" s="642">
        <f t="shared" si="16"/>
        <v>39033.020833333336</v>
      </c>
      <c r="O42" s="642">
        <f t="shared" si="16"/>
        <v>39033.020833333336</v>
      </c>
      <c r="P42" s="642">
        <f t="shared" si="16"/>
        <v>39033.020833333336</v>
      </c>
      <c r="Q42" s="642">
        <f t="shared" si="16"/>
        <v>39033.020833333336</v>
      </c>
      <c r="T42" s="421"/>
    </row>
    <row r="43" spans="1:20">
      <c r="A43" s="424">
        <f>ROW()</f>
        <v>43</v>
      </c>
      <c r="B43" s="1028" t="s">
        <v>366</v>
      </c>
      <c r="C43" s="641">
        <f>Facilities!G94</f>
        <v>0</v>
      </c>
      <c r="D43" s="641"/>
      <c r="E43" s="641">
        <f>SUM(F43:Q43)</f>
        <v>0</v>
      </c>
      <c r="F43" s="642">
        <v>0</v>
      </c>
      <c r="G43" s="642">
        <v>0</v>
      </c>
      <c r="H43" s="642">
        <v>0</v>
      </c>
      <c r="I43" s="642">
        <v>0</v>
      </c>
      <c r="J43" s="642">
        <v>0</v>
      </c>
      <c r="K43" s="642">
        <v>0</v>
      </c>
      <c r="L43" s="642">
        <v>0</v>
      </c>
      <c r="M43" s="642">
        <v>0</v>
      </c>
      <c r="N43" s="642">
        <v>0</v>
      </c>
      <c r="O43" s="642">
        <v>0</v>
      </c>
      <c r="P43" s="642">
        <v>0</v>
      </c>
      <c r="Q43" s="642">
        <v>0</v>
      </c>
      <c r="T43" s="421"/>
    </row>
    <row r="44" spans="1:20">
      <c r="A44" s="424">
        <f>ROW()</f>
        <v>44</v>
      </c>
      <c r="B44" s="1028" t="s">
        <v>100</v>
      </c>
      <c r="C44" s="641">
        <f>+'FFE&amp;T'!G38</f>
        <v>82188</v>
      </c>
      <c r="D44" s="641">
        <f t="shared" si="9"/>
        <v>-2670.2000000000262</v>
      </c>
      <c r="E44" s="641">
        <f t="shared" si="10"/>
        <v>84858.200000000026</v>
      </c>
      <c r="F44" s="642">
        <f>C44*0.2</f>
        <v>16437.600000000002</v>
      </c>
      <c r="G44" s="642">
        <f>C44*0.5</f>
        <v>41094</v>
      </c>
      <c r="H44" s="642">
        <f>C44*0.2</f>
        <v>16437.600000000002</v>
      </c>
      <c r="I44" s="642">
        <f>10889/9</f>
        <v>1209.8888888888889</v>
      </c>
      <c r="J44" s="642">
        <f t="shared" ref="J44:Q44" si="17">10889/9</f>
        <v>1209.8888888888889</v>
      </c>
      <c r="K44" s="642">
        <f t="shared" si="17"/>
        <v>1209.8888888888889</v>
      </c>
      <c r="L44" s="642">
        <f t="shared" si="17"/>
        <v>1209.8888888888889</v>
      </c>
      <c r="M44" s="642">
        <f t="shared" si="17"/>
        <v>1209.8888888888889</v>
      </c>
      <c r="N44" s="642">
        <f t="shared" si="17"/>
        <v>1209.8888888888889</v>
      </c>
      <c r="O44" s="642">
        <f t="shared" si="17"/>
        <v>1209.8888888888889</v>
      </c>
      <c r="P44" s="642">
        <f t="shared" si="17"/>
        <v>1209.8888888888889</v>
      </c>
      <c r="Q44" s="642">
        <f t="shared" si="17"/>
        <v>1209.8888888888889</v>
      </c>
      <c r="T44" s="421" t="s">
        <v>1376</v>
      </c>
    </row>
    <row r="45" spans="1:20">
      <c r="A45" s="424"/>
      <c r="B45" s="1028" t="s">
        <v>108</v>
      </c>
      <c r="C45" s="641">
        <f>'EMO-CMO'!F38</f>
        <v>55688.445000000007</v>
      </c>
      <c r="D45" s="641">
        <f t="shared" si="9"/>
        <v>0</v>
      </c>
      <c r="E45" s="641">
        <f t="shared" si="10"/>
        <v>55688.445000000007</v>
      </c>
      <c r="F45" s="642">
        <v>0</v>
      </c>
      <c r="G45" s="642"/>
      <c r="H45" s="642"/>
      <c r="I45" s="642">
        <f>$C$45/3</f>
        <v>18562.815000000002</v>
      </c>
      <c r="J45" s="642"/>
      <c r="K45" s="642"/>
      <c r="L45" s="642"/>
      <c r="M45" s="642"/>
      <c r="N45" s="642"/>
      <c r="O45" s="642">
        <f>$C$45/3</f>
        <v>18562.815000000002</v>
      </c>
      <c r="P45" s="642"/>
      <c r="Q45" s="642">
        <f>$C$45/3</f>
        <v>18562.815000000002</v>
      </c>
      <c r="T45" s="421" t="s">
        <v>1377</v>
      </c>
    </row>
    <row r="46" spans="1:20">
      <c r="A46" s="424">
        <f t="shared" ref="A46:A66" si="18">ROW()-12</f>
        <v>34</v>
      </c>
      <c r="B46" s="1026" t="s">
        <v>151</v>
      </c>
      <c r="C46" s="644">
        <f>+Ins!G50</f>
        <v>17342</v>
      </c>
      <c r="D46" s="644">
        <f t="shared" si="9"/>
        <v>0</v>
      </c>
      <c r="E46" s="644">
        <f>SUM(F46:Q46)</f>
        <v>17341.999999999996</v>
      </c>
      <c r="F46" s="645">
        <f>$C$46/12</f>
        <v>1445.1666666666667</v>
      </c>
      <c r="G46" s="645">
        <f t="shared" ref="G46:Q46" si="19">$C$46/12</f>
        <v>1445.1666666666667</v>
      </c>
      <c r="H46" s="645">
        <f t="shared" si="19"/>
        <v>1445.1666666666667</v>
      </c>
      <c r="I46" s="645">
        <f t="shared" si="19"/>
        <v>1445.1666666666667</v>
      </c>
      <c r="J46" s="645">
        <f t="shared" si="19"/>
        <v>1445.1666666666667</v>
      </c>
      <c r="K46" s="645">
        <f t="shared" si="19"/>
        <v>1445.1666666666667</v>
      </c>
      <c r="L46" s="645">
        <f t="shared" si="19"/>
        <v>1445.1666666666667</v>
      </c>
      <c r="M46" s="645">
        <f t="shared" si="19"/>
        <v>1445.1666666666667</v>
      </c>
      <c r="N46" s="645">
        <f t="shared" si="19"/>
        <v>1445.1666666666667</v>
      </c>
      <c r="O46" s="645">
        <f t="shared" si="19"/>
        <v>1445.1666666666667</v>
      </c>
      <c r="P46" s="645">
        <f t="shared" si="19"/>
        <v>1445.1666666666667</v>
      </c>
      <c r="Q46" s="645">
        <f t="shared" si="19"/>
        <v>1445.1666666666667</v>
      </c>
      <c r="T46" s="421"/>
    </row>
    <row r="47" spans="1:20">
      <c r="A47" s="424">
        <f t="shared" si="18"/>
        <v>35</v>
      </c>
      <c r="B47" s="1088" t="s">
        <v>367</v>
      </c>
      <c r="C47" s="1089">
        <f t="shared" ref="C47:Q47" si="20">SUM(C35:C46)</f>
        <v>1807795.7680434783</v>
      </c>
      <c r="D47" s="1090">
        <f t="shared" si="20"/>
        <v>142758.873043478</v>
      </c>
      <c r="E47" s="1090">
        <f t="shared" si="20"/>
        <v>1665036.8950000003</v>
      </c>
      <c r="F47" s="1090">
        <f t="shared" si="20"/>
        <v>174327.12083333335</v>
      </c>
      <c r="G47" s="1090">
        <f t="shared" si="20"/>
        <v>198983.52083333334</v>
      </c>
      <c r="H47" s="1090">
        <f t="shared" si="20"/>
        <v>136808.72083333333</v>
      </c>
      <c r="I47" s="1090">
        <f t="shared" si="20"/>
        <v>140143.8247222222</v>
      </c>
      <c r="J47" s="1090">
        <f t="shared" si="20"/>
        <v>121581.00972222222</v>
      </c>
      <c r="K47" s="1090">
        <f t="shared" si="20"/>
        <v>122831.00972222222</v>
      </c>
      <c r="L47" s="1090">
        <f t="shared" si="20"/>
        <v>122831.00972222222</v>
      </c>
      <c r="M47" s="1090">
        <f t="shared" si="20"/>
        <v>122831.00972222222</v>
      </c>
      <c r="N47" s="1090">
        <f t="shared" si="20"/>
        <v>122831.00972222222</v>
      </c>
      <c r="O47" s="1090">
        <f t="shared" si="20"/>
        <v>140143.8247222222</v>
      </c>
      <c r="P47" s="1090">
        <f t="shared" si="20"/>
        <v>121581.00972222222</v>
      </c>
      <c r="Q47" s="1090">
        <f t="shared" si="20"/>
        <v>140143.8247222222</v>
      </c>
      <c r="T47" s="421"/>
    </row>
    <row r="48" spans="1:20">
      <c r="A48" s="424">
        <f t="shared" si="18"/>
        <v>36</v>
      </c>
      <c r="B48" s="1091" t="s">
        <v>368</v>
      </c>
      <c r="C48" s="1220">
        <f>+Summary!G45-C47</f>
        <v>9311.5549999999348</v>
      </c>
      <c r="D48" s="1221"/>
      <c r="E48" s="62">
        <f>SUM(F48:Q48)</f>
        <v>-34736.994999999879</v>
      </c>
      <c r="F48" s="62">
        <f t="shared" ref="F48:Q48" si="21">F30-F47</f>
        <v>98411.019791666651</v>
      </c>
      <c r="G48" s="62">
        <f t="shared" si="21"/>
        <v>-187704.52083333334</v>
      </c>
      <c r="H48" s="62">
        <f t="shared" si="21"/>
        <v>-125529.72083333333</v>
      </c>
      <c r="I48" s="62">
        <f t="shared" si="21"/>
        <v>257079.75840277781</v>
      </c>
      <c r="J48" s="62">
        <f t="shared" si="21"/>
        <v>-113299.62972222222</v>
      </c>
      <c r="K48" s="62">
        <f t="shared" si="21"/>
        <v>-114549.62972222222</v>
      </c>
      <c r="L48" s="62">
        <f t="shared" si="21"/>
        <v>263113.57340277778</v>
      </c>
      <c r="M48" s="62">
        <f t="shared" si="21"/>
        <v>-103270.62972222222</v>
      </c>
      <c r="N48" s="62">
        <f t="shared" si="21"/>
        <v>-93208.792222222226</v>
      </c>
      <c r="O48" s="62">
        <f t="shared" si="21"/>
        <v>278420.59590277786</v>
      </c>
      <c r="P48" s="62">
        <f t="shared" si="21"/>
        <v>-91958.792222222226</v>
      </c>
      <c r="Q48" s="62">
        <f t="shared" si="21"/>
        <v>-102240.22722222219</v>
      </c>
      <c r="T48" s="421"/>
    </row>
    <row r="49" spans="1:20">
      <c r="A49" s="424">
        <f t="shared" si="18"/>
        <v>37</v>
      </c>
      <c r="B49" s="13" t="s">
        <v>369</v>
      </c>
      <c r="C49" s="13"/>
      <c r="D49" s="665"/>
      <c r="E49" s="665"/>
      <c r="F49" s="666">
        <f>F47</f>
        <v>174327.12083333335</v>
      </c>
      <c r="G49" s="666">
        <f t="shared" ref="G49:Q49" si="22">F49+G47</f>
        <v>373310.64166666672</v>
      </c>
      <c r="H49" s="666">
        <f t="shared" si="22"/>
        <v>510119.36250000005</v>
      </c>
      <c r="I49" s="666">
        <f t="shared" si="22"/>
        <v>650263.18722222222</v>
      </c>
      <c r="J49" s="666">
        <f t="shared" si="22"/>
        <v>771844.19694444444</v>
      </c>
      <c r="K49" s="666">
        <f t="shared" si="22"/>
        <v>894675.20666666667</v>
      </c>
      <c r="L49" s="666">
        <f t="shared" si="22"/>
        <v>1017506.2163888889</v>
      </c>
      <c r="M49" s="666">
        <f t="shared" si="22"/>
        <v>1140337.2261111112</v>
      </c>
      <c r="N49" s="666">
        <f t="shared" si="22"/>
        <v>1263168.2358333333</v>
      </c>
      <c r="O49" s="666">
        <f t="shared" si="22"/>
        <v>1403312.0605555556</v>
      </c>
      <c r="P49" s="666">
        <f t="shared" si="22"/>
        <v>1524893.070277778</v>
      </c>
      <c r="Q49" s="666">
        <f t="shared" si="22"/>
        <v>1665036.8950000003</v>
      </c>
      <c r="T49" s="421"/>
    </row>
    <row r="50" spans="1:20">
      <c r="A50" s="424">
        <f t="shared" si="18"/>
        <v>38</v>
      </c>
      <c r="B50" s="14" t="s">
        <v>370</v>
      </c>
      <c r="C50" s="14"/>
      <c r="D50" s="14"/>
      <c r="E50" s="664"/>
      <c r="F50" s="654">
        <f>IFERROR(F49/$E47,0)</f>
        <v>0.10469865343934816</v>
      </c>
      <c r="G50" s="654">
        <f t="shared" ref="G50:Q50" si="23">IFERROR(G49/$E47,0)</f>
        <v>0.22420562738741392</v>
      </c>
      <c r="H50" s="654">
        <f t="shared" si="23"/>
        <v>0.30637120656716738</v>
      </c>
      <c r="I50" s="654">
        <f t="shared" si="23"/>
        <v>0.39053980676039141</v>
      </c>
      <c r="J50" s="654">
        <f t="shared" si="23"/>
        <v>0.46355981615917546</v>
      </c>
      <c r="K50" s="654">
        <f t="shared" si="23"/>
        <v>0.53733055967307353</v>
      </c>
      <c r="L50" s="654">
        <f t="shared" si="23"/>
        <v>0.61110130318697153</v>
      </c>
      <c r="M50" s="654">
        <f t="shared" si="23"/>
        <v>0.68487204670086965</v>
      </c>
      <c r="N50" s="654">
        <f t="shared" si="23"/>
        <v>0.75864279021476766</v>
      </c>
      <c r="O50" s="654">
        <f t="shared" si="23"/>
        <v>0.8428113904079918</v>
      </c>
      <c r="P50" s="654">
        <f t="shared" si="23"/>
        <v>0.91583139980677586</v>
      </c>
      <c r="Q50" s="654">
        <f t="shared" si="23"/>
        <v>1</v>
      </c>
      <c r="T50" s="421"/>
    </row>
    <row r="51" spans="1:20">
      <c r="A51" s="424">
        <f t="shared" si="18"/>
        <v>39</v>
      </c>
      <c r="B51" s="13" t="s">
        <v>371</v>
      </c>
      <c r="C51" s="13"/>
      <c r="D51" s="13"/>
      <c r="E51" s="32"/>
      <c r="F51" s="33">
        <f t="shared" ref="F51:Q51" si="24">IFERROR(+F32/F50,0)</f>
        <v>1.597854673920315</v>
      </c>
      <c r="G51" s="33">
        <f t="shared" si="24"/>
        <v>0.77701703471906713</v>
      </c>
      <c r="H51" s="33">
        <f t="shared" si="24"/>
        <v>0.59121074985503608</v>
      </c>
      <c r="I51" s="33">
        <f t="shared" si="24"/>
        <v>1.0876754800937054</v>
      </c>
      <c r="J51" s="33">
        <f t="shared" si="24"/>
        <v>0.92730263379185751</v>
      </c>
      <c r="K51" s="33">
        <f t="shared" si="24"/>
        <v>0.80944568896241997</v>
      </c>
      <c r="L51" s="33">
        <f t="shared" si="24"/>
        <v>1.099117549919876</v>
      </c>
      <c r="M51" s="33">
        <f t="shared" si="24"/>
        <v>0.99824514089074001</v>
      </c>
      <c r="N51" s="33">
        <f t="shared" si="24"/>
        <v>0.9251257618928681</v>
      </c>
      <c r="O51" s="33">
        <f t="shared" si="24"/>
        <v>1.1373609222384224</v>
      </c>
      <c r="P51" s="33">
        <f t="shared" si="24"/>
        <v>1.0665178514565965</v>
      </c>
      <c r="Q51" s="33">
        <f t="shared" si="24"/>
        <v>0.99999999999999989</v>
      </c>
      <c r="T51" s="421"/>
    </row>
    <row r="52" spans="1:20">
      <c r="A52" s="424">
        <f t="shared" si="18"/>
        <v>40</v>
      </c>
      <c r="B52" s="13"/>
      <c r="C52" s="13"/>
      <c r="D52" s="13"/>
      <c r="E52" s="32"/>
      <c r="F52" s="33"/>
      <c r="G52" s="33"/>
      <c r="H52" s="33"/>
      <c r="I52" s="33"/>
      <c r="J52" s="33"/>
      <c r="K52" s="33"/>
      <c r="L52" s="33"/>
      <c r="M52" s="33"/>
      <c r="N52" s="33"/>
      <c r="O52" s="33"/>
      <c r="P52" s="33"/>
      <c r="Q52" s="33"/>
      <c r="T52" s="421"/>
    </row>
    <row r="53" spans="1:20">
      <c r="A53" s="424">
        <f t="shared" si="18"/>
        <v>41</v>
      </c>
      <c r="B53" s="91" t="s">
        <v>372</v>
      </c>
      <c r="C53" s="91"/>
      <c r="D53" s="91"/>
      <c r="E53" s="955"/>
      <c r="F53" s="956"/>
      <c r="G53" s="956"/>
      <c r="H53" s="956"/>
      <c r="I53" s="956"/>
      <c r="J53" s="956"/>
      <c r="K53" s="956"/>
      <c r="L53" s="956"/>
      <c r="M53" s="956"/>
      <c r="N53" s="956"/>
      <c r="O53" s="956"/>
      <c r="P53" s="956"/>
      <c r="Q53" s="956"/>
      <c r="T53" s="421"/>
    </row>
    <row r="54" spans="1:20">
      <c r="A54" s="424">
        <f t="shared" si="18"/>
        <v>42</v>
      </c>
      <c r="B54" s="12" t="s">
        <v>373</v>
      </c>
      <c r="C54" s="13"/>
      <c r="D54" s="13"/>
      <c r="E54" s="663">
        <f>SUM(F54:Q54)</f>
        <v>0</v>
      </c>
      <c r="F54" s="684">
        <v>0</v>
      </c>
      <c r="G54" s="684">
        <v>0</v>
      </c>
      <c r="H54" s="684">
        <v>0</v>
      </c>
      <c r="I54" s="684">
        <v>0</v>
      </c>
      <c r="J54" s="684">
        <v>0</v>
      </c>
      <c r="K54" s="684">
        <v>0</v>
      </c>
      <c r="L54" s="684">
        <v>0</v>
      </c>
      <c r="M54" s="684">
        <v>0</v>
      </c>
      <c r="N54" s="684">
        <v>0</v>
      </c>
      <c r="O54" s="684">
        <v>0</v>
      </c>
      <c r="P54" s="684">
        <v>0</v>
      </c>
      <c r="Q54" s="684">
        <v>0</v>
      </c>
      <c r="T54" s="421"/>
    </row>
    <row r="55" spans="1:20">
      <c r="A55" s="424">
        <f t="shared" si="18"/>
        <v>43</v>
      </c>
      <c r="B55" s="12" t="s">
        <v>374</v>
      </c>
      <c r="C55" s="13"/>
      <c r="D55" s="13"/>
      <c r="E55" s="663">
        <f>SUM(F55:Q55)</f>
        <v>0</v>
      </c>
      <c r="F55" s="684">
        <v>0</v>
      </c>
      <c r="G55" s="684">
        <v>0</v>
      </c>
      <c r="H55" s="684">
        <v>0</v>
      </c>
      <c r="I55" s="684">
        <v>0</v>
      </c>
      <c r="J55" s="684">
        <v>0</v>
      </c>
      <c r="K55" s="684">
        <v>0</v>
      </c>
      <c r="L55" s="684">
        <v>0</v>
      </c>
      <c r="M55" s="684">
        <v>0</v>
      </c>
      <c r="N55" s="684">
        <v>0</v>
      </c>
      <c r="O55" s="684">
        <v>0</v>
      </c>
      <c r="P55" s="684">
        <v>0</v>
      </c>
      <c r="Q55" s="684">
        <v>0</v>
      </c>
      <c r="T55" s="421"/>
    </row>
    <row r="56" spans="1:20">
      <c r="A56" s="424">
        <f t="shared" si="18"/>
        <v>44</v>
      </c>
      <c r="B56" s="12" t="s">
        <v>375</v>
      </c>
      <c r="C56" s="13"/>
      <c r="D56" s="13"/>
      <c r="E56" s="663"/>
      <c r="F56" s="685">
        <f>F54-F55</f>
        <v>0</v>
      </c>
      <c r="G56" s="685">
        <f>F56+G54-G55</f>
        <v>0</v>
      </c>
      <c r="H56" s="685">
        <f t="shared" ref="H56:Q56" si="25">G56+H54-H55</f>
        <v>0</v>
      </c>
      <c r="I56" s="685">
        <f t="shared" si="25"/>
        <v>0</v>
      </c>
      <c r="J56" s="685">
        <f t="shared" si="25"/>
        <v>0</v>
      </c>
      <c r="K56" s="685">
        <f t="shared" si="25"/>
        <v>0</v>
      </c>
      <c r="L56" s="685">
        <f t="shared" si="25"/>
        <v>0</v>
      </c>
      <c r="M56" s="685">
        <f t="shared" si="25"/>
        <v>0</v>
      </c>
      <c r="N56" s="685">
        <f t="shared" si="25"/>
        <v>0</v>
      </c>
      <c r="O56" s="685">
        <f t="shared" si="25"/>
        <v>0</v>
      </c>
      <c r="P56" s="685">
        <f t="shared" si="25"/>
        <v>0</v>
      </c>
      <c r="Q56" s="685">
        <f t="shared" si="25"/>
        <v>0</v>
      </c>
      <c r="T56" s="421"/>
    </row>
    <row r="57" spans="1:20">
      <c r="A57" s="424">
        <f t="shared" si="18"/>
        <v>45</v>
      </c>
      <c r="B57" s="12" t="s">
        <v>376</v>
      </c>
      <c r="C57" s="13"/>
      <c r="D57" s="13"/>
      <c r="E57" s="976">
        <f>SUM(F57:Q57)</f>
        <v>0</v>
      </c>
      <c r="F57" s="683">
        <f>F56*0.02</f>
        <v>0</v>
      </c>
      <c r="G57" s="683">
        <f t="shared" ref="G57:Q57" si="26">G56*0.02</f>
        <v>0</v>
      </c>
      <c r="H57" s="683">
        <f t="shared" si="26"/>
        <v>0</v>
      </c>
      <c r="I57" s="683">
        <f t="shared" si="26"/>
        <v>0</v>
      </c>
      <c r="J57" s="683">
        <f t="shared" si="26"/>
        <v>0</v>
      </c>
      <c r="K57" s="683">
        <f t="shared" si="26"/>
        <v>0</v>
      </c>
      <c r="L57" s="683">
        <f t="shared" si="26"/>
        <v>0</v>
      </c>
      <c r="M57" s="683">
        <f t="shared" si="26"/>
        <v>0</v>
      </c>
      <c r="N57" s="683">
        <f t="shared" si="26"/>
        <v>0</v>
      </c>
      <c r="O57" s="683">
        <f t="shared" si="26"/>
        <v>0</v>
      </c>
      <c r="P57" s="683">
        <f t="shared" si="26"/>
        <v>0</v>
      </c>
      <c r="Q57" s="683">
        <f t="shared" si="26"/>
        <v>0</v>
      </c>
      <c r="T57" s="421"/>
    </row>
    <row r="58" spans="1:20">
      <c r="A58" s="424">
        <f t="shared" si="18"/>
        <v>46</v>
      </c>
      <c r="B58" s="13" t="s">
        <v>377</v>
      </c>
      <c r="C58" s="13"/>
      <c r="D58" s="13"/>
      <c r="E58" s="977">
        <f>SUM(F58:Q58)</f>
        <v>0</v>
      </c>
      <c r="F58" s="686">
        <f>F54-F55-F57</f>
        <v>0</v>
      </c>
      <c r="G58" s="687">
        <f t="shared" ref="G58:Q58" si="27">G54-G55-G57</f>
        <v>0</v>
      </c>
      <c r="H58" s="687">
        <f t="shared" si="27"/>
        <v>0</v>
      </c>
      <c r="I58" s="687">
        <f t="shared" si="27"/>
        <v>0</v>
      </c>
      <c r="J58" s="687">
        <f t="shared" si="27"/>
        <v>0</v>
      </c>
      <c r="K58" s="687">
        <f t="shared" si="27"/>
        <v>0</v>
      </c>
      <c r="L58" s="687">
        <f t="shared" si="27"/>
        <v>0</v>
      </c>
      <c r="M58" s="687">
        <f t="shared" si="27"/>
        <v>0</v>
      </c>
      <c r="N58" s="687">
        <f t="shared" si="27"/>
        <v>0</v>
      </c>
      <c r="O58" s="687">
        <f t="shared" si="27"/>
        <v>0</v>
      </c>
      <c r="P58" s="687">
        <f t="shared" si="27"/>
        <v>0</v>
      </c>
      <c r="Q58" s="687">
        <f t="shared" si="27"/>
        <v>0</v>
      </c>
      <c r="T58" s="421"/>
    </row>
    <row r="59" spans="1:20">
      <c r="A59" s="424">
        <f t="shared" si="18"/>
        <v>47</v>
      </c>
      <c r="B59" s="13"/>
      <c r="C59" s="13"/>
      <c r="D59" s="13"/>
      <c r="E59" s="32"/>
      <c r="F59" s="33"/>
      <c r="G59" s="33"/>
      <c r="H59" s="33"/>
      <c r="I59" s="33"/>
      <c r="J59" s="33"/>
      <c r="K59" s="33"/>
      <c r="L59" s="33"/>
      <c r="M59" s="33"/>
      <c r="N59" s="33"/>
      <c r="O59" s="33"/>
      <c r="P59" s="33"/>
      <c r="Q59" s="33"/>
      <c r="T59" s="421"/>
    </row>
    <row r="60" spans="1:20">
      <c r="A60" s="424">
        <f t="shared" si="18"/>
        <v>48</v>
      </c>
      <c r="B60" s="136" t="s">
        <v>378</v>
      </c>
      <c r="C60" s="93"/>
      <c r="D60" s="93"/>
      <c r="E60" s="93"/>
      <c r="F60" s="93"/>
      <c r="G60" s="93"/>
      <c r="H60" s="93"/>
      <c r="I60" s="93"/>
      <c r="J60" s="93"/>
      <c r="K60" s="93"/>
      <c r="L60" s="93"/>
      <c r="M60" s="93"/>
      <c r="N60" s="93"/>
      <c r="O60" s="93"/>
      <c r="P60" s="93"/>
      <c r="Q60" s="93"/>
      <c r="T60" s="421"/>
    </row>
    <row r="61" spans="1:20">
      <c r="A61" s="424">
        <f t="shared" si="18"/>
        <v>49</v>
      </c>
      <c r="B61" s="12"/>
      <c r="C61" s="12"/>
      <c r="D61" s="12"/>
      <c r="E61" s="94"/>
      <c r="F61" s="95"/>
      <c r="G61" s="95"/>
      <c r="H61" s="95"/>
      <c r="I61" s="95"/>
      <c r="J61" s="95"/>
      <c r="K61" s="95"/>
      <c r="L61" s="95"/>
      <c r="M61" s="95"/>
      <c r="N61" s="95"/>
      <c r="O61" s="95"/>
      <c r="P61" s="95"/>
      <c r="Q61" s="95"/>
      <c r="T61" s="421"/>
    </row>
    <row r="62" spans="1:20">
      <c r="A62" s="424">
        <f t="shared" si="18"/>
        <v>50</v>
      </c>
      <c r="B62" s="12" t="s">
        <v>379</v>
      </c>
      <c r="C62" s="12"/>
      <c r="D62" s="12"/>
      <c r="E62" s="975">
        <f>E30-E47</f>
        <v>-34736.995000000112</v>
      </c>
      <c r="F62" s="975">
        <f t="shared" ref="F62:Q62" si="28">F48+F58</f>
        <v>98411.019791666651</v>
      </c>
      <c r="G62" s="975">
        <f t="shared" si="28"/>
        <v>-187704.52083333334</v>
      </c>
      <c r="H62" s="975">
        <f t="shared" si="28"/>
        <v>-125529.72083333333</v>
      </c>
      <c r="I62" s="975">
        <f t="shared" si="28"/>
        <v>257079.75840277781</v>
      </c>
      <c r="J62" s="975">
        <f t="shared" si="28"/>
        <v>-113299.62972222222</v>
      </c>
      <c r="K62" s="975">
        <f t="shared" si="28"/>
        <v>-114549.62972222222</v>
      </c>
      <c r="L62" s="975">
        <f t="shared" si="28"/>
        <v>263113.57340277778</v>
      </c>
      <c r="M62" s="975">
        <f t="shared" si="28"/>
        <v>-103270.62972222222</v>
      </c>
      <c r="N62" s="975">
        <f t="shared" si="28"/>
        <v>-93208.792222222226</v>
      </c>
      <c r="O62" s="975">
        <f t="shared" si="28"/>
        <v>278420.59590277786</v>
      </c>
      <c r="P62" s="975">
        <f t="shared" si="28"/>
        <v>-91958.792222222226</v>
      </c>
      <c r="Q62" s="975">
        <f t="shared" si="28"/>
        <v>-102240.22722222219</v>
      </c>
      <c r="T62" s="421"/>
    </row>
    <row r="63" spans="1:20">
      <c r="A63" s="424">
        <f t="shared" si="18"/>
        <v>51</v>
      </c>
      <c r="B63" s="12"/>
      <c r="C63" s="12"/>
      <c r="D63" s="12"/>
      <c r="E63" s="692"/>
      <c r="F63" s="691"/>
      <c r="G63" s="691"/>
      <c r="H63" s="691"/>
      <c r="I63" s="691"/>
      <c r="J63" s="691"/>
      <c r="K63" s="691"/>
      <c r="L63" s="691"/>
      <c r="M63" s="691"/>
      <c r="N63" s="691"/>
      <c r="O63" s="691"/>
      <c r="P63" s="691"/>
      <c r="Q63" s="691"/>
      <c r="T63" s="421"/>
    </row>
    <row r="64" spans="1:20">
      <c r="A64" s="424">
        <f t="shared" si="18"/>
        <v>52</v>
      </c>
      <c r="B64" s="12" t="s">
        <v>380</v>
      </c>
      <c r="C64" s="12"/>
      <c r="D64" s="12"/>
      <c r="E64" s="974">
        <f>Summary!F47</f>
        <v>-20066</v>
      </c>
      <c r="F64" s="697">
        <f>+E64</f>
        <v>-20066</v>
      </c>
      <c r="G64" s="697">
        <f>F66</f>
        <v>78345.019791666651</v>
      </c>
      <c r="H64" s="697">
        <f t="shared" ref="H64:Q64" si="29">G66</f>
        <v>-109359.50104166669</v>
      </c>
      <c r="I64" s="697">
        <f t="shared" si="29"/>
        <v>-234889.22187500002</v>
      </c>
      <c r="J64" s="697">
        <f t="shared" si="29"/>
        <v>22190.536527777789</v>
      </c>
      <c r="K64" s="697">
        <f t="shared" si="29"/>
        <v>-91109.093194444431</v>
      </c>
      <c r="L64" s="697">
        <f t="shared" si="29"/>
        <v>-205658.72291666665</v>
      </c>
      <c r="M64" s="697">
        <f t="shared" si="29"/>
        <v>57454.850486111129</v>
      </c>
      <c r="N64" s="697">
        <f t="shared" si="29"/>
        <v>-45815.779236111091</v>
      </c>
      <c r="O64" s="697">
        <f t="shared" si="29"/>
        <v>-139024.57145833332</v>
      </c>
      <c r="P64" s="697">
        <f t="shared" si="29"/>
        <v>139396.02444444454</v>
      </c>
      <c r="Q64" s="697">
        <f t="shared" si="29"/>
        <v>47437.232222222316</v>
      </c>
      <c r="T64" s="421"/>
    </row>
    <row r="65" spans="1:20">
      <c r="A65" s="424">
        <f t="shared" si="18"/>
        <v>53</v>
      </c>
      <c r="B65" s="12"/>
      <c r="C65" s="12"/>
      <c r="D65" s="12"/>
      <c r="E65" s="689"/>
      <c r="F65" s="688"/>
      <c r="G65" s="688"/>
      <c r="H65" s="688"/>
      <c r="I65" s="688"/>
      <c r="J65" s="688"/>
      <c r="K65" s="688"/>
      <c r="L65" s="688"/>
      <c r="M65" s="688"/>
      <c r="N65" s="688"/>
      <c r="O65" s="688"/>
      <c r="P65" s="688"/>
      <c r="Q65" s="688"/>
      <c r="T65" s="421"/>
    </row>
    <row r="66" spans="1:20" ht="15.75" thickBot="1">
      <c r="A66" s="424">
        <f t="shared" si="18"/>
        <v>54</v>
      </c>
      <c r="B66" s="13" t="s">
        <v>381</v>
      </c>
      <c r="C66" s="13"/>
      <c r="D66" s="13"/>
      <c r="E66" s="1092">
        <f>SUM(E64,E62)</f>
        <v>-54802.995000000112</v>
      </c>
      <c r="F66" s="1092">
        <f>SUM(F64,F62)</f>
        <v>78345.019791666651</v>
      </c>
      <c r="G66" s="1092">
        <f>SUM(G64,G62)</f>
        <v>-109359.50104166669</v>
      </c>
      <c r="H66" s="1092">
        <f t="shared" ref="H66:Q66" si="30">SUM(H64,H62)</f>
        <v>-234889.22187500002</v>
      </c>
      <c r="I66" s="1092">
        <f t="shared" si="30"/>
        <v>22190.536527777789</v>
      </c>
      <c r="J66" s="1092">
        <f t="shared" si="30"/>
        <v>-91109.093194444431</v>
      </c>
      <c r="K66" s="1092">
        <f t="shared" si="30"/>
        <v>-205658.72291666665</v>
      </c>
      <c r="L66" s="1092">
        <f t="shared" si="30"/>
        <v>57454.850486111129</v>
      </c>
      <c r="M66" s="1092">
        <f t="shared" si="30"/>
        <v>-45815.779236111091</v>
      </c>
      <c r="N66" s="1092">
        <f t="shared" si="30"/>
        <v>-139024.57145833332</v>
      </c>
      <c r="O66" s="1092">
        <f t="shared" si="30"/>
        <v>139396.02444444454</v>
      </c>
      <c r="P66" s="1092">
        <f t="shared" si="30"/>
        <v>47437.232222222316</v>
      </c>
      <c r="Q66" s="1092">
        <f t="shared" si="30"/>
        <v>-54802.994999999879</v>
      </c>
      <c r="T66" s="421"/>
    </row>
    <row r="67" spans="1:20" ht="15.75" thickTop="1">
      <c r="A67" s="424">
        <f t="shared" ref="A67:A130" si="31">ROW()-12</f>
        <v>55</v>
      </c>
      <c r="B67" s="13"/>
      <c r="C67" s="13"/>
      <c r="D67" s="13"/>
      <c r="E67" s="96"/>
      <c r="F67" s="96"/>
      <c r="G67" s="96"/>
      <c r="H67" s="96"/>
      <c r="I67" s="96"/>
      <c r="J67" s="96"/>
      <c r="K67" s="96"/>
      <c r="L67" s="96"/>
      <c r="M67" s="96"/>
      <c r="N67" s="96"/>
      <c r="O67" s="96"/>
      <c r="P67" s="96"/>
      <c r="Q67" s="96"/>
      <c r="T67" s="421"/>
    </row>
    <row r="68" spans="1:20">
      <c r="A68" s="424">
        <f t="shared" si="31"/>
        <v>56</v>
      </c>
      <c r="B68" s="97" t="s">
        <v>382</v>
      </c>
      <c r="C68" s="97"/>
      <c r="D68" s="97"/>
      <c r="E68" s="97"/>
      <c r="F68" s="98"/>
      <c r="G68" s="99">
        <f t="shared" ref="G68:Q68" si="32">IFERROR(G64/G47,0)</f>
        <v>0.39372617121036707</v>
      </c>
      <c r="H68" s="99">
        <f t="shared" si="32"/>
        <v>-0.79936059905781487</v>
      </c>
      <c r="I68" s="99">
        <f t="shared" si="32"/>
        <v>-1.6760583089591841</v>
      </c>
      <c r="J68" s="99">
        <f t="shared" si="32"/>
        <v>0.18251646847214714</v>
      </c>
      <c r="K68" s="99">
        <f t="shared" si="32"/>
        <v>-0.74174341968273538</v>
      </c>
      <c r="L68" s="99">
        <f t="shared" si="32"/>
        <v>-1.6743224970775394</v>
      </c>
      <c r="M68" s="99">
        <f t="shared" si="32"/>
        <v>0.46775525672257473</v>
      </c>
      <c r="N68" s="99">
        <f t="shared" si="32"/>
        <v>-0.37299847440578549</v>
      </c>
      <c r="O68" s="99">
        <f t="shared" si="32"/>
        <v>-0.99201353847658047</v>
      </c>
      <c r="P68" s="99">
        <f t="shared" si="32"/>
        <v>1.1465279385565601</v>
      </c>
      <c r="Q68" s="99">
        <f t="shared" si="32"/>
        <v>0.33848963603103616</v>
      </c>
      <c r="T68" s="421"/>
    </row>
    <row r="69" spans="1:20">
      <c r="A69" s="424">
        <f t="shared" si="31"/>
        <v>57</v>
      </c>
      <c r="B69" s="13"/>
      <c r="C69" s="13"/>
      <c r="D69" s="13"/>
      <c r="E69" s="96"/>
      <c r="F69" s="96"/>
      <c r="G69" s="96"/>
      <c r="H69" s="96"/>
      <c r="I69" s="96"/>
      <c r="J69" s="96"/>
      <c r="K69" s="96"/>
      <c r="L69" s="96"/>
      <c r="M69" s="96"/>
      <c r="N69" s="96"/>
      <c r="O69" s="96"/>
      <c r="P69" s="96"/>
      <c r="Q69" s="96"/>
      <c r="T69" s="421"/>
    </row>
    <row r="70" spans="1:20" ht="18.75">
      <c r="A70" s="424">
        <f t="shared" si="31"/>
        <v>58</v>
      </c>
      <c r="B70" s="992" t="s">
        <v>383</v>
      </c>
      <c r="C70" s="992"/>
      <c r="D70" s="992"/>
      <c r="E70" s="194"/>
      <c r="F70" s="194"/>
      <c r="G70" s="194"/>
      <c r="H70" s="194"/>
      <c r="I70" s="194"/>
      <c r="J70" s="194"/>
      <c r="K70" s="194"/>
      <c r="L70" s="194"/>
      <c r="M70" s="194"/>
      <c r="N70" s="194"/>
      <c r="O70" s="194"/>
      <c r="P70" s="194"/>
      <c r="Q70" s="194"/>
      <c r="T70" s="421"/>
    </row>
    <row r="71" spans="1:20">
      <c r="A71" s="424">
        <f t="shared" si="31"/>
        <v>59</v>
      </c>
      <c r="T71" s="421"/>
    </row>
    <row r="72" spans="1:20">
      <c r="A72" s="424">
        <f t="shared" si="31"/>
        <v>60</v>
      </c>
      <c r="B72" s="91" t="s">
        <v>347</v>
      </c>
      <c r="C72" s="91"/>
      <c r="D72" s="91"/>
      <c r="E72" s="100"/>
      <c r="F72" s="101"/>
      <c r="G72" s="101"/>
      <c r="H72" s="101"/>
      <c r="I72" s="101"/>
      <c r="J72" s="101"/>
      <c r="K72" s="101"/>
      <c r="L72" s="101"/>
      <c r="M72" s="101"/>
      <c r="N72" s="101"/>
      <c r="O72" s="101"/>
      <c r="P72" s="101"/>
      <c r="Q72" s="101"/>
      <c r="T72" s="421"/>
    </row>
    <row r="73" spans="1:20">
      <c r="A73" s="424">
        <f t="shared" si="31"/>
        <v>61</v>
      </c>
      <c r="B73" s="12" t="s">
        <v>1191</v>
      </c>
      <c r="C73" s="12"/>
      <c r="D73" s="12"/>
      <c r="E73" s="669">
        <f t="shared" ref="E73:Q73" si="33">IF(OR(E14=0,E$30=0),0,E14/E$30)</f>
        <v>0.86615965565599307</v>
      </c>
      <c r="F73" s="669">
        <f t="shared" si="33"/>
        <v>0.97078006542562201</v>
      </c>
      <c r="G73" s="669">
        <f t="shared" si="33"/>
        <v>0</v>
      </c>
      <c r="H73" s="669">
        <f t="shared" si="33"/>
        <v>0</v>
      </c>
      <c r="I73" s="669">
        <f t="shared" si="33"/>
        <v>0.96279215597239853</v>
      </c>
      <c r="J73" s="669">
        <f t="shared" si="33"/>
        <v>0</v>
      </c>
      <c r="K73" s="669">
        <f t="shared" si="33"/>
        <v>0</v>
      </c>
      <c r="L73" s="669">
        <f t="shared" si="33"/>
        <v>0.99092918186167123</v>
      </c>
      <c r="M73" s="669">
        <f t="shared" si="33"/>
        <v>0</v>
      </c>
      <c r="N73" s="669">
        <f t="shared" si="33"/>
        <v>0</v>
      </c>
      <c r="O73" s="669">
        <f t="shared" si="33"/>
        <v>0.91370343764272965</v>
      </c>
      <c r="P73" s="669">
        <f t="shared" si="33"/>
        <v>0</v>
      </c>
      <c r="Q73" s="669">
        <f t="shared" si="33"/>
        <v>0</v>
      </c>
      <c r="T73" s="421"/>
    </row>
    <row r="74" spans="1:20">
      <c r="A74" s="424">
        <f t="shared" si="31"/>
        <v>62</v>
      </c>
      <c r="B74" s="12" t="str">
        <f>+B15</f>
        <v>CS Sponsorship Fee @ 0.0125</v>
      </c>
      <c r="C74" s="12"/>
      <c r="D74" s="12"/>
      <c r="E74" s="669">
        <f t="shared" ref="E74:Q74" si="34">IF(OR(E15=0,E$30=0),0,E15/E$30)</f>
        <v>-1.0826995695699913E-2</v>
      </c>
      <c r="F74" s="669">
        <f t="shared" si="34"/>
        <v>-1.2134750817820275E-2</v>
      </c>
      <c r="G74" s="669">
        <f t="shared" si="34"/>
        <v>0</v>
      </c>
      <c r="H74" s="669">
        <f t="shared" si="34"/>
        <v>0</v>
      </c>
      <c r="I74" s="669">
        <f t="shared" si="34"/>
        <v>-1.203490194965498E-2</v>
      </c>
      <c r="J74" s="669">
        <f t="shared" si="34"/>
        <v>0</v>
      </c>
      <c r="K74" s="669">
        <f t="shared" si="34"/>
        <v>0</v>
      </c>
      <c r="L74" s="669">
        <f t="shared" si="34"/>
        <v>-1.2386614773270889E-2</v>
      </c>
      <c r="M74" s="669">
        <f t="shared" si="34"/>
        <v>0</v>
      </c>
      <c r="N74" s="669">
        <f t="shared" si="34"/>
        <v>0</v>
      </c>
      <c r="O74" s="669">
        <f t="shared" si="34"/>
        <v>-1.1421292970534121E-2</v>
      </c>
      <c r="P74" s="669">
        <f t="shared" si="34"/>
        <v>0</v>
      </c>
      <c r="Q74" s="669">
        <f t="shared" si="34"/>
        <v>0</v>
      </c>
      <c r="T74" s="421"/>
    </row>
    <row r="75" spans="1:20">
      <c r="A75" s="424">
        <f t="shared" si="31"/>
        <v>63</v>
      </c>
      <c r="B75" s="12" t="s">
        <v>128</v>
      </c>
      <c r="C75" s="12"/>
      <c r="D75" s="12"/>
      <c r="E75" s="669">
        <f t="shared" ref="E75:Q75" si="35">IF(OR(E16=0,E$30=0),0,E16/E$30)</f>
        <v>2.737226445269364E-2</v>
      </c>
      <c r="F75" s="669">
        <f t="shared" si="35"/>
        <v>0</v>
      </c>
      <c r="G75" s="669">
        <f t="shared" si="35"/>
        <v>0</v>
      </c>
      <c r="H75" s="669">
        <f t="shared" si="35"/>
        <v>0</v>
      </c>
      <c r="I75" s="669">
        <f t="shared" si="35"/>
        <v>0</v>
      </c>
      <c r="J75" s="669">
        <f t="shared" si="35"/>
        <v>0</v>
      </c>
      <c r="K75" s="669">
        <f t="shared" si="35"/>
        <v>0</v>
      </c>
      <c r="L75" s="669">
        <f t="shared" si="35"/>
        <v>0</v>
      </c>
      <c r="M75" s="669">
        <f t="shared" si="35"/>
        <v>0</v>
      </c>
      <c r="N75" s="669">
        <f t="shared" si="35"/>
        <v>0.37661765193642238</v>
      </c>
      <c r="O75" s="669">
        <f t="shared" si="35"/>
        <v>2.6653603245449044E-2</v>
      </c>
      <c r="P75" s="669">
        <f t="shared" si="35"/>
        <v>0.37661765193642238</v>
      </c>
      <c r="Q75" s="669">
        <f t="shared" si="35"/>
        <v>0.29433222004850595</v>
      </c>
      <c r="T75" s="421"/>
    </row>
    <row r="76" spans="1:20">
      <c r="A76" s="424">
        <f t="shared" si="31"/>
        <v>64</v>
      </c>
      <c r="B76" s="12" t="s">
        <v>129</v>
      </c>
      <c r="C76" s="12"/>
      <c r="D76" s="12"/>
      <c r="E76" s="669">
        <f t="shared" ref="E76:Q76" si="36">IF(OR(E17=0,E$30=0),0,E17/E$30)</f>
        <v>6.0310989407531702E-3</v>
      </c>
      <c r="F76" s="669">
        <f t="shared" si="36"/>
        <v>0</v>
      </c>
      <c r="G76" s="669">
        <f t="shared" si="36"/>
        <v>0</v>
      </c>
      <c r="H76" s="669">
        <f t="shared" si="36"/>
        <v>0</v>
      </c>
      <c r="I76" s="669">
        <f t="shared" si="36"/>
        <v>0</v>
      </c>
      <c r="J76" s="669">
        <f t="shared" si="36"/>
        <v>0</v>
      </c>
      <c r="K76" s="669">
        <f t="shared" si="36"/>
        <v>0</v>
      </c>
      <c r="L76" s="669">
        <f t="shared" si="36"/>
        <v>0</v>
      </c>
      <c r="M76" s="669">
        <f t="shared" si="36"/>
        <v>0</v>
      </c>
      <c r="N76" s="669">
        <f t="shared" si="36"/>
        <v>8.2982477594731055E-2</v>
      </c>
      <c r="O76" s="669">
        <f t="shared" si="36"/>
        <v>5.8727519083670082E-3</v>
      </c>
      <c r="P76" s="669">
        <f t="shared" si="36"/>
        <v>8.2982477594731055E-2</v>
      </c>
      <c r="Q76" s="669">
        <f t="shared" si="36"/>
        <v>6.485202361068762E-2</v>
      </c>
      <c r="T76" s="421"/>
    </row>
    <row r="77" spans="1:20">
      <c r="A77" s="424">
        <f t="shared" si="31"/>
        <v>65</v>
      </c>
      <c r="B77" s="12" t="s">
        <v>130</v>
      </c>
      <c r="C77" s="12"/>
      <c r="D77" s="12"/>
      <c r="E77" s="669">
        <f t="shared" ref="E77:Q77" si="37">IF(OR(E18=0,E$30=0),0,E18/E$30)</f>
        <v>1.015672024515244E-3</v>
      </c>
      <c r="F77" s="669">
        <f t="shared" si="37"/>
        <v>0</v>
      </c>
      <c r="G77" s="669">
        <f t="shared" si="37"/>
        <v>0</v>
      </c>
      <c r="H77" s="669">
        <f t="shared" si="37"/>
        <v>0</v>
      </c>
      <c r="I77" s="669">
        <f t="shared" si="37"/>
        <v>0</v>
      </c>
      <c r="J77" s="669">
        <f t="shared" si="37"/>
        <v>0</v>
      </c>
      <c r="K77" s="669">
        <f t="shared" si="37"/>
        <v>0</v>
      </c>
      <c r="L77" s="669">
        <f t="shared" si="37"/>
        <v>0</v>
      </c>
      <c r="M77" s="669">
        <f t="shared" si="37"/>
        <v>0</v>
      </c>
      <c r="N77" s="669">
        <f t="shared" si="37"/>
        <v>1.3974730284793839E-2</v>
      </c>
      <c r="O77" s="669">
        <f t="shared" si="37"/>
        <v>9.8900546630760347E-4</v>
      </c>
      <c r="P77" s="669">
        <f t="shared" si="37"/>
        <v>1.3974730284793839E-2</v>
      </c>
      <c r="Q77" s="669">
        <f t="shared" si="37"/>
        <v>1.0921456729799857E-2</v>
      </c>
      <c r="T77" s="421"/>
    </row>
    <row r="78" spans="1:20">
      <c r="A78" s="424">
        <f t="shared" si="31"/>
        <v>66</v>
      </c>
      <c r="B78" s="12" t="s">
        <v>132</v>
      </c>
      <c r="C78" s="12"/>
      <c r="D78" s="12"/>
      <c r="E78" s="669">
        <f t="shared" ref="E78:Q78" si="38">IF(OR(E19=0,E$30=0),0,E19/E$30)</f>
        <v>0</v>
      </c>
      <c r="F78" s="670">
        <f t="shared" si="38"/>
        <v>0</v>
      </c>
      <c r="G78" s="669">
        <f t="shared" si="38"/>
        <v>0</v>
      </c>
      <c r="H78" s="669">
        <f t="shared" si="38"/>
        <v>0</v>
      </c>
      <c r="I78" s="669">
        <f t="shared" si="38"/>
        <v>0</v>
      </c>
      <c r="J78" s="670">
        <f t="shared" si="38"/>
        <v>0</v>
      </c>
      <c r="K78" s="669">
        <f t="shared" si="38"/>
        <v>0</v>
      </c>
      <c r="L78" s="669">
        <f t="shared" si="38"/>
        <v>0</v>
      </c>
      <c r="M78" s="669">
        <f t="shared" si="38"/>
        <v>0</v>
      </c>
      <c r="N78" s="670">
        <f t="shared" si="38"/>
        <v>0</v>
      </c>
      <c r="O78" s="669">
        <f t="shared" si="38"/>
        <v>0</v>
      </c>
      <c r="P78" s="669">
        <f t="shared" si="38"/>
        <v>0</v>
      </c>
      <c r="Q78" s="669">
        <f t="shared" si="38"/>
        <v>0</v>
      </c>
      <c r="T78" s="421"/>
    </row>
    <row r="79" spans="1:20">
      <c r="A79" s="424">
        <f t="shared" si="31"/>
        <v>67</v>
      </c>
      <c r="B79" s="12" t="s">
        <v>133</v>
      </c>
      <c r="C79" s="12"/>
      <c r="D79" s="12"/>
      <c r="E79" s="669">
        <f t="shared" ref="E79:Q79" si="39">IF(OR(E20=0,E$30=0),0,E20/E$30)</f>
        <v>5.07966663066102E-2</v>
      </c>
      <c r="F79" s="670">
        <f t="shared" si="39"/>
        <v>0</v>
      </c>
      <c r="G79" s="669">
        <f t="shared" si="39"/>
        <v>0</v>
      </c>
      <c r="H79" s="669">
        <f t="shared" si="39"/>
        <v>0</v>
      </c>
      <c r="I79" s="669">
        <f t="shared" si="39"/>
        <v>2.0848157943819712E-2</v>
      </c>
      <c r="J79" s="670">
        <f t="shared" si="39"/>
        <v>1</v>
      </c>
      <c r="K79" s="669">
        <f t="shared" si="39"/>
        <v>1</v>
      </c>
      <c r="L79" s="669">
        <f t="shared" si="39"/>
        <v>2.1457432911599694E-2</v>
      </c>
      <c r="M79" s="669">
        <f t="shared" si="39"/>
        <v>0.42337521050204546</v>
      </c>
      <c r="N79" s="669">
        <f t="shared" si="39"/>
        <v>0.27956651118370862</v>
      </c>
      <c r="O79" s="669">
        <f t="shared" si="39"/>
        <v>1.9785198148553215E-2</v>
      </c>
      <c r="P79" s="669">
        <f t="shared" si="39"/>
        <v>0.27956651118370862</v>
      </c>
      <c r="Q79" s="669">
        <f t="shared" si="39"/>
        <v>0.43697065957921277</v>
      </c>
      <c r="T79" s="421"/>
    </row>
    <row r="80" spans="1:20">
      <c r="A80" s="424">
        <f t="shared" si="31"/>
        <v>68</v>
      </c>
      <c r="B80" s="12" t="s">
        <v>134</v>
      </c>
      <c r="C80" s="12"/>
      <c r="D80" s="12"/>
      <c r="E80" s="669">
        <f t="shared" ref="E80:Q80" si="40">IF(OR(E21=0,E$30=0),0,E21/E$30)</f>
        <v>1.7941484263110118E-2</v>
      </c>
      <c r="F80" s="670">
        <f t="shared" si="40"/>
        <v>0</v>
      </c>
      <c r="G80" s="669">
        <f t="shared" si="40"/>
        <v>0</v>
      </c>
      <c r="H80" s="669">
        <f t="shared" si="40"/>
        <v>0</v>
      </c>
      <c r="I80" s="669">
        <f t="shared" si="40"/>
        <v>0</v>
      </c>
      <c r="J80" s="670">
        <f t="shared" si="40"/>
        <v>0</v>
      </c>
      <c r="K80" s="669">
        <f t="shared" si="40"/>
        <v>0</v>
      </c>
      <c r="L80" s="669">
        <f t="shared" si="40"/>
        <v>0</v>
      </c>
      <c r="M80" s="669">
        <f t="shared" si="40"/>
        <v>0</v>
      </c>
      <c r="N80" s="670">
        <f t="shared" si="40"/>
        <v>0.24685862900034408</v>
      </c>
      <c r="O80" s="669">
        <f t="shared" si="40"/>
        <v>1.7470429018025424E-2</v>
      </c>
      <c r="P80" s="669">
        <f t="shared" si="40"/>
        <v>0.24685862900034408</v>
      </c>
      <c r="Q80" s="669">
        <f t="shared" si="40"/>
        <v>0.19292364003179382</v>
      </c>
      <c r="T80" s="421"/>
    </row>
    <row r="81" spans="1:20">
      <c r="A81" s="424">
        <f t="shared" si="31"/>
        <v>69</v>
      </c>
      <c r="B81" s="12" t="s">
        <v>313</v>
      </c>
      <c r="C81" s="12"/>
      <c r="D81" s="12"/>
      <c r="E81" s="669">
        <f t="shared" ref="E81:Q81" si="41">IF(OR(E22=0,E$30=0),0,E22/E$30)</f>
        <v>0</v>
      </c>
      <c r="F81" s="670">
        <f t="shared" si="41"/>
        <v>0</v>
      </c>
      <c r="G81" s="669">
        <f t="shared" si="41"/>
        <v>0</v>
      </c>
      <c r="H81" s="669">
        <f t="shared" si="41"/>
        <v>0</v>
      </c>
      <c r="I81" s="669">
        <f t="shared" si="41"/>
        <v>0</v>
      </c>
      <c r="J81" s="670">
        <f t="shared" si="41"/>
        <v>0</v>
      </c>
      <c r="K81" s="669">
        <f t="shared" si="41"/>
        <v>0</v>
      </c>
      <c r="L81" s="669">
        <f t="shared" si="41"/>
        <v>0</v>
      </c>
      <c r="M81" s="669">
        <f t="shared" si="41"/>
        <v>0</v>
      </c>
      <c r="N81" s="670">
        <f t="shared" si="41"/>
        <v>0</v>
      </c>
      <c r="O81" s="669">
        <f t="shared" si="41"/>
        <v>0</v>
      </c>
      <c r="P81" s="669">
        <f t="shared" si="41"/>
        <v>0</v>
      </c>
      <c r="Q81" s="669">
        <f t="shared" si="41"/>
        <v>0</v>
      </c>
      <c r="T81" s="421"/>
    </row>
    <row r="82" spans="1:20">
      <c r="A82" s="424">
        <f t="shared" si="31"/>
        <v>70</v>
      </c>
      <c r="B82" s="12" t="s">
        <v>350</v>
      </c>
      <c r="C82" s="12"/>
      <c r="D82" s="12"/>
      <c r="E82" s="669">
        <f t="shared" ref="E82:Q82" si="42">IF(OR(E23=0,E$30=0),0,E23/E$30)</f>
        <v>0</v>
      </c>
      <c r="F82" s="670">
        <f t="shared" si="42"/>
        <v>0</v>
      </c>
      <c r="G82" s="669">
        <f t="shared" si="42"/>
        <v>0</v>
      </c>
      <c r="H82" s="669">
        <f t="shared" si="42"/>
        <v>0</v>
      </c>
      <c r="I82" s="669">
        <f t="shared" si="42"/>
        <v>0</v>
      </c>
      <c r="J82" s="670">
        <f t="shared" si="42"/>
        <v>0</v>
      </c>
      <c r="K82" s="669">
        <f t="shared" si="42"/>
        <v>0</v>
      </c>
      <c r="L82" s="669">
        <f t="shared" si="42"/>
        <v>0</v>
      </c>
      <c r="M82" s="669">
        <f t="shared" si="42"/>
        <v>0</v>
      </c>
      <c r="N82" s="670">
        <f t="shared" si="42"/>
        <v>0</v>
      </c>
      <c r="O82" s="669">
        <f t="shared" si="42"/>
        <v>0</v>
      </c>
      <c r="P82" s="669">
        <f t="shared" si="42"/>
        <v>0</v>
      </c>
      <c r="Q82" s="669">
        <f t="shared" si="42"/>
        <v>0</v>
      </c>
      <c r="T82" s="421"/>
    </row>
    <row r="83" spans="1:20">
      <c r="A83" s="424">
        <f t="shared" si="31"/>
        <v>71</v>
      </c>
      <c r="B83" s="12" t="s">
        <v>351</v>
      </c>
      <c r="C83" s="12"/>
      <c r="D83" s="12"/>
      <c r="E83" s="669">
        <f t="shared" ref="E83:Q83" si="43">IF(OR(E24=0,E$30=0),0,E24/E$30)</f>
        <v>4.1510154052024413E-2</v>
      </c>
      <c r="F83" s="670">
        <f t="shared" si="43"/>
        <v>4.1354685392198248E-2</v>
      </c>
      <c r="G83" s="669">
        <f t="shared" si="43"/>
        <v>1</v>
      </c>
      <c r="H83" s="669">
        <f t="shared" si="43"/>
        <v>1</v>
      </c>
      <c r="I83" s="669">
        <f t="shared" si="43"/>
        <v>2.8394588033436766E-2</v>
      </c>
      <c r="J83" s="670">
        <f t="shared" si="43"/>
        <v>0</v>
      </c>
      <c r="K83" s="669">
        <f t="shared" si="43"/>
        <v>0</v>
      </c>
      <c r="L83" s="669">
        <f t="shared" si="43"/>
        <v>0</v>
      </c>
      <c r="M83" s="669">
        <f t="shared" si="43"/>
        <v>0.57662478949795459</v>
      </c>
      <c r="N83" s="670">
        <f t="shared" si="43"/>
        <v>0</v>
      </c>
      <c r="O83" s="669">
        <f t="shared" si="43"/>
        <v>2.6946867541102055E-2</v>
      </c>
      <c r="P83" s="669">
        <f t="shared" si="43"/>
        <v>0</v>
      </c>
      <c r="Q83" s="669">
        <f t="shared" si="43"/>
        <v>0</v>
      </c>
      <c r="T83" s="421"/>
    </row>
    <row r="84" spans="1:20">
      <c r="A84" s="424">
        <f t="shared" si="31"/>
        <v>72</v>
      </c>
      <c r="B84" s="12" t="s">
        <v>142</v>
      </c>
      <c r="C84" s="12"/>
      <c r="D84" s="12"/>
      <c r="E84" s="669">
        <f t="shared" ref="E84:Q84" si="44">IF(OR(E25=0,E$30=0),0,E25/E$30)</f>
        <v>0</v>
      </c>
      <c r="F84" s="670">
        <f t="shared" si="44"/>
        <v>0</v>
      </c>
      <c r="G84" s="669">
        <f t="shared" si="44"/>
        <v>0</v>
      </c>
      <c r="H84" s="669">
        <f t="shared" si="44"/>
        <v>0</v>
      </c>
      <c r="I84" s="669">
        <f t="shared" si="44"/>
        <v>0</v>
      </c>
      <c r="J84" s="670">
        <f t="shared" si="44"/>
        <v>0</v>
      </c>
      <c r="K84" s="669">
        <f t="shared" si="44"/>
        <v>0</v>
      </c>
      <c r="L84" s="669">
        <f t="shared" si="44"/>
        <v>0</v>
      </c>
      <c r="M84" s="669">
        <f t="shared" si="44"/>
        <v>0</v>
      </c>
      <c r="N84" s="670">
        <f t="shared" si="44"/>
        <v>0</v>
      </c>
      <c r="O84" s="669">
        <f t="shared" si="44"/>
        <v>0</v>
      </c>
      <c r="P84" s="669">
        <f t="shared" si="44"/>
        <v>0</v>
      </c>
      <c r="Q84" s="669">
        <f t="shared" si="44"/>
        <v>0</v>
      </c>
      <c r="T84" s="421"/>
    </row>
    <row r="85" spans="1:20">
      <c r="A85" s="424">
        <f t="shared" si="31"/>
        <v>73</v>
      </c>
      <c r="B85" s="12" t="s">
        <v>352</v>
      </c>
      <c r="C85" s="12"/>
      <c r="D85" s="12"/>
      <c r="E85" s="669">
        <f t="shared" ref="E85:Q85" si="45">IF(OR(E26=0,E$30=0),0,E26/E$30)</f>
        <v>0</v>
      </c>
      <c r="F85" s="670">
        <f t="shared" si="45"/>
        <v>0</v>
      </c>
      <c r="G85" s="669">
        <f t="shared" si="45"/>
        <v>0</v>
      </c>
      <c r="H85" s="669">
        <f t="shared" si="45"/>
        <v>0</v>
      </c>
      <c r="I85" s="669">
        <f t="shared" si="45"/>
        <v>0</v>
      </c>
      <c r="J85" s="670">
        <f t="shared" si="45"/>
        <v>0</v>
      </c>
      <c r="K85" s="669">
        <f t="shared" si="45"/>
        <v>0</v>
      </c>
      <c r="L85" s="669">
        <f t="shared" si="45"/>
        <v>0</v>
      </c>
      <c r="M85" s="669">
        <f t="shared" si="45"/>
        <v>0</v>
      </c>
      <c r="N85" s="670">
        <f t="shared" si="45"/>
        <v>0</v>
      </c>
      <c r="O85" s="669">
        <f t="shared" si="45"/>
        <v>0</v>
      </c>
      <c r="P85" s="669">
        <f t="shared" si="45"/>
        <v>0</v>
      </c>
      <c r="Q85" s="669">
        <f t="shared" si="45"/>
        <v>0</v>
      </c>
      <c r="T85" s="421"/>
    </row>
    <row r="86" spans="1:20">
      <c r="A86" s="424">
        <f t="shared" si="31"/>
        <v>74</v>
      </c>
      <c r="B86" s="12" t="s">
        <v>141</v>
      </c>
      <c r="C86" s="12"/>
      <c r="D86" s="12"/>
      <c r="E86" s="669">
        <f t="shared" ref="E86:Q86" si="46">IF(OR(E27=0,E$30=0),0,E27/E$30)</f>
        <v>0</v>
      </c>
      <c r="F86" s="670">
        <f t="shared" si="46"/>
        <v>0</v>
      </c>
      <c r="G86" s="669">
        <f t="shared" si="46"/>
        <v>0</v>
      </c>
      <c r="H86" s="669">
        <f t="shared" si="46"/>
        <v>0</v>
      </c>
      <c r="I86" s="669">
        <f t="shared" si="46"/>
        <v>0</v>
      </c>
      <c r="J86" s="670">
        <f t="shared" si="46"/>
        <v>0</v>
      </c>
      <c r="K86" s="669">
        <f t="shared" si="46"/>
        <v>0</v>
      </c>
      <c r="L86" s="669">
        <f t="shared" si="46"/>
        <v>0</v>
      </c>
      <c r="M86" s="669">
        <f t="shared" si="46"/>
        <v>0</v>
      </c>
      <c r="N86" s="670">
        <f t="shared" si="46"/>
        <v>0</v>
      </c>
      <c r="O86" s="669">
        <f t="shared" si="46"/>
        <v>0</v>
      </c>
      <c r="P86" s="669">
        <f t="shared" si="46"/>
        <v>0</v>
      </c>
      <c r="Q86" s="669">
        <f t="shared" si="46"/>
        <v>0</v>
      </c>
      <c r="T86" s="421"/>
    </row>
    <row r="87" spans="1:20">
      <c r="A87" s="424">
        <f t="shared" si="31"/>
        <v>75</v>
      </c>
      <c r="B87" s="12" t="s">
        <v>384</v>
      </c>
      <c r="C87" s="12"/>
      <c r="D87" s="12"/>
      <c r="E87" s="669">
        <f t="shared" ref="E87:Q87" si="47">IF(OR(E28=0,E$30=0),0,E28/E$30)</f>
        <v>0</v>
      </c>
      <c r="F87" s="670">
        <f t="shared" si="47"/>
        <v>0</v>
      </c>
      <c r="G87" s="669">
        <f t="shared" si="47"/>
        <v>0</v>
      </c>
      <c r="H87" s="669">
        <f t="shared" si="47"/>
        <v>0</v>
      </c>
      <c r="I87" s="669">
        <f t="shared" si="47"/>
        <v>0</v>
      </c>
      <c r="J87" s="670">
        <f t="shared" si="47"/>
        <v>0</v>
      </c>
      <c r="K87" s="669">
        <f t="shared" si="47"/>
        <v>0</v>
      </c>
      <c r="L87" s="669">
        <f t="shared" si="47"/>
        <v>0</v>
      </c>
      <c r="M87" s="669">
        <f t="shared" si="47"/>
        <v>0</v>
      </c>
      <c r="N87" s="670">
        <f t="shared" si="47"/>
        <v>0</v>
      </c>
      <c r="O87" s="669">
        <f t="shared" si="47"/>
        <v>0</v>
      </c>
      <c r="P87" s="669">
        <f t="shared" si="47"/>
        <v>0</v>
      </c>
      <c r="Q87" s="669">
        <f t="shared" si="47"/>
        <v>0</v>
      </c>
      <c r="T87" s="421"/>
    </row>
    <row r="88" spans="1:20">
      <c r="A88" s="424">
        <f t="shared" si="31"/>
        <v>76</v>
      </c>
      <c r="B88" s="12" t="s">
        <v>385</v>
      </c>
      <c r="C88" s="13"/>
      <c r="D88" s="13"/>
      <c r="E88" s="667">
        <f t="shared" ref="E88:Q88" si="48">IF(OR(E29=0,E$30=0),0,E29/E$30)</f>
        <v>0</v>
      </c>
      <c r="F88" s="668">
        <f t="shared" si="48"/>
        <v>0</v>
      </c>
      <c r="G88" s="667">
        <f t="shared" si="48"/>
        <v>0</v>
      </c>
      <c r="H88" s="667">
        <f t="shared" si="48"/>
        <v>0</v>
      </c>
      <c r="I88" s="667">
        <f t="shared" si="48"/>
        <v>0</v>
      </c>
      <c r="J88" s="668">
        <f t="shared" si="48"/>
        <v>0</v>
      </c>
      <c r="K88" s="667">
        <f t="shared" si="48"/>
        <v>0</v>
      </c>
      <c r="L88" s="667">
        <f t="shared" si="48"/>
        <v>0</v>
      </c>
      <c r="M88" s="667">
        <f t="shared" si="48"/>
        <v>0</v>
      </c>
      <c r="N88" s="668">
        <f t="shared" si="48"/>
        <v>0</v>
      </c>
      <c r="O88" s="667">
        <f t="shared" si="48"/>
        <v>0</v>
      </c>
      <c r="P88" s="667">
        <f t="shared" si="48"/>
        <v>0</v>
      </c>
      <c r="Q88" s="667">
        <f t="shared" si="48"/>
        <v>0</v>
      </c>
      <c r="T88" s="421"/>
    </row>
    <row r="89" spans="1:20">
      <c r="A89" s="424">
        <f t="shared" si="31"/>
        <v>77</v>
      </c>
      <c r="B89" s="12" t="s">
        <v>386</v>
      </c>
      <c r="C89" s="13"/>
      <c r="D89" s="13"/>
      <c r="E89" s="693">
        <f>SUM(E73:E88)</f>
        <v>0.99999999999999989</v>
      </c>
      <c r="F89" s="693">
        <f t="shared" ref="F89:Q89" si="49">SUM(F73:F88)</f>
        <v>1</v>
      </c>
      <c r="G89" s="693">
        <f t="shared" si="49"/>
        <v>1</v>
      </c>
      <c r="H89" s="693">
        <f t="shared" si="49"/>
        <v>1</v>
      </c>
      <c r="I89" s="693">
        <f t="shared" si="49"/>
        <v>1</v>
      </c>
      <c r="J89" s="693">
        <f t="shared" si="49"/>
        <v>1</v>
      </c>
      <c r="K89" s="693">
        <f t="shared" si="49"/>
        <v>1</v>
      </c>
      <c r="L89" s="693">
        <f t="shared" si="49"/>
        <v>1</v>
      </c>
      <c r="M89" s="693">
        <f t="shared" si="49"/>
        <v>1</v>
      </c>
      <c r="N89" s="693">
        <f t="shared" si="49"/>
        <v>1</v>
      </c>
      <c r="O89" s="693">
        <f t="shared" si="49"/>
        <v>1</v>
      </c>
      <c r="P89" s="693">
        <f t="shared" si="49"/>
        <v>1</v>
      </c>
      <c r="Q89" s="693">
        <f t="shared" si="49"/>
        <v>1</v>
      </c>
      <c r="T89" s="421"/>
    </row>
    <row r="90" spans="1:20">
      <c r="A90" s="424">
        <f t="shared" si="31"/>
        <v>78</v>
      </c>
      <c r="B90" s="13" t="s">
        <v>356</v>
      </c>
      <c r="C90" s="13"/>
      <c r="D90" s="13"/>
      <c r="E90" s="672"/>
      <c r="F90" s="673">
        <f t="shared" ref="F90:Q90" si="50">IFERROR(F31/$E$30,0)</f>
        <v>0.16729323275122571</v>
      </c>
      <c r="G90" s="673">
        <f t="shared" si="50"/>
        <v>0.17421159175989642</v>
      </c>
      <c r="H90" s="673">
        <f t="shared" si="50"/>
        <v>0.18112995076856717</v>
      </c>
      <c r="I90" s="673">
        <f t="shared" si="50"/>
        <v>0.42478057181381162</v>
      </c>
      <c r="J90" s="673">
        <f t="shared" si="50"/>
        <v>0.42986023844447269</v>
      </c>
      <c r="K90" s="673">
        <f t="shared" si="50"/>
        <v>0.43493990507513369</v>
      </c>
      <c r="L90" s="673">
        <f t="shared" si="50"/>
        <v>0.67167216711170741</v>
      </c>
      <c r="M90" s="673">
        <f t="shared" si="50"/>
        <v>0.68367019275103913</v>
      </c>
      <c r="N90" s="673">
        <f t="shared" si="50"/>
        <v>0.70183998930196823</v>
      </c>
      <c r="O90" s="673">
        <f t="shared" si="50"/>
        <v>0.95858074026748075</v>
      </c>
      <c r="P90" s="673">
        <f t="shared" si="50"/>
        <v>0.97675053681840984</v>
      </c>
      <c r="Q90" s="673">
        <f t="shared" si="50"/>
        <v>0.99999999999999989</v>
      </c>
      <c r="T90" s="421"/>
    </row>
    <row r="91" spans="1:20">
      <c r="A91" s="424">
        <f t="shared" si="31"/>
        <v>79</v>
      </c>
      <c r="B91" s="13"/>
      <c r="C91" s="13"/>
      <c r="D91" s="13"/>
      <c r="E91" s="672"/>
      <c r="F91" s="673"/>
      <c r="G91" s="673"/>
      <c r="H91" s="673"/>
      <c r="I91" s="673"/>
      <c r="J91" s="673"/>
      <c r="K91" s="673"/>
      <c r="L91" s="673"/>
      <c r="M91" s="673"/>
      <c r="N91" s="673"/>
      <c r="O91" s="673"/>
      <c r="P91" s="673"/>
      <c r="Q91" s="673"/>
      <c r="T91" s="421"/>
    </row>
    <row r="92" spans="1:20" ht="18.75">
      <c r="A92" s="424">
        <f t="shared" si="31"/>
        <v>80</v>
      </c>
      <c r="B92" s="86" t="s">
        <v>387</v>
      </c>
      <c r="C92" s="13"/>
      <c r="D92" s="13"/>
      <c r="E92" s="672"/>
      <c r="F92" s="673"/>
      <c r="G92" s="673"/>
      <c r="H92" s="673"/>
      <c r="I92" s="673"/>
      <c r="J92" s="673"/>
      <c r="K92" s="673"/>
      <c r="L92" s="673"/>
      <c r="M92" s="673"/>
      <c r="N92" s="673"/>
      <c r="O92" s="673"/>
      <c r="P92" s="673"/>
      <c r="Q92" s="673"/>
      <c r="T92" s="421"/>
    </row>
    <row r="93" spans="1:20">
      <c r="A93" s="424">
        <f t="shared" si="31"/>
        <v>81</v>
      </c>
      <c r="B93" s="12"/>
      <c r="C93" s="12"/>
      <c r="D93" s="12"/>
      <c r="E93" s="674"/>
      <c r="F93" s="675"/>
      <c r="G93" s="674"/>
      <c r="H93" s="674"/>
      <c r="I93" s="674"/>
      <c r="J93" s="675"/>
      <c r="K93" s="674"/>
      <c r="L93" s="674"/>
      <c r="M93" s="674"/>
      <c r="N93" s="675"/>
      <c r="O93" s="674"/>
      <c r="P93" s="674"/>
      <c r="Q93" s="674"/>
      <c r="T93" s="421"/>
    </row>
    <row r="94" spans="1:20">
      <c r="A94" s="424">
        <f t="shared" si="31"/>
        <v>82</v>
      </c>
      <c r="B94" s="92" t="s">
        <v>147</v>
      </c>
      <c r="C94" s="92"/>
      <c r="D94" s="92"/>
      <c r="E94" s="657"/>
      <c r="F94" s="657"/>
      <c r="G94" s="657"/>
      <c r="H94" s="657"/>
      <c r="I94" s="657"/>
      <c r="J94" s="657"/>
      <c r="K94" s="657"/>
      <c r="L94" s="657"/>
      <c r="M94" s="657"/>
      <c r="N94" s="657"/>
      <c r="O94" s="657"/>
      <c r="P94" s="657"/>
      <c r="Q94" s="657"/>
      <c r="T94" s="421"/>
    </row>
    <row r="95" spans="1:20">
      <c r="A95" s="424">
        <f t="shared" si="31"/>
        <v>83</v>
      </c>
      <c r="B95" s="12" t="s">
        <v>388</v>
      </c>
      <c r="C95" s="12"/>
      <c r="D95" s="12"/>
      <c r="E95" s="1093">
        <f t="shared" ref="E95:Q95" si="51">IFERROR(E35/E$30,0)</f>
        <v>0.4336968922098321</v>
      </c>
      <c r="F95" s="1093">
        <f t="shared" si="51"/>
        <v>0.21603628006816597</v>
      </c>
      <c r="G95" s="1093">
        <f t="shared" si="51"/>
        <v>5.2239855779176647</v>
      </c>
      <c r="H95" s="1093">
        <f t="shared" si="51"/>
        <v>5.2239855779176647</v>
      </c>
      <c r="I95" s="1093">
        <f t="shared" si="51"/>
        <v>0.14833291837758716</v>
      </c>
      <c r="J95" s="1093">
        <f t="shared" si="51"/>
        <v>7.114917240041315</v>
      </c>
      <c r="K95" s="1093">
        <f t="shared" si="51"/>
        <v>7.114917240041315</v>
      </c>
      <c r="L95" s="1093">
        <f t="shared" si="51"/>
        <v>0.15266785934977056</v>
      </c>
      <c r="M95" s="1093">
        <f t="shared" si="51"/>
        <v>3.0122795842071239</v>
      </c>
      <c r="N95" s="1093">
        <f t="shared" si="51"/>
        <v>1.9890925901591716</v>
      </c>
      <c r="O95" s="1093">
        <f t="shared" si="51"/>
        <v>0.14077004740477475</v>
      </c>
      <c r="P95" s="1093">
        <f t="shared" si="51"/>
        <v>1.9890925901591716</v>
      </c>
      <c r="Q95" s="1093">
        <f t="shared" si="51"/>
        <v>1.5545050396161826</v>
      </c>
      <c r="T95" s="421"/>
    </row>
    <row r="96" spans="1:20">
      <c r="A96" s="424">
        <f t="shared" si="31"/>
        <v>84</v>
      </c>
      <c r="B96" s="12" t="s">
        <v>389</v>
      </c>
      <c r="C96" s="12"/>
      <c r="D96" s="12"/>
      <c r="E96" s="669">
        <f>IFERROR(#REF!/E$30,0)</f>
        <v>0</v>
      </c>
      <c r="F96" s="669">
        <f>IFERROR(#REF!/F$30,0)</f>
        <v>0</v>
      </c>
      <c r="G96" s="669">
        <f>IFERROR(#REF!/G$30,0)</f>
        <v>0</v>
      </c>
      <c r="H96" s="669">
        <f>IFERROR(#REF!/H$30,0)</f>
        <v>0</v>
      </c>
      <c r="I96" s="669">
        <f>IFERROR(#REF!/I$30,0)</f>
        <v>0</v>
      </c>
      <c r="J96" s="669">
        <f>IFERROR(#REF!/J$30,0)</f>
        <v>0</v>
      </c>
      <c r="K96" s="669">
        <f>IFERROR(#REF!/K$30,0)</f>
        <v>0</v>
      </c>
      <c r="L96" s="669">
        <f>IFERROR(#REF!/L$30,0)</f>
        <v>0</v>
      </c>
      <c r="M96" s="669">
        <f>IFERROR(#REF!/M$30,0)</f>
        <v>0</v>
      </c>
      <c r="N96" s="669">
        <f>IFERROR(#REF!/N$30,0)</f>
        <v>0</v>
      </c>
      <c r="O96" s="669">
        <f>IFERROR(#REF!/O$30,0)</f>
        <v>0</v>
      </c>
      <c r="P96" s="669">
        <f>IFERROR(#REF!/P$30,0)</f>
        <v>0</v>
      </c>
      <c r="Q96" s="669">
        <f>IFERROR(#REF!/Q$30,0)</f>
        <v>0</v>
      </c>
      <c r="T96" s="421"/>
    </row>
    <row r="97" spans="1:20">
      <c r="A97" s="424">
        <f t="shared" si="31"/>
        <v>85</v>
      </c>
      <c r="B97" s="12" t="s">
        <v>390</v>
      </c>
      <c r="C97" s="12"/>
      <c r="D97" s="12"/>
      <c r="E97" s="669">
        <f>IFERROR(#REF!/E$30,0)</f>
        <v>0</v>
      </c>
      <c r="F97" s="669">
        <f>IFERROR(#REF!/F$30,0)</f>
        <v>0</v>
      </c>
      <c r="G97" s="669">
        <f>IFERROR(#REF!/G$30,0)</f>
        <v>0</v>
      </c>
      <c r="H97" s="669">
        <f>IFERROR(#REF!/H$30,0)</f>
        <v>0</v>
      </c>
      <c r="I97" s="669">
        <f>IFERROR(#REF!/I$30,0)</f>
        <v>0</v>
      </c>
      <c r="J97" s="669">
        <f>IFERROR(#REF!/J$30,0)</f>
        <v>0</v>
      </c>
      <c r="K97" s="669">
        <f>IFERROR(#REF!/K$30,0)</f>
        <v>0</v>
      </c>
      <c r="L97" s="669">
        <f>IFERROR(#REF!/L$30,0)</f>
        <v>0</v>
      </c>
      <c r="M97" s="669">
        <f>IFERROR(#REF!/M$30,0)</f>
        <v>0</v>
      </c>
      <c r="N97" s="669">
        <f>IFERROR(#REF!/N$30,0)</f>
        <v>0</v>
      </c>
      <c r="O97" s="669">
        <f>IFERROR(#REF!/O$30,0)</f>
        <v>0</v>
      </c>
      <c r="P97" s="669">
        <f>IFERROR(#REF!/P$30,0)</f>
        <v>0</v>
      </c>
      <c r="Q97" s="669">
        <f>IFERROR(#REF!/Q$30,0)</f>
        <v>0</v>
      </c>
      <c r="T97" s="421"/>
    </row>
    <row r="98" spans="1:20">
      <c r="A98" s="424">
        <f t="shared" si="31"/>
        <v>86</v>
      </c>
      <c r="B98" s="12" t="s">
        <v>391</v>
      </c>
      <c r="C98" s="12"/>
      <c r="D98" s="12"/>
      <c r="E98" s="669">
        <f>IFERROR(#REF!/E$30,0)</f>
        <v>0</v>
      </c>
      <c r="F98" s="669">
        <f>IFERROR(#REF!/F$30,0)</f>
        <v>0</v>
      </c>
      <c r="G98" s="669">
        <f>IFERROR(#REF!/G$30,0)</f>
        <v>0</v>
      </c>
      <c r="H98" s="669">
        <f>IFERROR(#REF!/H$30,0)</f>
        <v>0</v>
      </c>
      <c r="I98" s="669">
        <f>IFERROR(#REF!/I$30,0)</f>
        <v>0</v>
      </c>
      <c r="J98" s="669">
        <f>IFERROR(#REF!/J$30,0)</f>
        <v>0</v>
      </c>
      <c r="K98" s="669">
        <f>IFERROR(#REF!/K$30,0)</f>
        <v>0</v>
      </c>
      <c r="L98" s="669">
        <f>IFERROR(#REF!/L$30,0)</f>
        <v>0</v>
      </c>
      <c r="M98" s="669">
        <f>IFERROR(#REF!/M$30,0)</f>
        <v>0</v>
      </c>
      <c r="N98" s="669">
        <f>IFERROR(#REF!/N$30,0)</f>
        <v>0</v>
      </c>
      <c r="O98" s="669">
        <f>IFERROR(#REF!/O$30,0)</f>
        <v>0</v>
      </c>
      <c r="P98" s="669">
        <f>IFERROR(#REF!/P$30,0)</f>
        <v>0</v>
      </c>
      <c r="Q98" s="669">
        <f>IFERROR(#REF!/Q$30,0)</f>
        <v>0</v>
      </c>
      <c r="T98" s="421"/>
    </row>
    <row r="99" spans="1:20">
      <c r="A99" s="424">
        <f t="shared" si="31"/>
        <v>87</v>
      </c>
      <c r="B99" s="12" t="s">
        <v>392</v>
      </c>
      <c r="C99" s="12"/>
      <c r="D99" s="12"/>
      <c r="E99" s="669">
        <f>IFERROR(#REF!/E$30,0)</f>
        <v>0</v>
      </c>
      <c r="F99" s="669">
        <f>IFERROR(#REF!/F$30,0)</f>
        <v>0</v>
      </c>
      <c r="G99" s="669">
        <f>IFERROR(#REF!/G$30,0)</f>
        <v>0</v>
      </c>
      <c r="H99" s="669">
        <f>IFERROR(#REF!/H$30,0)</f>
        <v>0</v>
      </c>
      <c r="I99" s="669">
        <f>IFERROR(#REF!/I$30,0)</f>
        <v>0</v>
      </c>
      <c r="J99" s="669">
        <f>IFERROR(#REF!/J$30,0)</f>
        <v>0</v>
      </c>
      <c r="K99" s="669">
        <f>IFERROR(#REF!/K$30,0)</f>
        <v>0</v>
      </c>
      <c r="L99" s="669">
        <f>IFERROR(#REF!/L$30,0)</f>
        <v>0</v>
      </c>
      <c r="M99" s="669">
        <f>IFERROR(#REF!/M$30,0)</f>
        <v>0</v>
      </c>
      <c r="N99" s="669">
        <f>IFERROR(#REF!/N$30,0)</f>
        <v>0</v>
      </c>
      <c r="O99" s="669">
        <f>IFERROR(#REF!/O$30,0)</f>
        <v>0</v>
      </c>
      <c r="P99" s="669">
        <f>IFERROR(#REF!/P$30,0)</f>
        <v>0</v>
      </c>
      <c r="Q99" s="669">
        <f>IFERROR(#REF!/Q$30,0)</f>
        <v>0</v>
      </c>
      <c r="T99" s="421"/>
    </row>
    <row r="100" spans="1:20">
      <c r="A100" s="424">
        <f t="shared" si="31"/>
        <v>88</v>
      </c>
      <c r="B100" s="12" t="s">
        <v>360</v>
      </c>
      <c r="C100" s="12"/>
      <c r="D100" s="12"/>
      <c r="E100" s="669">
        <f t="shared" ref="E100:Q100" si="52">IFERROR(E36/E$30,0)</f>
        <v>8.5693435913232918E-2</v>
      </c>
      <c r="F100" s="669">
        <f t="shared" si="52"/>
        <v>0.21445478753344052</v>
      </c>
      <c r="G100" s="669">
        <f t="shared" si="52"/>
        <v>5.1857434169695891</v>
      </c>
      <c r="H100" s="669">
        <f t="shared" si="52"/>
        <v>0.20148949374944586</v>
      </c>
      <c r="I100" s="669">
        <f t="shared" si="52"/>
        <v>5.7212111680812481E-3</v>
      </c>
      <c r="J100" s="669">
        <f t="shared" si="52"/>
        <v>0.27442286189016807</v>
      </c>
      <c r="K100" s="669">
        <f t="shared" si="52"/>
        <v>0.27442286189016807</v>
      </c>
      <c r="L100" s="669">
        <f t="shared" si="52"/>
        <v>5.8884101484174703E-3</v>
      </c>
      <c r="M100" s="669">
        <f t="shared" si="52"/>
        <v>0.11618383691932366</v>
      </c>
      <c r="N100" s="669">
        <f t="shared" si="52"/>
        <v>7.6719442087682999E-2</v>
      </c>
      <c r="O100" s="669">
        <f t="shared" si="52"/>
        <v>5.4295106989900276E-3</v>
      </c>
      <c r="P100" s="669">
        <f t="shared" si="52"/>
        <v>7.6719442087682999E-2</v>
      </c>
      <c r="Q100" s="669">
        <f t="shared" si="52"/>
        <v>5.9957369481880976E-2</v>
      </c>
      <c r="T100" s="421"/>
    </row>
    <row r="101" spans="1:20">
      <c r="A101" s="424">
        <f t="shared" si="31"/>
        <v>89</v>
      </c>
      <c r="B101" s="12" t="s">
        <v>393</v>
      </c>
      <c r="C101" s="12"/>
      <c r="D101" s="12"/>
      <c r="E101" s="669">
        <f t="shared" ref="E101:Q101" si="53">IFERROR(E37/E$30,0)</f>
        <v>1.7042876589761183E-2</v>
      </c>
      <c r="F101" s="669">
        <f t="shared" si="53"/>
        <v>0</v>
      </c>
      <c r="G101" s="669">
        <f t="shared" si="53"/>
        <v>0</v>
      </c>
      <c r="H101" s="669">
        <f t="shared" si="53"/>
        <v>0.24634276088305701</v>
      </c>
      <c r="I101" s="669">
        <f t="shared" si="53"/>
        <v>6.994801210293825E-3</v>
      </c>
      <c r="J101" s="669">
        <f t="shared" si="53"/>
        <v>0.33551171423120302</v>
      </c>
      <c r="K101" s="669">
        <f t="shared" si="53"/>
        <v>0.33551171423120302</v>
      </c>
      <c r="L101" s="669">
        <f t="shared" si="53"/>
        <v>7.1992200991718479E-3</v>
      </c>
      <c r="M101" s="669">
        <f t="shared" si="53"/>
        <v>0.14204734263853772</v>
      </c>
      <c r="N101" s="669">
        <f t="shared" si="53"/>
        <v>9.379783940888288E-2</v>
      </c>
      <c r="O101" s="669">
        <f t="shared" si="53"/>
        <v>6.6381657472251131E-3</v>
      </c>
      <c r="P101" s="669">
        <f t="shared" si="53"/>
        <v>9.379783940888288E-2</v>
      </c>
      <c r="Q101" s="669">
        <f t="shared" si="53"/>
        <v>7.3304387532080573E-2</v>
      </c>
      <c r="T101" s="421"/>
    </row>
    <row r="102" spans="1:20">
      <c r="A102" s="424">
        <f t="shared" si="31"/>
        <v>90</v>
      </c>
      <c r="B102" s="12" t="s">
        <v>394</v>
      </c>
      <c r="C102" s="12"/>
      <c r="D102" s="12"/>
      <c r="E102" s="669">
        <f>IFERROR(#REF!/E$30,0)</f>
        <v>0</v>
      </c>
      <c r="F102" s="669">
        <f>IFERROR(#REF!/F$30,0)</f>
        <v>0</v>
      </c>
      <c r="G102" s="669">
        <f>IFERROR(#REF!/G$30,0)</f>
        <v>0</v>
      </c>
      <c r="H102" s="669">
        <f>IFERROR(#REF!/H$30,0)</f>
        <v>0</v>
      </c>
      <c r="I102" s="669">
        <f>IFERROR(#REF!/I$30,0)</f>
        <v>0</v>
      </c>
      <c r="J102" s="669">
        <f>IFERROR(#REF!/J$30,0)</f>
        <v>0</v>
      </c>
      <c r="K102" s="669">
        <f>IFERROR(#REF!/K$30,0)</f>
        <v>0</v>
      </c>
      <c r="L102" s="669">
        <f>IFERROR(#REF!/L$30,0)</f>
        <v>0</v>
      </c>
      <c r="M102" s="669">
        <f>IFERROR(#REF!/M$30,0)</f>
        <v>0</v>
      </c>
      <c r="N102" s="669">
        <f>IFERROR(#REF!/N$30,0)</f>
        <v>0</v>
      </c>
      <c r="O102" s="669">
        <f>IFERROR(#REF!/O$30,0)</f>
        <v>0</v>
      </c>
      <c r="P102" s="669">
        <f>IFERROR(#REF!/P$30,0)</f>
        <v>0</v>
      </c>
      <c r="Q102" s="669">
        <f>IFERROR(#REF!/Q$30,0)</f>
        <v>0</v>
      </c>
      <c r="T102" s="421"/>
    </row>
    <row r="103" spans="1:20">
      <c r="A103" s="424">
        <f t="shared" si="31"/>
        <v>91</v>
      </c>
      <c r="B103" s="12" t="s">
        <v>140</v>
      </c>
      <c r="C103" s="12"/>
      <c r="D103" s="12"/>
      <c r="E103" s="669">
        <f t="shared" ref="E103:Q103" si="54">IFERROR(E38/E$30,0)</f>
        <v>9.7653812037895596E-2</v>
      </c>
      <c r="F103" s="669">
        <f t="shared" si="54"/>
        <v>0</v>
      </c>
      <c r="G103" s="669">
        <f t="shared" si="54"/>
        <v>0</v>
      </c>
      <c r="H103" s="669">
        <f t="shared" si="54"/>
        <v>1.4115169784555368</v>
      </c>
      <c r="I103" s="669">
        <f t="shared" si="54"/>
        <v>4.0079443105446408E-2</v>
      </c>
      <c r="J103" s="669">
        <f t="shared" si="54"/>
        <v>1.9224452929342697</v>
      </c>
      <c r="K103" s="669">
        <f t="shared" si="54"/>
        <v>1.9224452929342697</v>
      </c>
      <c r="L103" s="669">
        <f t="shared" si="54"/>
        <v>4.1250740899357714E-2</v>
      </c>
      <c r="M103" s="669">
        <f t="shared" si="54"/>
        <v>0.81391568057471286</v>
      </c>
      <c r="N103" s="669">
        <f t="shared" si="54"/>
        <v>0.5374513234871765</v>
      </c>
      <c r="O103" s="669">
        <f t="shared" si="54"/>
        <v>3.803596105045795E-2</v>
      </c>
      <c r="P103" s="669">
        <f t="shared" si="54"/>
        <v>0.5374513234871765</v>
      </c>
      <c r="Q103" s="669">
        <f t="shared" si="54"/>
        <v>0.42002609382922035</v>
      </c>
      <c r="T103" s="421"/>
    </row>
    <row r="104" spans="1:20">
      <c r="A104" s="424">
        <f t="shared" si="31"/>
        <v>92</v>
      </c>
      <c r="B104" s="135" t="s">
        <v>363</v>
      </c>
      <c r="C104" s="12"/>
      <c r="D104" s="12"/>
      <c r="E104" s="669">
        <f t="shared" ref="E104:Q104" si="55">IFERROR(E39/E$30,0)</f>
        <v>0</v>
      </c>
      <c r="F104" s="669">
        <f t="shared" si="55"/>
        <v>0</v>
      </c>
      <c r="G104" s="669">
        <f t="shared" si="55"/>
        <v>0</v>
      </c>
      <c r="H104" s="669">
        <f t="shared" si="55"/>
        <v>0</v>
      </c>
      <c r="I104" s="669">
        <f t="shared" si="55"/>
        <v>0</v>
      </c>
      <c r="J104" s="669">
        <f t="shared" si="55"/>
        <v>0</v>
      </c>
      <c r="K104" s="669">
        <f t="shared" si="55"/>
        <v>0</v>
      </c>
      <c r="L104" s="669">
        <f t="shared" si="55"/>
        <v>0</v>
      </c>
      <c r="M104" s="669">
        <f t="shared" si="55"/>
        <v>0</v>
      </c>
      <c r="N104" s="669">
        <f t="shared" si="55"/>
        <v>0</v>
      </c>
      <c r="O104" s="669">
        <f t="shared" si="55"/>
        <v>0</v>
      </c>
      <c r="P104" s="669">
        <f t="shared" si="55"/>
        <v>0</v>
      </c>
      <c r="Q104" s="669">
        <f t="shared" si="55"/>
        <v>0</v>
      </c>
      <c r="T104" s="421"/>
    </row>
    <row r="105" spans="1:20">
      <c r="A105" s="424">
        <f t="shared" si="31"/>
        <v>93</v>
      </c>
      <c r="B105" s="37" t="s">
        <v>104</v>
      </c>
      <c r="C105" s="12"/>
      <c r="D105" s="12"/>
      <c r="E105" s="669">
        <f t="shared" ref="E105:Q105" si="56">IFERROR(E41/E$30,0)</f>
        <v>3.0669203868564305E-3</v>
      </c>
      <c r="F105" s="669">
        <f t="shared" si="56"/>
        <v>0</v>
      </c>
      <c r="G105" s="669">
        <f t="shared" si="56"/>
        <v>0</v>
      </c>
      <c r="H105" s="669">
        <f t="shared" si="56"/>
        <v>0</v>
      </c>
      <c r="I105" s="669">
        <f t="shared" si="56"/>
        <v>0</v>
      </c>
      <c r="J105" s="669">
        <f t="shared" si="56"/>
        <v>0</v>
      </c>
      <c r="K105" s="669">
        <f t="shared" si="56"/>
        <v>0.15094102673708973</v>
      </c>
      <c r="L105" s="669">
        <f t="shared" si="56"/>
        <v>3.2388069548190787E-3</v>
      </c>
      <c r="M105" s="669">
        <f t="shared" si="56"/>
        <v>6.3904688968210235E-2</v>
      </c>
      <c r="N105" s="669">
        <f t="shared" si="56"/>
        <v>4.2198056239375059E-2</v>
      </c>
      <c r="O105" s="669">
        <f t="shared" si="56"/>
        <v>0</v>
      </c>
      <c r="P105" s="669">
        <f t="shared" si="56"/>
        <v>0</v>
      </c>
      <c r="Q105" s="669">
        <f t="shared" si="56"/>
        <v>0</v>
      </c>
      <c r="T105" s="421"/>
    </row>
    <row r="106" spans="1:20">
      <c r="A106" s="424">
        <f t="shared" si="31"/>
        <v>94</v>
      </c>
      <c r="B106" s="12" t="s">
        <v>395</v>
      </c>
      <c r="C106" s="12"/>
      <c r="D106" s="12"/>
      <c r="E106" s="669">
        <f t="shared" ref="E106:Q106" si="57">IFERROR(E42/E$30,0)</f>
        <v>0.28730680165042022</v>
      </c>
      <c r="F106" s="669">
        <f t="shared" si="57"/>
        <v>0.14311537339033781</v>
      </c>
      <c r="G106" s="669">
        <f t="shared" si="57"/>
        <v>3.4606809853119369</v>
      </c>
      <c r="H106" s="669">
        <f t="shared" si="57"/>
        <v>3.4606809853119369</v>
      </c>
      <c r="I106" s="669">
        <f t="shared" si="57"/>
        <v>9.8264610893080487E-2</v>
      </c>
      <c r="J106" s="669">
        <f t="shared" si="57"/>
        <v>4.7133473929868375</v>
      </c>
      <c r="K106" s="669">
        <f t="shared" si="57"/>
        <v>4.7133473929868375</v>
      </c>
      <c r="L106" s="669">
        <f t="shared" si="57"/>
        <v>0.1011363354740784</v>
      </c>
      <c r="M106" s="669">
        <f t="shared" si="57"/>
        <v>1.9955144446750697</v>
      </c>
      <c r="N106" s="669">
        <f t="shared" si="57"/>
        <v>1.3176940866541587</v>
      </c>
      <c r="O106" s="669">
        <f t="shared" si="57"/>
        <v>9.3254512113211299E-2</v>
      </c>
      <c r="P106" s="669">
        <f t="shared" si="57"/>
        <v>1.3176940866541587</v>
      </c>
      <c r="Q106" s="669">
        <f t="shared" si="57"/>
        <v>1.0297972595697107</v>
      </c>
      <c r="T106" s="421"/>
    </row>
    <row r="107" spans="1:20">
      <c r="A107" s="424">
        <f t="shared" si="31"/>
        <v>95</v>
      </c>
      <c r="B107" s="12" t="s">
        <v>396</v>
      </c>
      <c r="C107" s="12"/>
      <c r="D107" s="12"/>
      <c r="E107" s="669">
        <f>IFERROR(#REF!/E$30,0)</f>
        <v>0</v>
      </c>
      <c r="F107" s="669">
        <f>IFERROR(#REF!/F$30,0)</f>
        <v>0</v>
      </c>
      <c r="G107" s="669">
        <f>IFERROR(#REF!/G$30,0)</f>
        <v>0</v>
      </c>
      <c r="H107" s="669">
        <f>IFERROR(#REF!/H$30,0)</f>
        <v>0</v>
      </c>
      <c r="I107" s="669">
        <f>IFERROR(#REF!/I$30,0)</f>
        <v>0</v>
      </c>
      <c r="J107" s="669">
        <f>IFERROR(#REF!/J$30,0)</f>
        <v>0</v>
      </c>
      <c r="K107" s="669">
        <f>IFERROR(#REF!/K$30,0)</f>
        <v>0</v>
      </c>
      <c r="L107" s="669">
        <f>IFERROR(#REF!/L$30,0)</f>
        <v>0</v>
      </c>
      <c r="M107" s="669">
        <f>IFERROR(#REF!/M$30,0)</f>
        <v>0</v>
      </c>
      <c r="N107" s="669">
        <f>IFERROR(#REF!/N$30,0)</f>
        <v>0</v>
      </c>
      <c r="O107" s="669">
        <f>IFERROR(#REF!/O$30,0)</f>
        <v>0</v>
      </c>
      <c r="P107" s="669">
        <f>IFERROR(#REF!/P$30,0)</f>
        <v>0</v>
      </c>
      <c r="Q107" s="669">
        <f>IFERROR(#REF!/Q$30,0)</f>
        <v>0</v>
      </c>
      <c r="T107" s="421"/>
    </row>
    <row r="108" spans="1:20">
      <c r="A108" s="424">
        <f t="shared" si="31"/>
        <v>96</v>
      </c>
      <c r="B108" s="12" t="s">
        <v>397</v>
      </c>
      <c r="C108" s="12"/>
      <c r="D108" s="12"/>
      <c r="E108" s="669">
        <f>IFERROR(#REF!/E$30,0)</f>
        <v>0</v>
      </c>
      <c r="F108" s="669">
        <f>IFERROR(#REF!/F$30,0)</f>
        <v>0</v>
      </c>
      <c r="G108" s="669">
        <f>IFERROR(#REF!/G$30,0)</f>
        <v>0</v>
      </c>
      <c r="H108" s="669">
        <f>IFERROR(#REF!/H$30,0)</f>
        <v>0</v>
      </c>
      <c r="I108" s="669">
        <f>IFERROR(#REF!/I$30,0)</f>
        <v>0</v>
      </c>
      <c r="J108" s="669">
        <f>IFERROR(#REF!/J$30,0)</f>
        <v>0</v>
      </c>
      <c r="K108" s="669">
        <f>IFERROR(#REF!/K$30,0)</f>
        <v>0</v>
      </c>
      <c r="L108" s="669">
        <f>IFERROR(#REF!/L$30,0)</f>
        <v>0</v>
      </c>
      <c r="M108" s="669">
        <f>IFERROR(#REF!/M$30,0)</f>
        <v>0</v>
      </c>
      <c r="N108" s="669">
        <f>IFERROR(#REF!/N$30,0)</f>
        <v>0</v>
      </c>
      <c r="O108" s="669">
        <f>IFERROR(#REF!/O$30,0)</f>
        <v>0</v>
      </c>
      <c r="P108" s="669">
        <f>IFERROR(#REF!/P$30,0)</f>
        <v>0</v>
      </c>
      <c r="Q108" s="669">
        <f>IFERROR(#REF!/Q$30,0)</f>
        <v>0</v>
      </c>
      <c r="T108" s="421"/>
    </row>
    <row r="109" spans="1:20">
      <c r="A109" s="424">
        <f t="shared" si="31"/>
        <v>97</v>
      </c>
      <c r="B109" s="135" t="s">
        <v>398</v>
      </c>
      <c r="C109" s="12"/>
      <c r="D109" s="12"/>
      <c r="E109" s="669">
        <f>IFERROR(#REF!/E$30,0)</f>
        <v>0</v>
      </c>
      <c r="F109" s="669">
        <f>IFERROR(#REF!/F$30,0)</f>
        <v>0</v>
      </c>
      <c r="G109" s="669">
        <f>IFERROR(#REF!/G$30,0)</f>
        <v>0</v>
      </c>
      <c r="H109" s="669">
        <f>IFERROR(#REF!/H$30,0)</f>
        <v>0</v>
      </c>
      <c r="I109" s="669">
        <f>IFERROR(#REF!/I$30,0)</f>
        <v>0</v>
      </c>
      <c r="J109" s="669">
        <f>IFERROR(#REF!/J$30,0)</f>
        <v>0</v>
      </c>
      <c r="K109" s="669">
        <f>IFERROR(#REF!/K$30,0)</f>
        <v>0</v>
      </c>
      <c r="L109" s="669">
        <f>IFERROR(#REF!/L$30,0)</f>
        <v>0</v>
      </c>
      <c r="M109" s="669">
        <f>IFERROR(#REF!/M$30,0)</f>
        <v>0</v>
      </c>
      <c r="N109" s="669">
        <f>IFERROR(#REF!/N$30,0)</f>
        <v>0</v>
      </c>
      <c r="O109" s="669">
        <f>IFERROR(#REF!/O$30,0)</f>
        <v>0</v>
      </c>
      <c r="P109" s="669">
        <f>IFERROR(#REF!/P$30,0)</f>
        <v>0</v>
      </c>
      <c r="Q109" s="669">
        <f>IFERROR(#REF!/Q$30,0)</f>
        <v>0</v>
      </c>
      <c r="T109" s="421"/>
    </row>
    <row r="110" spans="1:20">
      <c r="A110" s="424">
        <f t="shared" si="31"/>
        <v>98</v>
      </c>
      <c r="B110" s="135" t="s">
        <v>399</v>
      </c>
      <c r="C110" s="12"/>
      <c r="D110" s="12"/>
      <c r="E110" s="669">
        <f>IFERROR(#REF!/E$30,0)</f>
        <v>0</v>
      </c>
      <c r="F110" s="669">
        <f>IFERROR(#REF!/F$30,0)</f>
        <v>0</v>
      </c>
      <c r="G110" s="669">
        <f>IFERROR(#REF!/G$30,0)</f>
        <v>0</v>
      </c>
      <c r="H110" s="669">
        <f>IFERROR(#REF!/H$30,0)</f>
        <v>0</v>
      </c>
      <c r="I110" s="669">
        <f>IFERROR(#REF!/I$30,0)</f>
        <v>0</v>
      </c>
      <c r="J110" s="669">
        <f>IFERROR(#REF!/J$30,0)</f>
        <v>0</v>
      </c>
      <c r="K110" s="669">
        <f>IFERROR(#REF!/K$30,0)</f>
        <v>0</v>
      </c>
      <c r="L110" s="669">
        <f>IFERROR(#REF!/L$30,0)</f>
        <v>0</v>
      </c>
      <c r="M110" s="669">
        <f>IFERROR(#REF!/M$30,0)</f>
        <v>0</v>
      </c>
      <c r="N110" s="669">
        <f>IFERROR(#REF!/N$30,0)</f>
        <v>0</v>
      </c>
      <c r="O110" s="669">
        <f>IFERROR(#REF!/O$30,0)</f>
        <v>0</v>
      </c>
      <c r="P110" s="669">
        <f>IFERROR(#REF!/P$30,0)</f>
        <v>0</v>
      </c>
      <c r="Q110" s="669">
        <f>IFERROR(#REF!/Q$30,0)</f>
        <v>0</v>
      </c>
      <c r="T110" s="421"/>
    </row>
    <row r="111" spans="1:20">
      <c r="A111" s="424">
        <f t="shared" si="31"/>
        <v>99</v>
      </c>
      <c r="B111" s="135" t="s">
        <v>400</v>
      </c>
      <c r="C111" s="12"/>
      <c r="D111" s="12"/>
      <c r="E111" s="669">
        <f>IFERROR(#REF!/E$30,0)</f>
        <v>0</v>
      </c>
      <c r="F111" s="669">
        <f>IFERROR(#REF!/F$30,0)</f>
        <v>0</v>
      </c>
      <c r="G111" s="669">
        <f>IFERROR(#REF!/G$30,0)</f>
        <v>0</v>
      </c>
      <c r="H111" s="669">
        <f>IFERROR(#REF!/H$30,0)</f>
        <v>0</v>
      </c>
      <c r="I111" s="669">
        <f>IFERROR(#REF!/I$30,0)</f>
        <v>0</v>
      </c>
      <c r="J111" s="669">
        <f>IFERROR(#REF!/J$30,0)</f>
        <v>0</v>
      </c>
      <c r="K111" s="669">
        <f>IFERROR(#REF!/K$30,0)</f>
        <v>0</v>
      </c>
      <c r="L111" s="669">
        <f>IFERROR(#REF!/L$30,0)</f>
        <v>0</v>
      </c>
      <c r="M111" s="669">
        <f>IFERROR(#REF!/M$30,0)</f>
        <v>0</v>
      </c>
      <c r="N111" s="669">
        <f>IFERROR(#REF!/N$30,0)</f>
        <v>0</v>
      </c>
      <c r="O111" s="669">
        <f>IFERROR(#REF!/O$30,0)</f>
        <v>0</v>
      </c>
      <c r="P111" s="669">
        <f>IFERROR(#REF!/P$30,0)</f>
        <v>0</v>
      </c>
      <c r="Q111" s="669">
        <f>IFERROR(#REF!/Q$30,0)</f>
        <v>0</v>
      </c>
      <c r="T111" s="421"/>
    </row>
    <row r="112" spans="1:20">
      <c r="A112" s="424">
        <f t="shared" si="31"/>
        <v>100</v>
      </c>
      <c r="B112" s="12" t="s">
        <v>366</v>
      </c>
      <c r="C112" s="12"/>
      <c r="D112" s="12"/>
      <c r="E112" s="669">
        <f t="shared" ref="E112:Q112" si="58">IFERROR(E43/E$30,0)</f>
        <v>0</v>
      </c>
      <c r="F112" s="669">
        <f t="shared" si="58"/>
        <v>0</v>
      </c>
      <c r="G112" s="669">
        <f t="shared" si="58"/>
        <v>0</v>
      </c>
      <c r="H112" s="669">
        <f t="shared" si="58"/>
        <v>0</v>
      </c>
      <c r="I112" s="669">
        <f t="shared" si="58"/>
        <v>0</v>
      </c>
      <c r="J112" s="669">
        <f t="shared" si="58"/>
        <v>0</v>
      </c>
      <c r="K112" s="669">
        <f t="shared" si="58"/>
        <v>0</v>
      </c>
      <c r="L112" s="669">
        <f t="shared" si="58"/>
        <v>0</v>
      </c>
      <c r="M112" s="669">
        <f t="shared" si="58"/>
        <v>0</v>
      </c>
      <c r="N112" s="669">
        <f t="shared" si="58"/>
        <v>0</v>
      </c>
      <c r="O112" s="669">
        <f t="shared" si="58"/>
        <v>0</v>
      </c>
      <c r="P112" s="669">
        <f t="shared" si="58"/>
        <v>0</v>
      </c>
      <c r="Q112" s="669">
        <f t="shared" si="58"/>
        <v>0</v>
      </c>
      <c r="T112" s="421"/>
    </row>
    <row r="113" spans="1:20">
      <c r="A113" s="424">
        <f t="shared" si="31"/>
        <v>101</v>
      </c>
      <c r="B113" s="135" t="s">
        <v>100</v>
      </c>
      <c r="C113" s="12"/>
      <c r="D113" s="12"/>
      <c r="E113" s="669">
        <f t="shared" ref="E113:Q113" si="59">IFERROR(E44/E$30,0)</f>
        <v>5.2050668714388085E-2</v>
      </c>
      <c r="F113" s="669">
        <f t="shared" si="59"/>
        <v>6.0268798351165713E-2</v>
      </c>
      <c r="G113" s="669">
        <f t="shared" si="59"/>
        <v>3.6434081035552799</v>
      </c>
      <c r="H113" s="669">
        <f t="shared" si="59"/>
        <v>1.457363241422112</v>
      </c>
      <c r="I113" s="669">
        <f t="shared" si="59"/>
        <v>3.0458636905960237E-3</v>
      </c>
      <c r="J113" s="669">
        <f t="shared" si="59"/>
        <v>0.14609749690134846</v>
      </c>
      <c r="K113" s="669">
        <f t="shared" si="59"/>
        <v>0.14609749690134846</v>
      </c>
      <c r="L113" s="669">
        <f t="shared" si="59"/>
        <v>3.1348772383133286E-3</v>
      </c>
      <c r="M113" s="669">
        <f t="shared" si="59"/>
        <v>6.1854058504430334E-2</v>
      </c>
      <c r="N113" s="669">
        <f t="shared" si="59"/>
        <v>4.0843967501382666E-2</v>
      </c>
      <c r="O113" s="669">
        <f t="shared" si="59"/>
        <v>2.8905679252008184E-3</v>
      </c>
      <c r="P113" s="669">
        <f t="shared" si="59"/>
        <v>4.0843967501382666E-2</v>
      </c>
      <c r="Q113" s="669">
        <f t="shared" si="59"/>
        <v>3.1920159791927111E-2</v>
      </c>
      <c r="T113" s="421"/>
    </row>
    <row r="114" spans="1:20">
      <c r="A114" s="424">
        <f t="shared" si="31"/>
        <v>102</v>
      </c>
      <c r="B114" s="135" t="s">
        <v>151</v>
      </c>
      <c r="C114" s="12"/>
      <c r="D114" s="12"/>
      <c r="E114" s="667">
        <f t="shared" ref="E114:Q114" si="60">IFERROR(E46/E$30,0)</f>
        <v>1.0637306669772841E-2</v>
      </c>
      <c r="F114" s="667">
        <f t="shared" si="60"/>
        <v>5.2987332954421351E-3</v>
      </c>
      <c r="G114" s="667">
        <f t="shared" si="60"/>
        <v>0.12812897124449568</v>
      </c>
      <c r="H114" s="667">
        <f t="shared" si="60"/>
        <v>0.12812897124449568</v>
      </c>
      <c r="I114" s="667">
        <f t="shared" si="60"/>
        <v>3.6381693536355207E-3</v>
      </c>
      <c r="J114" s="667">
        <f t="shared" si="60"/>
        <v>0.17450795237830735</v>
      </c>
      <c r="K114" s="667">
        <f t="shared" si="60"/>
        <v>0.17450795237830735</v>
      </c>
      <c r="L114" s="667">
        <f t="shared" si="60"/>
        <v>3.7444926806981644E-3</v>
      </c>
      <c r="M114" s="667">
        <f t="shared" si="60"/>
        <v>7.3882341072446803E-2</v>
      </c>
      <c r="N114" s="667">
        <f t="shared" si="60"/>
        <v>4.8786579420216157E-2</v>
      </c>
      <c r="O114" s="667">
        <f t="shared" si="60"/>
        <v>3.452674416303099E-3</v>
      </c>
      <c r="P114" s="667">
        <f t="shared" si="60"/>
        <v>4.8786579420216157E-2</v>
      </c>
      <c r="Q114" s="667">
        <f t="shared" si="60"/>
        <v>3.8127427526283404E-2</v>
      </c>
      <c r="T114" s="421"/>
    </row>
    <row r="115" spans="1:20">
      <c r="A115" s="424">
        <f t="shared" si="31"/>
        <v>103</v>
      </c>
      <c r="B115" s="13" t="s">
        <v>367</v>
      </c>
      <c r="C115" s="12"/>
      <c r="D115" s="13"/>
      <c r="E115" s="682">
        <f t="shared" ref="E115:Q115" si="61">IFERROR(E44/E$30,0)</f>
        <v>5.2050668714388085E-2</v>
      </c>
      <c r="F115" s="682">
        <f t="shared" si="61"/>
        <v>6.0268798351165713E-2</v>
      </c>
      <c r="G115" s="682">
        <f t="shared" si="61"/>
        <v>3.6434081035552799</v>
      </c>
      <c r="H115" s="682">
        <f t="shared" si="61"/>
        <v>1.457363241422112</v>
      </c>
      <c r="I115" s="682">
        <f t="shared" si="61"/>
        <v>3.0458636905960237E-3</v>
      </c>
      <c r="J115" s="682">
        <f t="shared" si="61"/>
        <v>0.14609749690134846</v>
      </c>
      <c r="K115" s="682">
        <f t="shared" si="61"/>
        <v>0.14609749690134846</v>
      </c>
      <c r="L115" s="682">
        <f t="shared" si="61"/>
        <v>3.1348772383133286E-3</v>
      </c>
      <c r="M115" s="682">
        <f t="shared" si="61"/>
        <v>6.1854058504430334E-2</v>
      </c>
      <c r="N115" s="682">
        <f t="shared" si="61"/>
        <v>4.0843967501382666E-2</v>
      </c>
      <c r="O115" s="682">
        <f t="shared" si="61"/>
        <v>2.8905679252008184E-3</v>
      </c>
      <c r="P115" s="682">
        <f t="shared" si="61"/>
        <v>4.0843967501382666E-2</v>
      </c>
      <c r="Q115" s="682">
        <f t="shared" si="61"/>
        <v>3.1920159791927111E-2</v>
      </c>
      <c r="T115" s="421"/>
    </row>
    <row r="116" spans="1:20">
      <c r="A116" s="424">
        <f t="shared" si="31"/>
        <v>104</v>
      </c>
      <c r="B116" s="13" t="s">
        <v>369</v>
      </c>
      <c r="C116" s="12"/>
      <c r="D116" s="13"/>
      <c r="E116" s="680"/>
      <c r="F116" s="681">
        <f t="shared" ref="F116:Q116" si="62">IFERROR(F46/F$30,0)</f>
        <v>5.2987332954421351E-3</v>
      </c>
      <c r="G116" s="681">
        <f t="shared" si="62"/>
        <v>0.12812897124449568</v>
      </c>
      <c r="H116" s="681">
        <f t="shared" si="62"/>
        <v>0.12812897124449568</v>
      </c>
      <c r="I116" s="681">
        <f t="shared" si="62"/>
        <v>3.6381693536355207E-3</v>
      </c>
      <c r="J116" s="681">
        <f t="shared" si="62"/>
        <v>0.17450795237830735</v>
      </c>
      <c r="K116" s="681">
        <f t="shared" si="62"/>
        <v>0.17450795237830735</v>
      </c>
      <c r="L116" s="681">
        <f t="shared" si="62"/>
        <v>3.7444926806981644E-3</v>
      </c>
      <c r="M116" s="681">
        <f t="shared" si="62"/>
        <v>7.3882341072446803E-2</v>
      </c>
      <c r="N116" s="681">
        <f t="shared" si="62"/>
        <v>4.8786579420216157E-2</v>
      </c>
      <c r="O116" s="681">
        <f t="shared" si="62"/>
        <v>3.452674416303099E-3</v>
      </c>
      <c r="P116" s="681">
        <f t="shared" si="62"/>
        <v>4.8786579420216157E-2</v>
      </c>
      <c r="Q116" s="681">
        <f t="shared" si="62"/>
        <v>3.8127427526283404E-2</v>
      </c>
      <c r="T116" s="421"/>
    </row>
    <row r="117" spans="1:20">
      <c r="A117" s="424">
        <f t="shared" si="31"/>
        <v>105</v>
      </c>
      <c r="B117" s="439" t="s">
        <v>401</v>
      </c>
      <c r="C117" s="439"/>
      <c r="D117" s="102"/>
      <c r="E117" s="677"/>
      <c r="F117" s="678">
        <f t="shared" ref="F117:Q117" si="63">IFERROR(F47/F64,0)</f>
        <v>-8.6876866756370656</v>
      </c>
      <c r="G117" s="678">
        <f t="shared" si="63"/>
        <v>2.539836244377319</v>
      </c>
      <c r="H117" s="678">
        <f t="shared" si="63"/>
        <v>-1.2509998631139356</v>
      </c>
      <c r="I117" s="678">
        <f t="shared" si="63"/>
        <v>-0.59663795385554952</v>
      </c>
      <c r="J117" s="678">
        <f t="shared" si="63"/>
        <v>5.4789576434994665</v>
      </c>
      <c r="K117" s="678">
        <f t="shared" si="63"/>
        <v>-1.34817508785953</v>
      </c>
      <c r="L117" s="678">
        <f t="shared" si="63"/>
        <v>-0.59725650329936941</v>
      </c>
      <c r="M117" s="678">
        <f t="shared" si="63"/>
        <v>2.1378701481768685</v>
      </c>
      <c r="N117" s="678">
        <f t="shared" si="63"/>
        <v>-2.6809761128194292</v>
      </c>
      <c r="O117" s="678">
        <f t="shared" si="63"/>
        <v>-1.0080507585971903</v>
      </c>
      <c r="P117" s="678">
        <f t="shared" si="63"/>
        <v>0.87219854516494921</v>
      </c>
      <c r="Q117" s="678">
        <f t="shared" si="63"/>
        <v>2.9543002017004443</v>
      </c>
      <c r="T117" s="421"/>
    </row>
    <row r="118" spans="1:20">
      <c r="A118" s="424">
        <f t="shared" si="31"/>
        <v>106</v>
      </c>
      <c r="B118" s="12" t="s">
        <v>402</v>
      </c>
      <c r="C118" s="12"/>
      <c r="D118" s="12"/>
      <c r="E118" s="679"/>
      <c r="F118" s="676">
        <f t="shared" ref="F118:Q118" si="64">IFERROR(F47/F66,0)</f>
        <v>2.2251206432380792</v>
      </c>
      <c r="G118" s="676">
        <f t="shared" si="64"/>
        <v>-1.8195357416409508</v>
      </c>
      <c r="H118" s="676">
        <f t="shared" si="64"/>
        <v>-0.58243932923469022</v>
      </c>
      <c r="I118" s="676">
        <f t="shared" si="64"/>
        <v>6.3154770749590581</v>
      </c>
      <c r="J118" s="676">
        <f t="shared" si="64"/>
        <v>-1.3344552717997624</v>
      </c>
      <c r="K118" s="676">
        <f t="shared" si="64"/>
        <v>-0.59725650329936941</v>
      </c>
      <c r="L118" s="676">
        <f t="shared" si="64"/>
        <v>2.1378701481768685</v>
      </c>
      <c r="M118" s="676">
        <f t="shared" si="64"/>
        <v>-2.6809761128194292</v>
      </c>
      <c r="N118" s="676">
        <f t="shared" si="64"/>
        <v>-0.88352014635798093</v>
      </c>
      <c r="O118" s="676">
        <f t="shared" si="64"/>
        <v>1.0053645739235246</v>
      </c>
      <c r="P118" s="676">
        <f t="shared" si="64"/>
        <v>2.5629870046521543</v>
      </c>
      <c r="Q118" s="676">
        <f t="shared" si="64"/>
        <v>-2.5572293032930502</v>
      </c>
      <c r="T118" s="421"/>
    </row>
    <row r="119" spans="1:20">
      <c r="A119" s="424">
        <f t="shared" si="31"/>
        <v>107</v>
      </c>
      <c r="B119" s="136" t="s">
        <v>378</v>
      </c>
      <c r="C119" s="93"/>
      <c r="D119" s="93"/>
      <c r="E119" s="93"/>
      <c r="F119" s="93"/>
      <c r="G119" s="93"/>
      <c r="H119" s="93"/>
      <c r="I119" s="93"/>
      <c r="J119" s="93"/>
      <c r="K119" s="93"/>
      <c r="L119" s="93"/>
      <c r="M119" s="93"/>
      <c r="N119" s="93"/>
      <c r="O119" s="93"/>
      <c r="P119" s="93"/>
      <c r="Q119" s="93"/>
      <c r="T119" s="421"/>
    </row>
    <row r="120" spans="1:20">
      <c r="A120" s="424">
        <f t="shared" si="31"/>
        <v>108</v>
      </c>
      <c r="B120" s="12"/>
      <c r="C120" s="12"/>
      <c r="D120" s="12"/>
      <c r="E120" s="32"/>
      <c r="F120" s="694"/>
      <c r="G120" s="694"/>
      <c r="H120" s="694"/>
      <c r="I120" s="694"/>
      <c r="J120" s="694"/>
      <c r="K120" s="694"/>
      <c r="L120" s="694"/>
      <c r="M120" s="694"/>
      <c r="N120" s="694"/>
      <c r="O120" s="694"/>
      <c r="P120" s="694"/>
      <c r="Q120" s="694"/>
      <c r="T120" s="421"/>
    </row>
    <row r="121" spans="1:20">
      <c r="A121" s="424">
        <f t="shared" si="31"/>
        <v>109</v>
      </c>
      <c r="B121" s="12" t="s">
        <v>379</v>
      </c>
      <c r="C121" s="12"/>
      <c r="D121" s="12"/>
      <c r="E121" s="690">
        <f>E89-E115</f>
        <v>0.94794933128561176</v>
      </c>
      <c r="F121" s="671">
        <f>IF(OR(F62=0,F$30=0),0,F62/F$30)</f>
        <v>0.36082602736144781</v>
      </c>
      <c r="G121" s="671">
        <f>IF(OR(G62=0,G$30=0),0,G62/G$30)</f>
        <v>-16.641947054998965</v>
      </c>
      <c r="H121" s="671">
        <f t="shared" ref="H121:Q121" si="65">IF(OR(H62=0,H$30=0),0,H62/H$30)</f>
        <v>-11.129508008984248</v>
      </c>
      <c r="I121" s="671">
        <f t="shared" si="65"/>
        <v>0.64719158006758848</v>
      </c>
      <c r="J121" s="671">
        <f t="shared" si="65"/>
        <v>-13.681249951363448</v>
      </c>
      <c r="K121" s="671">
        <f t="shared" si="65"/>
        <v>-13.832190978100538</v>
      </c>
      <c r="L121" s="671">
        <f t="shared" si="65"/>
        <v>0.68173925715537342</v>
      </c>
      <c r="M121" s="671">
        <f t="shared" si="65"/>
        <v>-5.2795819775598547</v>
      </c>
      <c r="N121" s="671">
        <f t="shared" si="65"/>
        <v>-3.1465838849580465</v>
      </c>
      <c r="O121" s="671">
        <f t="shared" si="65"/>
        <v>0.66517979594883025</v>
      </c>
      <c r="P121" s="671">
        <f t="shared" si="65"/>
        <v>-3.1043858287186712</v>
      </c>
      <c r="Q121" s="671">
        <f t="shared" si="65"/>
        <v>-2.6973752879847939</v>
      </c>
      <c r="T121" s="421"/>
    </row>
    <row r="122" spans="1:20">
      <c r="A122" s="424">
        <f t="shared" si="31"/>
        <v>110</v>
      </c>
      <c r="B122" s="12"/>
      <c r="C122" s="12"/>
      <c r="D122" s="12"/>
      <c r="E122" s="680"/>
      <c r="F122" s="700"/>
      <c r="G122" s="700"/>
      <c r="H122" s="700"/>
      <c r="I122" s="700"/>
      <c r="J122" s="700"/>
      <c r="K122" s="700"/>
      <c r="L122" s="700"/>
      <c r="M122" s="700"/>
      <c r="N122" s="700"/>
      <c r="O122" s="700"/>
      <c r="P122" s="700"/>
      <c r="Q122" s="700"/>
      <c r="T122" s="421"/>
    </row>
    <row r="123" spans="1:20">
      <c r="A123" s="424">
        <f t="shared" si="31"/>
        <v>111</v>
      </c>
      <c r="B123" s="12" t="s">
        <v>380</v>
      </c>
      <c r="C123" s="12"/>
      <c r="D123" s="12"/>
      <c r="E123" s="696"/>
      <c r="F123" s="974">
        <f>E64</f>
        <v>-20066</v>
      </c>
      <c r="G123" s="697">
        <f t="shared" ref="G123:Q123" si="66">F125</f>
        <v>-20065.639173972639</v>
      </c>
      <c r="H123" s="697">
        <f t="shared" si="66"/>
        <v>-20082.281121027638</v>
      </c>
      <c r="I123" s="697">
        <f t="shared" si="66"/>
        <v>-20093.410629036622</v>
      </c>
      <c r="J123" s="697">
        <f t="shared" si="66"/>
        <v>-20092.763437456553</v>
      </c>
      <c r="K123" s="697">
        <f t="shared" si="66"/>
        <v>-20106.444687407915</v>
      </c>
      <c r="L123" s="697">
        <f t="shared" si="66"/>
        <v>-20120.276878386016</v>
      </c>
      <c r="M123" s="697">
        <f t="shared" si="66"/>
        <v>-20119.595139128862</v>
      </c>
      <c r="N123" s="697">
        <f t="shared" si="66"/>
        <v>-20124.874721106422</v>
      </c>
      <c r="O123" s="697">
        <f t="shared" si="66"/>
        <v>-20128.02130499138</v>
      </c>
      <c r="P123" s="697">
        <f t="shared" si="66"/>
        <v>-20127.356125195431</v>
      </c>
      <c r="Q123" s="697">
        <f t="shared" si="66"/>
        <v>-20130.46051102415</v>
      </c>
      <c r="T123" s="421"/>
    </row>
    <row r="124" spans="1:20">
      <c r="A124" s="424">
        <f t="shared" si="31"/>
        <v>112</v>
      </c>
      <c r="B124" s="12"/>
      <c r="C124" s="12"/>
      <c r="D124" s="12"/>
      <c r="E124" s="689"/>
      <c r="F124" s="688"/>
      <c r="G124" s="695"/>
      <c r="H124" s="695"/>
      <c r="I124" s="695"/>
      <c r="J124" s="695"/>
      <c r="K124" s="695"/>
      <c r="L124" s="695"/>
      <c r="M124" s="695"/>
      <c r="N124" s="695"/>
      <c r="O124" s="695"/>
      <c r="P124" s="695"/>
      <c r="Q124" s="695"/>
      <c r="T124" s="421"/>
    </row>
    <row r="125" spans="1:20">
      <c r="A125" s="424">
        <f t="shared" si="31"/>
        <v>113</v>
      </c>
      <c r="B125" s="13" t="s">
        <v>381</v>
      </c>
      <c r="C125" s="13"/>
      <c r="D125" s="13"/>
      <c r="E125" s="698">
        <f>SUM(E123,E121)</f>
        <v>0.94794933128561176</v>
      </c>
      <c r="F125" s="699">
        <f>SUM(F123,F121)</f>
        <v>-20065.639173972639</v>
      </c>
      <c r="G125" s="699">
        <f>SUM(G123,G121)</f>
        <v>-20082.281121027638</v>
      </c>
      <c r="H125" s="699">
        <f t="shared" ref="H125:P125" si="67">SUM(H123,H121)</f>
        <v>-20093.410629036622</v>
      </c>
      <c r="I125" s="699">
        <f t="shared" si="67"/>
        <v>-20092.763437456553</v>
      </c>
      <c r="J125" s="699">
        <f t="shared" si="67"/>
        <v>-20106.444687407915</v>
      </c>
      <c r="K125" s="699">
        <f t="shared" si="67"/>
        <v>-20120.276878386016</v>
      </c>
      <c r="L125" s="699">
        <f t="shared" si="67"/>
        <v>-20119.595139128862</v>
      </c>
      <c r="M125" s="699">
        <f t="shared" si="67"/>
        <v>-20124.874721106422</v>
      </c>
      <c r="N125" s="699">
        <f t="shared" si="67"/>
        <v>-20128.02130499138</v>
      </c>
      <c r="O125" s="699">
        <f t="shared" si="67"/>
        <v>-20127.356125195431</v>
      </c>
      <c r="P125" s="699">
        <f t="shared" si="67"/>
        <v>-20130.46051102415</v>
      </c>
      <c r="Q125" s="699">
        <f>SUM(Q123,Q121)</f>
        <v>-20133.157886312136</v>
      </c>
      <c r="T125" s="421"/>
    </row>
    <row r="126" spans="1:20">
      <c r="A126" s="424">
        <f t="shared" si="31"/>
        <v>114</v>
      </c>
      <c r="T126" s="421"/>
    </row>
    <row r="127" spans="1:20">
      <c r="A127" s="424">
        <f t="shared" si="31"/>
        <v>115</v>
      </c>
      <c r="B127" s="37" t="s">
        <v>403</v>
      </c>
      <c r="F127" s="273">
        <f>IFERROR(#REF!/F35,0)</f>
        <v>0</v>
      </c>
      <c r="G127" s="273">
        <f>IFERROR(#REF!/G35,0)</f>
        <v>0</v>
      </c>
      <c r="H127" s="273">
        <f>IFERROR(#REF!/H35,0)</f>
        <v>0</v>
      </c>
      <c r="I127" s="273">
        <f>IFERROR(#REF!/I35,0)</f>
        <v>0</v>
      </c>
      <c r="J127" s="273">
        <f>IFERROR(#REF!/J35,0)</f>
        <v>0</v>
      </c>
      <c r="K127" s="273">
        <f>IFERROR(#REF!/K35,0)</f>
        <v>0</v>
      </c>
      <c r="L127" s="273">
        <f>IFERROR(#REF!/L35,0)</f>
        <v>0</v>
      </c>
      <c r="M127" s="273">
        <f>IFERROR(#REF!/M35,0)</f>
        <v>0</v>
      </c>
      <c r="N127" s="273">
        <f>IFERROR(#REF!/N35,0)</f>
        <v>0</v>
      </c>
      <c r="O127" s="273">
        <f>IFERROR(#REF!/O35,0)</f>
        <v>0</v>
      </c>
      <c r="P127" s="273">
        <f>IFERROR(#REF!/P35,0)</f>
        <v>0</v>
      </c>
      <c r="Q127" s="273">
        <f>IFERROR(#REF!/Q35,0)</f>
        <v>0</v>
      </c>
      <c r="T127" s="421"/>
    </row>
    <row r="128" spans="1:20">
      <c r="A128" s="424">
        <f t="shared" si="31"/>
        <v>116</v>
      </c>
      <c r="B128" s="103" t="s">
        <v>404</v>
      </c>
      <c r="C128" s="103"/>
      <c r="D128" s="103"/>
      <c r="F128" s="56">
        <f>Summary!$G$67</f>
        <v>11</v>
      </c>
      <c r="G128" s="56">
        <f>Summary!$G$67</f>
        <v>11</v>
      </c>
      <c r="H128" s="56">
        <f>Summary!$G$67</f>
        <v>11</v>
      </c>
      <c r="I128" s="56">
        <f>Summary!$G$67</f>
        <v>11</v>
      </c>
      <c r="J128" s="56">
        <f>Summary!$G$67</f>
        <v>11</v>
      </c>
      <c r="K128" s="56">
        <f>Summary!$G$67</f>
        <v>11</v>
      </c>
      <c r="L128" s="56">
        <f>Summary!$G$67</f>
        <v>11</v>
      </c>
      <c r="M128" s="56">
        <f>Summary!$G$67</f>
        <v>11</v>
      </c>
      <c r="N128" s="56">
        <f>Summary!$G$67</f>
        <v>11</v>
      </c>
      <c r="O128" s="56">
        <f>Summary!$G$67</f>
        <v>11</v>
      </c>
      <c r="P128" s="56">
        <f>Summary!$G$67</f>
        <v>11</v>
      </c>
      <c r="Q128" s="56">
        <f>Summary!$G$67</f>
        <v>11</v>
      </c>
      <c r="T128" s="421"/>
    </row>
    <row r="129" spans="1:20">
      <c r="A129" s="424">
        <f t="shared" si="31"/>
        <v>117</v>
      </c>
      <c r="B129" s="37" t="s">
        <v>405</v>
      </c>
      <c r="F129" s="62">
        <f>IFERROR(#REF!/Summary!$H$67,0)</f>
        <v>0</v>
      </c>
      <c r="G129" s="62">
        <f>IFERROR(#REF!/Summary!$H$67,0)</f>
        <v>0</v>
      </c>
      <c r="H129" s="62">
        <f>IFERROR(#REF!/Summary!$H$67,0)</f>
        <v>0</v>
      </c>
      <c r="I129" s="62">
        <f>IFERROR(#REF!/Summary!$H$67,0)</f>
        <v>0</v>
      </c>
      <c r="J129" s="62">
        <f>IFERROR(#REF!/Summary!$H$67,0)</f>
        <v>0</v>
      </c>
      <c r="K129" s="62">
        <f>IFERROR(#REF!/Summary!$H$67,0)</f>
        <v>0</v>
      </c>
      <c r="L129" s="62">
        <f>IFERROR(#REF!/Summary!$H$67,0)</f>
        <v>0</v>
      </c>
      <c r="M129" s="62">
        <f>IFERROR(#REF!/Summary!$H$67,0)</f>
        <v>0</v>
      </c>
      <c r="N129" s="62">
        <f>IFERROR(#REF!/Summary!$H$67,0)</f>
        <v>0</v>
      </c>
      <c r="O129" s="62">
        <f>IFERROR(#REF!/Summary!$H$67,0)</f>
        <v>0</v>
      </c>
      <c r="P129" s="62">
        <f>IFERROR(#REF!/Summary!$H$67,0)</f>
        <v>0</v>
      </c>
      <c r="Q129" s="62">
        <f>IFERROR(#REF!/Summary!$H$67,0)</f>
        <v>0</v>
      </c>
      <c r="T129" s="421"/>
    </row>
    <row r="130" spans="1:20">
      <c r="A130" s="424">
        <f t="shared" si="31"/>
        <v>118</v>
      </c>
      <c r="B130" s="37" t="s">
        <v>406</v>
      </c>
      <c r="F130" s="62">
        <f>IFERROR(F35/Summary!$H$67,0)</f>
        <v>2618.7259259259258</v>
      </c>
      <c r="G130" s="62">
        <f>IFERROR(G35/Summary!$H$67,0)</f>
        <v>2618.7259259259258</v>
      </c>
      <c r="H130" s="62">
        <f>IFERROR(H35/Summary!$H$67,0)</f>
        <v>2618.7259259259258</v>
      </c>
      <c r="I130" s="62">
        <f>IFERROR(I35/Summary!$H$67,0)</f>
        <v>2618.7259259259258</v>
      </c>
      <c r="J130" s="62">
        <f>IFERROR(J35/Summary!$H$67,0)</f>
        <v>2618.7259259259258</v>
      </c>
      <c r="K130" s="62">
        <f>IFERROR(K35/Summary!$H$67,0)</f>
        <v>2618.7259259259258</v>
      </c>
      <c r="L130" s="62">
        <f>IFERROR(L35/Summary!$H$67,0)</f>
        <v>2618.7259259259258</v>
      </c>
      <c r="M130" s="62">
        <f>IFERROR(M35/Summary!$H$67,0)</f>
        <v>2618.7259259259258</v>
      </c>
      <c r="N130" s="62">
        <f>IFERROR(N35/Summary!$H$67,0)</f>
        <v>2618.7259259259258</v>
      </c>
      <c r="O130" s="62">
        <f>IFERROR(O35/Summary!$H$67,0)</f>
        <v>2618.7259259259258</v>
      </c>
      <c r="P130" s="62">
        <f>IFERROR(P35/Summary!$H$67,0)</f>
        <v>2618.7259259259258</v>
      </c>
      <c r="Q130" s="62">
        <f>IFERROR(Q35/Summary!$H$67,0)</f>
        <v>2618.7259259259258</v>
      </c>
      <c r="T130" s="421"/>
    </row>
    <row r="132" spans="1:20">
      <c r="A132" s="88"/>
      <c r="B132" s="88"/>
    </row>
  </sheetData>
  <conditionalFormatting sqref="D1">
    <cfRule type="expression" dxfId="53" priority="3" stopIfTrue="1">
      <formula>MOD(ROW(),2)=0</formula>
    </cfRule>
  </conditionalFormatting>
  <conditionalFormatting sqref="E54:E55 E56:Q57">
    <cfRule type="cellIs" dxfId="52" priority="180" stopIfTrue="1" operator="equal">
      <formula>0</formula>
    </cfRule>
  </conditionalFormatting>
  <conditionalFormatting sqref="E73:Q89">
    <cfRule type="cellIs" dxfId="51" priority="181" stopIfTrue="1" operator="equal">
      <formula>0</formula>
    </cfRule>
  </conditionalFormatting>
  <conditionalFormatting sqref="E95:Q118">
    <cfRule type="cellIs" dxfId="50" priority="182" stopIfTrue="1" operator="equal">
      <formula>0</formula>
    </cfRule>
  </conditionalFormatting>
  <conditionalFormatting sqref="E121:Q125">
    <cfRule type="cellIs" dxfId="49" priority="184" stopIfTrue="1" operator="equal">
      <formula>0</formula>
    </cfRule>
  </conditionalFormatting>
  <conditionalFormatting sqref="F127:Q130">
    <cfRule type="cellIs" dxfId="48" priority="186" stopIfTrue="1" operator="equal">
      <formula>0</formula>
    </cfRule>
  </conditionalFormatting>
  <hyperlinks>
    <hyperlink ref="D1" location="HypLink1" display="HypLink1" xr:uid="{02E0081D-2110-4DA5-BE04-548076665262}"/>
  </hyperlinks>
  <pageMargins left="0.25" right="0.25" top="0.5" bottom="0.45" header="0.25" footer="0.25"/>
  <pageSetup scale="59" fitToHeight="3" orientation="landscape" r:id="rId1"/>
  <headerFooter>
    <oddHeader xml:space="preserve">&amp;L &amp;C &amp;R </oddHeader>
    <oddFooter>&amp;L&amp;7&amp;D  at &amp;T Mike 702.486.8879&amp;C&amp;7&amp;F  &amp;A&amp;R&amp;7Page &amp;P of &amp;N</oddFooter>
  </headerFooter>
  <rowBreaks count="2" manualBreakCount="2">
    <brk id="52" max="16" man="1"/>
    <brk id="91" max="16" man="1"/>
  </rowBreaks>
  <legacyDrawing r:id="rId2"/>
  <extLst>
    <ext xmlns:x14="http://schemas.microsoft.com/office/spreadsheetml/2009/9/main" uri="{78C0D931-6437-407d-A8EE-F0AAD7539E65}">
      <x14:conditionalFormattings>
        <x14:conditionalFormatting xmlns:xm="http://schemas.microsoft.com/office/excel/2006/main">
          <x14:cfRule type="cellIs" priority="8" operator="notBetween" id="{43A297F8-FFBE-417E-89DE-D5D0089D6E55}">
            <xm:f>0.95*' Enrol &amp; Rev'!$H$109</xm:f>
            <xm:f>1.05*' Enrol &amp; Rev'!$H$109</xm:f>
            <x14:dxf>
              <fill>
                <patternFill>
                  <bgColor rgb="FFFF0000"/>
                </patternFill>
              </fill>
            </x14:dxf>
          </x14:cfRule>
          <xm:sqref>C30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R165"/>
  <sheetViews>
    <sheetView zoomScale="80" zoomScaleNormal="80" workbookViewId="0">
      <selection activeCell="G143" sqref="G143"/>
    </sheetView>
  </sheetViews>
  <sheetFormatPr defaultColWidth="8.85546875" defaultRowHeight="15"/>
  <cols>
    <col min="1" max="1" width="8.140625" style="37" customWidth="1"/>
    <col min="2" max="2" width="47.85546875" style="37" customWidth="1"/>
    <col min="3" max="3" width="17.7109375" style="37" customWidth="1"/>
    <col min="4" max="4" width="9" style="37" customWidth="1"/>
    <col min="5" max="5" width="8.7109375" style="37" customWidth="1"/>
    <col min="6" max="6" width="15.28515625" style="37" customWidth="1"/>
    <col min="7" max="7" width="16.140625" style="37" customWidth="1"/>
    <col min="8" max="9" width="21" style="37" customWidth="1"/>
    <col min="10" max="12" width="17" style="37" customWidth="1"/>
    <col min="13" max="16" width="1.28515625" style="37" customWidth="1"/>
    <col min="17" max="17" width="0.42578125" style="37" customWidth="1"/>
    <col min="18" max="18" width="88.85546875" style="37" customWidth="1"/>
    <col min="19" max="19" width="10.85546875" style="37" customWidth="1"/>
    <col min="20" max="20" width="3.7109375" style="37" customWidth="1"/>
    <col min="21" max="21" width="6.28515625" style="37" customWidth="1"/>
    <col min="22" max="22" width="6" style="37" customWidth="1"/>
    <col min="23" max="23" width="5.140625" style="37" customWidth="1"/>
    <col min="24" max="24" width="6.5703125" style="37" customWidth="1"/>
    <col min="25" max="25" width="17.140625" style="37" customWidth="1"/>
    <col min="26" max="16384" width="8.85546875" style="37"/>
  </cols>
  <sheetData>
    <row r="1" spans="1:18" ht="18">
      <c r="A1" s="142" t="s">
        <v>537</v>
      </c>
      <c r="B1" s="40"/>
      <c r="D1" s="508" t="s">
        <v>2</v>
      </c>
      <c r="P1" s="41"/>
    </row>
    <row r="2" spans="1:18" ht="15.75">
      <c r="A2" s="133" t="str">
        <f>SchoolName</f>
        <v>Rooted School Clark County</v>
      </c>
      <c r="B2" s="43"/>
    </row>
    <row r="3" spans="1:18">
      <c r="A3" s="44" t="s">
        <v>62</v>
      </c>
      <c r="K3" s="35"/>
    </row>
    <row r="4" spans="1:18">
      <c r="A4" s="45" t="s">
        <v>63</v>
      </c>
    </row>
    <row r="5" spans="1:18">
      <c r="A5" s="34" t="str">
        <f ca="1">CELL("filename")</f>
        <v>C:\Users\CRaymond\Char. School Bus Mgt Dropbox\Collin Raymond\Growth Team\Growth 2.0\Growth &amp; Data\Client Projects\Rooted LV\[Rooted School-SPCSA-Operating Budget-V10 (1) - Rev9.xlsx]Summary</v>
      </c>
    </row>
    <row r="6" spans="1:18" ht="15.75">
      <c r="A6" s="72"/>
      <c r="D6" s="73" t="s">
        <v>249</v>
      </c>
      <c r="E6" s="73"/>
      <c r="G6" s="330">
        <f>Cover!E11</f>
        <v>2022</v>
      </c>
      <c r="J6" s="73"/>
    </row>
    <row r="7" spans="1:18">
      <c r="A7" s="72"/>
      <c r="D7" s="36" t="s">
        <v>250</v>
      </c>
      <c r="E7" s="36"/>
      <c r="G7" s="36">
        <f>+G6+1</f>
        <v>2023</v>
      </c>
      <c r="J7" s="36"/>
    </row>
    <row r="8" spans="1:18">
      <c r="A8" s="72"/>
      <c r="F8" s="36"/>
      <c r="G8" s="35"/>
    </row>
    <row r="9" spans="1:18">
      <c r="A9" s="72"/>
      <c r="B9" s="35"/>
      <c r="F9" s="887" t="s">
        <v>538</v>
      </c>
      <c r="G9" s="877">
        <v>1</v>
      </c>
      <c r="H9" s="877">
        <f>1+G9</f>
        <v>2</v>
      </c>
      <c r="I9" s="877">
        <f t="shared" ref="I9:L9" si="0">1+H9</f>
        <v>3</v>
      </c>
      <c r="J9" s="877">
        <f t="shared" si="0"/>
        <v>4</v>
      </c>
      <c r="K9" s="877">
        <f t="shared" si="0"/>
        <v>5</v>
      </c>
      <c r="L9" s="1514">
        <f t="shared" si="0"/>
        <v>6</v>
      </c>
    </row>
    <row r="10" spans="1:18">
      <c r="A10" s="72"/>
      <c r="D10" s="1689" t="s">
        <v>539</v>
      </c>
      <c r="E10" s="1690"/>
      <c r="F10" s="878">
        <f>+G10-1</f>
        <v>2021</v>
      </c>
      <c r="G10" s="879">
        <f>+G6</f>
        <v>2022</v>
      </c>
      <c r="H10" s="879">
        <f>+G11</f>
        <v>2023</v>
      </c>
      <c r="I10" s="879">
        <f>+H11</f>
        <v>2024</v>
      </c>
      <c r="J10" s="879">
        <f>+I11</f>
        <v>2025</v>
      </c>
      <c r="K10" s="879">
        <f>+J11</f>
        <v>2026</v>
      </c>
      <c r="L10" s="880">
        <f>+K11</f>
        <v>2027</v>
      </c>
    </row>
    <row r="11" spans="1:18" ht="15.75">
      <c r="A11" s="72"/>
      <c r="B11" s="75"/>
      <c r="C11" s="727" t="s">
        <v>251</v>
      </c>
      <c r="D11" s="728"/>
      <c r="E11" s="728"/>
      <c r="F11" s="881">
        <f>+G11-1</f>
        <v>2022</v>
      </c>
      <c r="G11" s="882">
        <f t="shared" ref="G11:L11" si="1">+G10+1</f>
        <v>2023</v>
      </c>
      <c r="H11" s="882">
        <f t="shared" si="1"/>
        <v>2024</v>
      </c>
      <c r="I11" s="882">
        <f t="shared" si="1"/>
        <v>2025</v>
      </c>
      <c r="J11" s="882">
        <f t="shared" si="1"/>
        <v>2026</v>
      </c>
      <c r="K11" s="882">
        <f t="shared" si="1"/>
        <v>2027</v>
      </c>
      <c r="L11" s="883">
        <f t="shared" si="1"/>
        <v>2028</v>
      </c>
    </row>
    <row r="12" spans="1:18" ht="15.75">
      <c r="A12" s="72"/>
      <c r="B12" s="220" t="s">
        <v>540</v>
      </c>
      <c r="D12" s="353"/>
      <c r="E12" s="353"/>
      <c r="F12" s="1529"/>
      <c r="G12" s="1530"/>
      <c r="H12" s="1530"/>
      <c r="I12" s="1530"/>
      <c r="J12" s="1530"/>
      <c r="K12" s="1530"/>
      <c r="L12" s="1530"/>
    </row>
    <row r="13" spans="1:18" ht="15.75">
      <c r="A13" s="424">
        <f>ROW()</f>
        <v>13</v>
      </c>
      <c r="B13" s="533" t="s">
        <v>122</v>
      </c>
      <c r="C13" s="70"/>
      <c r="D13" s="70"/>
      <c r="E13" s="70"/>
      <c r="F13" s="702"/>
      <c r="G13" s="703"/>
      <c r="H13" s="703"/>
      <c r="I13" s="703"/>
      <c r="J13" s="703"/>
      <c r="K13" s="703"/>
      <c r="L13" s="703"/>
      <c r="R13" s="201" t="s">
        <v>83</v>
      </c>
    </row>
    <row r="14" spans="1:18" ht="15.75">
      <c r="A14" s="424">
        <f>ROW()</f>
        <v>14</v>
      </c>
      <c r="B14" s="35" t="s">
        <v>216</v>
      </c>
      <c r="F14" s="704"/>
      <c r="G14" s="746"/>
      <c r="H14" s="746"/>
      <c r="I14" s="746"/>
      <c r="J14" s="746"/>
      <c r="K14" s="746"/>
      <c r="L14" s="746"/>
      <c r="R14" s="566"/>
    </row>
    <row r="15" spans="1:18">
      <c r="A15" s="424">
        <f>ROW()</f>
        <v>15</v>
      </c>
      <c r="B15" s="166" t="s">
        <v>217</v>
      </c>
      <c r="C15" s="144"/>
      <c r="D15" s="144"/>
      <c r="E15" s="144"/>
      <c r="F15" s="747">
        <f>' Enrol &amp; Rev'!G15</f>
        <v>0</v>
      </c>
      <c r="G15" s="747">
        <f>' Enrol &amp; Rev'!H15</f>
        <v>3</v>
      </c>
      <c r="H15" s="747">
        <f>' Enrol &amp; Rev'!I15</f>
        <v>4</v>
      </c>
      <c r="I15" s="747">
        <f>' Enrol &amp; Rev'!J15</f>
        <v>4</v>
      </c>
      <c r="J15" s="747">
        <f>' Enrol &amp; Rev'!K15</f>
        <v>4</v>
      </c>
      <c r="K15" s="747">
        <f>' Enrol &amp; Rev'!L15</f>
        <v>4</v>
      </c>
      <c r="L15" s="747">
        <f>' Enrol &amp; Rev'!M15</f>
        <v>4</v>
      </c>
      <c r="R15" s="421"/>
    </row>
    <row r="16" spans="1:18">
      <c r="A16" s="424">
        <f>ROW()</f>
        <v>16</v>
      </c>
      <c r="B16" s="77" t="s">
        <v>218</v>
      </c>
      <c r="F16" s="805">
        <f>' Enrol &amp; Rev'!G17</f>
        <v>0</v>
      </c>
      <c r="G16" s="806">
        <f>' Enrol &amp; Rev'!H17</f>
        <v>6</v>
      </c>
      <c r="H16" s="806">
        <f>' Enrol &amp; Rev'!I17</f>
        <v>10.8</v>
      </c>
      <c r="I16" s="806">
        <f>' Enrol &amp; Rev'!J17</f>
        <v>12.6</v>
      </c>
      <c r="J16" s="806">
        <f>' Enrol &amp; Rev'!K17</f>
        <v>14.4</v>
      </c>
      <c r="K16" s="806">
        <f>' Enrol &amp; Rev'!L17</f>
        <v>14.4</v>
      </c>
      <c r="L16" s="806">
        <f>' Enrol &amp; Rev'!M17</f>
        <v>14.4</v>
      </c>
      <c r="R16" s="421"/>
    </row>
    <row r="17" spans="1:18" hidden="1">
      <c r="A17" s="424">
        <f>ROW()</f>
        <v>17</v>
      </c>
      <c r="B17" s="46"/>
      <c r="C17" s="380"/>
      <c r="D17" s="380"/>
      <c r="E17" s="380"/>
      <c r="F17" s="721"/>
      <c r="G17" s="721"/>
      <c r="H17" s="721"/>
      <c r="I17" s="721"/>
      <c r="J17" s="721"/>
      <c r="K17" s="721"/>
      <c r="L17" s="721"/>
      <c r="R17" s="421"/>
    </row>
    <row r="18" spans="1:18" hidden="1">
      <c r="A18" s="424">
        <f>ROW()</f>
        <v>18</v>
      </c>
      <c r="B18" s="1531" t="s">
        <v>219</v>
      </c>
      <c r="C18" s="443"/>
      <c r="D18" s="443"/>
      <c r="E18" s="443"/>
      <c r="F18" s="705">
        <f>' Enrol &amp; Rev'!G21</f>
        <v>0</v>
      </c>
      <c r="G18" s="705">
        <f>' Enrol &amp; Rev'!H21</f>
        <v>0</v>
      </c>
      <c r="H18" s="705">
        <f>' Enrol &amp; Rev'!I21</f>
        <v>0</v>
      </c>
      <c r="I18" s="705">
        <f>' Enrol &amp; Rev'!J21</f>
        <v>0</v>
      </c>
      <c r="J18" s="705">
        <f>' Enrol &amp; Rev'!K21</f>
        <v>0</v>
      </c>
      <c r="K18" s="705">
        <f>' Enrol &amp; Rev'!L21</f>
        <v>0</v>
      </c>
      <c r="L18" s="705">
        <f>' Enrol &amp; Rev'!M21</f>
        <v>0</v>
      </c>
      <c r="R18" s="421"/>
    </row>
    <row r="19" spans="1:18" hidden="1">
      <c r="A19" s="424">
        <f>ROW()</f>
        <v>19</v>
      </c>
      <c r="B19" s="444" t="s">
        <v>220</v>
      </c>
      <c r="C19" s="443"/>
      <c r="D19" s="443"/>
      <c r="E19" s="443"/>
      <c r="F19" s="706">
        <f>' Enrol &amp; Rev'!G22</f>
        <v>0</v>
      </c>
      <c r="G19" s="706">
        <f>' Enrol &amp; Rev'!H22</f>
        <v>0</v>
      </c>
      <c r="H19" s="706">
        <f>' Enrol &amp; Rev'!I22</f>
        <v>0</v>
      </c>
      <c r="I19" s="706">
        <f>' Enrol &amp; Rev'!J22</f>
        <v>0</v>
      </c>
      <c r="J19" s="706">
        <f>' Enrol &amp; Rev'!K22</f>
        <v>0</v>
      </c>
      <c r="K19" s="706">
        <f>' Enrol &amp; Rev'!L22</f>
        <v>0</v>
      </c>
      <c r="L19" s="706">
        <f>' Enrol &amp; Rev'!M22</f>
        <v>0</v>
      </c>
      <c r="R19" s="421"/>
    </row>
    <row r="20" spans="1:18" hidden="1">
      <c r="A20" s="424">
        <f>ROW()</f>
        <v>20</v>
      </c>
      <c r="B20" s="444" t="s">
        <v>221</v>
      </c>
      <c r="C20" s="443"/>
      <c r="D20" s="443"/>
      <c r="E20" s="443"/>
      <c r="F20" s="706">
        <f>' Enrol &amp; Rev'!G23</f>
        <v>0</v>
      </c>
      <c r="G20" s="707">
        <f>' Enrol &amp; Rev'!H23</f>
        <v>0</v>
      </c>
      <c r="H20" s="707">
        <f>' Enrol &amp; Rev'!I23</f>
        <v>0</v>
      </c>
      <c r="I20" s="707">
        <f>' Enrol &amp; Rev'!J23</f>
        <v>0</v>
      </c>
      <c r="J20" s="707">
        <f>' Enrol &amp; Rev'!K23</f>
        <v>0</v>
      </c>
      <c r="K20" s="707">
        <f>' Enrol &amp; Rev'!L23</f>
        <v>0</v>
      </c>
      <c r="L20" s="707">
        <f>' Enrol &amp; Rev'!M23</f>
        <v>0</v>
      </c>
      <c r="R20" s="421"/>
    </row>
    <row r="21" spans="1:18" hidden="1">
      <c r="A21" s="424">
        <f>ROW()</f>
        <v>21</v>
      </c>
      <c r="B21" s="444" t="s">
        <v>222</v>
      </c>
      <c r="C21" s="443"/>
      <c r="D21" s="443"/>
      <c r="E21" s="443"/>
      <c r="F21" s="708">
        <f>' Enrol &amp; Rev'!G24</f>
        <v>0</v>
      </c>
      <c r="G21" s="709">
        <f>' Enrol &amp; Rev'!H24</f>
        <v>0</v>
      </c>
      <c r="H21" s="709">
        <f>' Enrol &amp; Rev'!I24</f>
        <v>0</v>
      </c>
      <c r="I21" s="709">
        <f>' Enrol &amp; Rev'!J24</f>
        <v>0</v>
      </c>
      <c r="J21" s="709">
        <f>' Enrol &amp; Rev'!K24</f>
        <v>0</v>
      </c>
      <c r="K21" s="709">
        <f>' Enrol &amp; Rev'!L24</f>
        <v>0</v>
      </c>
      <c r="L21" s="709">
        <f>' Enrol &amp; Rev'!M24</f>
        <v>0</v>
      </c>
      <c r="R21" s="421"/>
    </row>
    <row r="22" spans="1:18" hidden="1">
      <c r="A22" s="424">
        <f>ROW()</f>
        <v>22</v>
      </c>
      <c r="B22" s="444" t="s">
        <v>223</v>
      </c>
      <c r="C22" s="443"/>
      <c r="D22" s="443"/>
      <c r="E22" s="443"/>
      <c r="F22" s="708">
        <f>' Enrol &amp; Rev'!G25</f>
        <v>0</v>
      </c>
      <c r="G22" s="709">
        <f>' Enrol &amp; Rev'!H25</f>
        <v>0</v>
      </c>
      <c r="H22" s="709">
        <f>' Enrol &amp; Rev'!I25</f>
        <v>0</v>
      </c>
      <c r="I22" s="709">
        <f>' Enrol &amp; Rev'!J25</f>
        <v>0</v>
      </c>
      <c r="J22" s="709">
        <f>' Enrol &amp; Rev'!K25</f>
        <v>0</v>
      </c>
      <c r="K22" s="709">
        <f>' Enrol &amp; Rev'!L25</f>
        <v>0</v>
      </c>
      <c r="L22" s="709">
        <f>' Enrol &amp; Rev'!M25</f>
        <v>0</v>
      </c>
    </row>
    <row r="23" spans="1:18" hidden="1">
      <c r="A23" s="424">
        <f>ROW()</f>
        <v>23</v>
      </c>
      <c r="B23" s="444" t="s">
        <v>224</v>
      </c>
      <c r="C23" s="443"/>
      <c r="D23" s="443"/>
      <c r="E23" s="443"/>
      <c r="F23" s="708">
        <f>' Enrol &amp; Rev'!G26</f>
        <v>0</v>
      </c>
      <c r="G23" s="708">
        <f>' Enrol &amp; Rev'!H26</f>
        <v>0</v>
      </c>
      <c r="H23" s="708">
        <f>' Enrol &amp; Rev'!I26</f>
        <v>0</v>
      </c>
      <c r="I23" s="708">
        <f>' Enrol &amp; Rev'!J26</f>
        <v>0</v>
      </c>
      <c r="J23" s="708">
        <f>' Enrol &amp; Rev'!K26</f>
        <v>0</v>
      </c>
      <c r="K23" s="708">
        <f>' Enrol &amp; Rev'!L26</f>
        <v>0</v>
      </c>
      <c r="L23" s="708">
        <f>' Enrol &amp; Rev'!M26</f>
        <v>0</v>
      </c>
    </row>
    <row r="24" spans="1:18" hidden="1">
      <c r="A24" s="424">
        <f>ROW()</f>
        <v>24</v>
      </c>
      <c r="B24" s="444" t="s">
        <v>225</v>
      </c>
      <c r="C24" s="443"/>
      <c r="D24" s="443"/>
      <c r="E24" s="443"/>
      <c r="F24" s="708">
        <f>' Enrol &amp; Rev'!G27</f>
        <v>0</v>
      </c>
      <c r="G24" s="708">
        <f>' Enrol &amp; Rev'!H27</f>
        <v>0</v>
      </c>
      <c r="H24" s="710">
        <f>' Enrol &amp; Rev'!I27</f>
        <v>0</v>
      </c>
      <c r="I24" s="710">
        <f>' Enrol &amp; Rev'!J27</f>
        <v>0</v>
      </c>
      <c r="J24" s="710">
        <f>' Enrol &amp; Rev'!K27</f>
        <v>0</v>
      </c>
      <c r="K24" s="710">
        <f>' Enrol &amp; Rev'!L27</f>
        <v>0</v>
      </c>
      <c r="L24" s="710">
        <f>' Enrol &amp; Rev'!M27</f>
        <v>0</v>
      </c>
    </row>
    <row r="25" spans="1:18" hidden="1">
      <c r="A25" s="424">
        <f>ROW()</f>
        <v>25</v>
      </c>
      <c r="B25" s="444" t="s">
        <v>226</v>
      </c>
      <c r="C25" s="443"/>
      <c r="D25" s="443"/>
      <c r="E25" s="443"/>
      <c r="F25" s="708">
        <f>' Enrol &amp; Rev'!G28</f>
        <v>0</v>
      </c>
      <c r="G25" s="708">
        <f>' Enrol &amp; Rev'!H28</f>
        <v>0</v>
      </c>
      <c r="H25" s="710">
        <f>' Enrol &amp; Rev'!I28</f>
        <v>0</v>
      </c>
      <c r="I25" s="710">
        <f>' Enrol &amp; Rev'!J28</f>
        <v>0</v>
      </c>
      <c r="J25" s="710">
        <f>' Enrol &amp; Rev'!K28</f>
        <v>0</v>
      </c>
      <c r="K25" s="710">
        <f>' Enrol &amp; Rev'!L28</f>
        <v>0</v>
      </c>
      <c r="L25" s="710">
        <f>' Enrol &amp; Rev'!M28</f>
        <v>0</v>
      </c>
    </row>
    <row r="26" spans="1:18" hidden="1">
      <c r="A26" s="424">
        <f>ROW()</f>
        <v>26</v>
      </c>
      <c r="B26" s="444" t="s">
        <v>227</v>
      </c>
      <c r="C26" s="443"/>
      <c r="D26" s="443"/>
      <c r="E26" s="443"/>
      <c r="F26" s="708">
        <f>' Enrol &amp; Rev'!G29</f>
        <v>0</v>
      </c>
      <c r="G26" s="708">
        <f>' Enrol &amp; Rev'!H29</f>
        <v>0</v>
      </c>
      <c r="H26" s="710">
        <f>' Enrol &amp; Rev'!I29</f>
        <v>0</v>
      </c>
      <c r="I26" s="710">
        <f>' Enrol &amp; Rev'!J29</f>
        <v>0</v>
      </c>
      <c r="J26" s="710">
        <f>' Enrol &amp; Rev'!K29</f>
        <v>0</v>
      </c>
      <c r="K26" s="710">
        <f>' Enrol &amp; Rev'!L29</f>
        <v>0</v>
      </c>
      <c r="L26" s="710">
        <f>' Enrol &amp; Rev'!M29</f>
        <v>0</v>
      </c>
    </row>
    <row r="27" spans="1:18">
      <c r="A27" s="424">
        <f>ROW()</f>
        <v>27</v>
      </c>
      <c r="B27" s="444" t="s">
        <v>228</v>
      </c>
      <c r="C27" s="443"/>
      <c r="D27" s="443"/>
      <c r="E27" s="443"/>
      <c r="F27" s="708">
        <f>' Enrol &amp; Rev'!G30</f>
        <v>0</v>
      </c>
      <c r="G27" s="708">
        <f>' Enrol &amp; Rev'!H30</f>
        <v>75</v>
      </c>
      <c r="H27" s="710">
        <f>' Enrol &amp; Rev'!I30</f>
        <v>90</v>
      </c>
      <c r="I27" s="710">
        <f>' Enrol &amp; Rev'!J30</f>
        <v>90</v>
      </c>
      <c r="J27" s="710">
        <f>' Enrol &amp; Rev'!K30</f>
        <v>90</v>
      </c>
      <c r="K27" s="710">
        <f>' Enrol &amp; Rev'!L30</f>
        <v>90</v>
      </c>
      <c r="L27" s="710">
        <f>' Enrol &amp; Rev'!M30</f>
        <v>90</v>
      </c>
    </row>
    <row r="28" spans="1:18">
      <c r="A28" s="424">
        <f>ROW()</f>
        <v>28</v>
      </c>
      <c r="B28" s="444" t="s">
        <v>229</v>
      </c>
      <c r="C28" s="443"/>
      <c r="D28" s="443"/>
      <c r="E28" s="443"/>
      <c r="F28" s="708">
        <f>' Enrol &amp; Rev'!G31</f>
        <v>0</v>
      </c>
      <c r="G28" s="708">
        <f>' Enrol &amp; Rev'!H31</f>
        <v>45</v>
      </c>
      <c r="H28" s="710">
        <f>' Enrol &amp; Rev'!I31</f>
        <v>90</v>
      </c>
      <c r="I28" s="710">
        <f>' Enrol &amp; Rev'!J31</f>
        <v>90</v>
      </c>
      <c r="J28" s="710">
        <f>' Enrol &amp; Rev'!K31</f>
        <v>90</v>
      </c>
      <c r="K28" s="710">
        <f>' Enrol &amp; Rev'!L31</f>
        <v>90</v>
      </c>
      <c r="L28" s="710">
        <f>' Enrol &amp; Rev'!M31</f>
        <v>90</v>
      </c>
    </row>
    <row r="29" spans="1:18">
      <c r="A29" s="424">
        <f>ROW()</f>
        <v>29</v>
      </c>
      <c r="B29" s="444" t="s">
        <v>230</v>
      </c>
      <c r="C29" s="443"/>
      <c r="D29" s="443"/>
      <c r="E29" s="443"/>
      <c r="F29" s="708">
        <f>' Enrol &amp; Rev'!G32</f>
        <v>0</v>
      </c>
      <c r="G29" s="708">
        <f>' Enrol &amp; Rev'!H32</f>
        <v>30</v>
      </c>
      <c r="H29" s="710">
        <f>' Enrol &amp; Rev'!I32</f>
        <v>45</v>
      </c>
      <c r="I29" s="710">
        <f>' Enrol &amp; Rev'!J32</f>
        <v>90</v>
      </c>
      <c r="J29" s="710">
        <f>' Enrol &amp; Rev'!K32</f>
        <v>90</v>
      </c>
      <c r="K29" s="710">
        <f>' Enrol &amp; Rev'!L32</f>
        <v>90</v>
      </c>
      <c r="L29" s="710">
        <f>' Enrol &amp; Rev'!M32</f>
        <v>90</v>
      </c>
    </row>
    <row r="30" spans="1:18">
      <c r="A30" s="424">
        <f>ROW()</f>
        <v>30</v>
      </c>
      <c r="B30" s="444" t="s">
        <v>231</v>
      </c>
      <c r="C30" s="443"/>
      <c r="D30" s="443"/>
      <c r="E30" s="443"/>
      <c r="F30" s="711">
        <f>' Enrol &amp; Rev'!G33</f>
        <v>0</v>
      </c>
      <c r="G30" s="711">
        <f>' Enrol &amp; Rev'!H33</f>
        <v>0</v>
      </c>
      <c r="H30" s="712">
        <f>' Enrol &amp; Rev'!I33</f>
        <v>45</v>
      </c>
      <c r="I30" s="712">
        <f>' Enrol &amp; Rev'!J33</f>
        <v>45</v>
      </c>
      <c r="J30" s="712">
        <f>' Enrol &amp; Rev'!K33</f>
        <v>90</v>
      </c>
      <c r="K30" s="712">
        <f>' Enrol &amp; Rev'!L33</f>
        <v>90</v>
      </c>
      <c r="L30" s="712">
        <f>' Enrol &amp; Rev'!M33</f>
        <v>90</v>
      </c>
    </row>
    <row r="31" spans="1:18" ht="15.75">
      <c r="A31" s="424">
        <f>ROW()</f>
        <v>31</v>
      </c>
      <c r="B31" s="748" t="s">
        <v>232</v>
      </c>
      <c r="C31" s="570"/>
      <c r="D31" s="570"/>
      <c r="E31" s="570"/>
      <c r="F31" s="547"/>
      <c r="G31" s="994">
        <f t="shared" ref="G31:L31" si="2">SUM(G18:G30)</f>
        <v>150</v>
      </c>
      <c r="H31" s="994">
        <f t="shared" si="2"/>
        <v>270</v>
      </c>
      <c r="I31" s="994">
        <f t="shared" si="2"/>
        <v>315</v>
      </c>
      <c r="J31" s="994">
        <f t="shared" si="2"/>
        <v>360</v>
      </c>
      <c r="K31" s="994">
        <f t="shared" si="2"/>
        <v>360</v>
      </c>
      <c r="L31" s="994">
        <f t="shared" si="2"/>
        <v>360</v>
      </c>
      <c r="R31" s="421"/>
    </row>
    <row r="32" spans="1:18">
      <c r="A32" s="424">
        <f>ROW()</f>
        <v>32</v>
      </c>
      <c r="B32" s="80" t="s">
        <v>541</v>
      </c>
      <c r="C32" s="80"/>
      <c r="D32" s="80"/>
      <c r="E32" s="80"/>
      <c r="F32" s="548"/>
      <c r="G32" s="713">
        <f>IFERROR(G31/G16,0)</f>
        <v>25</v>
      </c>
      <c r="H32" s="713">
        <f t="shared" ref="H32:L32" si="3">IFERROR(H31/H16,0)</f>
        <v>25</v>
      </c>
      <c r="I32" s="713">
        <f t="shared" si="3"/>
        <v>25</v>
      </c>
      <c r="J32" s="713">
        <f t="shared" si="3"/>
        <v>25</v>
      </c>
      <c r="K32" s="713">
        <f t="shared" si="3"/>
        <v>25</v>
      </c>
      <c r="L32" s="713">
        <f t="shared" si="3"/>
        <v>25</v>
      </c>
      <c r="R32" s="421"/>
    </row>
    <row r="33" spans="1:18">
      <c r="A33" s="424">
        <f>ROW()</f>
        <v>33</v>
      </c>
      <c r="B33" s="540" t="s">
        <v>257</v>
      </c>
      <c r="C33" s="80"/>
      <c r="D33" s="80"/>
      <c r="E33" s="80"/>
      <c r="F33" s="549">
        <f>' Enrol &amp; Rev'!G36</f>
        <v>0</v>
      </c>
      <c r="G33" s="714">
        <f>' Enrol &amp; Rev'!H36</f>
        <v>0.85</v>
      </c>
      <c r="H33" s="715">
        <f>' Enrol &amp; Rev'!I36</f>
        <v>0.85</v>
      </c>
      <c r="I33" s="715">
        <f>' Enrol &amp; Rev'!J36</f>
        <v>0.85</v>
      </c>
      <c r="J33" s="715">
        <f>' Enrol &amp; Rev'!K36</f>
        <v>0.85</v>
      </c>
      <c r="K33" s="715">
        <f>' Enrol &amp; Rev'!L36</f>
        <v>0.85</v>
      </c>
      <c r="L33" s="715">
        <f>' Enrol &amp; Rev'!M36</f>
        <v>0.85</v>
      </c>
      <c r="R33" s="421"/>
    </row>
    <row r="34" spans="1:18">
      <c r="A34" s="424">
        <f>ROW()</f>
        <v>34</v>
      </c>
      <c r="B34" s="540" t="s">
        <v>542</v>
      </c>
      <c r="C34" s="80"/>
      <c r="D34" s="80"/>
      <c r="E34" s="80"/>
      <c r="F34" s="550"/>
      <c r="G34" s="716">
        <f t="shared" ref="G34:L34" si="4">+G31*(1-G33)</f>
        <v>22.500000000000004</v>
      </c>
      <c r="H34" s="716">
        <f t="shared" si="4"/>
        <v>40.500000000000007</v>
      </c>
      <c r="I34" s="716">
        <f t="shared" si="4"/>
        <v>47.250000000000007</v>
      </c>
      <c r="J34" s="716">
        <f t="shared" si="4"/>
        <v>54.000000000000007</v>
      </c>
      <c r="K34" s="716">
        <f t="shared" si="4"/>
        <v>54.000000000000007</v>
      </c>
      <c r="L34" s="716">
        <f t="shared" si="4"/>
        <v>54.000000000000007</v>
      </c>
      <c r="R34" s="421"/>
    </row>
    <row r="35" spans="1:18">
      <c r="A35" s="424">
        <f>ROW()</f>
        <v>35</v>
      </c>
      <c r="B35" s="540"/>
      <c r="C35" s="80"/>
      <c r="D35" s="80"/>
      <c r="E35" s="80"/>
      <c r="F35" s="550"/>
      <c r="G35" s="716"/>
      <c r="H35" s="716"/>
      <c r="I35" s="716"/>
      <c r="J35" s="716"/>
      <c r="K35" s="716"/>
      <c r="L35" s="716"/>
      <c r="R35" s="421"/>
    </row>
    <row r="36" spans="1:18">
      <c r="A36" s="424">
        <f>ROW()</f>
        <v>36</v>
      </c>
      <c r="B36" s="80" t="s">
        <v>543</v>
      </c>
      <c r="C36" s="80"/>
      <c r="D36" s="80"/>
      <c r="E36" s="80"/>
      <c r="F36" s="549">
        <f>' Enrol &amp; Rev'!G61</f>
        <v>0</v>
      </c>
      <c r="G36" s="714">
        <f>' Enrol &amp; Rev'!H61</f>
        <v>0.85</v>
      </c>
      <c r="H36" s="715">
        <f>' Enrol &amp; Rev'!I61</f>
        <v>0.85</v>
      </c>
      <c r="I36" s="715">
        <f>' Enrol &amp; Rev'!J61</f>
        <v>0.85</v>
      </c>
      <c r="J36" s="715">
        <f>' Enrol &amp; Rev'!K61</f>
        <v>0.85</v>
      </c>
      <c r="K36" s="715">
        <f>' Enrol &amp; Rev'!L61</f>
        <v>0.85</v>
      </c>
      <c r="L36" s="715">
        <f>' Enrol &amp; Rev'!M61</f>
        <v>0.85</v>
      </c>
      <c r="R36" s="421"/>
    </row>
    <row r="37" spans="1:18">
      <c r="A37" s="424">
        <f>ROW()</f>
        <v>37</v>
      </c>
      <c r="B37" s="80" t="s">
        <v>544</v>
      </c>
      <c r="C37" s="80"/>
      <c r="D37" s="80"/>
      <c r="E37" s="80"/>
      <c r="F37" s="551"/>
      <c r="G37" s="717">
        <f t="shared" ref="G37:L37" si="5">+G$31*G36</f>
        <v>127.5</v>
      </c>
      <c r="H37" s="717">
        <f t="shared" si="5"/>
        <v>229.5</v>
      </c>
      <c r="I37" s="717">
        <f t="shared" si="5"/>
        <v>267.75</v>
      </c>
      <c r="J37" s="717">
        <f t="shared" si="5"/>
        <v>306</v>
      </c>
      <c r="K37" s="717">
        <f t="shared" si="5"/>
        <v>306</v>
      </c>
      <c r="L37" s="717">
        <f t="shared" si="5"/>
        <v>306</v>
      </c>
      <c r="R37" s="421"/>
    </row>
    <row r="38" spans="1:18">
      <c r="A38" s="424">
        <f>ROW()</f>
        <v>38</v>
      </c>
      <c r="B38" s="80" t="s">
        <v>282</v>
      </c>
      <c r="C38" s="80"/>
      <c r="D38" s="80"/>
      <c r="E38" s="80"/>
      <c r="F38" s="549">
        <f>' Enrol &amp; Rev'!G62</f>
        <v>0</v>
      </c>
      <c r="G38" s="714">
        <f>' Enrol &amp; Rev'!H62</f>
        <v>0.13300000000000001</v>
      </c>
      <c r="H38" s="715">
        <f>' Enrol &amp; Rev'!I62</f>
        <v>0.13300000000000001</v>
      </c>
      <c r="I38" s="715">
        <f>' Enrol &amp; Rev'!J62</f>
        <v>0.13300000000000001</v>
      </c>
      <c r="J38" s="715">
        <f>' Enrol &amp; Rev'!K62</f>
        <v>0.13300000000000001</v>
      </c>
      <c r="K38" s="715">
        <f>' Enrol &amp; Rev'!L62</f>
        <v>0.13300000000000001</v>
      </c>
      <c r="L38" s="715">
        <f>' Enrol &amp; Rev'!M62</f>
        <v>0.13300000000000001</v>
      </c>
      <c r="R38" s="421"/>
    </row>
    <row r="39" spans="1:18">
      <c r="A39" s="424">
        <f>ROW()</f>
        <v>39</v>
      </c>
      <c r="B39" s="80" t="s">
        <v>545</v>
      </c>
      <c r="C39" s="80"/>
      <c r="D39" s="80"/>
      <c r="E39" s="80"/>
      <c r="F39" s="551"/>
      <c r="G39" s="717">
        <f t="shared" ref="G39:L39" si="6">+G$31*G38</f>
        <v>19.950000000000003</v>
      </c>
      <c r="H39" s="717">
        <f t="shared" si="6"/>
        <v>35.910000000000004</v>
      </c>
      <c r="I39" s="717">
        <f t="shared" si="6"/>
        <v>41.895000000000003</v>
      </c>
      <c r="J39" s="717">
        <f t="shared" si="6"/>
        <v>47.88</v>
      </c>
      <c r="K39" s="717">
        <f t="shared" si="6"/>
        <v>47.88</v>
      </c>
      <c r="L39" s="717">
        <f t="shared" si="6"/>
        <v>47.88</v>
      </c>
      <c r="R39" s="421"/>
    </row>
    <row r="40" spans="1:18">
      <c r="A40" s="424">
        <f>ROW()</f>
        <v>40</v>
      </c>
      <c r="B40" s="80" t="s">
        <v>283</v>
      </c>
      <c r="C40" s="80"/>
      <c r="D40" s="80"/>
      <c r="E40" s="80"/>
      <c r="F40" s="549">
        <f>' Enrol &amp; Rev'!G63</f>
        <v>0</v>
      </c>
      <c r="G40" s="714">
        <f>' Enrol &amp; Rev'!H63</f>
        <v>0.13</v>
      </c>
      <c r="H40" s="715">
        <f>' Enrol &amp; Rev'!I63</f>
        <v>0.13</v>
      </c>
      <c r="I40" s="715">
        <f>' Enrol &amp; Rev'!J63</f>
        <v>0.13</v>
      </c>
      <c r="J40" s="715">
        <f>' Enrol &amp; Rev'!K63</f>
        <v>0.13</v>
      </c>
      <c r="K40" s="715">
        <f>' Enrol &amp; Rev'!L63</f>
        <v>0.13</v>
      </c>
      <c r="L40" s="715">
        <f>' Enrol &amp; Rev'!M63</f>
        <v>0.13</v>
      </c>
      <c r="R40" s="421"/>
    </row>
    <row r="41" spans="1:18">
      <c r="A41" s="424">
        <f>ROW()</f>
        <v>41</v>
      </c>
      <c r="B41" s="80" t="s">
        <v>284</v>
      </c>
      <c r="C41" s="80"/>
      <c r="D41" s="80"/>
      <c r="E41" s="80"/>
      <c r="F41" s="551"/>
      <c r="G41" s="717">
        <f t="shared" ref="G41:L41" si="7">+G$31*G40</f>
        <v>19.5</v>
      </c>
      <c r="H41" s="717">
        <f t="shared" si="7"/>
        <v>35.1</v>
      </c>
      <c r="I41" s="717">
        <f t="shared" si="7"/>
        <v>40.950000000000003</v>
      </c>
      <c r="J41" s="717">
        <f t="shared" si="7"/>
        <v>46.800000000000004</v>
      </c>
      <c r="K41" s="717">
        <f t="shared" si="7"/>
        <v>46.800000000000004</v>
      </c>
      <c r="L41" s="717">
        <f t="shared" si="7"/>
        <v>46.800000000000004</v>
      </c>
      <c r="R41" s="421"/>
    </row>
    <row r="42" spans="1:18">
      <c r="A42" s="424">
        <f>ROW()</f>
        <v>42</v>
      </c>
      <c r="B42" s="80"/>
      <c r="C42" s="80"/>
      <c r="D42" s="80"/>
      <c r="E42" s="80"/>
      <c r="F42" s="552"/>
      <c r="G42" s="718"/>
      <c r="H42" s="719"/>
      <c r="I42" s="719"/>
      <c r="J42" s="719"/>
      <c r="K42" s="719"/>
      <c r="L42" s="719"/>
      <c r="R42" s="421"/>
    </row>
    <row r="43" spans="1:18">
      <c r="A43" s="424">
        <f>ROW()</f>
        <v>43</v>
      </c>
      <c r="B43" s="80"/>
      <c r="C43" s="80"/>
      <c r="D43" s="80"/>
      <c r="E43" s="80"/>
      <c r="F43" s="553"/>
      <c r="G43" s="720"/>
      <c r="H43" s="720"/>
      <c r="I43" s="720"/>
      <c r="J43" s="720"/>
      <c r="K43" s="720"/>
      <c r="L43" s="720"/>
      <c r="R43" s="421"/>
    </row>
    <row r="44" spans="1:18">
      <c r="A44" s="424">
        <f>ROW()</f>
        <v>44</v>
      </c>
      <c r="B44" s="629"/>
      <c r="C44" s="629"/>
      <c r="D44" s="629"/>
      <c r="E44" s="629"/>
      <c r="F44" s="630"/>
      <c r="G44" s="749"/>
      <c r="H44" s="749"/>
      <c r="I44" s="749"/>
      <c r="J44" s="750"/>
      <c r="K44" s="750"/>
      <c r="L44" s="750"/>
      <c r="M44" s="84"/>
      <c r="N44" s="84"/>
      <c r="O44" s="84"/>
      <c r="P44" s="84"/>
      <c r="Q44" s="84"/>
      <c r="R44" s="421"/>
    </row>
    <row r="45" spans="1:18" ht="15.75">
      <c r="A45" s="424">
        <f>ROW()</f>
        <v>45</v>
      </c>
      <c r="B45" s="633" t="s">
        <v>200</v>
      </c>
      <c r="C45" s="570">
        <f t="shared" ref="C45" si="8">SUM(G45:L45)</f>
        <v>21716403.811012462</v>
      </c>
      <c r="D45" s="570"/>
      <c r="E45" s="570"/>
      <c r="F45" s="751">
        <f>' Enrol &amp; Rev'!G109</f>
        <v>0</v>
      </c>
      <c r="G45" s="752">
        <f>' Enrol &amp; Rev'!H109</f>
        <v>1856281.5000000002</v>
      </c>
      <c r="H45" s="752">
        <f>' Enrol &amp; Rev'!I109</f>
        <v>3111294.1187126245</v>
      </c>
      <c r="I45" s="752">
        <f>' Enrol &amp; Rev'!J109</f>
        <v>3750620.1479327255</v>
      </c>
      <c r="J45" s="752">
        <f>' Enrol &amp; Rev'!K109</f>
        <v>4294595.9065465126</v>
      </c>
      <c r="K45" s="752">
        <f>' Enrol &amp; Rev'!L109</f>
        <v>4351806.0689102998</v>
      </c>
      <c r="L45" s="752">
        <f>' Enrol &amp; Rev'!M109</f>
        <v>4351806.0689102998</v>
      </c>
      <c r="R45" s="421"/>
    </row>
    <row r="46" spans="1:18" ht="15.75">
      <c r="A46" s="424">
        <f>ROW()</f>
        <v>46</v>
      </c>
      <c r="B46" s="80" t="s">
        <v>546</v>
      </c>
      <c r="C46" s="483"/>
      <c r="D46" s="483"/>
      <c r="E46" s="483"/>
      <c r="F46" s="547"/>
      <c r="G46" s="546">
        <f t="shared" ref="G46:L46" si="9">IFERROR(G45/G31,0)</f>
        <v>12375.210000000001</v>
      </c>
      <c r="H46" s="546">
        <f t="shared" si="9"/>
        <v>11523.311550787499</v>
      </c>
      <c r="I46" s="546">
        <f t="shared" si="9"/>
        <v>11906.730628357858</v>
      </c>
      <c r="J46" s="546">
        <f t="shared" si="9"/>
        <v>11929.433073740312</v>
      </c>
      <c r="K46" s="546">
        <f t="shared" si="9"/>
        <v>12088.350191417499</v>
      </c>
      <c r="L46" s="546">
        <f t="shared" si="9"/>
        <v>12088.350191417499</v>
      </c>
      <c r="R46" s="421"/>
    </row>
    <row r="47" spans="1:18" ht="15.75">
      <c r="A47" s="424">
        <f>ROW()</f>
        <v>47</v>
      </c>
      <c r="B47" s="80" t="s">
        <v>547</v>
      </c>
      <c r="C47" s="483">
        <f>SUM(G47:L47)</f>
        <v>3820854.4958899999</v>
      </c>
      <c r="D47" s="483"/>
      <c r="E47" s="483"/>
      <c r="F47" s="547">
        <f>Levers!C16</f>
        <v>0</v>
      </c>
      <c r="G47" s="546">
        <f>Levers!D16</f>
        <v>333215</v>
      </c>
      <c r="H47" s="546">
        <f>Levers!E16</f>
        <v>561064</v>
      </c>
      <c r="I47" s="546">
        <f>Levers!F16</f>
        <v>705379.05</v>
      </c>
      <c r="J47" s="546">
        <f>Levers!G16</f>
        <v>741914.10649999999</v>
      </c>
      <c r="K47" s="546">
        <f>Levers!H16</f>
        <v>738173.41969499993</v>
      </c>
      <c r="L47" s="546">
        <f>Levers!I16</f>
        <v>741108.91969499993</v>
      </c>
      <c r="R47" s="421"/>
    </row>
    <row r="48" spans="1:18" ht="15.75">
      <c r="A48" s="424">
        <f>ROW()</f>
        <v>48</v>
      </c>
      <c r="B48" s="80" t="s">
        <v>548</v>
      </c>
      <c r="C48" s="483">
        <f>Levers!$B$17</f>
        <v>2105.1539922258953</v>
      </c>
      <c r="D48" s="483"/>
      <c r="E48" s="483"/>
      <c r="F48" s="547"/>
      <c r="G48" s="546">
        <f>Levers!D17</f>
        <v>2221.4333333333334</v>
      </c>
      <c r="H48" s="546">
        <f>Levers!E17</f>
        <v>2078.0148148148146</v>
      </c>
      <c r="I48" s="546">
        <f>Levers!F17</f>
        <v>2239.2985714285714</v>
      </c>
      <c r="J48" s="546">
        <f>Levers!G17</f>
        <v>2060.8725180555557</v>
      </c>
      <c r="K48" s="546">
        <f>Levers!H17</f>
        <v>2050.4817213749998</v>
      </c>
      <c r="L48" s="546">
        <f>Levers!I17</f>
        <v>2058.6358880416665</v>
      </c>
      <c r="R48" s="421"/>
    </row>
    <row r="49" spans="1:18" ht="15.75">
      <c r="A49" s="424">
        <f>ROW()</f>
        <v>49</v>
      </c>
      <c r="B49" s="80" t="s">
        <v>549</v>
      </c>
      <c r="C49" s="483">
        <f>SUM(G49:L49)</f>
        <v>17895549.315122463</v>
      </c>
      <c r="D49" s="483"/>
      <c r="E49" s="483"/>
      <c r="F49" s="547">
        <f>Levers!C18</f>
        <v>0</v>
      </c>
      <c r="G49" s="546">
        <f>Levers!D18</f>
        <v>1523066.5000000002</v>
      </c>
      <c r="H49" s="546">
        <f>Levers!E18</f>
        <v>2550230.1187126245</v>
      </c>
      <c r="I49" s="546">
        <f>Levers!F18</f>
        <v>3045241.0979327252</v>
      </c>
      <c r="J49" s="546">
        <f>Levers!G18</f>
        <v>3552681.8000465129</v>
      </c>
      <c r="K49" s="546">
        <f>Levers!H18</f>
        <v>3613632.6492152996</v>
      </c>
      <c r="L49" s="546">
        <f>Levers!I18</f>
        <v>3610697.1492152996</v>
      </c>
      <c r="R49" s="421"/>
    </row>
    <row r="50" spans="1:18" ht="15.75">
      <c r="A50" s="424">
        <f>ROW()</f>
        <v>50</v>
      </c>
      <c r="B50" s="80" t="s">
        <v>550</v>
      </c>
      <c r="C50" s="483">
        <f>Levers!$B$19</f>
        <v>9859.8067851914402</v>
      </c>
      <c r="D50" s="483"/>
      <c r="E50" s="483"/>
      <c r="F50" s="547"/>
      <c r="G50" s="546">
        <f>Levers!D19</f>
        <v>10153.776666666668</v>
      </c>
      <c r="H50" s="546">
        <f>Levers!E19</f>
        <v>9445.2967359726827</v>
      </c>
      <c r="I50" s="546">
        <f>Levers!F19</f>
        <v>9667.4320569292868</v>
      </c>
      <c r="J50" s="546">
        <f>Levers!G19</f>
        <v>9868.5605556847586</v>
      </c>
      <c r="K50" s="546">
        <f>Levers!H19</f>
        <v>10037.868470042498</v>
      </c>
      <c r="L50" s="546">
        <f>Levers!I19</f>
        <v>10029.714303375833</v>
      </c>
      <c r="R50" s="421"/>
    </row>
    <row r="51" spans="1:18" ht="15.75">
      <c r="A51" s="424">
        <f>ROW()</f>
        <v>51</v>
      </c>
      <c r="B51" s="80" t="s">
        <v>432</v>
      </c>
      <c r="C51" s="483">
        <f>Levers!B38</f>
        <v>2425480.4064105442</v>
      </c>
      <c r="D51" s="483"/>
      <c r="E51" s="483"/>
      <c r="F51" s="547">
        <f>Levers!C38</f>
        <v>0</v>
      </c>
      <c r="G51" s="546">
        <f>Levers!D38</f>
        <v>889.17695652204566</v>
      </c>
      <c r="H51" s="546">
        <f>Levers!E38</f>
        <v>163300.2371691463</v>
      </c>
      <c r="I51" s="546">
        <f>Levers!F38</f>
        <v>197438.91103950809</v>
      </c>
      <c r="J51" s="546">
        <f>Levers!G38</f>
        <v>640784.01102401537</v>
      </c>
      <c r="K51" s="546">
        <f>Levers!H38</f>
        <v>714920.11615954957</v>
      </c>
      <c r="L51" s="546">
        <f>Levers!I38</f>
        <v>708147.95406180387</v>
      </c>
      <c r="R51" s="421"/>
    </row>
    <row r="52" spans="1:18" ht="15.75">
      <c r="A52" s="424">
        <f>ROW()</f>
        <v>52</v>
      </c>
      <c r="B52" s="80" t="s">
        <v>433</v>
      </c>
      <c r="C52" s="483">
        <f>Levers!B39</f>
        <v>1336.3528409975449</v>
      </c>
      <c r="D52" s="483"/>
      <c r="E52" s="483"/>
      <c r="F52" s="547">
        <f>Levers!C39</f>
        <v>0</v>
      </c>
      <c r="G52" s="546">
        <f>Levers!D39</f>
        <v>5.9278463768136378</v>
      </c>
      <c r="H52" s="546">
        <f>Levers!E39</f>
        <v>604.81569321906034</v>
      </c>
      <c r="I52" s="546">
        <f>Levers!F39</f>
        <v>626.79019377621614</v>
      </c>
      <c r="J52" s="546">
        <f>Levers!G39</f>
        <v>1779.9555861778206</v>
      </c>
      <c r="K52" s="546">
        <f>Levers!H39</f>
        <v>1985.8892115543044</v>
      </c>
      <c r="L52" s="546">
        <f>Levers!I39</f>
        <v>1967.0776501716775</v>
      </c>
      <c r="R52" s="421"/>
    </row>
    <row r="53" spans="1:18">
      <c r="A53" s="424">
        <f>ROW()</f>
        <v>53</v>
      </c>
      <c r="B53" s="35"/>
      <c r="C53" s="35"/>
      <c r="D53" s="35"/>
      <c r="E53" s="35"/>
      <c r="F53" s="611"/>
      <c r="G53" s="611"/>
      <c r="H53" s="611"/>
      <c r="I53" s="611"/>
      <c r="J53" s="611"/>
      <c r="K53" s="611"/>
      <c r="L53" s="611"/>
      <c r="R53" s="421"/>
    </row>
    <row r="54" spans="1:18">
      <c r="A54" s="424">
        <f>ROW()</f>
        <v>54</v>
      </c>
      <c r="B54" s="201" t="s">
        <v>551</v>
      </c>
      <c r="C54" s="201"/>
      <c r="D54" s="201"/>
      <c r="E54" s="571"/>
      <c r="F54" s="721"/>
      <c r="G54" s="722"/>
      <c r="H54" s="722"/>
      <c r="I54" s="722"/>
      <c r="J54" s="722"/>
      <c r="K54" s="722"/>
      <c r="L54" s="722"/>
      <c r="M54" s="110"/>
      <c r="N54" s="46"/>
      <c r="O54" s="46"/>
      <c r="R54" s="421"/>
    </row>
    <row r="55" spans="1:18">
      <c r="A55" s="424">
        <f>ROW()</f>
        <v>55</v>
      </c>
      <c r="B55" s="37" t="s">
        <v>411</v>
      </c>
      <c r="E55" s="52"/>
      <c r="F55" s="114">
        <f>+Staff!G15</f>
        <v>0</v>
      </c>
      <c r="G55" s="723">
        <f>+Staff!H15</f>
        <v>2.5</v>
      </c>
      <c r="H55" s="723">
        <f>+Staff!I15</f>
        <v>2.5</v>
      </c>
      <c r="I55" s="723">
        <f>+Staff!J15</f>
        <v>2.5</v>
      </c>
      <c r="J55" s="723">
        <f>+Staff!K15</f>
        <v>2.5</v>
      </c>
      <c r="K55" s="723">
        <f>+Staff!L15</f>
        <v>2.5</v>
      </c>
      <c r="L55" s="723">
        <f>+Staff!M15</f>
        <v>2.5</v>
      </c>
      <c r="M55" s="110"/>
      <c r="N55" s="46"/>
      <c r="O55" s="46"/>
      <c r="R55" s="421"/>
    </row>
    <row r="56" spans="1:18">
      <c r="A56" s="424">
        <f>ROW()</f>
        <v>56</v>
      </c>
      <c r="B56" s="37" t="s">
        <v>412</v>
      </c>
      <c r="E56" s="52"/>
      <c r="F56" s="114">
        <f>+Staff!G16</f>
        <v>0</v>
      </c>
      <c r="G56" s="723">
        <f>+Staff!H16</f>
        <v>0</v>
      </c>
      <c r="H56" s="723">
        <f>+Staff!I16</f>
        <v>1</v>
      </c>
      <c r="I56" s="723">
        <f>+Staff!J16</f>
        <v>1</v>
      </c>
      <c r="J56" s="723">
        <f>+Staff!K16</f>
        <v>1</v>
      </c>
      <c r="K56" s="723">
        <f>+Staff!L16</f>
        <v>1</v>
      </c>
      <c r="L56" s="723">
        <f>+Staff!M16</f>
        <v>1</v>
      </c>
      <c r="M56" s="110"/>
      <c r="N56" s="46"/>
      <c r="O56" s="46"/>
      <c r="R56" s="421"/>
    </row>
    <row r="57" spans="1:18">
      <c r="A57" s="424">
        <f>ROW()</f>
        <v>57</v>
      </c>
      <c r="B57" s="37" t="s">
        <v>413</v>
      </c>
      <c r="E57" s="52"/>
      <c r="F57" s="114">
        <f>+Staff!G17</f>
        <v>0</v>
      </c>
      <c r="G57" s="723">
        <f>+Staff!H17</f>
        <v>1</v>
      </c>
      <c r="H57" s="723">
        <f>+Staff!I17</f>
        <v>2.5</v>
      </c>
      <c r="I57" s="723">
        <f>+Staff!J17</f>
        <v>3.5</v>
      </c>
      <c r="J57" s="723">
        <f>+Staff!K17</f>
        <v>3.5</v>
      </c>
      <c r="K57" s="723">
        <f>+Staff!L17</f>
        <v>3.5</v>
      </c>
      <c r="L57" s="723">
        <f>+Staff!M17</f>
        <v>3.5</v>
      </c>
      <c r="M57" s="110"/>
      <c r="N57" s="46"/>
      <c r="O57" s="46"/>
      <c r="R57" s="421"/>
    </row>
    <row r="58" spans="1:18">
      <c r="A58" s="424">
        <f>ROW()</f>
        <v>58</v>
      </c>
      <c r="B58" s="37" t="s">
        <v>414</v>
      </c>
      <c r="E58" s="52"/>
      <c r="F58" s="114">
        <f>+Staff!G18</f>
        <v>0</v>
      </c>
      <c r="G58" s="723">
        <f>+Staff!H18</f>
        <v>0.5</v>
      </c>
      <c r="H58" s="723">
        <f>+Staff!I18</f>
        <v>2</v>
      </c>
      <c r="I58" s="723">
        <f>+Staff!J18</f>
        <v>2.5</v>
      </c>
      <c r="J58" s="723">
        <f>+Staff!K18</f>
        <v>2.5</v>
      </c>
      <c r="K58" s="723">
        <f>+Staff!L18</f>
        <v>2.5</v>
      </c>
      <c r="L58" s="723">
        <f>+Staff!M18</f>
        <v>2.5</v>
      </c>
      <c r="M58" s="110"/>
      <c r="N58" s="46"/>
      <c r="O58" s="46"/>
      <c r="R58" s="421"/>
    </row>
    <row r="59" spans="1:18">
      <c r="A59" s="424">
        <f>ROW()</f>
        <v>59</v>
      </c>
      <c r="B59" s="37" t="s">
        <v>415</v>
      </c>
      <c r="E59" s="52"/>
      <c r="F59" s="114">
        <f>+Staff!G19</f>
        <v>0</v>
      </c>
      <c r="G59" s="723">
        <f>+Staff!H19</f>
        <v>0</v>
      </c>
      <c r="H59" s="723">
        <f>+Staff!I19</f>
        <v>1</v>
      </c>
      <c r="I59" s="723">
        <f>+Staff!J19</f>
        <v>1</v>
      </c>
      <c r="J59" s="723">
        <f>+Staff!K19</f>
        <v>1</v>
      </c>
      <c r="K59" s="723">
        <f>+Staff!L19</f>
        <v>1</v>
      </c>
      <c r="L59" s="723">
        <f>+Staff!M19</f>
        <v>1</v>
      </c>
      <c r="M59" s="110"/>
      <c r="N59" s="46"/>
      <c r="O59" s="46"/>
      <c r="R59" s="421"/>
    </row>
    <row r="60" spans="1:18">
      <c r="A60" s="424">
        <f>ROW()</f>
        <v>60</v>
      </c>
      <c r="B60" s="37" t="s">
        <v>416</v>
      </c>
      <c r="E60" s="571"/>
      <c r="F60" s="114">
        <f>+Staff!G20</f>
        <v>0</v>
      </c>
      <c r="G60" s="723">
        <f>+Staff!H20</f>
        <v>7</v>
      </c>
      <c r="H60" s="723">
        <f>+Staff!I20</f>
        <v>13.5</v>
      </c>
      <c r="I60" s="723">
        <f>+Staff!J20</f>
        <v>17.5</v>
      </c>
      <c r="J60" s="723">
        <f>+Staff!K20</f>
        <v>17.5</v>
      </c>
      <c r="K60" s="723">
        <f>+Staff!L20</f>
        <v>17.5</v>
      </c>
      <c r="L60" s="723">
        <f>+Staff!M20</f>
        <v>17.5</v>
      </c>
      <c r="M60" s="110"/>
      <c r="N60" s="46"/>
      <c r="O60" s="46"/>
      <c r="R60" s="421"/>
    </row>
    <row r="61" spans="1:18">
      <c r="A61" s="424">
        <f>ROW()</f>
        <v>61</v>
      </c>
      <c r="B61" s="147" t="s">
        <v>417</v>
      </c>
      <c r="C61" s="147"/>
      <c r="D61" s="147"/>
      <c r="E61" s="52"/>
      <c r="F61" s="724">
        <f>SUM(F55:F60)</f>
        <v>0</v>
      </c>
      <c r="G61" s="724">
        <f t="shared" ref="G61:L61" si="10">SUM(G55:G60)</f>
        <v>11</v>
      </c>
      <c r="H61" s="724">
        <f t="shared" si="10"/>
        <v>22.5</v>
      </c>
      <c r="I61" s="724">
        <f t="shared" si="10"/>
        <v>28</v>
      </c>
      <c r="J61" s="724">
        <f t="shared" si="10"/>
        <v>28</v>
      </c>
      <c r="K61" s="724">
        <f t="shared" si="10"/>
        <v>28</v>
      </c>
      <c r="L61" s="724">
        <f t="shared" si="10"/>
        <v>28</v>
      </c>
      <c r="M61" s="110"/>
      <c r="N61" s="46"/>
      <c r="O61" s="46"/>
      <c r="R61" s="421"/>
    </row>
    <row r="62" spans="1:18">
      <c r="A62" s="424">
        <f>ROW()</f>
        <v>62</v>
      </c>
      <c r="M62" s="110"/>
      <c r="N62" s="46"/>
      <c r="O62" s="46"/>
      <c r="P62" s="112"/>
      <c r="Q62" s="112"/>
      <c r="R62" s="421"/>
    </row>
    <row r="63" spans="1:18">
      <c r="A63" s="424">
        <f>ROW()</f>
        <v>63</v>
      </c>
      <c r="B63" s="63" t="s">
        <v>552</v>
      </c>
      <c r="C63" s="541"/>
      <c r="D63" s="63"/>
      <c r="E63" s="63"/>
      <c r="F63" s="542"/>
      <c r="G63" s="542"/>
      <c r="H63" s="542"/>
      <c r="I63" s="542"/>
      <c r="J63" s="542"/>
      <c r="K63" s="542"/>
      <c r="L63" s="542"/>
      <c r="R63" s="421"/>
    </row>
    <row r="64" spans="1:18">
      <c r="A64" s="424">
        <f>ROW()</f>
        <v>64</v>
      </c>
      <c r="B64" s="35" t="s">
        <v>553</v>
      </c>
      <c r="C64" s="153" t="s">
        <v>554</v>
      </c>
      <c r="D64" s="36"/>
      <c r="E64" s="36"/>
      <c r="G64" s="35" t="s">
        <v>555</v>
      </c>
      <c r="R64" s="421"/>
    </row>
    <row r="65" spans="1:18">
      <c r="A65" s="424">
        <f>ROW()</f>
        <v>65</v>
      </c>
      <c r="B65" s="80" t="s">
        <v>556</v>
      </c>
      <c r="C65" s="1007">
        <v>100</v>
      </c>
      <c r="D65" s="111" t="s">
        <v>557</v>
      </c>
      <c r="E65" s="111"/>
      <c r="F65" s="67"/>
      <c r="G65" s="1621">
        <v>5000</v>
      </c>
      <c r="H65" s="1621">
        <v>10000</v>
      </c>
      <c r="I65" s="1621">
        <v>10000</v>
      </c>
      <c r="J65" s="1621">
        <v>10000</v>
      </c>
      <c r="K65" s="995">
        <f>$C$65*Staff!L21</f>
        <v>2800</v>
      </c>
      <c r="L65" s="995">
        <f>$C$65*Staff!M21</f>
        <v>2800</v>
      </c>
      <c r="R65" s="421" t="s">
        <v>1333</v>
      </c>
    </row>
    <row r="66" spans="1:18">
      <c r="A66" s="424">
        <f>ROW()</f>
        <v>66</v>
      </c>
      <c r="B66" s="80" t="s">
        <v>558</v>
      </c>
      <c r="C66" s="1007">
        <v>2000</v>
      </c>
      <c r="D66" s="111" t="s">
        <v>559</v>
      </c>
      <c r="E66" s="111"/>
      <c r="F66" s="61"/>
      <c r="G66" s="852">
        <f t="shared" ref="G66:L66" si="11">$C66</f>
        <v>2000</v>
      </c>
      <c r="H66" s="852">
        <f t="shared" si="11"/>
        <v>2000</v>
      </c>
      <c r="I66" s="852">
        <f t="shared" si="11"/>
        <v>2000</v>
      </c>
      <c r="J66" s="852">
        <f t="shared" si="11"/>
        <v>2000</v>
      </c>
      <c r="K66" s="852">
        <f t="shared" si="11"/>
        <v>2000</v>
      </c>
      <c r="L66" s="852">
        <f t="shared" si="11"/>
        <v>2000</v>
      </c>
      <c r="R66" s="421" t="s">
        <v>1395</v>
      </c>
    </row>
    <row r="67" spans="1:18">
      <c r="A67" s="424">
        <f>ROW()</f>
        <v>67</v>
      </c>
      <c r="B67" s="80" t="s">
        <v>560</v>
      </c>
      <c r="C67" s="1007">
        <v>5000</v>
      </c>
      <c r="D67" s="111" t="s">
        <v>561</v>
      </c>
      <c r="E67" s="111"/>
      <c r="F67" s="61"/>
      <c r="G67" s="852">
        <f t="shared" ref="G67:L67" si="12">$C$67</f>
        <v>5000</v>
      </c>
      <c r="H67" s="852">
        <f t="shared" si="12"/>
        <v>5000</v>
      </c>
      <c r="I67" s="852">
        <f t="shared" si="12"/>
        <v>5000</v>
      </c>
      <c r="J67" s="852">
        <f t="shared" si="12"/>
        <v>5000</v>
      </c>
      <c r="K67" s="852">
        <f t="shared" si="12"/>
        <v>5000</v>
      </c>
      <c r="L67" s="852">
        <f t="shared" si="12"/>
        <v>5000</v>
      </c>
      <c r="R67" s="421"/>
    </row>
    <row r="68" spans="1:18">
      <c r="A68" s="424">
        <f>ROW()</f>
        <v>68</v>
      </c>
      <c r="B68" s="80" t="s">
        <v>562</v>
      </c>
      <c r="C68" s="595"/>
      <c r="D68" s="111"/>
      <c r="E68" s="111"/>
      <c r="F68" s="61"/>
      <c r="G68" s="114"/>
      <c r="H68" s="114"/>
      <c r="I68" s="114"/>
      <c r="J68" s="114"/>
      <c r="K68" s="114"/>
      <c r="L68" s="114"/>
      <c r="R68" s="421"/>
    </row>
    <row r="69" spans="1:18">
      <c r="A69" s="424">
        <f>ROW()</f>
        <v>69</v>
      </c>
      <c r="B69" s="80" t="s">
        <v>563</v>
      </c>
      <c r="C69" s="1007">
        <v>0</v>
      </c>
      <c r="D69" s="111" t="s">
        <v>302</v>
      </c>
      <c r="E69" s="111"/>
      <c r="F69" s="61"/>
      <c r="G69" s="852">
        <f>$C$69*(' Enrol &amp; Rev'!H34-' Enrol &amp; Rev'!G34)</f>
        <v>0</v>
      </c>
      <c r="H69" s="852">
        <f>$C$69*(' Enrol &amp; Rev'!I34-' Enrol &amp; Rev'!H34)</f>
        <v>0</v>
      </c>
      <c r="I69" s="852">
        <f>$C$69*(' Enrol &amp; Rev'!J34-' Enrol &amp; Rev'!I34)</f>
        <v>0</v>
      </c>
      <c r="J69" s="852">
        <f>$C$69*(' Enrol &amp; Rev'!K34-' Enrol &amp; Rev'!J34)</f>
        <v>0</v>
      </c>
      <c r="K69" s="852">
        <f>$C$69*(' Enrol &amp; Rev'!L34-' Enrol &amp; Rev'!K34)</f>
        <v>0</v>
      </c>
      <c r="L69" s="852">
        <f>$C$69*(' Enrol &amp; Rev'!M34-' Enrol &amp; Rev'!L34)</f>
        <v>0</v>
      </c>
      <c r="R69" s="421"/>
    </row>
    <row r="70" spans="1:18">
      <c r="A70" s="424">
        <f>ROW()</f>
        <v>70</v>
      </c>
      <c r="B70" s="80" t="s">
        <v>564</v>
      </c>
      <c r="C70" s="1007">
        <v>0</v>
      </c>
      <c r="D70" s="111" t="s">
        <v>565</v>
      </c>
      <c r="E70" s="111"/>
      <c r="F70" s="61"/>
      <c r="G70" s="852"/>
      <c r="H70" s="852"/>
      <c r="I70" s="852"/>
      <c r="J70" s="852"/>
      <c r="K70" s="852"/>
      <c r="L70" s="852"/>
      <c r="R70" s="421"/>
    </row>
    <row r="71" spans="1:18">
      <c r="A71" s="424">
        <f>ROW()</f>
        <v>71</v>
      </c>
      <c r="B71" s="80" t="s">
        <v>566</v>
      </c>
      <c r="C71" s="1007">
        <v>0</v>
      </c>
      <c r="D71" s="111" t="s">
        <v>567</v>
      </c>
      <c r="E71" s="111"/>
      <c r="F71" s="61"/>
      <c r="G71" s="852">
        <f>$C$71*' Enrol &amp; Rev'!H34</f>
        <v>0</v>
      </c>
      <c r="H71" s="852">
        <f>$C$71*' Enrol &amp; Rev'!I34</f>
        <v>0</v>
      </c>
      <c r="I71" s="852">
        <f>$C$71*' Enrol &amp; Rev'!J34</f>
        <v>0</v>
      </c>
      <c r="J71" s="852">
        <f>$C$71*' Enrol &amp; Rev'!K34</f>
        <v>0</v>
      </c>
      <c r="K71" s="852">
        <f>$C$71*' Enrol &amp; Rev'!L34</f>
        <v>0</v>
      </c>
      <c r="L71" s="852">
        <f>$C$71*' Enrol &amp; Rev'!M34</f>
        <v>0</v>
      </c>
      <c r="R71" s="421"/>
    </row>
    <row r="72" spans="1:18">
      <c r="A72" s="424">
        <f>ROW()</f>
        <v>72</v>
      </c>
      <c r="B72" s="80" t="s">
        <v>568</v>
      </c>
      <c r="C72" s="305">
        <v>0</v>
      </c>
      <c r="D72" s="111" t="s">
        <v>302</v>
      </c>
      <c r="E72" s="111"/>
      <c r="F72" s="61"/>
      <c r="G72" s="852">
        <f>$C$72*' Enrol &amp; Rev'!H34</f>
        <v>0</v>
      </c>
      <c r="H72" s="852">
        <f>$C$72*' Enrol &amp; Rev'!I34</f>
        <v>0</v>
      </c>
      <c r="I72" s="852">
        <f>$C$72*' Enrol &amp; Rev'!J34</f>
        <v>0</v>
      </c>
      <c r="J72" s="852">
        <f>$C$72*' Enrol &amp; Rev'!K34</f>
        <v>0</v>
      </c>
      <c r="K72" s="852">
        <f>$C$72*' Enrol &amp; Rev'!L34</f>
        <v>0</v>
      </c>
      <c r="L72" s="852">
        <f>$C$72*' Enrol &amp; Rev'!M34</f>
        <v>0</v>
      </c>
      <c r="R72" s="421"/>
    </row>
    <row r="73" spans="1:18">
      <c r="A73" s="424">
        <f>ROW()</f>
        <v>73</v>
      </c>
      <c r="B73" s="80" t="s">
        <v>569</v>
      </c>
      <c r="C73" s="305">
        <v>0</v>
      </c>
      <c r="D73" s="111" t="s">
        <v>570</v>
      </c>
      <c r="E73" s="111"/>
      <c r="F73" s="61"/>
      <c r="G73" s="1186">
        <f>$C$73*' Enrol &amp; Rev'!H34</f>
        <v>0</v>
      </c>
      <c r="H73" s="1186">
        <f>$C$73*' Enrol &amp; Rev'!I34</f>
        <v>0</v>
      </c>
      <c r="I73" s="1186">
        <f>$C$73*' Enrol &amp; Rev'!J34</f>
        <v>0</v>
      </c>
      <c r="J73" s="1186">
        <f>$C$73*' Enrol &amp; Rev'!K34</f>
        <v>0</v>
      </c>
      <c r="K73" s="1186">
        <f>$C$73*' Enrol &amp; Rev'!L34</f>
        <v>0</v>
      </c>
      <c r="L73" s="1186">
        <f>$C$73*' Enrol &amp; Rev'!M34</f>
        <v>0</v>
      </c>
      <c r="R73" s="421"/>
    </row>
    <row r="74" spans="1:18">
      <c r="A74" s="424">
        <f>ROW()</f>
        <v>74</v>
      </c>
      <c r="B74" s="80" t="s">
        <v>571</v>
      </c>
      <c r="C74" s="1007"/>
      <c r="D74" s="111" t="s">
        <v>1197</v>
      </c>
      <c r="E74" s="111"/>
      <c r="F74" s="61"/>
      <c r="G74" s="852">
        <f>(' Enrol &amp; Rev'!H86+' Enrol &amp; Rev'!H101)*$C$74</f>
        <v>0</v>
      </c>
      <c r="H74" s="852">
        <f>(' Enrol &amp; Rev'!I86+' Enrol &amp; Rev'!I101)*$C$74</f>
        <v>0</v>
      </c>
      <c r="I74" s="852">
        <f>(' Enrol &amp; Rev'!J86+' Enrol &amp; Rev'!J101)*$C$74</f>
        <v>0</v>
      </c>
      <c r="J74" s="852">
        <f>(' Enrol &amp; Rev'!K86+' Enrol &amp; Rev'!K101)*$C$74</f>
        <v>0</v>
      </c>
      <c r="K74" s="852">
        <f>(' Enrol &amp; Rev'!L86+' Enrol &amp; Rev'!L101)*$C$74</f>
        <v>0</v>
      </c>
      <c r="L74" s="852">
        <f>(' Enrol &amp; Rev'!M86+' Enrol &amp; Rev'!M101)*$C$74</f>
        <v>0</v>
      </c>
      <c r="R74" s="421"/>
    </row>
    <row r="75" spans="1:18">
      <c r="A75" s="424">
        <f>ROW()</f>
        <v>75</v>
      </c>
      <c r="B75" s="80" t="s">
        <v>572</v>
      </c>
      <c r="C75" s="1007">
        <v>0</v>
      </c>
      <c r="D75" s="111" t="s">
        <v>1197</v>
      </c>
      <c r="E75" s="111"/>
      <c r="F75" s="61"/>
      <c r="G75" s="852">
        <f>(' Enrol &amp; Rev'!H86+' Enrol &amp; Rev'!H101)*$C$75</f>
        <v>0</v>
      </c>
      <c r="H75" s="852">
        <f>(' Enrol &amp; Rev'!I86+' Enrol &amp; Rev'!I101)*$C$75</f>
        <v>0</v>
      </c>
      <c r="I75" s="852">
        <f>(' Enrol &amp; Rev'!J86+' Enrol &amp; Rev'!J101)*$C$75</f>
        <v>0</v>
      </c>
      <c r="J75" s="852">
        <f>(' Enrol &amp; Rev'!K86+' Enrol &amp; Rev'!K101)*$C$75</f>
        <v>0</v>
      </c>
      <c r="K75" s="852">
        <f>(' Enrol &amp; Rev'!L86+' Enrol &amp; Rev'!L101)*$C$75</f>
        <v>0</v>
      </c>
      <c r="L75" s="852">
        <f>(' Enrol &amp; Rev'!M86+' Enrol &amp; Rev'!M101)*$C$75</f>
        <v>0</v>
      </c>
      <c r="R75" s="421"/>
    </row>
    <row r="76" spans="1:18">
      <c r="A76" s="424">
        <f>ROW()</f>
        <v>76</v>
      </c>
      <c r="B76" s="80" t="s">
        <v>573</v>
      </c>
      <c r="C76" s="1007">
        <v>28</v>
      </c>
      <c r="D76" s="111" t="s">
        <v>302</v>
      </c>
      <c r="E76" s="111"/>
      <c r="F76" s="61"/>
      <c r="G76" s="850">
        <f>$C$76*' Enrol &amp; Rev'!H34</f>
        <v>4200</v>
      </c>
      <c r="H76" s="850">
        <f>$C$76*' Enrol &amp; Rev'!I34</f>
        <v>7560</v>
      </c>
      <c r="I76" s="850">
        <f>$C$76*' Enrol &amp; Rev'!J34</f>
        <v>8820</v>
      </c>
      <c r="J76" s="850">
        <f>$C$76*' Enrol &amp; Rev'!K34</f>
        <v>10080</v>
      </c>
      <c r="K76" s="850">
        <f>$C$76*' Enrol &amp; Rev'!L34</f>
        <v>10080</v>
      </c>
      <c r="L76" s="850">
        <f>$C$76*' Enrol &amp; Rev'!M34</f>
        <v>10080</v>
      </c>
      <c r="R76" s="421" t="s">
        <v>1362</v>
      </c>
    </row>
    <row r="77" spans="1:18">
      <c r="A77" s="424">
        <f>ROW()</f>
        <v>77</v>
      </c>
      <c r="B77" s="80" t="s">
        <v>574</v>
      </c>
      <c r="C77" s="1007"/>
      <c r="D77" s="111" t="s">
        <v>302</v>
      </c>
      <c r="E77" s="111"/>
      <c r="F77" s="61"/>
      <c r="G77" s="850">
        <f>$C$77*' Enrol &amp; Rev'!H34</f>
        <v>0</v>
      </c>
      <c r="H77" s="850">
        <f>$C$77*' Enrol &amp; Rev'!I34</f>
        <v>0</v>
      </c>
      <c r="I77" s="850">
        <f>$C$77*' Enrol &amp; Rev'!J34</f>
        <v>0</v>
      </c>
      <c r="J77" s="850">
        <f>$C$77*' Enrol &amp; Rev'!K34</f>
        <v>0</v>
      </c>
      <c r="K77" s="850">
        <f>$C$77*' Enrol &amp; Rev'!L34</f>
        <v>0</v>
      </c>
      <c r="L77" s="850">
        <f>$C$77*' Enrol &amp; Rev'!M34</f>
        <v>0</v>
      </c>
      <c r="R77" s="421" t="s">
        <v>1363</v>
      </c>
    </row>
    <row r="78" spans="1:18">
      <c r="A78" s="424">
        <f>ROW()</f>
        <v>78</v>
      </c>
      <c r="B78" s="80" t="s">
        <v>575</v>
      </c>
      <c r="C78" s="1007"/>
      <c r="D78" s="111" t="s">
        <v>302</v>
      </c>
      <c r="E78" s="111"/>
      <c r="F78" s="61"/>
      <c r="G78" s="850">
        <f>Instructional!J42</f>
        <v>41925</v>
      </c>
      <c r="H78" s="850">
        <f>Instructional!K42</f>
        <v>51873</v>
      </c>
      <c r="I78" s="850">
        <f>Instructional!L42</f>
        <v>69643.5</v>
      </c>
      <c r="J78" s="850">
        <f>Instructional!M42</f>
        <v>77514</v>
      </c>
      <c r="K78" s="850">
        <f>Instructional!N42</f>
        <v>77514</v>
      </c>
      <c r="L78" s="850">
        <f>Instructional!O42</f>
        <v>77514</v>
      </c>
      <c r="R78" s="421" t="s">
        <v>1364</v>
      </c>
    </row>
    <row r="79" spans="1:18">
      <c r="A79" s="424">
        <f>ROW()</f>
        <v>79</v>
      </c>
      <c r="B79" s="80" t="s">
        <v>576</v>
      </c>
      <c r="C79" s="1007">
        <v>0</v>
      </c>
      <c r="D79" s="111" t="s">
        <v>302</v>
      </c>
      <c r="E79" s="111"/>
      <c r="F79" s="61"/>
      <c r="G79" s="850">
        <f>$C$79*' Enrol &amp; Rev'!H34</f>
        <v>0</v>
      </c>
      <c r="H79" s="850">
        <f>$C$79*' Enrol &amp; Rev'!I34</f>
        <v>0</v>
      </c>
      <c r="I79" s="850">
        <f>$C$79*' Enrol &amp; Rev'!J34</f>
        <v>0</v>
      </c>
      <c r="J79" s="850">
        <f>$C$79*' Enrol &amp; Rev'!K34</f>
        <v>0</v>
      </c>
      <c r="K79" s="850">
        <f>$C$79*' Enrol &amp; Rev'!L34</f>
        <v>0</v>
      </c>
      <c r="L79" s="850">
        <f>$C$79*' Enrol &amp; Rev'!M34</f>
        <v>0</v>
      </c>
      <c r="R79" s="421"/>
    </row>
    <row r="80" spans="1:18">
      <c r="A80" s="424">
        <f>ROW()</f>
        <v>80</v>
      </c>
      <c r="B80" s="80" t="s">
        <v>577</v>
      </c>
      <c r="C80" s="1007">
        <v>0</v>
      </c>
      <c r="D80" s="111" t="s">
        <v>302</v>
      </c>
      <c r="E80" s="111"/>
      <c r="F80" s="61"/>
      <c r="G80" s="850">
        <f>$C$80*' Enrol &amp; Rev'!H34</f>
        <v>0</v>
      </c>
      <c r="H80" s="850">
        <f>$C$80*' Enrol &amp; Rev'!I34</f>
        <v>0</v>
      </c>
      <c r="I80" s="850">
        <f>$C$80*' Enrol &amp; Rev'!J34</f>
        <v>0</v>
      </c>
      <c r="J80" s="850">
        <f>$C$80*' Enrol &amp; Rev'!K34</f>
        <v>0</v>
      </c>
      <c r="K80" s="850">
        <f>$C$80*' Enrol &amp; Rev'!L34</f>
        <v>0</v>
      </c>
      <c r="L80" s="850">
        <f>$C$80*' Enrol &amp; Rev'!M34</f>
        <v>0</v>
      </c>
      <c r="R80" s="421"/>
    </row>
    <row r="81" spans="1:18">
      <c r="A81" s="424">
        <f>ROW()</f>
        <v>81</v>
      </c>
      <c r="B81" s="80" t="s">
        <v>578</v>
      </c>
      <c r="C81" s="1007">
        <v>2000</v>
      </c>
      <c r="D81" s="111" t="s">
        <v>295</v>
      </c>
      <c r="E81" s="111"/>
      <c r="F81" s="61"/>
      <c r="G81" s="1669">
        <v>0</v>
      </c>
      <c r="H81" s="1669">
        <f>$C$81*' Enrol &amp; Rev'!I34*' Enrol &amp; Rev'!I63</f>
        <v>70200</v>
      </c>
      <c r="I81" s="1669">
        <f>$C$81*' Enrol &amp; Rev'!J34*' Enrol &amp; Rev'!J63</f>
        <v>81900</v>
      </c>
      <c r="J81" s="1669">
        <f>$C$81*' Enrol &amp; Rev'!K34*' Enrol &amp; Rev'!K63</f>
        <v>93600</v>
      </c>
      <c r="K81" s="1669">
        <f>$C$81*' Enrol &amp; Rev'!L34*' Enrol &amp; Rev'!L63</f>
        <v>93600</v>
      </c>
      <c r="L81" s="1669">
        <f>$C$81*' Enrol &amp; Rev'!M34*' Enrol &amp; Rev'!M63</f>
        <v>93600</v>
      </c>
      <c r="R81" s="421" t="s">
        <v>1419</v>
      </c>
    </row>
    <row r="82" spans="1:18">
      <c r="A82" s="424">
        <f>ROW()</f>
        <v>82</v>
      </c>
      <c r="B82" s="80" t="s">
        <v>579</v>
      </c>
      <c r="C82" s="1007">
        <v>500</v>
      </c>
      <c r="D82" s="111" t="s">
        <v>580</v>
      </c>
      <c r="E82" s="111"/>
      <c r="F82" s="61"/>
      <c r="G82" s="1669">
        <f>$C$82*(G57+G58+G60)</f>
        <v>4250</v>
      </c>
      <c r="H82" s="1669">
        <f t="shared" ref="H82:L82" si="13">$C$82*(H57+H58+H60)</f>
        <v>9000</v>
      </c>
      <c r="I82" s="1669">
        <f t="shared" si="13"/>
        <v>11750</v>
      </c>
      <c r="J82" s="1669">
        <f t="shared" si="13"/>
        <v>11750</v>
      </c>
      <c r="K82" s="1669">
        <f t="shared" si="13"/>
        <v>11750</v>
      </c>
      <c r="L82" s="1669">
        <f t="shared" si="13"/>
        <v>11750</v>
      </c>
      <c r="R82" s="421" t="s">
        <v>1395</v>
      </c>
    </row>
    <row r="83" spans="1:18">
      <c r="A83" s="424">
        <f>ROW()</f>
        <v>83</v>
      </c>
      <c r="B83" s="80" t="s">
        <v>581</v>
      </c>
      <c r="C83" s="1007">
        <v>0</v>
      </c>
      <c r="D83" s="111" t="s">
        <v>582</v>
      </c>
      <c r="E83" s="111"/>
      <c r="F83" s="61"/>
      <c r="G83" s="850">
        <f t="shared" ref="G83:L83" si="14">$C$83*12</f>
        <v>0</v>
      </c>
      <c r="H83" s="850">
        <f t="shared" si="14"/>
        <v>0</v>
      </c>
      <c r="I83" s="850">
        <f t="shared" si="14"/>
        <v>0</v>
      </c>
      <c r="J83" s="850">
        <f t="shared" si="14"/>
        <v>0</v>
      </c>
      <c r="K83" s="850">
        <f t="shared" si="14"/>
        <v>0</v>
      </c>
      <c r="L83" s="850">
        <f t="shared" si="14"/>
        <v>0</v>
      </c>
      <c r="R83" s="421"/>
    </row>
    <row r="84" spans="1:18">
      <c r="A84" s="424">
        <f>ROW()</f>
        <v>84</v>
      </c>
      <c r="B84" s="80" t="s">
        <v>583</v>
      </c>
      <c r="C84" s="1007">
        <v>0</v>
      </c>
      <c r="D84" s="111" t="s">
        <v>584</v>
      </c>
      <c r="E84" s="111"/>
      <c r="F84" s="61"/>
      <c r="G84" s="850">
        <f>$C$84*(' Enrol &amp; Rev'!H34-' Enrol &amp; Rev'!G34)</f>
        <v>0</v>
      </c>
      <c r="H84" s="850">
        <f>$C$84*(' Enrol &amp; Rev'!I34-' Enrol &amp; Rev'!H34)</f>
        <v>0</v>
      </c>
      <c r="I84" s="850">
        <f>$C$84*(' Enrol &amp; Rev'!J34-' Enrol &amp; Rev'!I34)</f>
        <v>0</v>
      </c>
      <c r="J84" s="850">
        <f>$C$84*(' Enrol &amp; Rev'!K34-' Enrol &amp; Rev'!J34)</f>
        <v>0</v>
      </c>
      <c r="K84" s="850">
        <f>$C$84*(' Enrol &amp; Rev'!L34-' Enrol &amp; Rev'!K34)</f>
        <v>0</v>
      </c>
      <c r="L84" s="850">
        <f>$C$84*(' Enrol &amp; Rev'!M34-' Enrol &amp; Rev'!L34)</f>
        <v>0</v>
      </c>
      <c r="R84" s="421"/>
    </row>
    <row r="85" spans="1:18">
      <c r="A85" s="424">
        <f>ROW()</f>
        <v>85</v>
      </c>
      <c r="B85" s="80" t="s">
        <v>585</v>
      </c>
      <c r="C85" s="1007">
        <v>0</v>
      </c>
      <c r="D85" s="111" t="s">
        <v>586</v>
      </c>
      <c r="E85" s="111"/>
      <c r="F85" s="61"/>
      <c r="G85" s="850">
        <v>0</v>
      </c>
      <c r="H85" s="850">
        <v>0</v>
      </c>
      <c r="I85" s="850">
        <v>0</v>
      </c>
      <c r="J85" s="850">
        <v>0</v>
      </c>
      <c r="K85" s="850">
        <v>0</v>
      </c>
      <c r="L85" s="850">
        <v>0</v>
      </c>
      <c r="R85" s="421"/>
    </row>
    <row r="86" spans="1:18">
      <c r="A86" s="424">
        <f>ROW()</f>
        <v>86</v>
      </c>
      <c r="B86" s="80" t="s">
        <v>587</v>
      </c>
      <c r="C86" s="1007">
        <v>3000</v>
      </c>
      <c r="D86" s="111" t="s">
        <v>588</v>
      </c>
      <c r="E86" s="111"/>
      <c r="F86" s="61"/>
      <c r="G86" s="850">
        <v>1500</v>
      </c>
      <c r="H86" s="850">
        <f t="shared" ref="H86:L86" si="15">$C$86</f>
        <v>3000</v>
      </c>
      <c r="I86" s="850">
        <f t="shared" si="15"/>
        <v>3000</v>
      </c>
      <c r="J86" s="850">
        <f t="shared" si="15"/>
        <v>3000</v>
      </c>
      <c r="K86" s="850">
        <f t="shared" si="15"/>
        <v>3000</v>
      </c>
      <c r="L86" s="850">
        <f t="shared" si="15"/>
        <v>3000</v>
      </c>
      <c r="R86" s="421" t="s">
        <v>1395</v>
      </c>
    </row>
    <row r="87" spans="1:18">
      <c r="A87" s="424">
        <f>ROW()</f>
        <v>87</v>
      </c>
      <c r="B87" s="80" t="s">
        <v>589</v>
      </c>
      <c r="C87" s="1007">
        <v>15</v>
      </c>
      <c r="D87" s="111" t="s">
        <v>590</v>
      </c>
      <c r="E87" s="111"/>
      <c r="F87" s="61"/>
      <c r="G87" s="850">
        <f>$C$87*' Enrol &amp; Rev'!H34</f>
        <v>2250</v>
      </c>
      <c r="H87" s="850">
        <f>$C$87*' Enrol &amp; Rev'!I34</f>
        <v>4050</v>
      </c>
      <c r="I87" s="850">
        <f>$C$87*' Enrol &amp; Rev'!J34</f>
        <v>4725</v>
      </c>
      <c r="J87" s="850">
        <f>$C$87*' Enrol &amp; Rev'!K34</f>
        <v>5400</v>
      </c>
      <c r="K87" s="850">
        <f>$C$87*' Enrol &amp; Rev'!L34</f>
        <v>5400</v>
      </c>
      <c r="L87" s="850">
        <f>$C$87*' Enrol &amp; Rev'!M34</f>
        <v>5400</v>
      </c>
      <c r="R87" s="421" t="s">
        <v>1362</v>
      </c>
    </row>
    <row r="88" spans="1:18">
      <c r="A88" s="424">
        <f>ROW()</f>
        <v>88</v>
      </c>
      <c r="B88" s="80" t="s">
        <v>591</v>
      </c>
      <c r="C88" s="1007">
        <v>250</v>
      </c>
      <c r="D88" s="111" t="s">
        <v>588</v>
      </c>
      <c r="E88" s="111"/>
      <c r="F88" s="61"/>
      <c r="G88" s="850">
        <f t="shared" ref="G88:L88" si="16">$C$88</f>
        <v>250</v>
      </c>
      <c r="H88" s="850">
        <f t="shared" si="16"/>
        <v>250</v>
      </c>
      <c r="I88" s="850">
        <f t="shared" si="16"/>
        <v>250</v>
      </c>
      <c r="J88" s="850">
        <f t="shared" si="16"/>
        <v>250</v>
      </c>
      <c r="K88" s="850">
        <f t="shared" si="16"/>
        <v>250</v>
      </c>
      <c r="L88" s="850">
        <f t="shared" si="16"/>
        <v>250</v>
      </c>
      <c r="R88" s="421" t="s">
        <v>1395</v>
      </c>
    </row>
    <row r="89" spans="1:18">
      <c r="A89" s="424">
        <f>ROW()</f>
        <v>89</v>
      </c>
      <c r="B89" s="80" t="s">
        <v>592</v>
      </c>
      <c r="C89" s="1007">
        <v>0</v>
      </c>
      <c r="D89" s="111" t="s">
        <v>570</v>
      </c>
      <c r="E89" s="111"/>
      <c r="F89" s="61"/>
      <c r="G89" s="850">
        <f>+G159</f>
        <v>0</v>
      </c>
      <c r="H89" s="850">
        <f t="shared" ref="H89:L89" si="17">+H159</f>
        <v>0</v>
      </c>
      <c r="I89" s="850">
        <f t="shared" si="17"/>
        <v>0</v>
      </c>
      <c r="J89" s="850">
        <f t="shared" si="17"/>
        <v>0</v>
      </c>
      <c r="K89" s="850">
        <f t="shared" si="17"/>
        <v>0</v>
      </c>
      <c r="L89" s="850">
        <f t="shared" si="17"/>
        <v>0</v>
      </c>
      <c r="R89" s="421"/>
    </row>
    <row r="90" spans="1:18">
      <c r="A90" s="424">
        <f>ROW()</f>
        <v>90</v>
      </c>
      <c r="B90" s="80" t="s">
        <v>593</v>
      </c>
      <c r="C90" s="1007">
        <v>15</v>
      </c>
      <c r="D90" s="111" t="s">
        <v>302</v>
      </c>
      <c r="E90" s="111"/>
      <c r="F90" s="61"/>
      <c r="G90" s="850">
        <f>$C$90*' Enrol &amp; Rev'!H34</f>
        <v>2250</v>
      </c>
      <c r="H90" s="850">
        <f>$C$90*' Enrol &amp; Rev'!I34</f>
        <v>4050</v>
      </c>
      <c r="I90" s="850">
        <f>$C$90*' Enrol &amp; Rev'!J34</f>
        <v>4725</v>
      </c>
      <c r="J90" s="850">
        <f>$C$90*' Enrol &amp; Rev'!K34</f>
        <v>5400</v>
      </c>
      <c r="K90" s="850">
        <f>$C$90*' Enrol &amp; Rev'!L34</f>
        <v>5400</v>
      </c>
      <c r="L90" s="850">
        <f>$C$90*' Enrol &amp; Rev'!M34</f>
        <v>5400</v>
      </c>
      <c r="R90" s="421" t="s">
        <v>1365</v>
      </c>
    </row>
    <row r="91" spans="1:18">
      <c r="A91" s="424">
        <f>ROW()</f>
        <v>91</v>
      </c>
      <c r="B91" s="80" t="s">
        <v>594</v>
      </c>
      <c r="C91" s="1007">
        <v>10</v>
      </c>
      <c r="D91" s="111" t="s">
        <v>302</v>
      </c>
      <c r="E91" s="111"/>
      <c r="F91" s="61"/>
      <c r="G91" s="850">
        <f>$C$91*' Enrol &amp; Rev'!H34</f>
        <v>1500</v>
      </c>
      <c r="H91" s="850">
        <f>$C$91*' Enrol &amp; Rev'!I34</f>
        <v>2700</v>
      </c>
      <c r="I91" s="850">
        <f>$C$91*' Enrol &amp; Rev'!J34</f>
        <v>3150</v>
      </c>
      <c r="J91" s="850">
        <f>$C$91*' Enrol &amp; Rev'!K34</f>
        <v>3600</v>
      </c>
      <c r="K91" s="850">
        <f>$C$91*' Enrol &amp; Rev'!L34</f>
        <v>3600</v>
      </c>
      <c r="L91" s="850">
        <f>$C$91*' Enrol &amp; Rev'!M34</f>
        <v>3600</v>
      </c>
      <c r="R91" s="421" t="s">
        <v>1395</v>
      </c>
    </row>
    <row r="92" spans="1:18">
      <c r="A92" s="424">
        <f>ROW()</f>
        <v>92</v>
      </c>
      <c r="B92" s="80" t="s">
        <v>595</v>
      </c>
      <c r="C92" s="1007">
        <v>50</v>
      </c>
      <c r="D92" s="111" t="s">
        <v>557</v>
      </c>
      <c r="E92" s="111"/>
      <c r="F92" s="61"/>
      <c r="G92" s="850">
        <f>$C$92*Staff!H$21</f>
        <v>550</v>
      </c>
      <c r="H92" s="850">
        <f>$C$92*Staff!I$21</f>
        <v>1125</v>
      </c>
      <c r="I92" s="850">
        <f>$C$92*Staff!J$21</f>
        <v>1400</v>
      </c>
      <c r="J92" s="850">
        <f>$C$92*Staff!K$21</f>
        <v>1400</v>
      </c>
      <c r="K92" s="850">
        <f>$C$92*Staff!L$21</f>
        <v>1400</v>
      </c>
      <c r="L92" s="850">
        <f>$C$92*Staff!M$21</f>
        <v>1400</v>
      </c>
      <c r="R92" s="421" t="s">
        <v>1395</v>
      </c>
    </row>
    <row r="93" spans="1:18">
      <c r="A93" s="424">
        <f>ROW()</f>
        <v>93</v>
      </c>
      <c r="B93" s="80" t="s">
        <v>596</v>
      </c>
      <c r="C93" s="1007">
        <v>50</v>
      </c>
      <c r="D93" s="111" t="s">
        <v>557</v>
      </c>
      <c r="E93" s="111"/>
      <c r="F93" s="61"/>
      <c r="G93" s="850">
        <f>$C$93*Staff!H$21</f>
        <v>550</v>
      </c>
      <c r="H93" s="850">
        <f>$C$93*Staff!I$21</f>
        <v>1125</v>
      </c>
      <c r="I93" s="850">
        <f>$C$93*Staff!J$21</f>
        <v>1400</v>
      </c>
      <c r="J93" s="850">
        <f>$C$93*Staff!K$21</f>
        <v>1400</v>
      </c>
      <c r="K93" s="850">
        <f>$C$93*Staff!L$21</f>
        <v>1400</v>
      </c>
      <c r="L93" s="850">
        <f>$C$93*Staff!M$21</f>
        <v>1400</v>
      </c>
      <c r="R93" s="421" t="s">
        <v>1395</v>
      </c>
    </row>
    <row r="94" spans="1:18">
      <c r="A94" s="424">
        <f>ROW()</f>
        <v>94</v>
      </c>
      <c r="B94" s="80" t="s">
        <v>597</v>
      </c>
      <c r="C94" s="1007">
        <v>0</v>
      </c>
      <c r="D94" s="111" t="s">
        <v>557</v>
      </c>
      <c r="E94" s="111"/>
      <c r="F94" s="61"/>
      <c r="G94" s="850">
        <f>$C$94*Staff!H$21</f>
        <v>0</v>
      </c>
      <c r="H94" s="850">
        <f>$C$94*Staff!I$21</f>
        <v>0</v>
      </c>
      <c r="I94" s="850">
        <f>$C$94*Staff!J$21</f>
        <v>0</v>
      </c>
      <c r="J94" s="850">
        <f>$C$94*Staff!K$21</f>
        <v>0</v>
      </c>
      <c r="K94" s="850">
        <f>$C$94*Staff!L$21</f>
        <v>0</v>
      </c>
      <c r="L94" s="850">
        <f>$C$94*Staff!M$21</f>
        <v>0</v>
      </c>
      <c r="R94" s="421"/>
    </row>
    <row r="95" spans="1:18">
      <c r="A95" s="424">
        <f>ROW()</f>
        <v>95</v>
      </c>
      <c r="B95" s="80" t="s">
        <v>598</v>
      </c>
      <c r="C95" s="1007">
        <v>50</v>
      </c>
      <c r="D95" s="111" t="s">
        <v>599</v>
      </c>
      <c r="E95" s="111"/>
      <c r="F95" s="61"/>
      <c r="G95" s="850">
        <f>IF($C$95*(Staff!G21-Staff!F21)&gt;0,$C$95*(Staff!G21-Staff!F21),0)</f>
        <v>0</v>
      </c>
      <c r="H95" s="850">
        <f>IF($C$95*(Staff!H21-Staff!G21)&gt;0,$C$95*(Staff!H21-Staff!G21),0)</f>
        <v>550</v>
      </c>
      <c r="I95" s="850">
        <f>IF($C$95*(Staff!I21-Staff!H21)&gt;0,$C$95*(Staff!I21-Staff!H21),0)</f>
        <v>575</v>
      </c>
      <c r="J95" s="850">
        <f>IF($C$95*(Staff!J21-Staff!I21)&gt;0,$C$95*(Staff!J21-Staff!I21),0)</f>
        <v>275</v>
      </c>
      <c r="K95" s="850">
        <f>IF($C$95*(Staff!K21-Staff!J21)&gt;0,$C$95*(Staff!K21-Staff!J21),0)</f>
        <v>0</v>
      </c>
      <c r="L95" s="850">
        <f>IF($C$95*(Staff!L21-Staff!K21)&gt;0,$C$95*(Staff!L21-Staff!K21),0)</f>
        <v>0</v>
      </c>
      <c r="R95" s="421"/>
    </row>
    <row r="96" spans="1:18">
      <c r="A96" s="424">
        <f>ROW()</f>
        <v>96</v>
      </c>
      <c r="B96" s="80" t="s">
        <v>600</v>
      </c>
      <c r="C96" s="1007"/>
      <c r="D96" s="111" t="s">
        <v>588</v>
      </c>
      <c r="E96" s="111"/>
      <c r="F96" s="61"/>
      <c r="G96" s="1669">
        <v>75000</v>
      </c>
      <c r="H96" s="1669">
        <v>85000</v>
      </c>
      <c r="I96" s="1669">
        <v>90000</v>
      </c>
      <c r="J96" s="1669">
        <v>95000</v>
      </c>
      <c r="K96" s="1669">
        <f>J96+(J96*0.03)</f>
        <v>97850</v>
      </c>
      <c r="L96" s="1669">
        <f>K96+(K96*0.03)</f>
        <v>100785.5</v>
      </c>
      <c r="R96" s="421" t="s">
        <v>1415</v>
      </c>
    </row>
    <row r="97" spans="1:18">
      <c r="A97" s="424">
        <f>ROW()</f>
        <v>97</v>
      </c>
      <c r="B97" s="80" t="s">
        <v>601</v>
      </c>
      <c r="C97" s="1007">
        <v>0</v>
      </c>
      <c r="D97" s="111" t="s">
        <v>602</v>
      </c>
      <c r="E97" s="111"/>
      <c r="F97" s="61"/>
      <c r="G97" s="850">
        <f>$C$97*' Enrol &amp; Rev'!H15</f>
        <v>0</v>
      </c>
      <c r="H97" s="850">
        <f>$C$97*' Enrol &amp; Rev'!I15</f>
        <v>0</v>
      </c>
      <c r="I97" s="850">
        <f>$C$97*' Enrol &amp; Rev'!J15</f>
        <v>0</v>
      </c>
      <c r="J97" s="850">
        <f>$C$97*' Enrol &amp; Rev'!K15</f>
        <v>0</v>
      </c>
      <c r="K97" s="850">
        <f>$C$97*' Enrol &amp; Rev'!L15</f>
        <v>0</v>
      </c>
      <c r="L97" s="850">
        <f>$C$97*' Enrol &amp; Rev'!M15</f>
        <v>0</v>
      </c>
      <c r="R97" s="421"/>
    </row>
    <row r="98" spans="1:18">
      <c r="A98" s="424">
        <f>ROW()</f>
        <v>98</v>
      </c>
      <c r="B98" s="80" t="s">
        <v>603</v>
      </c>
      <c r="C98" s="1007">
        <v>0</v>
      </c>
      <c r="D98" s="111" t="s">
        <v>602</v>
      </c>
      <c r="E98" s="111"/>
      <c r="F98" s="61"/>
      <c r="G98" s="850">
        <v>0</v>
      </c>
      <c r="H98" s="850">
        <f>$C$98*' Enrol &amp; Rev'!I15</f>
        <v>0</v>
      </c>
      <c r="I98" s="850">
        <f>$C$98*' Enrol &amp; Rev'!J15</f>
        <v>0</v>
      </c>
      <c r="J98" s="850">
        <f>$C$98*' Enrol &amp; Rev'!K15</f>
        <v>0</v>
      </c>
      <c r="K98" s="850">
        <f>$C$98*' Enrol &amp; Rev'!L15</f>
        <v>0</v>
      </c>
      <c r="L98" s="850">
        <f>$C$98*' Enrol &amp; Rev'!M15</f>
        <v>0</v>
      </c>
      <c r="R98" s="421"/>
    </row>
    <row r="99" spans="1:18">
      <c r="A99" s="424">
        <f>ROW()</f>
        <v>99</v>
      </c>
      <c r="B99" s="80" t="s">
        <v>604</v>
      </c>
      <c r="C99" s="1007">
        <v>0</v>
      </c>
      <c r="D99" s="111" t="s">
        <v>588</v>
      </c>
      <c r="E99" s="111"/>
      <c r="F99" s="61"/>
      <c r="G99" s="850">
        <v>0</v>
      </c>
      <c r="H99" s="850">
        <f>$C$99</f>
        <v>0</v>
      </c>
      <c r="I99" s="850">
        <f>$C$99</f>
        <v>0</v>
      </c>
      <c r="J99" s="850">
        <f>$C$99</f>
        <v>0</v>
      </c>
      <c r="K99" s="850">
        <f>$C$99</f>
        <v>0</v>
      </c>
      <c r="L99" s="850">
        <f>$C$99</f>
        <v>0</v>
      </c>
      <c r="R99" s="421"/>
    </row>
    <row r="100" spans="1:18">
      <c r="A100" s="424">
        <f>ROW()</f>
        <v>100</v>
      </c>
      <c r="B100" s="80" t="s">
        <v>605</v>
      </c>
      <c r="C100" s="305" t="s">
        <v>606</v>
      </c>
      <c r="D100" s="111" t="s">
        <v>607</v>
      </c>
      <c r="E100" s="111"/>
      <c r="F100" s="61"/>
      <c r="G100" s="850">
        <v>0</v>
      </c>
      <c r="H100" s="850">
        <f>IF($C$100="yes",Staff!$C$68*Staff!$C$67*Staff!$C$66,0)</f>
        <v>0</v>
      </c>
      <c r="I100" s="850">
        <f>IF($C$100="yes",Staff!$C$68*Staff!$C$67*Staff!$C$66,0)</f>
        <v>0</v>
      </c>
      <c r="J100" s="850">
        <f>IF($C$100="yes",Staff!$C$68*Staff!$C$67*Staff!$C$66,0)</f>
        <v>0</v>
      </c>
      <c r="K100" s="850">
        <f>IF($C$100="yes",Staff!$C$68*Staff!$C$67*Staff!$C$66,0)</f>
        <v>0</v>
      </c>
      <c r="L100" s="850">
        <f>IF($C$100="yes",Staff!$C$68*Staff!$C$67*Staff!$C$66,0)</f>
        <v>0</v>
      </c>
      <c r="R100" s="421"/>
    </row>
    <row r="101" spans="1:18">
      <c r="A101" s="424">
        <f>ROW()</f>
        <v>101</v>
      </c>
      <c r="C101" s="150"/>
      <c r="D101" s="66"/>
      <c r="E101" s="66"/>
      <c r="F101" s="384"/>
      <c r="G101" s="384"/>
      <c r="H101" s="384"/>
      <c r="I101" s="384"/>
      <c r="J101" s="384"/>
      <c r="K101" s="384"/>
      <c r="L101" s="384"/>
      <c r="R101" s="421"/>
    </row>
    <row r="102" spans="1:18" ht="15.75" thickBot="1">
      <c r="A102" s="424">
        <f>ROW()</f>
        <v>102</v>
      </c>
      <c r="B102" s="1190" t="s">
        <v>608</v>
      </c>
      <c r="C102" s="1191"/>
      <c r="D102" s="1190"/>
      <c r="E102" s="1190"/>
      <c r="F102" s="1192">
        <f t="shared" ref="F102:L102" si="18">SUM(F65:F101)</f>
        <v>0</v>
      </c>
      <c r="G102" s="1192">
        <f t="shared" si="18"/>
        <v>146225</v>
      </c>
      <c r="H102" s="1192">
        <f t="shared" si="18"/>
        <v>257483</v>
      </c>
      <c r="I102" s="1192">
        <f t="shared" si="18"/>
        <v>298338.5</v>
      </c>
      <c r="J102" s="1192">
        <f t="shared" si="18"/>
        <v>325669</v>
      </c>
      <c r="K102" s="1192">
        <f t="shared" si="18"/>
        <v>321044</v>
      </c>
      <c r="L102" s="1192">
        <f t="shared" si="18"/>
        <v>323979.5</v>
      </c>
      <c r="R102" s="421"/>
    </row>
    <row r="103" spans="1:18" ht="15.75" thickTop="1">
      <c r="A103" s="424">
        <f>ROW()</f>
        <v>103</v>
      </c>
      <c r="B103" s="88" t="s">
        <v>302</v>
      </c>
      <c r="C103" s="154"/>
      <c r="D103" s="88"/>
      <c r="E103" s="88"/>
      <c r="F103" s="726">
        <f>IFERROR(F102/' Enrol &amp; Rev'!G34,0)</f>
        <v>0</v>
      </c>
      <c r="G103" s="726">
        <f>IFERROR(G102/' Enrol &amp; Rev'!H34,0)</f>
        <v>974.83333333333337</v>
      </c>
      <c r="H103" s="726">
        <f>IFERROR(H102/' Enrol &amp; Rev'!I34,0)</f>
        <v>953.64074074074074</v>
      </c>
      <c r="I103" s="726">
        <f>IFERROR(I102/' Enrol &amp; Rev'!J34,0)</f>
        <v>947.10634920634925</v>
      </c>
      <c r="J103" s="726">
        <f>IFERROR(J102/' Enrol &amp; Rev'!K34,0)</f>
        <v>904.63611111111106</v>
      </c>
      <c r="K103" s="726">
        <f>IFERROR(K102/' Enrol &amp; Rev'!L34,0)</f>
        <v>891.78888888888889</v>
      </c>
      <c r="L103" s="726">
        <f>IFERROR(L102/' Enrol &amp; Rev'!M34,0)</f>
        <v>899.94305555555559</v>
      </c>
      <c r="M103" s="88"/>
      <c r="N103" s="88"/>
      <c r="O103" s="88"/>
      <c r="P103" s="88"/>
      <c r="Q103" s="88"/>
      <c r="R103" s="421"/>
    </row>
    <row r="104" spans="1:18">
      <c r="A104" s="424">
        <f>ROW()</f>
        <v>104</v>
      </c>
      <c r="B104" s="35"/>
      <c r="C104" s="153"/>
      <c r="D104" s="35"/>
      <c r="E104" s="88"/>
      <c r="F104" s="150"/>
      <c r="G104" s="701"/>
      <c r="H104" s="701"/>
      <c r="I104" s="701"/>
      <c r="J104" s="701"/>
      <c r="K104" s="701"/>
      <c r="L104" s="701"/>
      <c r="M104" s="67"/>
      <c r="R104" s="421"/>
    </row>
    <row r="105" spans="1:18">
      <c r="A105" s="424">
        <f>ROW()</f>
        <v>105</v>
      </c>
      <c r="B105" s="35" t="s">
        <v>609</v>
      </c>
      <c r="C105" s="150"/>
      <c r="D105" s="66"/>
      <c r="E105" s="88"/>
      <c r="F105" s="701"/>
      <c r="G105" s="701"/>
      <c r="H105" s="701"/>
      <c r="I105" s="701"/>
      <c r="J105" s="701"/>
      <c r="K105" s="701"/>
      <c r="L105" s="701"/>
      <c r="R105" s="421"/>
    </row>
    <row r="106" spans="1:18">
      <c r="A106" s="424">
        <f>ROW()</f>
        <v>106</v>
      </c>
      <c r="B106" s="37" t="s">
        <v>610</v>
      </c>
      <c r="C106" s="1007">
        <v>22785</v>
      </c>
      <c r="D106" s="732" t="s">
        <v>1331</v>
      </c>
      <c r="E106" s="88"/>
      <c r="F106" s="701"/>
      <c r="G106" s="701">
        <f>$C$106</f>
        <v>22785</v>
      </c>
      <c r="H106" s="701">
        <f>$C$106</f>
        <v>22785</v>
      </c>
      <c r="I106" s="701">
        <f>$C$106*1.03</f>
        <v>23468.55</v>
      </c>
      <c r="J106" s="701">
        <f>$I$106*1.03</f>
        <v>24172.606500000002</v>
      </c>
      <c r="K106" s="701">
        <f>$J$106*1.03</f>
        <v>24897.784695000002</v>
      </c>
      <c r="L106" s="701">
        <f>$J$106*1.03</f>
        <v>24897.784695000002</v>
      </c>
      <c r="R106" s="421" t="s">
        <v>1332</v>
      </c>
    </row>
    <row r="107" spans="1:18">
      <c r="A107" s="424">
        <f>ROW()</f>
        <v>107</v>
      </c>
      <c r="C107" s="156"/>
      <c r="D107" s="130"/>
      <c r="E107" s="88"/>
      <c r="F107" s="701"/>
      <c r="G107" s="701"/>
      <c r="H107" s="701"/>
      <c r="I107" s="701"/>
      <c r="J107" s="701"/>
      <c r="K107" s="701"/>
      <c r="L107" s="701"/>
      <c r="R107" s="421"/>
    </row>
    <row r="108" spans="1:18">
      <c r="A108" s="424">
        <f>ROW()</f>
        <v>108</v>
      </c>
      <c r="B108" s="37" t="s">
        <v>611</v>
      </c>
      <c r="C108" s="1007">
        <v>5000</v>
      </c>
      <c r="D108" s="732"/>
      <c r="E108" s="88"/>
      <c r="F108" s="701"/>
      <c r="G108" s="701">
        <f>$C$108</f>
        <v>5000</v>
      </c>
      <c r="H108" s="701">
        <f>$C$108</f>
        <v>5000</v>
      </c>
      <c r="I108" s="701">
        <f>$H$108*1.03</f>
        <v>5150</v>
      </c>
      <c r="J108" s="701">
        <f>$I$108*1.03</f>
        <v>5304.5</v>
      </c>
      <c r="K108" s="701">
        <f>$J$108*1.03</f>
        <v>5463.6350000000002</v>
      </c>
      <c r="L108" s="701">
        <f>$J$108*1.03</f>
        <v>5463.6350000000002</v>
      </c>
      <c r="R108" s="421" t="s">
        <v>1395</v>
      </c>
    </row>
    <row r="109" spans="1:18">
      <c r="A109" s="424">
        <f>ROW()</f>
        <v>109</v>
      </c>
      <c r="B109" s="35"/>
      <c r="C109" s="150"/>
      <c r="D109" s="66"/>
      <c r="E109" s="88"/>
      <c r="F109" s="989"/>
      <c r="G109" s="989"/>
      <c r="H109" s="989"/>
      <c r="I109" s="989"/>
      <c r="J109" s="989"/>
      <c r="K109" s="989"/>
      <c r="L109" s="989"/>
      <c r="R109" s="421"/>
    </row>
    <row r="110" spans="1:18" ht="15.75" thickBot="1">
      <c r="A110" s="424">
        <f>ROW()</f>
        <v>110</v>
      </c>
      <c r="B110" s="1190" t="s">
        <v>612</v>
      </c>
      <c r="C110" s="1191"/>
      <c r="D110" s="1190"/>
      <c r="E110" s="1190"/>
      <c r="F110" s="1192">
        <f t="shared" ref="F110:L110" si="19">SUM(F106:F108)</f>
        <v>0</v>
      </c>
      <c r="G110" s="1192">
        <f t="shared" si="19"/>
        <v>27785</v>
      </c>
      <c r="H110" s="1192">
        <f t="shared" si="19"/>
        <v>27785</v>
      </c>
      <c r="I110" s="1192">
        <f t="shared" si="19"/>
        <v>28618.55</v>
      </c>
      <c r="J110" s="1192">
        <f t="shared" si="19"/>
        <v>29477.106500000002</v>
      </c>
      <c r="K110" s="1192">
        <f t="shared" si="19"/>
        <v>30361.419695000004</v>
      </c>
      <c r="L110" s="1192">
        <f t="shared" si="19"/>
        <v>30361.419695000004</v>
      </c>
      <c r="R110" s="421"/>
    </row>
    <row r="111" spans="1:18" ht="15.75" thickTop="1">
      <c r="A111" s="424">
        <f>ROW()</f>
        <v>111</v>
      </c>
      <c r="B111" s="35"/>
      <c r="C111" s="153"/>
      <c r="D111" s="35"/>
      <c r="E111" s="88"/>
      <c r="F111" s="150"/>
      <c r="G111" s="150"/>
      <c r="H111" s="150"/>
      <c r="I111" s="701"/>
      <c r="J111" s="701"/>
      <c r="K111" s="701"/>
      <c r="L111" s="701"/>
      <c r="N111" s="67"/>
      <c r="O111" s="67"/>
      <c r="P111" s="67"/>
      <c r="Q111" s="67"/>
      <c r="R111" s="421"/>
    </row>
    <row r="112" spans="1:18">
      <c r="A112" s="424">
        <f>ROW()</f>
        <v>112</v>
      </c>
      <c r="B112" s="35" t="s">
        <v>613</v>
      </c>
      <c r="C112" s="153" t="s">
        <v>614</v>
      </c>
      <c r="D112" s="35"/>
      <c r="E112" s="35"/>
      <c r="F112" s="150"/>
      <c r="G112" s="150"/>
      <c r="H112" s="150"/>
      <c r="I112" s="701"/>
      <c r="J112" s="701"/>
      <c r="K112" s="701"/>
      <c r="L112" s="701"/>
      <c r="N112" s="67"/>
      <c r="O112" s="67"/>
      <c r="P112" s="67"/>
      <c r="Q112" s="67"/>
      <c r="R112" s="421"/>
    </row>
    <row r="113" spans="1:18">
      <c r="A113" s="424">
        <f>ROW()</f>
        <v>113</v>
      </c>
      <c r="B113" s="37" t="s">
        <v>615</v>
      </c>
      <c r="C113" s="396" t="s">
        <v>297</v>
      </c>
      <c r="D113" s="426">
        <v>1.7</v>
      </c>
      <c r="E113" s="729"/>
      <c r="F113" s="701"/>
      <c r="G113" s="701">
        <f>IF($C$113="yes",' Enrol &amp; Rev'!H34*Staff!$C$65*$D$113,(' Enrol &amp; Rev'!H34*' Enrol &amp; Rev'!H61)*Staff!$C$65*$D$113)</f>
        <v>46920</v>
      </c>
      <c r="H113" s="701">
        <f>IF($C$113="yes",' Enrol &amp; Rev'!I34*Staff!$C$65*$D$113,(' Enrol &amp; Rev'!I34*' Enrol &amp; Rev'!I61)*Staff!$C$65*$D$113)</f>
        <v>84456</v>
      </c>
      <c r="I113" s="701">
        <f>IF($C$113="yes",' Enrol &amp; Rev'!J34*Staff!$C$65*$D$113,(' Enrol &amp; Rev'!J34*' Enrol &amp; Rev'!J61)*Staff!$C$65*$D$113)</f>
        <v>98532</v>
      </c>
      <c r="J113" s="701">
        <f>IF($C$113="yes",' Enrol &amp; Rev'!K34*Staff!$C$65*$D$113,(' Enrol &amp; Rev'!K34*' Enrol &amp; Rev'!K61)*Staff!$C$65*$D$113)</f>
        <v>112608</v>
      </c>
      <c r="K113" s="701">
        <f>IF($C$113="yes",' Enrol &amp; Rev'!L34*Staff!$C$65*$D$113,(' Enrol &amp; Rev'!L34*' Enrol &amp; Rev'!L61)*Staff!$C$65*$D$113)</f>
        <v>112608</v>
      </c>
      <c r="L113" s="701">
        <f>IF($C$113="yes",' Enrol &amp; Rev'!M34*Staff!$C$65*$D$113,(' Enrol &amp; Rev'!M34*' Enrol &amp; Rev'!M61)*Staff!$C$65*$D$113)</f>
        <v>112608</v>
      </c>
      <c r="R113" s="421"/>
    </row>
    <row r="114" spans="1:18">
      <c r="A114" s="424">
        <f>ROW()</f>
        <v>114</v>
      </c>
      <c r="B114" s="48" t="s">
        <v>616</v>
      </c>
      <c r="C114" s="396" t="s">
        <v>297</v>
      </c>
      <c r="D114" s="731">
        <v>2.5</v>
      </c>
      <c r="E114" s="730"/>
      <c r="F114" s="990"/>
      <c r="G114" s="701">
        <f>IF($C$114="yes",' Enrol &amp; Rev'!H34*Staff!$C$65*$D$114,(' Enrol &amp; Rev'!H34*' Enrol &amp; Rev'!H61)*Staff!$C$65*$D$114)</f>
        <v>69000</v>
      </c>
      <c r="H114" s="701">
        <f>IF($C$114="yes",' Enrol &amp; Rev'!I34*Staff!$C$65*$D$114,(' Enrol &amp; Rev'!I34*' Enrol &amp; Rev'!I61)*Staff!$C$65*$D$114)</f>
        <v>124200</v>
      </c>
      <c r="I114" s="701">
        <f>IF($C$114="yes",' Enrol &amp; Rev'!J34*Staff!$C$65*$D$114,(' Enrol &amp; Rev'!J34*' Enrol &amp; Rev'!J61)*Staff!$C$65*$D$114)</f>
        <v>144900</v>
      </c>
      <c r="J114" s="701">
        <f>IF($C$114="yes",' Enrol &amp; Rev'!K34*Staff!$C$65*$D$114,(' Enrol &amp; Rev'!K34*' Enrol &amp; Rev'!K61)*Staff!$C$65*$D$114)</f>
        <v>165600</v>
      </c>
      <c r="K114" s="701">
        <f>IF($C$114="yes",' Enrol &amp; Rev'!L34*Staff!$C$65*$D$114,(' Enrol &amp; Rev'!L34*' Enrol &amp; Rev'!L61)*Staff!$C$65*$D$114)</f>
        <v>165600</v>
      </c>
      <c r="L114" s="701">
        <f>IF($C$114="yes",' Enrol &amp; Rev'!M34*Staff!$C$65*$D$114,(' Enrol &amp; Rev'!M34*' Enrol &amp; Rev'!M61)*Staff!$C$65*$D$114)</f>
        <v>165600</v>
      </c>
      <c r="M114" s="48"/>
      <c r="N114" s="48"/>
      <c r="O114" s="48"/>
      <c r="P114" s="48"/>
      <c r="Q114" s="48"/>
      <c r="R114" s="421"/>
    </row>
    <row r="115" spans="1:18">
      <c r="A115" s="424">
        <f>ROW()</f>
        <v>115</v>
      </c>
      <c r="B115" s="37" t="s">
        <v>617</v>
      </c>
      <c r="C115" s="396" t="s">
        <v>606</v>
      </c>
      <c r="D115" s="426">
        <v>0</v>
      </c>
      <c r="E115" s="729"/>
      <c r="F115" s="701"/>
      <c r="G115" s="701">
        <f>IF($C$115="yes",$D$115*' Enrol &amp; Rev'!H34*Staff!$C$65,0)</f>
        <v>0</v>
      </c>
      <c r="H115" s="701">
        <f>IF($C$115="yes",$D$115*' Enrol &amp; Rev'!I34*Staff!$C$65,0)</f>
        <v>0</v>
      </c>
      <c r="I115" s="701">
        <f>IF($C$115="yes",$D$115*' Enrol &amp; Rev'!J34*Staff!$C$65,0)</f>
        <v>0</v>
      </c>
      <c r="J115" s="701">
        <f>IF($C$115="yes",$D$115*' Enrol &amp; Rev'!K34*Staff!$C$65,0)</f>
        <v>0</v>
      </c>
      <c r="K115" s="701">
        <f>IF($C$115="yes",$D$115*' Enrol &amp; Rev'!L34*Staff!$C$65,0)</f>
        <v>0</v>
      </c>
      <c r="L115" s="701">
        <f>IF($C$115="yes",$D$115*' Enrol &amp; Rev'!M34*Staff!$C$65,0)</f>
        <v>0</v>
      </c>
      <c r="R115" s="421"/>
    </row>
    <row r="116" spans="1:18">
      <c r="A116" s="424">
        <f>ROW()</f>
        <v>116</v>
      </c>
      <c r="B116" s="37" t="s">
        <v>618</v>
      </c>
      <c r="C116" s="396" t="s">
        <v>606</v>
      </c>
      <c r="D116" s="426">
        <v>0</v>
      </c>
      <c r="E116" s="729"/>
      <c r="F116" s="701"/>
      <c r="G116" s="701">
        <f>IF($C$116="yes",$D$116*Staff!$C$66*' Enrol &amp; Rev'!H34,0)</f>
        <v>0</v>
      </c>
      <c r="H116" s="701">
        <f>IF($C$116="yes",$D$116*Staff!$C$66*' Enrol &amp; Rev'!I34,0)</f>
        <v>0</v>
      </c>
      <c r="I116" s="701">
        <f>IF($C$116="yes",$D$116*Staff!$C$66*' Enrol &amp; Rev'!J34,0)</f>
        <v>0</v>
      </c>
      <c r="J116" s="701">
        <f>IF($C$116="yes",$D$116*Staff!$C$66*' Enrol &amp; Rev'!K34,0)</f>
        <v>0</v>
      </c>
      <c r="K116" s="701">
        <f>IF($C$116="yes",$D$116*Staff!$C$66*' Enrol &amp; Rev'!L34,0)</f>
        <v>0</v>
      </c>
      <c r="L116" s="701">
        <f>IF($C$116="yes",$D$116*Staff!$C$66*' Enrol &amp; Rev'!M34,0)</f>
        <v>0</v>
      </c>
      <c r="R116" s="421"/>
    </row>
    <row r="117" spans="1:18">
      <c r="A117" s="424">
        <f>ROW()</f>
        <v>117</v>
      </c>
      <c r="C117" s="150"/>
      <c r="F117" s="989"/>
      <c r="G117" s="989"/>
      <c r="H117" s="989"/>
      <c r="I117" s="989"/>
      <c r="J117" s="989"/>
      <c r="K117" s="989"/>
      <c r="L117" s="989"/>
      <c r="R117" s="421"/>
    </row>
    <row r="118" spans="1:18" ht="15.75" thickBot="1">
      <c r="A118" s="424">
        <f>ROW()</f>
        <v>118</v>
      </c>
      <c r="B118" s="1190" t="s">
        <v>619</v>
      </c>
      <c r="C118" s="1191"/>
      <c r="D118" s="1190"/>
      <c r="E118" s="1190"/>
      <c r="F118" s="1192">
        <f t="shared" ref="F118:L118" si="20">SUM(F113:F116)</f>
        <v>0</v>
      </c>
      <c r="G118" s="1192">
        <f t="shared" si="20"/>
        <v>115920</v>
      </c>
      <c r="H118" s="1192">
        <f t="shared" si="20"/>
        <v>208656</v>
      </c>
      <c r="I118" s="1192">
        <f t="shared" si="20"/>
        <v>243432</v>
      </c>
      <c r="J118" s="1192">
        <f t="shared" si="20"/>
        <v>278208</v>
      </c>
      <c r="K118" s="1192">
        <f t="shared" si="20"/>
        <v>278208</v>
      </c>
      <c r="L118" s="1192">
        <f t="shared" si="20"/>
        <v>278208</v>
      </c>
      <c r="R118" s="421"/>
    </row>
    <row r="119" spans="1:18" ht="15.75" thickTop="1">
      <c r="A119" s="424">
        <f>ROW()</f>
        <v>119</v>
      </c>
      <c r="C119" s="150"/>
      <c r="F119" s="701"/>
      <c r="G119" s="701"/>
      <c r="H119" s="701"/>
      <c r="I119" s="701"/>
      <c r="J119" s="701"/>
      <c r="K119" s="701"/>
      <c r="L119" s="701"/>
      <c r="R119" s="421"/>
    </row>
    <row r="120" spans="1:18">
      <c r="A120" s="424">
        <f>ROW()</f>
        <v>120</v>
      </c>
      <c r="B120" s="35" t="s">
        <v>620</v>
      </c>
      <c r="C120" s="153"/>
      <c r="D120" s="35"/>
      <c r="E120" s="35"/>
      <c r="G120" s="117"/>
      <c r="H120" s="117"/>
      <c r="I120" s="117"/>
      <c r="J120" s="117"/>
      <c r="K120" s="117"/>
      <c r="L120" s="117"/>
      <c r="R120" s="421"/>
    </row>
    <row r="121" spans="1:18">
      <c r="A121" s="424">
        <f>ROW()</f>
        <v>121</v>
      </c>
      <c r="B121" s="46" t="s">
        <v>621</v>
      </c>
      <c r="C121" s="157"/>
      <c r="D121" s="46"/>
      <c r="E121" s="46"/>
      <c r="F121" s="851">
        <v>0</v>
      </c>
      <c r="G121" s="851">
        <v>0</v>
      </c>
      <c r="H121" s="851">
        <v>0</v>
      </c>
      <c r="I121" s="851">
        <v>0</v>
      </c>
      <c r="J121" s="851">
        <v>0</v>
      </c>
      <c r="K121" s="851">
        <v>0</v>
      </c>
      <c r="L121" s="851">
        <v>0</v>
      </c>
      <c r="R121" s="421"/>
    </row>
    <row r="122" spans="1:18">
      <c r="A122" s="424">
        <f>ROW()</f>
        <v>122</v>
      </c>
      <c r="B122" s="46"/>
      <c r="C122" s="157"/>
      <c r="D122" s="46"/>
      <c r="E122" s="46"/>
      <c r="F122" s="46"/>
      <c r="G122" s="117"/>
      <c r="H122" s="117"/>
      <c r="I122" s="117"/>
      <c r="J122" s="117"/>
      <c r="K122" s="117"/>
      <c r="L122" s="117"/>
      <c r="R122" s="421"/>
    </row>
    <row r="123" spans="1:18">
      <c r="A123" s="424">
        <f>ROW()</f>
        <v>123</v>
      </c>
      <c r="B123" s="35" t="s">
        <v>622</v>
      </c>
      <c r="C123" s="153"/>
      <c r="D123" s="35"/>
      <c r="E123" s="35"/>
      <c r="M123" s="36"/>
      <c r="N123" s="36"/>
      <c r="O123" s="36"/>
      <c r="P123" s="36"/>
      <c r="Q123" s="36"/>
      <c r="R123" s="421"/>
    </row>
    <row r="124" spans="1:18">
      <c r="A124" s="424">
        <f>ROW()</f>
        <v>124</v>
      </c>
      <c r="B124" s="46" t="s">
        <v>623</v>
      </c>
      <c r="C124" s="1095">
        <v>0.85</v>
      </c>
      <c r="D124" s="46"/>
      <c r="E124" s="46"/>
      <c r="H124" s="46"/>
      <c r="I124" s="46"/>
      <c r="J124" s="46"/>
      <c r="K124" s="46"/>
      <c r="L124" s="46"/>
      <c r="M124" s="46"/>
      <c r="N124" s="46"/>
      <c r="O124" s="46"/>
      <c r="P124" s="46"/>
      <c r="Q124" s="115"/>
      <c r="R124" s="421"/>
    </row>
    <row r="125" spans="1:18">
      <c r="A125" s="424">
        <f>ROW()</f>
        <v>125</v>
      </c>
      <c r="B125" s="46" t="s">
        <v>624</v>
      </c>
      <c r="C125" s="1096">
        <v>40</v>
      </c>
      <c r="D125" s="46"/>
      <c r="E125" s="46"/>
      <c r="H125" s="46"/>
      <c r="I125" s="46"/>
      <c r="J125" s="46"/>
      <c r="K125" s="46"/>
      <c r="L125" s="46"/>
      <c r="M125" s="46"/>
      <c r="N125" s="46"/>
      <c r="O125" s="46"/>
      <c r="P125" s="46"/>
      <c r="Q125" s="46"/>
      <c r="R125" s="421"/>
    </row>
    <row r="126" spans="1:18">
      <c r="A126" s="424">
        <f>ROW()</f>
        <v>126</v>
      </c>
      <c r="B126" s="46" t="s">
        <v>625</v>
      </c>
      <c r="C126" s="1097">
        <v>10000</v>
      </c>
      <c r="D126" s="385"/>
      <c r="E126" s="46"/>
      <c r="H126" s="385"/>
      <c r="I126" s="385"/>
      <c r="J126" s="46"/>
      <c r="K126" s="46"/>
      <c r="L126" s="46"/>
      <c r="M126" s="46"/>
      <c r="N126" s="46"/>
      <c r="O126" s="46"/>
      <c r="P126" s="46"/>
      <c r="Q126" s="46"/>
      <c r="R126" s="421" t="s">
        <v>1367</v>
      </c>
    </row>
    <row r="127" spans="1:18">
      <c r="A127" s="424">
        <f>ROW()</f>
        <v>127</v>
      </c>
      <c r="B127" s="46" t="s">
        <v>626</v>
      </c>
      <c r="C127" s="1096">
        <v>75</v>
      </c>
      <c r="D127" s="386"/>
      <c r="E127" s="46"/>
      <c r="H127" s="386"/>
      <c r="I127" s="386"/>
      <c r="J127" s="46"/>
      <c r="K127" s="46"/>
      <c r="L127" s="46"/>
      <c r="M127" s="46"/>
      <c r="N127" s="46"/>
      <c r="O127" s="46"/>
      <c r="P127" s="46"/>
      <c r="Q127" s="46"/>
      <c r="R127" s="421"/>
    </row>
    <row r="128" spans="1:18">
      <c r="A128" s="424">
        <f>ROW()</f>
        <v>128</v>
      </c>
      <c r="B128" s="46" t="s">
        <v>627</v>
      </c>
      <c r="C128" s="996">
        <f>C127*Staff!C65</f>
        <v>13800</v>
      </c>
      <c r="D128" s="386"/>
      <c r="E128" s="46"/>
      <c r="H128" s="386"/>
      <c r="I128" s="386"/>
      <c r="J128" s="46"/>
      <c r="K128" s="46"/>
      <c r="L128" s="46"/>
      <c r="M128" s="46"/>
      <c r="N128" s="46"/>
      <c r="O128" s="46"/>
      <c r="P128" s="46"/>
      <c r="Q128" s="46"/>
      <c r="R128" s="421"/>
    </row>
    <row r="129" spans="1:18">
      <c r="A129" s="424">
        <f>ROW()</f>
        <v>129</v>
      </c>
      <c r="B129" s="46" t="s">
        <v>628</v>
      </c>
      <c r="C129" s="1098">
        <v>6</v>
      </c>
      <c r="D129" s="46"/>
      <c r="E129" s="46"/>
      <c r="H129" s="46"/>
      <c r="I129" s="46"/>
      <c r="J129" s="46"/>
      <c r="K129" s="46"/>
      <c r="L129" s="46"/>
      <c r="M129" s="46"/>
      <c r="N129" s="46"/>
      <c r="O129" s="46"/>
      <c r="P129" s="46"/>
      <c r="Q129" s="46"/>
      <c r="R129" s="421"/>
    </row>
    <row r="130" spans="1:18">
      <c r="A130" s="424">
        <f>ROW()</f>
        <v>130</v>
      </c>
      <c r="B130" s="46" t="s">
        <v>629</v>
      </c>
      <c r="C130" s="996">
        <f>IF(C128&lt;&gt;0,C128/C129,0)</f>
        <v>2300</v>
      </c>
      <c r="D130" s="46"/>
      <c r="E130" s="46"/>
      <c r="H130" s="46"/>
      <c r="I130" s="46"/>
      <c r="J130" s="46"/>
      <c r="K130" s="46"/>
      <c r="L130" s="46"/>
      <c r="M130" s="46"/>
      <c r="N130" s="46"/>
      <c r="O130" s="46"/>
      <c r="P130" s="46"/>
      <c r="Q130" s="46"/>
      <c r="R130" s="421"/>
    </row>
    <row r="131" spans="1:18">
      <c r="A131" s="424">
        <f>ROW()</f>
        <v>131</v>
      </c>
      <c r="B131" s="46" t="s">
        <v>630</v>
      </c>
      <c r="C131" s="1099">
        <v>3.5</v>
      </c>
      <c r="D131" s="46"/>
      <c r="E131" s="46"/>
      <c r="H131" s="46"/>
      <c r="I131" s="46"/>
      <c r="J131" s="46"/>
      <c r="K131" s="46"/>
      <c r="L131" s="46"/>
      <c r="M131" s="46"/>
      <c r="N131" s="46"/>
      <c r="O131" s="46"/>
      <c r="P131" s="46"/>
      <c r="Q131" s="46"/>
      <c r="R131" s="421"/>
    </row>
    <row r="132" spans="1:18">
      <c r="A132" s="424">
        <f>ROW()</f>
        <v>132</v>
      </c>
      <c r="B132" s="46" t="s">
        <v>631</v>
      </c>
      <c r="C132" s="997">
        <f>C130*C131</f>
        <v>8050</v>
      </c>
      <c r="D132" s="46"/>
      <c r="E132" s="46"/>
      <c r="H132" s="46"/>
      <c r="I132" s="46"/>
      <c r="J132" s="46"/>
      <c r="K132" s="46"/>
      <c r="L132" s="46"/>
      <c r="M132" s="46"/>
      <c r="N132" s="46"/>
      <c r="O132" s="46"/>
      <c r="P132" s="46"/>
      <c r="Q132" s="46"/>
      <c r="R132" s="421"/>
    </row>
    <row r="133" spans="1:18">
      <c r="A133" s="424">
        <f>ROW()</f>
        <v>133</v>
      </c>
      <c r="B133" s="46" t="s">
        <v>632</v>
      </c>
      <c r="C133" s="1100">
        <v>0.4</v>
      </c>
      <c r="D133" s="46" t="s">
        <v>633</v>
      </c>
      <c r="E133" s="46"/>
      <c r="H133" s="46"/>
      <c r="I133" s="46"/>
      <c r="J133" s="46"/>
      <c r="K133" s="46"/>
      <c r="L133" s="46"/>
      <c r="M133" s="46"/>
      <c r="N133" s="46"/>
      <c r="O133" s="46"/>
      <c r="P133" s="46"/>
      <c r="Q133" s="46"/>
      <c r="R133" s="421"/>
    </row>
    <row r="134" spans="1:18">
      <c r="A134" s="424">
        <f>ROW()</f>
        <v>134</v>
      </c>
      <c r="B134" s="46" t="s">
        <v>634</v>
      </c>
      <c r="C134" s="998">
        <f>C133*C128</f>
        <v>5520</v>
      </c>
      <c r="D134" s="46"/>
      <c r="E134" s="46"/>
      <c r="H134" s="46"/>
      <c r="I134" s="46"/>
      <c r="J134" s="46"/>
      <c r="K134" s="46"/>
      <c r="L134" s="46"/>
      <c r="M134" s="46"/>
      <c r="N134" s="46"/>
      <c r="O134" s="46"/>
      <c r="P134" s="46"/>
      <c r="Q134" s="46"/>
      <c r="R134" s="421"/>
    </row>
    <row r="135" spans="1:18">
      <c r="A135" s="424">
        <f>ROW()</f>
        <v>135</v>
      </c>
      <c r="B135" s="46" t="s">
        <v>635</v>
      </c>
      <c r="C135" s="1097">
        <v>0</v>
      </c>
      <c r="D135" s="46" t="s">
        <v>636</v>
      </c>
      <c r="E135" s="46"/>
      <c r="H135" s="46"/>
      <c r="I135" s="46"/>
      <c r="J135" s="46"/>
      <c r="K135" s="46"/>
      <c r="L135" s="46"/>
      <c r="M135" s="46"/>
      <c r="N135" s="46"/>
      <c r="O135" s="46"/>
      <c r="P135" s="46"/>
      <c r="Q135" s="46"/>
      <c r="R135" s="421"/>
    </row>
    <row r="136" spans="1:18">
      <c r="A136" s="424">
        <f>ROW()</f>
        <v>136</v>
      </c>
      <c r="C136" s="150"/>
      <c r="G136" s="611"/>
      <c r="H136" s="611"/>
      <c r="I136" s="611"/>
      <c r="J136" s="611"/>
      <c r="K136" s="611"/>
      <c r="L136" s="611"/>
      <c r="R136" s="421"/>
    </row>
    <row r="137" spans="1:18">
      <c r="A137" s="424">
        <f>ROW()</f>
        <v>137</v>
      </c>
      <c r="B137" s="37" t="s">
        <v>637</v>
      </c>
      <c r="C137" s="150"/>
      <c r="F137" s="47"/>
      <c r="G137" s="159">
        <f>$C$124*' Enrol &amp; Rev'!H34</f>
        <v>127.5</v>
      </c>
      <c r="H137" s="159">
        <f>$C$124*' Enrol &amp; Rev'!I34</f>
        <v>229.5</v>
      </c>
      <c r="I137" s="159">
        <f>$C$124*' Enrol &amp; Rev'!J34</f>
        <v>267.75</v>
      </c>
      <c r="J137" s="159">
        <f>$C$124*' Enrol &amp; Rev'!K34</f>
        <v>306</v>
      </c>
      <c r="K137" s="159">
        <f>$C$124*' Enrol &amp; Rev'!L34</f>
        <v>306</v>
      </c>
      <c r="L137" s="159">
        <f>$C$124*' Enrol &amp; Rev'!M34</f>
        <v>306</v>
      </c>
      <c r="R137" s="421"/>
    </row>
    <row r="138" spans="1:18">
      <c r="A138" s="424">
        <f>ROW()</f>
        <v>138</v>
      </c>
      <c r="B138" s="71" t="s">
        <v>638</v>
      </c>
      <c r="C138" s="158"/>
      <c r="D138" s="71"/>
      <c r="E138" s="71"/>
      <c r="F138" s="387"/>
      <c r="G138" s="1646">
        <v>0</v>
      </c>
      <c r="H138" s="1646">
        <v>2</v>
      </c>
      <c r="I138" s="1599">
        <f t="shared" ref="I138:L138" si="21">ROUND(I137/$C$125, 0.02)</f>
        <v>7</v>
      </c>
      <c r="J138" s="1599">
        <f t="shared" si="21"/>
        <v>8</v>
      </c>
      <c r="K138" s="1599">
        <f t="shared" si="21"/>
        <v>8</v>
      </c>
      <c r="L138" s="1599">
        <f t="shared" si="21"/>
        <v>8</v>
      </c>
      <c r="R138" s="1634" t="s">
        <v>1438</v>
      </c>
    </row>
    <row r="139" spans="1:18">
      <c r="A139" s="424">
        <f>ROW()</f>
        <v>139</v>
      </c>
      <c r="B139" s="37" t="s">
        <v>639</v>
      </c>
      <c r="C139" s="150"/>
      <c r="F139" s="67"/>
      <c r="G139" s="1636"/>
      <c r="H139" s="1629">
        <v>40000</v>
      </c>
      <c r="I139" s="1629">
        <v>40000</v>
      </c>
      <c r="J139" s="1629"/>
      <c r="K139" s="701">
        <f>(K138-J138)*$C$126</f>
        <v>0</v>
      </c>
      <c r="L139" s="701">
        <f>(L138-K138)*$C$126</f>
        <v>0</v>
      </c>
      <c r="R139" s="1634"/>
    </row>
    <row r="140" spans="1:18">
      <c r="A140" s="424">
        <f>ROW()</f>
        <v>140</v>
      </c>
      <c r="B140" s="37" t="s">
        <v>640</v>
      </c>
      <c r="C140" s="150"/>
      <c r="F140" s="58"/>
      <c r="G140" s="1644">
        <f t="shared" ref="G140:L140" si="22">G138*$C$132</f>
        <v>0</v>
      </c>
      <c r="H140" s="150">
        <f t="shared" si="22"/>
        <v>16100</v>
      </c>
      <c r="I140" s="150">
        <f t="shared" si="22"/>
        <v>56350</v>
      </c>
      <c r="J140" s="150">
        <f t="shared" si="22"/>
        <v>64400</v>
      </c>
      <c r="K140" s="150">
        <f t="shared" si="22"/>
        <v>64400</v>
      </c>
      <c r="L140" s="150">
        <f t="shared" si="22"/>
        <v>64400</v>
      </c>
      <c r="R140" s="421"/>
    </row>
    <row r="141" spans="1:18">
      <c r="A141" s="424">
        <f>ROW()</f>
        <v>141</v>
      </c>
      <c r="B141" s="37" t="s">
        <v>641</v>
      </c>
      <c r="C141" s="150"/>
      <c r="F141" s="58"/>
      <c r="G141" s="1644"/>
      <c r="H141" s="150">
        <f t="shared" ref="H141:L141" si="23">H138*$C$134</f>
        <v>11040</v>
      </c>
      <c r="I141" s="150">
        <f t="shared" si="23"/>
        <v>38640</v>
      </c>
      <c r="J141" s="150">
        <f t="shared" si="23"/>
        <v>44160</v>
      </c>
      <c r="K141" s="150">
        <f t="shared" si="23"/>
        <v>44160</v>
      </c>
      <c r="L141" s="150">
        <f t="shared" si="23"/>
        <v>44160</v>
      </c>
      <c r="R141" s="421"/>
    </row>
    <row r="142" spans="1:18">
      <c r="A142" s="424">
        <f>ROW()</f>
        <v>142</v>
      </c>
      <c r="B142" s="37" t="s">
        <v>635</v>
      </c>
      <c r="C142" s="150"/>
      <c r="F142" s="58"/>
      <c r="G142" s="1644">
        <v>43285</v>
      </c>
      <c r="H142" s="150">
        <f t="shared" ref="H142:L142" si="24">H138*$C$135</f>
        <v>0</v>
      </c>
      <c r="I142" s="150">
        <f t="shared" si="24"/>
        <v>0</v>
      </c>
      <c r="J142" s="150">
        <f t="shared" si="24"/>
        <v>0</v>
      </c>
      <c r="K142" s="150">
        <f t="shared" si="24"/>
        <v>0</v>
      </c>
      <c r="L142" s="150">
        <f t="shared" si="24"/>
        <v>0</v>
      </c>
      <c r="R142" s="421" t="s">
        <v>1439</v>
      </c>
    </row>
    <row r="143" spans="1:18" ht="15.75" thickBot="1">
      <c r="A143" s="424">
        <f>ROW()</f>
        <v>143</v>
      </c>
      <c r="C143" s="150"/>
      <c r="F143" s="388"/>
      <c r="G143" s="388"/>
      <c r="H143" s="388"/>
      <c r="I143" s="388"/>
      <c r="J143" s="388"/>
      <c r="K143" s="388"/>
      <c r="L143" s="388"/>
      <c r="R143" s="421"/>
    </row>
    <row r="144" spans="1:18" ht="15.75" thickBot="1">
      <c r="A144" s="424">
        <f>ROW()</f>
        <v>144</v>
      </c>
      <c r="B144" s="1122" t="s">
        <v>642</v>
      </c>
      <c r="C144" s="1123">
        <f>SUM(F144:L144)</f>
        <v>571095</v>
      </c>
      <c r="D144" s="918"/>
      <c r="E144" s="918"/>
      <c r="F144" s="1123">
        <f t="shared" ref="F144" si="25">SUM(F139:F142)</f>
        <v>0</v>
      </c>
      <c r="G144" s="1123">
        <f t="shared" ref="G144:L144" si="26">SUM(G139:G142)</f>
        <v>43285</v>
      </c>
      <c r="H144" s="1123">
        <f t="shared" si="26"/>
        <v>67140</v>
      </c>
      <c r="I144" s="1123">
        <f t="shared" si="26"/>
        <v>134990</v>
      </c>
      <c r="J144" s="1123">
        <f t="shared" si="26"/>
        <v>108560</v>
      </c>
      <c r="K144" s="1123">
        <f t="shared" si="26"/>
        <v>108560</v>
      </c>
      <c r="L144" s="1123">
        <f t="shared" si="26"/>
        <v>108560</v>
      </c>
      <c r="R144" s="421"/>
    </row>
    <row r="145" spans="1:18">
      <c r="A145" s="424">
        <f>ROW()</f>
        <v>145</v>
      </c>
      <c r="R145" s="421"/>
    </row>
    <row r="146" spans="1:18" ht="15.75" thickBot="1">
      <c r="A146" s="424">
        <f>ROW()</f>
        <v>146</v>
      </c>
      <c r="B146" s="1190" t="s">
        <v>643</v>
      </c>
      <c r="C146" s="1191">
        <f>SUM(F146:L146)</f>
        <v>571095</v>
      </c>
      <c r="D146" s="1190"/>
      <c r="E146" s="1190"/>
      <c r="F146" s="1192">
        <f t="shared" ref="F146" si="27">F144-F121</f>
        <v>0</v>
      </c>
      <c r="G146" s="1192">
        <f>G144-G121</f>
        <v>43285</v>
      </c>
      <c r="H146" s="1192">
        <f t="shared" ref="H146:L146" si="28">H144-H121</f>
        <v>67140</v>
      </c>
      <c r="I146" s="1192">
        <f t="shared" si="28"/>
        <v>134990</v>
      </c>
      <c r="J146" s="1192">
        <f t="shared" si="28"/>
        <v>108560</v>
      </c>
      <c r="K146" s="1192">
        <f t="shared" si="28"/>
        <v>108560</v>
      </c>
      <c r="L146" s="1192">
        <f t="shared" si="28"/>
        <v>108560</v>
      </c>
      <c r="R146" s="1193" t="s">
        <v>644</v>
      </c>
    </row>
    <row r="147" spans="1:18" ht="15.75" thickTop="1">
      <c r="A147" s="424">
        <f>ROW()</f>
        <v>147</v>
      </c>
      <c r="C147" s="150"/>
    </row>
    <row r="148" spans="1:18">
      <c r="A148" s="424">
        <f>ROW()</f>
        <v>148</v>
      </c>
      <c r="B148" s="201" t="s">
        <v>645</v>
      </c>
      <c r="C148" s="158"/>
      <c r="D148" s="73"/>
      <c r="E148" s="73"/>
      <c r="F148" s="83"/>
      <c r="G148" s="71"/>
      <c r="H148" s="201"/>
      <c r="I148" s="71"/>
      <c r="J148" s="71"/>
      <c r="K148" s="71"/>
      <c r="L148" s="71"/>
    </row>
    <row r="149" spans="1:18">
      <c r="A149" s="424">
        <f>ROW()</f>
        <v>149</v>
      </c>
      <c r="B149" s="324" t="s">
        <v>1330</v>
      </c>
      <c r="C149" s="150"/>
      <c r="D149" s="1197"/>
      <c r="E149" s="1196"/>
      <c r="F149" s="849"/>
      <c r="G149" s="849"/>
      <c r="H149" s="849"/>
      <c r="I149" s="849"/>
      <c r="J149" s="849"/>
      <c r="K149" s="849"/>
      <c r="L149" s="849"/>
    </row>
    <row r="150" spans="1:18">
      <c r="A150" s="424">
        <f>ROW()</f>
        <v>150</v>
      </c>
      <c r="B150" s="1508"/>
      <c r="C150" s="150"/>
      <c r="D150" s="1194"/>
      <c r="E150" s="1195"/>
      <c r="F150" s="850"/>
      <c r="G150" s="850"/>
      <c r="H150" s="850"/>
      <c r="I150" s="850"/>
      <c r="J150" s="850"/>
      <c r="K150" s="850"/>
      <c r="L150" s="850"/>
    </row>
    <row r="151" spans="1:18">
      <c r="A151" s="424">
        <f>ROW()</f>
        <v>151</v>
      </c>
      <c r="B151" s="1508"/>
      <c r="C151" s="150"/>
      <c r="D151" s="1194"/>
      <c r="E151" s="1195"/>
      <c r="F151" s="850"/>
      <c r="G151" s="850"/>
      <c r="H151" s="850"/>
      <c r="I151" s="850"/>
      <c r="J151" s="850"/>
      <c r="K151" s="850"/>
      <c r="L151" s="850"/>
    </row>
    <row r="152" spans="1:18">
      <c r="A152" s="424">
        <f>ROW()</f>
        <v>152</v>
      </c>
      <c r="B152" s="1508"/>
      <c r="C152" s="150"/>
      <c r="D152" s="1194"/>
      <c r="E152" s="1195"/>
      <c r="F152" s="850"/>
      <c r="G152" s="850"/>
      <c r="H152" s="850"/>
      <c r="I152" s="850"/>
      <c r="J152" s="850"/>
      <c r="K152" s="850"/>
      <c r="L152" s="850"/>
    </row>
    <row r="153" spans="1:18">
      <c r="A153" s="424">
        <f>ROW()</f>
        <v>153</v>
      </c>
      <c r="B153" s="1508"/>
      <c r="C153" s="150"/>
      <c r="D153" s="1194"/>
      <c r="E153" s="1195"/>
      <c r="F153" s="850"/>
      <c r="G153" s="850"/>
      <c r="H153" s="850"/>
      <c r="I153" s="850"/>
      <c r="J153" s="850"/>
      <c r="K153" s="850"/>
      <c r="L153" s="850"/>
    </row>
    <row r="154" spans="1:18">
      <c r="A154" s="424">
        <f>ROW()</f>
        <v>154</v>
      </c>
      <c r="B154" s="1508"/>
      <c r="C154" s="150"/>
      <c r="D154" s="1194"/>
      <c r="E154" s="1195"/>
      <c r="F154" s="850"/>
      <c r="G154" s="850"/>
      <c r="H154" s="850"/>
      <c r="I154" s="850"/>
      <c r="J154" s="850"/>
      <c r="K154" s="850"/>
      <c r="L154" s="850"/>
    </row>
    <row r="155" spans="1:18">
      <c r="A155" s="424">
        <f>ROW()</f>
        <v>155</v>
      </c>
      <c r="B155" s="1508"/>
      <c r="C155" s="150"/>
      <c r="D155" s="1194"/>
      <c r="E155" s="1195"/>
      <c r="F155" s="850"/>
      <c r="G155" s="850"/>
      <c r="H155" s="850"/>
      <c r="I155" s="850"/>
      <c r="J155" s="850"/>
      <c r="K155" s="850"/>
      <c r="L155" s="850"/>
    </row>
    <row r="156" spans="1:18">
      <c r="A156" s="424">
        <f>ROW()</f>
        <v>156</v>
      </c>
      <c r="B156" s="1508"/>
      <c r="C156" s="150"/>
      <c r="D156" s="1194"/>
      <c r="E156" s="1195"/>
      <c r="F156" s="850"/>
      <c r="G156" s="850"/>
      <c r="H156" s="850"/>
      <c r="I156" s="850"/>
      <c r="J156" s="850"/>
      <c r="K156" s="850"/>
      <c r="L156" s="850"/>
    </row>
    <row r="157" spans="1:18">
      <c r="A157" s="424">
        <f>ROW()</f>
        <v>157</v>
      </c>
      <c r="B157" s="1508"/>
      <c r="C157" s="150"/>
      <c r="D157" s="1194"/>
      <c r="E157" s="1195"/>
      <c r="F157" s="850">
        <v>0</v>
      </c>
      <c r="G157" s="850">
        <v>0</v>
      </c>
      <c r="H157" s="850">
        <v>0</v>
      </c>
      <c r="I157" s="850">
        <v>0</v>
      </c>
      <c r="J157" s="850">
        <v>0</v>
      </c>
      <c r="K157" s="850">
        <v>0</v>
      </c>
      <c r="L157" s="850">
        <v>0</v>
      </c>
    </row>
    <row r="158" spans="1:18" ht="15.75" thickBot="1">
      <c r="A158" s="424">
        <f>ROW()</f>
        <v>158</v>
      </c>
      <c r="C158" s="150"/>
      <c r="D158" s="62"/>
    </row>
    <row r="159" spans="1:18" ht="15.75" thickBot="1">
      <c r="A159" s="424">
        <f>ROW()</f>
        <v>159</v>
      </c>
      <c r="B159" s="1187" t="s">
        <v>646</v>
      </c>
      <c r="C159" s="1188">
        <f>SUM(F159:L159)</f>
        <v>0</v>
      </c>
      <c r="D159" s="1189"/>
      <c r="E159" s="1189"/>
      <c r="F159" s="1188">
        <f t="shared" ref="F159:L159" si="29">SUM(F149:F157)</f>
        <v>0</v>
      </c>
      <c r="G159" s="1188">
        <f t="shared" si="29"/>
        <v>0</v>
      </c>
      <c r="H159" s="1188">
        <f t="shared" si="29"/>
        <v>0</v>
      </c>
      <c r="I159" s="1188">
        <f t="shared" si="29"/>
        <v>0</v>
      </c>
      <c r="J159" s="1188">
        <f t="shared" si="29"/>
        <v>0</v>
      </c>
      <c r="K159" s="1188">
        <f t="shared" si="29"/>
        <v>0</v>
      </c>
      <c r="L159" s="1188">
        <f t="shared" si="29"/>
        <v>0</v>
      </c>
    </row>
    <row r="160" spans="1:18">
      <c r="A160" s="424">
        <f>ROW()</f>
        <v>160</v>
      </c>
    </row>
    <row r="161" spans="1:18">
      <c r="A161" s="424">
        <f>ROW()</f>
        <v>161</v>
      </c>
      <c r="B161" s="37" t="s">
        <v>647</v>
      </c>
      <c r="C161" s="561"/>
      <c r="F161" s="991"/>
      <c r="G161" s="991">
        <f t="shared" ref="G161:L161" si="30">SUM(G118,G110,G102,G146,G159)*((1+$C$161)^(G11-$F11)-1)</f>
        <v>0</v>
      </c>
      <c r="H161" s="991">
        <f t="shared" si="30"/>
        <v>0</v>
      </c>
      <c r="I161" s="991">
        <f t="shared" si="30"/>
        <v>0</v>
      </c>
      <c r="J161" s="991">
        <f t="shared" si="30"/>
        <v>0</v>
      </c>
      <c r="K161" s="991">
        <f t="shared" si="30"/>
        <v>0</v>
      </c>
      <c r="L161" s="991">
        <f t="shared" si="30"/>
        <v>0</v>
      </c>
      <c r="R161" s="37" t="s">
        <v>1366</v>
      </c>
    </row>
    <row r="162" spans="1:18" ht="15.75" thickBot="1">
      <c r="A162" s="424">
        <f>ROW()</f>
        <v>162</v>
      </c>
      <c r="C162" s="150"/>
      <c r="F162" s="725"/>
      <c r="G162" s="841"/>
      <c r="H162" s="841"/>
      <c r="I162" s="841"/>
      <c r="J162" s="841"/>
      <c r="K162" s="841"/>
      <c r="L162" s="841"/>
    </row>
    <row r="163" spans="1:18" ht="15.75" thickBot="1">
      <c r="A163" s="424">
        <f>ROW()</f>
        <v>163</v>
      </c>
      <c r="B163" s="543" t="s">
        <v>648</v>
      </c>
      <c r="C163" s="544">
        <f>SUM(F163:L163)</f>
        <v>3820854.4958899999</v>
      </c>
      <c r="D163" s="545"/>
      <c r="E163" s="545"/>
      <c r="F163" s="544">
        <f>F$118+F$110+F$102</f>
        <v>0</v>
      </c>
      <c r="G163" s="544">
        <f>SUM(G118,G110,G102,G161,G146,G159)</f>
        <v>333215</v>
      </c>
      <c r="H163" s="544">
        <f>SUM(H118,H110,H102,H161,H146,H159)</f>
        <v>561064</v>
      </c>
      <c r="I163" s="544">
        <f t="shared" ref="I163:L163" si="31">SUM(I118,I110,I102,I161,I146,I159)</f>
        <v>705379.05</v>
      </c>
      <c r="J163" s="544">
        <f t="shared" si="31"/>
        <v>741914.10649999999</v>
      </c>
      <c r="K163" s="544">
        <f t="shared" si="31"/>
        <v>738173.41969499993</v>
      </c>
      <c r="L163" s="544">
        <f t="shared" si="31"/>
        <v>741108.91969499993</v>
      </c>
    </row>
    <row r="164" spans="1:18" ht="15.75" thickBot="1"/>
    <row r="165" spans="1:18" ht="15.75" thickBot="1">
      <c r="B165" s="543" t="s">
        <v>1397</v>
      </c>
      <c r="C165" s="544">
        <f>SUM(F165:L165)</f>
        <v>3249759.4958899999</v>
      </c>
      <c r="D165" s="545"/>
      <c r="E165" s="545"/>
      <c r="F165" s="544">
        <f>+F163-F146</f>
        <v>0</v>
      </c>
      <c r="G165" s="544">
        <f>+G163-G146</f>
        <v>289930</v>
      </c>
      <c r="H165" s="544">
        <f>+H163-H146</f>
        <v>493924</v>
      </c>
      <c r="I165" s="544">
        <f t="shared" ref="I165:L165" si="32">+I163-I146</f>
        <v>570389.05000000005</v>
      </c>
      <c r="J165" s="544">
        <f t="shared" si="32"/>
        <v>633354.10649999999</v>
      </c>
      <c r="K165" s="544">
        <f t="shared" si="32"/>
        <v>629613.41969499993</v>
      </c>
      <c r="L165" s="544">
        <f t="shared" si="32"/>
        <v>632548.91969499993</v>
      </c>
    </row>
  </sheetData>
  <mergeCells count="1">
    <mergeCell ref="D10:E10"/>
  </mergeCells>
  <conditionalFormatting sqref="B18:E30">
    <cfRule type="expression" dxfId="47" priority="18" stopIfTrue="1">
      <formula>MOD(ROW(),2)=0</formula>
    </cfRule>
  </conditionalFormatting>
  <conditionalFormatting sqref="B36:E43">
    <cfRule type="expression" dxfId="46" priority="19" stopIfTrue="1">
      <formula>MOD(ROW(),2)=0</formula>
    </cfRule>
  </conditionalFormatting>
  <conditionalFormatting sqref="C13:E13">
    <cfRule type="expression" dxfId="45" priority="20" stopIfTrue="1">
      <formula>MOD(ROW(),2)=0</formula>
    </cfRule>
  </conditionalFormatting>
  <conditionalFormatting sqref="D1">
    <cfRule type="expression" dxfId="44" priority="10" stopIfTrue="1">
      <formula>MOD(ROW(),2)=0</formula>
    </cfRule>
  </conditionalFormatting>
  <conditionalFormatting sqref="G15:L15">
    <cfRule type="cellIs" dxfId="43" priority="24" stopIfTrue="1" operator="equal">
      <formula>0</formula>
    </cfRule>
  </conditionalFormatting>
  <conditionalFormatting sqref="G37:L37 G39:L39 G41:L41 G43:L43">
    <cfRule type="cellIs" dxfId="42" priority="16" stopIfTrue="1" operator="equal">
      <formula>0</formula>
    </cfRule>
  </conditionalFormatting>
  <conditionalFormatting sqref="G40:L40">
    <cfRule type="cellIs" dxfId="41" priority="12" operator="greaterThan">
      <formula>0.25</formula>
    </cfRule>
  </conditionalFormatting>
  <conditionalFormatting sqref="G55:L60">
    <cfRule type="cellIs" dxfId="40" priority="21" stopIfTrue="1" operator="equal">
      <formula>0</formula>
    </cfRule>
  </conditionalFormatting>
  <hyperlinks>
    <hyperlink ref="D1" location="HypLink1" display="HypLink1" xr:uid="{8723ABB7-F367-449A-9920-09DD3E03343A}"/>
  </hyperlinks>
  <pageMargins left="0.25" right="0.25" top="0.5" bottom="0.45" header="0.25" footer="0.25"/>
  <pageSetup scale="53" fitToWidth="3" fitToHeight="2"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Y445"/>
  <sheetViews>
    <sheetView zoomScale="80" zoomScaleNormal="80" workbookViewId="0">
      <pane ySplit="10" topLeftCell="A11" activePane="bottomLeft" state="frozen"/>
      <selection pane="bottomLeft" activeCell="O384" sqref="O384"/>
    </sheetView>
  </sheetViews>
  <sheetFormatPr defaultColWidth="8.85546875" defaultRowHeight="15" outlineLevelRow="1"/>
  <cols>
    <col min="1" max="1" width="8.140625" style="37" customWidth="1"/>
    <col min="2" max="2" width="47.85546875" style="37" customWidth="1"/>
    <col min="3" max="3" width="20.28515625" style="37" customWidth="1"/>
    <col min="4" max="6" width="13.28515625" style="37" customWidth="1"/>
    <col min="7" max="7" width="15.28515625" style="37" customWidth="1"/>
    <col min="8" max="8" width="16.140625" style="37" customWidth="1"/>
    <col min="9" max="10" width="21" style="37" customWidth="1"/>
    <col min="11" max="12" width="17" style="37" customWidth="1"/>
    <col min="13" max="13" width="16.5703125" style="37" customWidth="1"/>
    <col min="14" max="14" width="2.5703125" style="37" customWidth="1"/>
    <col min="15" max="15" width="70.42578125" style="37" customWidth="1"/>
    <col min="16" max="18" width="12.5703125" style="37" customWidth="1"/>
    <col min="19" max="24" width="16.42578125" style="37" customWidth="1"/>
    <col min="25" max="25" width="26.140625" style="37" customWidth="1"/>
    <col min="26" max="16384" width="8.85546875" style="37"/>
  </cols>
  <sheetData>
    <row r="1" spans="1:25" ht="18">
      <c r="A1" s="142" t="s">
        <v>407</v>
      </c>
      <c r="B1" s="40"/>
      <c r="D1" s="508" t="s">
        <v>2</v>
      </c>
      <c r="Q1" s="41"/>
      <c r="Y1" s="381"/>
    </row>
    <row r="2" spans="1:25" ht="15.75">
      <c r="A2" s="133" t="str">
        <f>SchoolName</f>
        <v>Rooted School Clark County</v>
      </c>
      <c r="B2" s="43"/>
      <c r="Y2" s="381"/>
    </row>
    <row r="3" spans="1:25">
      <c r="A3" s="44" t="s">
        <v>62</v>
      </c>
      <c r="L3" s="35"/>
      <c r="Y3" s="381"/>
    </row>
    <row r="4" spans="1:25">
      <c r="A4" s="45" t="s">
        <v>63</v>
      </c>
      <c r="Y4" s="381"/>
    </row>
    <row r="5" spans="1:25">
      <c r="A5" s="34" t="str">
        <f ca="1">CELL("filename")</f>
        <v>C:\Users\CRaymond\Char. School Bus Mgt Dropbox\Collin Raymond\Growth Team\Growth 2.0\Growth &amp; Data\Client Projects\Rooted LV\[Rooted School-SPCSA-Operating Budget-V10 (1) - Rev9.xlsx]Summary</v>
      </c>
      <c r="Y5" s="381"/>
    </row>
    <row r="6" spans="1:25" ht="15.75">
      <c r="A6" s="586"/>
      <c r="D6" s="73" t="s">
        <v>249</v>
      </c>
      <c r="E6" s="73"/>
      <c r="F6" s="73"/>
      <c r="G6" s="611"/>
      <c r="H6" s="612"/>
      <c r="I6" s="611"/>
      <c r="J6" s="611"/>
      <c r="K6" s="73"/>
      <c r="L6" s="611"/>
      <c r="M6" s="611"/>
      <c r="Y6" s="381"/>
    </row>
    <row r="7" spans="1:25">
      <c r="A7" s="586"/>
      <c r="D7" s="36" t="s">
        <v>250</v>
      </c>
      <c r="E7" s="36"/>
      <c r="F7" s="36"/>
      <c r="G7" s="611"/>
      <c r="H7" s="73"/>
      <c r="I7" s="611"/>
      <c r="J7" s="611"/>
      <c r="K7" s="73"/>
      <c r="L7" s="611"/>
      <c r="M7" s="611"/>
      <c r="Y7" s="381"/>
    </row>
    <row r="8" spans="1:25">
      <c r="A8" s="586"/>
      <c r="G8" s="887" t="str">
        <f>' Enrol &amp; Rev'!G9</f>
        <v>SY 0/Incu</v>
      </c>
      <c r="H8" s="877">
        <f>' Enrol &amp; Rev'!H9</f>
        <v>1</v>
      </c>
      <c r="I8" s="877">
        <f>' Enrol &amp; Rev'!I9</f>
        <v>2</v>
      </c>
      <c r="J8" s="877">
        <f>' Enrol &amp; Rev'!J9</f>
        <v>3</v>
      </c>
      <c r="K8" s="877">
        <f>' Enrol &amp; Rev'!K9</f>
        <v>4</v>
      </c>
      <c r="L8" s="877">
        <f>' Enrol &amp; Rev'!L9</f>
        <v>5</v>
      </c>
      <c r="M8" s="1514">
        <f>' Enrol &amp; Rev'!M9</f>
        <v>6</v>
      </c>
    </row>
    <row r="9" spans="1:25">
      <c r="A9" s="586"/>
      <c r="G9" s="878">
        <f>' Enrol &amp; Rev'!G10</f>
        <v>2024</v>
      </c>
      <c r="H9" s="879">
        <f>' Enrol &amp; Rev'!H10</f>
        <v>2025</v>
      </c>
      <c r="I9" s="879">
        <f>' Enrol &amp; Rev'!I10</f>
        <v>2026</v>
      </c>
      <c r="J9" s="879">
        <f>' Enrol &amp; Rev'!J10</f>
        <v>2027</v>
      </c>
      <c r="K9" s="879">
        <f>' Enrol &amp; Rev'!K10</f>
        <v>2028</v>
      </c>
      <c r="L9" s="879">
        <f>' Enrol &amp; Rev'!L10</f>
        <v>2029</v>
      </c>
      <c r="M9" s="880">
        <f>' Enrol &amp; Rev'!M10</f>
        <v>2030</v>
      </c>
    </row>
    <row r="10" spans="1:25">
      <c r="A10" s="586"/>
      <c r="G10" s="881">
        <f>' Enrol &amp; Rev'!G11</f>
        <v>2025</v>
      </c>
      <c r="H10" s="882">
        <f>' Enrol &amp; Rev'!H11</f>
        <v>2026</v>
      </c>
      <c r="I10" s="882">
        <f>' Enrol &amp; Rev'!I11</f>
        <v>2027</v>
      </c>
      <c r="J10" s="882">
        <f>' Enrol &amp; Rev'!J11</f>
        <v>2028</v>
      </c>
      <c r="K10" s="882">
        <f>' Enrol &amp; Rev'!K11</f>
        <v>2029</v>
      </c>
      <c r="L10" s="882">
        <f>' Enrol &amp; Rev'!L11</f>
        <v>2030</v>
      </c>
      <c r="M10" s="883">
        <f>' Enrol &amp; Rev'!M11</f>
        <v>2031</v>
      </c>
    </row>
    <row r="11" spans="1:25" ht="18.75">
      <c r="A11" s="586"/>
      <c r="B11" s="534" t="s">
        <v>408</v>
      </c>
      <c r="G11" s="611"/>
      <c r="H11" s="611"/>
      <c r="I11" s="611"/>
      <c r="J11" s="611"/>
      <c r="K11" s="611"/>
      <c r="L11" s="611"/>
      <c r="M11" s="611"/>
    </row>
    <row r="12" spans="1:25">
      <c r="A12" s="586"/>
      <c r="D12" s="359"/>
      <c r="E12" s="359"/>
      <c r="F12" s="359"/>
      <c r="G12" s="611"/>
      <c r="H12" s="611"/>
      <c r="I12" s="611"/>
      <c r="J12" s="611"/>
      <c r="K12" s="611"/>
      <c r="L12" s="611"/>
      <c r="M12" s="611"/>
      <c r="N12" s="110"/>
      <c r="O12" s="46"/>
    </row>
    <row r="13" spans="1:25">
      <c r="A13" s="586"/>
      <c r="B13" s="35" t="s">
        <v>409</v>
      </c>
      <c r="C13" s="35"/>
      <c r="D13" s="35"/>
      <c r="E13" s="35"/>
      <c r="F13" s="35"/>
      <c r="G13" s="73"/>
      <c r="H13" s="613"/>
      <c r="I13" s="613"/>
      <c r="J13" s="613"/>
      <c r="K13" s="613"/>
      <c r="L13" s="613"/>
      <c r="M13" s="613"/>
      <c r="N13" s="110"/>
      <c r="O13" s="46"/>
    </row>
    <row r="14" spans="1:25" ht="18.75">
      <c r="A14" s="586">
        <f>ROW()</f>
        <v>14</v>
      </c>
      <c r="B14" s="970" t="s">
        <v>410</v>
      </c>
      <c r="C14" s="971"/>
      <c r="D14" s="971"/>
      <c r="E14" s="971"/>
      <c r="F14" s="971"/>
      <c r="G14" s="972"/>
      <c r="H14" s="972"/>
      <c r="I14" s="972"/>
      <c r="J14" s="972"/>
      <c r="K14" s="972"/>
      <c r="L14" s="972"/>
      <c r="M14" s="972"/>
      <c r="N14" s="110"/>
      <c r="O14" s="201" t="s">
        <v>83</v>
      </c>
    </row>
    <row r="15" spans="1:25">
      <c r="A15" s="586">
        <f>ROW()</f>
        <v>15</v>
      </c>
      <c r="B15" s="37" t="s">
        <v>411</v>
      </c>
      <c r="G15" s="614">
        <f>$G$81</f>
        <v>0</v>
      </c>
      <c r="H15" s="614">
        <f>$H$81</f>
        <v>2.5</v>
      </c>
      <c r="I15" s="614">
        <f>$I$81</f>
        <v>2.5</v>
      </c>
      <c r="J15" s="614">
        <f>$J$81</f>
        <v>2.5</v>
      </c>
      <c r="K15" s="614">
        <f>$K$81</f>
        <v>2.5</v>
      </c>
      <c r="L15" s="614">
        <f>$L$81</f>
        <v>2.5</v>
      </c>
      <c r="M15" s="614">
        <f>$M$81</f>
        <v>2.5</v>
      </c>
      <c r="N15" s="110"/>
      <c r="O15" s="566"/>
    </row>
    <row r="16" spans="1:25">
      <c r="A16" s="586">
        <f>ROW()</f>
        <v>16</v>
      </c>
      <c r="B16" s="37" t="s">
        <v>412</v>
      </c>
      <c r="G16" s="614">
        <f>$G$89-$G$81</f>
        <v>0</v>
      </c>
      <c r="H16" s="614">
        <f>$H$89-$H$81</f>
        <v>0</v>
      </c>
      <c r="I16" s="614">
        <f>$I$89-$I$81</f>
        <v>1</v>
      </c>
      <c r="J16" s="614">
        <f>$J$89-$J$81</f>
        <v>1</v>
      </c>
      <c r="K16" s="614">
        <f>$K$89-$K$81</f>
        <v>1</v>
      </c>
      <c r="L16" s="614">
        <f>$L$89-$L$81</f>
        <v>1</v>
      </c>
      <c r="M16" s="614">
        <f>$M$89-$M$81</f>
        <v>1</v>
      </c>
      <c r="N16" s="110"/>
      <c r="O16" s="421"/>
    </row>
    <row r="17" spans="1:15">
      <c r="A17" s="586">
        <f>ROW()</f>
        <v>17</v>
      </c>
      <c r="B17" s="37" t="s">
        <v>413</v>
      </c>
      <c r="G17" s="614">
        <f>$G$101</f>
        <v>0</v>
      </c>
      <c r="H17" s="614">
        <f>$H$101</f>
        <v>1</v>
      </c>
      <c r="I17" s="614">
        <f>$I$101</f>
        <v>2.5</v>
      </c>
      <c r="J17" s="614">
        <f>$J$101</f>
        <v>3.5</v>
      </c>
      <c r="K17" s="614">
        <f>$K$101</f>
        <v>3.5</v>
      </c>
      <c r="L17" s="614">
        <f>$L$101</f>
        <v>3.5</v>
      </c>
      <c r="M17" s="614">
        <f>$M$101</f>
        <v>3.5</v>
      </c>
      <c r="N17" s="110"/>
      <c r="O17" s="421"/>
    </row>
    <row r="18" spans="1:15">
      <c r="A18" s="586">
        <f>ROW()</f>
        <v>18</v>
      </c>
      <c r="B18" s="37" t="s">
        <v>414</v>
      </c>
      <c r="G18" s="614">
        <f>$G$113</f>
        <v>0</v>
      </c>
      <c r="H18" s="614">
        <f>$H$113</f>
        <v>0.5</v>
      </c>
      <c r="I18" s="614">
        <f>$I$113</f>
        <v>2</v>
      </c>
      <c r="J18" s="614">
        <f>$J$113</f>
        <v>2.5</v>
      </c>
      <c r="K18" s="614">
        <f>$K$113</f>
        <v>2.5</v>
      </c>
      <c r="L18" s="614">
        <f>$L$113</f>
        <v>2.5</v>
      </c>
      <c r="M18" s="614">
        <f>$M$113</f>
        <v>2.5</v>
      </c>
      <c r="N18" s="110"/>
      <c r="O18" s="421"/>
    </row>
    <row r="19" spans="1:15">
      <c r="A19" s="586">
        <f>ROW()</f>
        <v>19</v>
      </c>
      <c r="B19" s="37" t="s">
        <v>415</v>
      </c>
      <c r="G19" s="614">
        <f>$G$125</f>
        <v>0</v>
      </c>
      <c r="H19" s="614">
        <f>$H$125</f>
        <v>0</v>
      </c>
      <c r="I19" s="614">
        <f>$I$125</f>
        <v>1</v>
      </c>
      <c r="J19" s="614">
        <f>$J$125</f>
        <v>1</v>
      </c>
      <c r="K19" s="614">
        <f>$K$125</f>
        <v>1</v>
      </c>
      <c r="L19" s="614">
        <f>$L$125</f>
        <v>1</v>
      </c>
      <c r="M19" s="614">
        <f>$M$125</f>
        <v>1</v>
      </c>
      <c r="N19" s="110"/>
      <c r="O19" s="421"/>
    </row>
    <row r="20" spans="1:15">
      <c r="A20" s="586">
        <f>ROW()</f>
        <v>20</v>
      </c>
      <c r="B20" s="37" t="s">
        <v>416</v>
      </c>
      <c r="G20" s="614">
        <f>$G$229</f>
        <v>0</v>
      </c>
      <c r="H20" s="614">
        <f>$H$229</f>
        <v>7</v>
      </c>
      <c r="I20" s="614">
        <f>$I$229</f>
        <v>13.5</v>
      </c>
      <c r="J20" s="614">
        <f>$J$229</f>
        <v>17.5</v>
      </c>
      <c r="K20" s="614">
        <f>$K$229</f>
        <v>17.5</v>
      </c>
      <c r="L20" s="614">
        <f>$L$229</f>
        <v>17.5</v>
      </c>
      <c r="M20" s="614">
        <f>$M$229</f>
        <v>17.5</v>
      </c>
      <c r="N20" s="110"/>
      <c r="O20" s="421"/>
    </row>
    <row r="21" spans="1:15">
      <c r="A21" s="586">
        <f>ROW()</f>
        <v>21</v>
      </c>
      <c r="B21" s="147" t="s">
        <v>417</v>
      </c>
      <c r="C21" s="147"/>
      <c r="D21" s="147"/>
      <c r="E21" s="147"/>
      <c r="F21" s="147"/>
      <c r="G21" s="819">
        <f t="shared" ref="G21:M21" si="0">SUM(G15:G20)</f>
        <v>0</v>
      </c>
      <c r="H21" s="819">
        <f t="shared" si="0"/>
        <v>11</v>
      </c>
      <c r="I21" s="819">
        <f t="shared" si="0"/>
        <v>22.5</v>
      </c>
      <c r="J21" s="819">
        <f t="shared" si="0"/>
        <v>28</v>
      </c>
      <c r="K21" s="819">
        <f t="shared" si="0"/>
        <v>28</v>
      </c>
      <c r="L21" s="819">
        <f t="shared" si="0"/>
        <v>28</v>
      </c>
      <c r="M21" s="819">
        <f t="shared" si="0"/>
        <v>28</v>
      </c>
      <c r="N21" s="110"/>
      <c r="O21" s="421"/>
    </row>
    <row r="22" spans="1:15">
      <c r="A22" s="586">
        <f>ROW()</f>
        <v>22</v>
      </c>
      <c r="H22" s="117"/>
      <c r="I22" s="117"/>
      <c r="J22" s="117"/>
      <c r="N22" s="110"/>
      <c r="O22" s="421"/>
    </row>
    <row r="23" spans="1:15">
      <c r="A23" s="586">
        <f>ROW()</f>
        <v>23</v>
      </c>
      <c r="B23" s="144" t="s">
        <v>418</v>
      </c>
      <c r="C23" s="144"/>
      <c r="D23" s="144"/>
      <c r="E23" s="144"/>
      <c r="F23" s="144"/>
      <c r="G23" s="839">
        <f>G441</f>
        <v>0</v>
      </c>
      <c r="H23" s="839">
        <f t="shared" ref="H23:M23" si="1">H441</f>
        <v>0.5</v>
      </c>
      <c r="I23" s="839">
        <f t="shared" si="1"/>
        <v>1.8</v>
      </c>
      <c r="J23" s="839">
        <f t="shared" si="1"/>
        <v>3.8000000000000003</v>
      </c>
      <c r="K23" s="839">
        <f t="shared" si="1"/>
        <v>4.2</v>
      </c>
      <c r="L23" s="839">
        <f t="shared" si="1"/>
        <v>4.2</v>
      </c>
      <c r="M23" s="839">
        <f t="shared" si="1"/>
        <v>4.2</v>
      </c>
      <c r="N23" s="110"/>
      <c r="O23" s="421"/>
    </row>
    <row r="24" spans="1:15">
      <c r="A24" s="586">
        <f>ROW()</f>
        <v>24</v>
      </c>
      <c r="H24" s="117"/>
      <c r="I24" s="117"/>
      <c r="J24" s="117"/>
      <c r="N24" s="110"/>
      <c r="O24" s="421"/>
    </row>
    <row r="25" spans="1:15">
      <c r="A25" s="586">
        <f>ROW()</f>
        <v>25</v>
      </c>
      <c r="B25" s="147" t="s">
        <v>419</v>
      </c>
      <c r="C25" s="147"/>
      <c r="D25" s="147"/>
      <c r="E25" s="147"/>
      <c r="F25" s="147"/>
      <c r="G25" s="999">
        <f>+G23+G21</f>
        <v>0</v>
      </c>
      <c r="H25" s="999">
        <f t="shared" ref="H25:M25" si="2">+H23+H21</f>
        <v>11.5</v>
      </c>
      <c r="I25" s="999">
        <f t="shared" si="2"/>
        <v>24.3</v>
      </c>
      <c r="J25" s="999">
        <f t="shared" si="2"/>
        <v>31.8</v>
      </c>
      <c r="K25" s="999">
        <f t="shared" si="2"/>
        <v>32.200000000000003</v>
      </c>
      <c r="L25" s="999">
        <f t="shared" si="2"/>
        <v>32.200000000000003</v>
      </c>
      <c r="M25" s="999">
        <f t="shared" si="2"/>
        <v>32.200000000000003</v>
      </c>
      <c r="N25" s="110"/>
      <c r="O25" s="421"/>
    </row>
    <row r="26" spans="1:15">
      <c r="A26" s="586">
        <f>ROW()</f>
        <v>26</v>
      </c>
      <c r="H26" s="117"/>
      <c r="I26" s="117"/>
      <c r="J26" s="117"/>
      <c r="N26" s="110"/>
      <c r="O26" s="421"/>
    </row>
    <row r="27" spans="1:15">
      <c r="A27" s="586">
        <f>ROW()</f>
        <v>27</v>
      </c>
      <c r="C27" s="611" t="s">
        <v>420</v>
      </c>
      <c r="H27" s="117"/>
      <c r="I27" s="117"/>
      <c r="J27" s="117"/>
      <c r="N27" s="110"/>
      <c r="O27" s="421"/>
    </row>
    <row r="28" spans="1:15" ht="18.75">
      <c r="A28" s="586">
        <f>ROW()</f>
        <v>28</v>
      </c>
      <c r="B28" s="840" t="s">
        <v>421</v>
      </c>
      <c r="C28" s="1000">
        <f>AVERAGE(H28:M28)</f>
        <v>302.5</v>
      </c>
      <c r="D28" s="535"/>
      <c r="E28" s="535"/>
      <c r="F28" s="535"/>
      <c r="G28" s="536"/>
      <c r="H28" s="536">
        <f>Levers!D9</f>
        <v>150</v>
      </c>
      <c r="I28" s="536">
        <f>Levers!E9</f>
        <v>270</v>
      </c>
      <c r="J28" s="536">
        <f>Levers!F9</f>
        <v>315</v>
      </c>
      <c r="K28" s="536">
        <f>Levers!G9</f>
        <v>360</v>
      </c>
      <c r="L28" s="536">
        <f>Levers!H9</f>
        <v>360</v>
      </c>
      <c r="M28" s="536">
        <f>Levers!I9</f>
        <v>360</v>
      </c>
      <c r="N28" s="110"/>
      <c r="O28" s="421"/>
    </row>
    <row r="29" spans="1:15">
      <c r="A29" s="586">
        <f>ROW()</f>
        <v>29</v>
      </c>
      <c r="B29" s="201" t="s">
        <v>422</v>
      </c>
      <c r="C29" s="1000">
        <f t="shared" ref="C29:C30" si="3">AVERAGE(H29:M29)</f>
        <v>3619400.6351687438</v>
      </c>
      <c r="D29" s="559"/>
      <c r="E29" s="556"/>
      <c r="F29" s="556"/>
      <c r="G29" s="558">
        <f>Levers!C10</f>
        <v>0</v>
      </c>
      <c r="H29" s="558">
        <f>Levers!D10</f>
        <v>1856281.5000000002</v>
      </c>
      <c r="I29" s="558">
        <f>Levers!E10</f>
        <v>3111294.1187126245</v>
      </c>
      <c r="J29" s="558">
        <f>Levers!F10</f>
        <v>3750620.1479327255</v>
      </c>
      <c r="K29" s="558">
        <f>Levers!G10</f>
        <v>4294595.9065465126</v>
      </c>
      <c r="L29" s="558">
        <f>Levers!H10</f>
        <v>4351806.0689102998</v>
      </c>
      <c r="M29" s="558">
        <f>Levers!I10</f>
        <v>4351806.0689102998</v>
      </c>
      <c r="N29" s="110"/>
      <c r="O29" s="421"/>
    </row>
    <row r="30" spans="1:15">
      <c r="A30" s="586">
        <f>ROW()</f>
        <v>30</v>
      </c>
      <c r="B30" s="201" t="s">
        <v>423</v>
      </c>
      <c r="C30" s="1000">
        <f t="shared" si="3"/>
        <v>1262668.3333333333</v>
      </c>
      <c r="D30" s="559"/>
      <c r="E30" s="556"/>
      <c r="F30" s="556"/>
      <c r="G30" s="558">
        <f>G389</f>
        <v>0</v>
      </c>
      <c r="H30" s="558">
        <f>H389</f>
        <v>651450</v>
      </c>
      <c r="I30" s="558">
        <f t="shared" ref="I30:M30" si="4">I389</f>
        <v>1171600</v>
      </c>
      <c r="J30" s="558">
        <f t="shared" si="4"/>
        <v>1438240</v>
      </c>
      <c r="K30" s="558">
        <f t="shared" si="4"/>
        <v>1438240</v>
      </c>
      <c r="L30" s="558">
        <f t="shared" si="4"/>
        <v>1438240</v>
      </c>
      <c r="M30" s="558">
        <f t="shared" si="4"/>
        <v>1438240</v>
      </c>
      <c r="N30" s="110"/>
      <c r="O30" s="421"/>
    </row>
    <row r="31" spans="1:15">
      <c r="A31" s="586">
        <f>ROW()</f>
        <v>31</v>
      </c>
      <c r="C31" s="150"/>
      <c r="D31" s="62"/>
      <c r="E31" s="62"/>
      <c r="F31" s="62"/>
      <c r="G31" s="62"/>
      <c r="H31" s="125"/>
      <c r="I31" s="125"/>
      <c r="J31" s="125"/>
      <c r="K31" s="125"/>
      <c r="L31" s="125"/>
      <c r="M31" s="125"/>
      <c r="N31" s="110"/>
      <c r="O31" s="421"/>
    </row>
    <row r="32" spans="1:15">
      <c r="A32" s="586">
        <f>ROW()</f>
        <v>32</v>
      </c>
      <c r="B32" s="201" t="s">
        <v>424</v>
      </c>
      <c r="C32" s="1000">
        <f>AVERAGE(H32:M32)</f>
        <v>350168.22217493615</v>
      </c>
      <c r="D32" s="560"/>
      <c r="E32" s="557"/>
      <c r="F32" s="557"/>
      <c r="G32" s="610">
        <f>G414</f>
        <v>0</v>
      </c>
      <c r="H32" s="610">
        <f t="shared" ref="H32:M32" si="5">H414</f>
        <v>171380.07304347825</v>
      </c>
      <c r="I32" s="610">
        <f t="shared" si="5"/>
        <v>323051.92154347827</v>
      </c>
      <c r="J32" s="610">
        <f t="shared" si="5"/>
        <v>399759.8490932174</v>
      </c>
      <c r="K32" s="610">
        <f t="shared" si="5"/>
        <v>401007.83208849741</v>
      </c>
      <c r="L32" s="610">
        <f t="shared" si="5"/>
        <v>402268.29491373018</v>
      </c>
      <c r="M32" s="610">
        <f t="shared" si="5"/>
        <v>403541.36236721533</v>
      </c>
      <c r="N32" s="110"/>
      <c r="O32" s="421"/>
    </row>
    <row r="33" spans="1:15">
      <c r="A33" s="586">
        <f>ROW()</f>
        <v>33</v>
      </c>
      <c r="B33" s="37" t="s">
        <v>425</v>
      </c>
      <c r="G33" s="114">
        <f>G394</f>
        <v>0</v>
      </c>
      <c r="H33" s="114">
        <f t="shared" ref="H33:M33" si="6">H394</f>
        <v>48061.86</v>
      </c>
      <c r="I33" s="114">
        <f t="shared" si="6"/>
        <v>99291.433499999999</v>
      </c>
      <c r="J33" s="114">
        <f t="shared" si="6"/>
        <v>124798.29952799999</v>
      </c>
      <c r="K33" s="114">
        <f t="shared" si="6"/>
        <v>126046.28252328001</v>
      </c>
      <c r="L33" s="114">
        <f t="shared" si="6"/>
        <v>127306.74534851279</v>
      </c>
      <c r="M33" s="114">
        <f t="shared" si="6"/>
        <v>128579.81280199795</v>
      </c>
      <c r="N33" s="110"/>
      <c r="O33" s="421"/>
    </row>
    <row r="34" spans="1:15">
      <c r="A34" s="586">
        <f>ROW()</f>
        <v>34</v>
      </c>
      <c r="B34" s="37" t="s">
        <v>426</v>
      </c>
      <c r="G34" s="114">
        <f>G400</f>
        <v>0</v>
      </c>
      <c r="H34" s="114">
        <f t="shared" ref="H34:M34" si="7">H400</f>
        <v>99346.125</v>
      </c>
      <c r="I34" s="114">
        <f t="shared" si="7"/>
        <v>178669</v>
      </c>
      <c r="J34" s="114">
        <f t="shared" si="7"/>
        <v>219331.6</v>
      </c>
      <c r="K34" s="114">
        <f t="shared" si="7"/>
        <v>219331.6</v>
      </c>
      <c r="L34" s="114">
        <f t="shared" si="7"/>
        <v>219331.6</v>
      </c>
      <c r="M34" s="114">
        <f t="shared" si="7"/>
        <v>219331.6</v>
      </c>
      <c r="N34" s="110"/>
      <c r="O34" s="421"/>
    </row>
    <row r="35" spans="1:15">
      <c r="A35" s="586">
        <f>ROW()</f>
        <v>35</v>
      </c>
      <c r="B35" s="37" t="s">
        <v>427</v>
      </c>
      <c r="G35" s="114">
        <f t="shared" ref="G35:M35" si="8">G414-G34-G33</f>
        <v>0</v>
      </c>
      <c r="H35" s="114">
        <f t="shared" si="8"/>
        <v>23972.088043478245</v>
      </c>
      <c r="I35" s="114">
        <f t="shared" si="8"/>
        <v>45091.488043478268</v>
      </c>
      <c r="J35" s="114">
        <f t="shared" si="8"/>
        <v>55629.949565217408</v>
      </c>
      <c r="K35" s="114">
        <f t="shared" si="8"/>
        <v>55629.949565217394</v>
      </c>
      <c r="L35" s="114">
        <f t="shared" si="8"/>
        <v>55629.949565217379</v>
      </c>
      <c r="M35" s="114">
        <f t="shared" si="8"/>
        <v>55629.949565217379</v>
      </c>
      <c r="N35" s="110"/>
      <c r="O35" s="421"/>
    </row>
    <row r="36" spans="1:15">
      <c r="A36" s="586">
        <f>ROW()</f>
        <v>36</v>
      </c>
      <c r="H36" s="117"/>
      <c r="I36" s="117"/>
      <c r="J36" s="117"/>
      <c r="N36" s="110"/>
      <c r="O36" s="421"/>
    </row>
    <row r="37" spans="1:15">
      <c r="A37" s="586">
        <f>ROW()</f>
        <v>37</v>
      </c>
      <c r="B37" s="201" t="s">
        <v>428</v>
      </c>
      <c r="C37" s="1000">
        <f t="shared" ref="C37:C42" si="9">AVERAGE(H37:M37)</f>
        <v>1710697.3555082695</v>
      </c>
      <c r="D37" s="201"/>
      <c r="E37" s="201"/>
      <c r="F37" s="201"/>
      <c r="G37" s="610">
        <f>G445</f>
        <v>0</v>
      </c>
      <c r="H37" s="610">
        <f t="shared" ref="H37:M37" si="10">H445</f>
        <v>845966.07304347819</v>
      </c>
      <c r="I37" s="610">
        <f t="shared" si="10"/>
        <v>1560991.1215434782</v>
      </c>
      <c r="J37" s="610">
        <f t="shared" si="10"/>
        <v>1954915.0490932174</v>
      </c>
      <c r="K37" s="610">
        <f t="shared" si="10"/>
        <v>1966172.6320884975</v>
      </c>
      <c r="L37" s="610">
        <f t="shared" si="10"/>
        <v>1967433.0949137302</v>
      </c>
      <c r="M37" s="610">
        <f t="shared" si="10"/>
        <v>1968706.1623672154</v>
      </c>
      <c r="N37" s="110"/>
      <c r="O37" s="421"/>
    </row>
    <row r="38" spans="1:15">
      <c r="A38" s="586">
        <f>ROW()</f>
        <v>38</v>
      </c>
      <c r="B38" s="37" t="s">
        <v>429</v>
      </c>
      <c r="C38" s="1002">
        <f t="shared" si="9"/>
        <v>5670.4354572223156</v>
      </c>
      <c r="G38" s="537"/>
      <c r="H38" s="537">
        <f>Levers!D13</f>
        <v>5639.7738202898545</v>
      </c>
      <c r="I38" s="537">
        <f>Levers!E13</f>
        <v>5781.448598309179</v>
      </c>
      <c r="J38" s="537">
        <f>Levers!F13</f>
        <v>6206.079520930849</v>
      </c>
      <c r="K38" s="537">
        <f>Levers!G13</f>
        <v>5461.5906446902709</v>
      </c>
      <c r="L38" s="537">
        <f>Levers!H13</f>
        <v>5465.0919303159171</v>
      </c>
      <c r="M38" s="537">
        <f>Levers!I13</f>
        <v>5468.6282287978202</v>
      </c>
      <c r="N38" s="110"/>
      <c r="O38" s="421"/>
    </row>
    <row r="39" spans="1:15">
      <c r="A39" s="586">
        <f>ROW()</f>
        <v>39</v>
      </c>
      <c r="B39" s="80" t="s">
        <v>430</v>
      </c>
      <c r="C39" s="1001">
        <f t="shared" si="9"/>
        <v>1908703.2796604745</v>
      </c>
      <c r="D39" s="80"/>
      <c r="E39" s="80"/>
      <c r="F39" s="80"/>
      <c r="G39" s="538">
        <f>Levers!C14</f>
        <v>0</v>
      </c>
      <c r="H39" s="538">
        <f>Levers!D14</f>
        <v>1010315.426956522</v>
      </c>
      <c r="I39" s="538">
        <f>Levers!E14</f>
        <v>1550302.9971691463</v>
      </c>
      <c r="J39" s="538">
        <f>Levers!F14</f>
        <v>1795705.0988395081</v>
      </c>
      <c r="K39" s="538">
        <f>Levers!G14</f>
        <v>2328423.2744580153</v>
      </c>
      <c r="L39" s="538">
        <f>Levers!H14</f>
        <v>2384372.9739965694</v>
      </c>
      <c r="M39" s="538">
        <f>Levers!I14</f>
        <v>2383099.9065430844</v>
      </c>
      <c r="N39" s="110"/>
      <c r="O39" s="421"/>
    </row>
    <row r="40" spans="1:15">
      <c r="A40" s="586">
        <f>ROW()</f>
        <v>40</v>
      </c>
      <c r="B40" s="80" t="s">
        <v>431</v>
      </c>
      <c r="C40" s="1001">
        <f t="shared" si="9"/>
        <v>6314.7954820644636</v>
      </c>
      <c r="D40" s="80"/>
      <c r="E40" s="80"/>
      <c r="F40" s="80"/>
      <c r="G40" s="538"/>
      <c r="H40" s="538">
        <f>Levers!D15</f>
        <v>6735.4361797101474</v>
      </c>
      <c r="I40" s="538">
        <f>Levers!E15</f>
        <v>5741.86295247832</v>
      </c>
      <c r="J40" s="538">
        <f>Levers!F15</f>
        <v>5700.6511074270102</v>
      </c>
      <c r="K40" s="538">
        <f>Levers!G15</f>
        <v>6467.8424290500425</v>
      </c>
      <c r="L40" s="538">
        <f>Levers!H15</f>
        <v>6623.2582611015814</v>
      </c>
      <c r="M40" s="538">
        <f>Levers!I15</f>
        <v>6619.7219626196793</v>
      </c>
      <c r="N40" s="110"/>
      <c r="O40" s="421"/>
    </row>
    <row r="41" spans="1:15">
      <c r="A41" s="586">
        <f>ROW()</f>
        <v>41</v>
      </c>
      <c r="B41" s="80" t="s">
        <v>432</v>
      </c>
      <c r="C41" s="1001">
        <f t="shared" si="9"/>
        <v>404246.73440175754</v>
      </c>
      <c r="D41" s="80"/>
      <c r="E41" s="80"/>
      <c r="F41" s="80"/>
      <c r="G41" s="538">
        <f>Levers!C38</f>
        <v>0</v>
      </c>
      <c r="H41" s="538">
        <f>Levers!D38</f>
        <v>889.17695652204566</v>
      </c>
      <c r="I41" s="538">
        <f>Levers!E38</f>
        <v>163300.2371691463</v>
      </c>
      <c r="J41" s="538">
        <f>Levers!F38</f>
        <v>197438.91103950809</v>
      </c>
      <c r="K41" s="538">
        <f>Levers!G38</f>
        <v>640784.01102401537</v>
      </c>
      <c r="L41" s="538">
        <f>Levers!H38</f>
        <v>714920.11615954957</v>
      </c>
      <c r="M41" s="538">
        <f>Levers!I38</f>
        <v>708147.95406180387</v>
      </c>
      <c r="N41" s="110"/>
      <c r="O41" s="421"/>
    </row>
    <row r="42" spans="1:15">
      <c r="A42" s="586">
        <f>ROW()</f>
        <v>42</v>
      </c>
      <c r="B42" s="80" t="s">
        <v>433</v>
      </c>
      <c r="C42" s="1001">
        <f t="shared" si="9"/>
        <v>1161.7426968793154</v>
      </c>
      <c r="D42" s="80"/>
      <c r="E42" s="80"/>
      <c r="F42" s="80"/>
      <c r="G42" s="538">
        <f>Levers!C39</f>
        <v>0</v>
      </c>
      <c r="H42" s="538">
        <f>Levers!D39</f>
        <v>5.9278463768136378</v>
      </c>
      <c r="I42" s="538">
        <f>Levers!E39</f>
        <v>604.81569321906034</v>
      </c>
      <c r="J42" s="538">
        <f>Levers!F39</f>
        <v>626.79019377621614</v>
      </c>
      <c r="K42" s="538">
        <f>Levers!G39</f>
        <v>1779.9555861778206</v>
      </c>
      <c r="L42" s="538">
        <f>Levers!H39</f>
        <v>1985.8892115543044</v>
      </c>
      <c r="M42" s="538">
        <f>Levers!I39</f>
        <v>1967.0776501716775</v>
      </c>
      <c r="N42" s="110"/>
      <c r="O42" s="421"/>
    </row>
    <row r="43" spans="1:15">
      <c r="A43" s="586">
        <f>ROW()</f>
        <v>43</v>
      </c>
      <c r="H43" s="117"/>
      <c r="I43" s="117"/>
      <c r="J43" s="117"/>
      <c r="N43" s="110"/>
      <c r="O43" s="421"/>
    </row>
    <row r="44" spans="1:15">
      <c r="A44" s="586">
        <f>ROW()</f>
        <v>44</v>
      </c>
      <c r="B44" s="63" t="s">
        <v>147</v>
      </c>
      <c r="C44" s="63"/>
      <c r="D44" s="63"/>
      <c r="E44" s="63"/>
      <c r="F44" s="63"/>
      <c r="G44" s="607" t="str">
        <f t="shared" ref="G44:M46" si="11">G8</f>
        <v>SY 0/Incu</v>
      </c>
      <c r="H44" s="608">
        <f t="shared" si="11"/>
        <v>1</v>
      </c>
      <c r="I44" s="608">
        <f t="shared" si="11"/>
        <v>2</v>
      </c>
      <c r="J44" s="608">
        <f t="shared" si="11"/>
        <v>3</v>
      </c>
      <c r="K44" s="608">
        <f t="shared" si="11"/>
        <v>4</v>
      </c>
      <c r="L44" s="608">
        <f t="shared" si="11"/>
        <v>5</v>
      </c>
      <c r="M44" s="608">
        <f t="shared" si="11"/>
        <v>6</v>
      </c>
      <c r="N44" s="110"/>
      <c r="O44" s="421"/>
    </row>
    <row r="45" spans="1:15">
      <c r="A45" s="586">
        <f>ROW()</f>
        <v>45</v>
      </c>
      <c r="B45" s="35" t="s">
        <v>434</v>
      </c>
      <c r="C45" s="35"/>
      <c r="D45" s="35"/>
      <c r="E45" s="35"/>
      <c r="F45" s="35"/>
      <c r="G45" s="993">
        <f t="shared" si="11"/>
        <v>2024</v>
      </c>
      <c r="H45" s="993">
        <f t="shared" si="11"/>
        <v>2025</v>
      </c>
      <c r="I45" s="609">
        <f t="shared" si="11"/>
        <v>2026</v>
      </c>
      <c r="J45" s="609">
        <f t="shared" si="11"/>
        <v>2027</v>
      </c>
      <c r="K45" s="609">
        <f t="shared" si="11"/>
        <v>2028</v>
      </c>
      <c r="L45" s="609">
        <f t="shared" si="11"/>
        <v>2029</v>
      </c>
      <c r="M45" s="609">
        <f t="shared" si="11"/>
        <v>2030</v>
      </c>
      <c r="N45" s="110"/>
      <c r="O45" s="421"/>
    </row>
    <row r="46" spans="1:15">
      <c r="A46" s="586">
        <f>ROW()</f>
        <v>46</v>
      </c>
      <c r="B46" s="35" t="s">
        <v>435</v>
      </c>
      <c r="C46" s="35"/>
      <c r="D46" s="35"/>
      <c r="E46" s="35"/>
      <c r="F46" s="35"/>
      <c r="G46" s="73">
        <f t="shared" si="11"/>
        <v>2025</v>
      </c>
      <c r="H46" s="73">
        <f t="shared" si="11"/>
        <v>2026</v>
      </c>
      <c r="I46" s="73">
        <f t="shared" si="11"/>
        <v>2027</v>
      </c>
      <c r="J46" s="73">
        <f t="shared" si="11"/>
        <v>2028</v>
      </c>
      <c r="K46" s="73">
        <f t="shared" si="11"/>
        <v>2029</v>
      </c>
      <c r="L46" s="73">
        <f t="shared" si="11"/>
        <v>2030</v>
      </c>
      <c r="M46" s="73">
        <f t="shared" si="11"/>
        <v>2031</v>
      </c>
      <c r="N46" s="110"/>
      <c r="O46" s="421"/>
    </row>
    <row r="47" spans="1:15">
      <c r="A47" s="586">
        <f>ROW()</f>
        <v>47</v>
      </c>
      <c r="B47" s="200" t="s">
        <v>436</v>
      </c>
      <c r="C47" s="115"/>
      <c r="D47" s="115"/>
      <c r="E47" s="115"/>
      <c r="F47" s="115"/>
      <c r="G47" s="115"/>
      <c r="H47" s="115"/>
      <c r="I47" s="104"/>
      <c r="J47" s="104"/>
      <c r="K47" s="104"/>
      <c r="L47" s="104"/>
      <c r="M47" s="104"/>
      <c r="N47" s="110"/>
      <c r="O47" s="421"/>
    </row>
    <row r="48" spans="1:15">
      <c r="A48" s="586">
        <f>ROW()</f>
        <v>48</v>
      </c>
      <c r="B48" s="141" t="s">
        <v>437</v>
      </c>
      <c r="C48" s="46"/>
      <c r="D48" s="46"/>
      <c r="E48" s="46"/>
      <c r="F48" s="46"/>
      <c r="G48" s="116"/>
      <c r="H48" s="105"/>
      <c r="I48" s="106"/>
      <c r="J48" s="106"/>
      <c r="K48" s="106"/>
      <c r="L48" s="106"/>
      <c r="M48" s="106"/>
      <c r="N48" s="110"/>
      <c r="O48" s="421"/>
    </row>
    <row r="49" spans="1:15">
      <c r="A49" s="586">
        <f>ROW()</f>
        <v>49</v>
      </c>
      <c r="B49" s="46" t="s">
        <v>438</v>
      </c>
      <c r="C49" s="1003">
        <f>5400*C51</f>
        <v>3779.9999999999995</v>
      </c>
      <c r="D49" s="105" t="s">
        <v>439</v>
      </c>
      <c r="E49" s="105"/>
      <c r="F49" s="105"/>
      <c r="I49" s="106"/>
      <c r="J49" s="106"/>
      <c r="K49" s="106"/>
      <c r="L49" s="106"/>
      <c r="M49" s="106"/>
      <c r="N49" s="110"/>
      <c r="O49" s="421" t="s">
        <v>1341</v>
      </c>
    </row>
    <row r="50" spans="1:15">
      <c r="A50" s="586">
        <f>ROW()</f>
        <v>50</v>
      </c>
      <c r="B50" s="46" t="s">
        <v>440</v>
      </c>
      <c r="C50" s="1003">
        <f>8000*C51</f>
        <v>5600</v>
      </c>
      <c r="D50" s="105" t="s">
        <v>439</v>
      </c>
      <c r="E50" s="105"/>
      <c r="F50" s="105"/>
      <c r="I50" s="106"/>
      <c r="J50" s="106"/>
      <c r="K50" s="106"/>
      <c r="L50" s="106"/>
      <c r="M50" s="106"/>
      <c r="N50" s="110"/>
      <c r="O50" s="421" t="s">
        <v>1341</v>
      </c>
    </row>
    <row r="51" spans="1:15">
      <c r="A51" s="586">
        <f>ROW()</f>
        <v>51</v>
      </c>
      <c r="B51" s="46" t="s">
        <v>441</v>
      </c>
      <c r="C51" s="1004">
        <v>0.7</v>
      </c>
      <c r="D51" s="105"/>
      <c r="E51" s="105"/>
      <c r="F51" s="105"/>
      <c r="I51" s="106"/>
      <c r="J51" s="106"/>
      <c r="K51" s="106"/>
      <c r="L51" s="106"/>
      <c r="M51" s="106"/>
      <c r="N51" s="110"/>
      <c r="O51" s="421"/>
    </row>
    <row r="52" spans="1:15">
      <c r="A52" s="586">
        <f>ROW()</f>
        <v>52</v>
      </c>
      <c r="B52" s="46" t="s">
        <v>442</v>
      </c>
      <c r="C52" s="1004">
        <v>0.7</v>
      </c>
      <c r="D52" s="105"/>
      <c r="E52" s="105"/>
      <c r="F52" s="105"/>
      <c r="I52" s="106"/>
      <c r="J52" s="106"/>
      <c r="K52" s="106"/>
      <c r="L52" s="106"/>
      <c r="M52" s="106"/>
      <c r="N52" s="110"/>
      <c r="O52" s="421"/>
    </row>
    <row r="53" spans="1:15">
      <c r="A53" s="586">
        <f>ROW()</f>
        <v>53</v>
      </c>
      <c r="B53" s="46" t="s">
        <v>443</v>
      </c>
      <c r="C53" s="1005">
        <f>(C52*C49)+((1-C52)*C50)</f>
        <v>4326</v>
      </c>
      <c r="D53" s="105" t="s">
        <v>444</v>
      </c>
      <c r="E53" s="105"/>
      <c r="F53" s="105"/>
      <c r="I53" s="106"/>
      <c r="J53" s="106"/>
      <c r="K53" s="106"/>
      <c r="L53" s="106"/>
      <c r="M53" s="106"/>
      <c r="N53" s="110"/>
      <c r="O53" s="421"/>
    </row>
    <row r="54" spans="1:15">
      <c r="A54" s="586">
        <f>ROW()</f>
        <v>54</v>
      </c>
      <c r="B54" s="46" t="s">
        <v>445</v>
      </c>
      <c r="C54" s="854">
        <v>1.4500000000000001E-2</v>
      </c>
      <c r="D54" s="105" t="s">
        <v>446</v>
      </c>
      <c r="E54" s="105"/>
      <c r="F54" s="105"/>
      <c r="I54" s="106"/>
      <c r="J54" s="106"/>
      <c r="K54" s="106"/>
      <c r="L54" s="106"/>
      <c r="M54" s="106"/>
      <c r="N54" s="110"/>
      <c r="O54" s="421"/>
    </row>
    <row r="55" spans="1:15">
      <c r="A55" s="586">
        <f>ROW()</f>
        <v>55</v>
      </c>
      <c r="B55" s="46" t="s">
        <v>447</v>
      </c>
      <c r="C55" s="854">
        <v>0.1525</v>
      </c>
      <c r="D55" s="105" t="s">
        <v>446</v>
      </c>
      <c r="E55" s="105"/>
      <c r="F55" s="105"/>
      <c r="I55" s="106"/>
      <c r="J55" s="106"/>
      <c r="K55" s="106"/>
      <c r="L55" s="106"/>
      <c r="M55" s="106"/>
      <c r="N55" s="110"/>
      <c r="O55" s="421"/>
    </row>
    <row r="56" spans="1:15">
      <c r="A56" s="586">
        <f>ROW()</f>
        <v>56</v>
      </c>
      <c r="B56" s="46" t="s">
        <v>448</v>
      </c>
      <c r="C56" s="854">
        <v>0.01</v>
      </c>
      <c r="D56" s="105" t="s">
        <v>446</v>
      </c>
      <c r="E56" s="105"/>
      <c r="F56" s="105"/>
      <c r="I56" s="106"/>
      <c r="J56" s="106"/>
      <c r="K56" s="106"/>
      <c r="L56" s="106"/>
      <c r="M56" s="106"/>
      <c r="N56" s="110"/>
      <c r="O56" s="421"/>
    </row>
    <row r="57" spans="1:15">
      <c r="A57" s="586">
        <f>ROW()</f>
        <v>57</v>
      </c>
      <c r="B57" s="46" t="s">
        <v>449</v>
      </c>
      <c r="C57" s="1006">
        <v>0</v>
      </c>
      <c r="D57" s="105" t="s">
        <v>450</v>
      </c>
      <c r="E57" s="105"/>
      <c r="F57" s="105"/>
      <c r="I57" s="106"/>
      <c r="J57" s="106"/>
      <c r="K57" s="106"/>
      <c r="L57" s="106"/>
      <c r="M57" s="106"/>
      <c r="N57" s="110"/>
      <c r="O57" s="421"/>
    </row>
    <row r="58" spans="1:15">
      <c r="A58" s="586">
        <f>ROW()</f>
        <v>58</v>
      </c>
      <c r="B58" s="46" t="s">
        <v>451</v>
      </c>
      <c r="C58" s="1003">
        <f>0.05%*(H389/H25)</f>
        <v>28.32391304347826</v>
      </c>
      <c r="D58" s="105" t="s">
        <v>450</v>
      </c>
      <c r="E58" s="105"/>
      <c r="F58" s="105"/>
      <c r="I58" s="106"/>
      <c r="J58" s="106"/>
      <c r="K58" s="106"/>
      <c r="L58" s="106"/>
      <c r="M58" s="106"/>
      <c r="N58" s="110"/>
      <c r="O58" s="421" t="s">
        <v>1334</v>
      </c>
    </row>
    <row r="59" spans="1:15">
      <c r="A59" s="586">
        <f>ROW()</f>
        <v>59</v>
      </c>
      <c r="B59" s="46" t="s">
        <v>452</v>
      </c>
      <c r="C59" s="1003">
        <v>700</v>
      </c>
      <c r="D59" s="105" t="s">
        <v>450</v>
      </c>
      <c r="E59" s="105"/>
      <c r="F59" s="105"/>
      <c r="I59" s="106"/>
      <c r="J59" s="106"/>
      <c r="K59" s="106"/>
      <c r="L59" s="106"/>
      <c r="M59" s="106"/>
      <c r="N59" s="110"/>
      <c r="O59" s="421" t="s">
        <v>1335</v>
      </c>
    </row>
    <row r="60" spans="1:15">
      <c r="A60" s="586">
        <f>ROW()</f>
        <v>60</v>
      </c>
      <c r="B60" s="46"/>
      <c r="C60" s="109"/>
      <c r="D60" s="105"/>
      <c r="E60" s="105"/>
      <c r="F60" s="105"/>
      <c r="I60" s="106"/>
      <c r="J60" s="106"/>
      <c r="K60" s="106"/>
      <c r="L60" s="106"/>
      <c r="M60" s="106"/>
      <c r="N60" s="110"/>
      <c r="O60" s="421"/>
    </row>
    <row r="61" spans="1:15">
      <c r="A61" s="586">
        <f>ROW()</f>
        <v>61</v>
      </c>
      <c r="B61" s="46" t="s">
        <v>392</v>
      </c>
      <c r="C61" s="1003">
        <v>8</v>
      </c>
      <c r="D61" s="105" t="s">
        <v>453</v>
      </c>
      <c r="E61" s="105"/>
      <c r="F61" s="105"/>
      <c r="I61" s="106"/>
      <c r="J61" s="106"/>
      <c r="K61" s="106"/>
      <c r="L61" s="106"/>
      <c r="M61" s="106"/>
      <c r="N61" s="110"/>
      <c r="O61" s="421" t="s">
        <v>1342</v>
      </c>
    </row>
    <row r="62" spans="1:15">
      <c r="A62" s="586">
        <f>ROW()</f>
        <v>62</v>
      </c>
      <c r="B62" s="46" t="s">
        <v>454</v>
      </c>
      <c r="C62" s="821" t="s">
        <v>455</v>
      </c>
      <c r="D62" s="105"/>
      <c r="E62" s="105"/>
      <c r="F62" s="105"/>
      <c r="I62" s="106"/>
      <c r="J62" s="106"/>
      <c r="K62" s="106"/>
      <c r="L62" s="106"/>
      <c r="M62" s="106"/>
      <c r="N62" s="110"/>
      <c r="O62" s="421"/>
    </row>
    <row r="63" spans="1:15">
      <c r="A63" s="586">
        <f>ROW()</f>
        <v>63</v>
      </c>
      <c r="B63" s="52" t="s">
        <v>456</v>
      </c>
      <c r="C63" s="854">
        <f>+' Enrol &amp; Rev'!C67</f>
        <v>0.01</v>
      </c>
      <c r="D63" s="46" t="s">
        <v>457</v>
      </c>
      <c r="E63" s="52"/>
      <c r="F63" s="52"/>
      <c r="G63" s="82"/>
      <c r="H63" s="82"/>
      <c r="I63" s="36"/>
      <c r="J63" s="36"/>
      <c r="K63" s="36"/>
      <c r="L63" s="36"/>
      <c r="M63" s="36"/>
      <c r="N63" s="110"/>
      <c r="O63" s="421"/>
    </row>
    <row r="64" spans="1:15">
      <c r="A64" s="586">
        <f>ROW()</f>
        <v>64</v>
      </c>
      <c r="N64" s="110"/>
      <c r="O64" s="421"/>
    </row>
    <row r="65" spans="1:15">
      <c r="A65" s="586">
        <f>ROW()</f>
        <v>65</v>
      </c>
      <c r="B65" s="46" t="s">
        <v>458</v>
      </c>
      <c r="C65" s="173">
        <v>184</v>
      </c>
      <c r="D65" s="357"/>
      <c r="E65" s="357"/>
      <c r="F65" s="357"/>
      <c r="H65" s="82"/>
      <c r="I65" s="36"/>
      <c r="J65" s="36"/>
      <c r="K65" s="36"/>
      <c r="L65" s="36"/>
      <c r="M65" s="36"/>
      <c r="N65" s="110"/>
      <c r="O65" s="421"/>
    </row>
    <row r="66" spans="1:15">
      <c r="A66" s="586">
        <f>ROW()</f>
        <v>66</v>
      </c>
      <c r="B66" s="46" t="s">
        <v>459</v>
      </c>
      <c r="C66" s="174">
        <v>0</v>
      </c>
      <c r="D66" s="358"/>
      <c r="E66" s="358"/>
      <c r="F66" s="358"/>
      <c r="H66" s="46"/>
      <c r="N66" s="110"/>
      <c r="O66" s="421"/>
    </row>
    <row r="67" spans="1:15">
      <c r="A67" s="586">
        <f>ROW()</f>
        <v>67</v>
      </c>
      <c r="B67" s="46" t="s">
        <v>460</v>
      </c>
      <c r="C67" s="174">
        <v>0</v>
      </c>
      <c r="D67" s="358"/>
      <c r="E67" s="358"/>
      <c r="F67" s="358"/>
      <c r="H67" s="46"/>
      <c r="N67" s="110"/>
      <c r="O67" s="421"/>
    </row>
    <row r="68" spans="1:15">
      <c r="A68" s="586">
        <f>ROW()</f>
        <v>68</v>
      </c>
      <c r="B68" s="46" t="s">
        <v>461</v>
      </c>
      <c r="C68" s="175">
        <v>0</v>
      </c>
      <c r="D68" s="359"/>
      <c r="E68" s="359"/>
      <c r="F68" s="359"/>
      <c r="H68" s="46"/>
      <c r="N68" s="110"/>
      <c r="O68" s="421"/>
    </row>
    <row r="69" spans="1:15">
      <c r="A69" s="586">
        <f>ROW()</f>
        <v>69</v>
      </c>
      <c r="H69" s="117"/>
      <c r="I69" s="117"/>
      <c r="J69" s="117"/>
      <c r="N69" s="110"/>
      <c r="O69" s="421"/>
    </row>
    <row r="70" spans="1:15" ht="15.75">
      <c r="A70" s="586">
        <f>ROW()</f>
        <v>70</v>
      </c>
      <c r="G70" s="973" t="s">
        <v>462</v>
      </c>
      <c r="H70" s="568"/>
      <c r="I70" s="568"/>
      <c r="J70" s="568"/>
      <c r="K70" s="569"/>
      <c r="L70" s="569"/>
      <c r="M70" s="569"/>
      <c r="N70" s="110"/>
      <c r="O70" s="421"/>
    </row>
    <row r="71" spans="1:15" outlineLevel="1">
      <c r="A71" s="586">
        <f>ROW()</f>
        <v>71</v>
      </c>
      <c r="C71" s="36" t="s">
        <v>463</v>
      </c>
      <c r="D71" s="36" t="s">
        <v>464</v>
      </c>
      <c r="E71" s="36"/>
      <c r="F71" s="36"/>
      <c r="H71" s="117"/>
      <c r="I71" s="117"/>
      <c r="J71" s="117"/>
      <c r="N71" s="110"/>
      <c r="O71" s="421"/>
    </row>
    <row r="72" spans="1:15" ht="30" outlineLevel="1">
      <c r="A72" s="1094">
        <f>ROW()</f>
        <v>72</v>
      </c>
      <c r="B72" s="83" t="s">
        <v>465</v>
      </c>
      <c r="C72" s="64">
        <f>' Enrol &amp; Rev'!$H$10</f>
        <v>2025</v>
      </c>
      <c r="D72" s="179" t="s">
        <v>466</v>
      </c>
      <c r="E72" s="137"/>
      <c r="F72" s="137"/>
      <c r="I72" s="137"/>
      <c r="J72" s="137"/>
      <c r="N72" s="110"/>
      <c r="O72" s="421"/>
    </row>
    <row r="73" spans="1:15" outlineLevel="1">
      <c r="A73" s="586">
        <f>ROW()</f>
        <v>73</v>
      </c>
      <c r="B73" s="820" t="s">
        <v>467</v>
      </c>
      <c r="C73" s="198"/>
      <c r="D73" s="199"/>
      <c r="E73" s="276"/>
      <c r="F73" s="276"/>
      <c r="G73" s="978" t="str">
        <f>+B73&amp;" "&amp;"Enter automatically or manually (hard code)"</f>
        <v>FTE Count Enter automatically or manually (hard code)</v>
      </c>
      <c r="H73" s="277"/>
      <c r="I73" s="276"/>
      <c r="J73" s="276"/>
      <c r="K73" s="277"/>
      <c r="L73" s="277"/>
      <c r="M73" s="277"/>
      <c r="N73" s="110"/>
      <c r="O73" s="80" t="s">
        <v>468</v>
      </c>
    </row>
    <row r="74" spans="1:15" outlineLevel="1">
      <c r="A74" s="586">
        <f>ROW()</f>
        <v>74</v>
      </c>
      <c r="B74" s="201" t="s">
        <v>469</v>
      </c>
      <c r="C74" s="64" t="s">
        <v>463</v>
      </c>
      <c r="D74" s="64"/>
      <c r="E74" s="64"/>
      <c r="F74" s="64"/>
      <c r="G74" s="71"/>
      <c r="H74" s="64"/>
      <c r="I74" s="64"/>
      <c r="J74" s="64"/>
      <c r="K74" s="71"/>
      <c r="L74" s="71"/>
      <c r="M74" s="71"/>
      <c r="N74" s="110"/>
      <c r="O74" s="842" t="s">
        <v>470</v>
      </c>
    </row>
    <row r="75" spans="1:15" outlineLevel="1">
      <c r="A75" s="586">
        <f>ROW()</f>
        <v>75</v>
      </c>
      <c r="B75" s="221" t="s">
        <v>1218</v>
      </c>
      <c r="C75" s="222">
        <v>2026</v>
      </c>
      <c r="D75" s="223">
        <v>105000</v>
      </c>
      <c r="E75" s="360"/>
      <c r="F75" s="360"/>
      <c r="G75" s="1648">
        <v>0</v>
      </c>
      <c r="H75" s="856">
        <v>1</v>
      </c>
      <c r="I75" s="856">
        <v>1</v>
      </c>
      <c r="J75" s="856">
        <v>1</v>
      </c>
      <c r="K75" s="856">
        <v>1</v>
      </c>
      <c r="L75" s="856">
        <v>1</v>
      </c>
      <c r="M75" s="856">
        <v>1</v>
      </c>
      <c r="N75" s="110"/>
      <c r="O75" s="421"/>
    </row>
    <row r="76" spans="1:15" outlineLevel="1">
      <c r="A76" s="586">
        <f>ROW()</f>
        <v>76</v>
      </c>
      <c r="B76" s="176" t="s">
        <v>1219</v>
      </c>
      <c r="C76" s="177">
        <v>2026</v>
      </c>
      <c r="D76" s="180">
        <v>85000</v>
      </c>
      <c r="E76" s="361"/>
      <c r="F76" s="361"/>
      <c r="G76" s="1645">
        <v>0</v>
      </c>
      <c r="H76" s="855">
        <v>1</v>
      </c>
      <c r="I76" s="855">
        <v>1</v>
      </c>
      <c r="J76" s="855">
        <v>1</v>
      </c>
      <c r="K76" s="855">
        <v>1</v>
      </c>
      <c r="L76" s="855">
        <v>1</v>
      </c>
      <c r="M76" s="855">
        <v>1</v>
      </c>
      <c r="N76" s="110"/>
      <c r="O76" s="421" t="s">
        <v>1391</v>
      </c>
    </row>
    <row r="77" spans="1:15" outlineLevel="1">
      <c r="A77" s="586">
        <f>ROW()</f>
        <v>77</v>
      </c>
      <c r="B77" s="176" t="s">
        <v>1220</v>
      </c>
      <c r="C77" s="177">
        <v>2026</v>
      </c>
      <c r="D77" s="180">
        <v>90000</v>
      </c>
      <c r="E77" s="361"/>
      <c r="F77" s="361"/>
      <c r="G77" s="855">
        <v>0</v>
      </c>
      <c r="H77" s="855">
        <v>0.5</v>
      </c>
      <c r="I77" s="855">
        <v>0.5</v>
      </c>
      <c r="J77" s="855">
        <v>0.5</v>
      </c>
      <c r="K77" s="855">
        <v>0.5</v>
      </c>
      <c r="L77" s="855">
        <v>0.5</v>
      </c>
      <c r="M77" s="855">
        <v>0.5</v>
      </c>
      <c r="O77" s="421" t="s">
        <v>1339</v>
      </c>
    </row>
    <row r="78" spans="1:15" outlineLevel="1">
      <c r="A78" s="586">
        <f>ROW()</f>
        <v>78</v>
      </c>
      <c r="B78" s="176"/>
      <c r="C78" s="177" t="s">
        <v>471</v>
      </c>
      <c r="D78" s="180">
        <v>0</v>
      </c>
      <c r="E78" s="361"/>
      <c r="F78" s="361"/>
      <c r="G78" s="855">
        <f t="shared" ref="G78:M79" si="12">IF($C78&lt;=G$10,1,0)</f>
        <v>0</v>
      </c>
      <c r="H78" s="855">
        <f t="shared" si="12"/>
        <v>0</v>
      </c>
      <c r="I78" s="855">
        <f t="shared" si="12"/>
        <v>0</v>
      </c>
      <c r="J78" s="855">
        <f t="shared" si="12"/>
        <v>0</v>
      </c>
      <c r="K78" s="855">
        <f t="shared" si="12"/>
        <v>0</v>
      </c>
      <c r="L78" s="855">
        <f t="shared" si="12"/>
        <v>0</v>
      </c>
      <c r="M78" s="855">
        <f t="shared" si="12"/>
        <v>0</v>
      </c>
      <c r="O78" s="421"/>
    </row>
    <row r="79" spans="1:15" outlineLevel="1">
      <c r="A79" s="586">
        <f>ROW()</f>
        <v>79</v>
      </c>
      <c r="B79" s="176"/>
      <c r="C79" s="177" t="s">
        <v>471</v>
      </c>
      <c r="D79" s="180">
        <v>0</v>
      </c>
      <c r="E79" s="361"/>
      <c r="F79" s="361"/>
      <c r="G79" s="855">
        <f t="shared" si="12"/>
        <v>0</v>
      </c>
      <c r="H79" s="855">
        <f t="shared" si="12"/>
        <v>0</v>
      </c>
      <c r="I79" s="855">
        <f t="shared" si="12"/>
        <v>0</v>
      </c>
      <c r="J79" s="855">
        <f t="shared" si="12"/>
        <v>0</v>
      </c>
      <c r="K79" s="855">
        <f t="shared" si="12"/>
        <v>0</v>
      </c>
      <c r="L79" s="855">
        <f t="shared" si="12"/>
        <v>0</v>
      </c>
      <c r="M79" s="855">
        <f t="shared" si="12"/>
        <v>0</v>
      </c>
      <c r="O79" s="421"/>
    </row>
    <row r="80" spans="1:15" outlineLevel="1">
      <c r="A80" s="586">
        <f>ROW()</f>
        <v>80</v>
      </c>
      <c r="C80" s="65"/>
      <c r="D80" s="118"/>
      <c r="E80" s="118"/>
      <c r="F80" s="118"/>
      <c r="G80" s="61"/>
      <c r="H80" s="61"/>
      <c r="I80" s="61"/>
      <c r="J80" s="61"/>
      <c r="K80" s="61"/>
      <c r="L80" s="61"/>
      <c r="M80" s="61"/>
      <c r="O80" s="421"/>
    </row>
    <row r="81" spans="1:15" outlineLevel="1">
      <c r="A81" s="586">
        <f>ROW()</f>
        <v>81</v>
      </c>
      <c r="B81" s="147" t="s">
        <v>472</v>
      </c>
      <c r="C81" s="144"/>
      <c r="D81" s="206"/>
      <c r="E81" s="206"/>
      <c r="F81" s="206"/>
      <c r="G81" s="422">
        <f t="shared" ref="G81:M81" si="13">SUM(G75:G79)</f>
        <v>0</v>
      </c>
      <c r="H81" s="422">
        <f t="shared" si="13"/>
        <v>2.5</v>
      </c>
      <c r="I81" s="422">
        <f t="shared" si="13"/>
        <v>2.5</v>
      </c>
      <c r="J81" s="422">
        <f t="shared" si="13"/>
        <v>2.5</v>
      </c>
      <c r="K81" s="422">
        <f t="shared" si="13"/>
        <v>2.5</v>
      </c>
      <c r="L81" s="422">
        <f t="shared" si="13"/>
        <v>2.5</v>
      </c>
      <c r="M81" s="422">
        <f t="shared" si="13"/>
        <v>2.5</v>
      </c>
      <c r="O81" s="421"/>
    </row>
    <row r="82" spans="1:15" outlineLevel="1">
      <c r="A82" s="586">
        <f>ROW()</f>
        <v>82</v>
      </c>
      <c r="B82" s="194"/>
      <c r="C82" s="194"/>
      <c r="D82" s="204"/>
      <c r="E82" s="204"/>
      <c r="F82" s="204"/>
      <c r="G82" s="202"/>
      <c r="H82" s="202"/>
      <c r="I82" s="196"/>
      <c r="J82" s="196"/>
      <c r="K82" s="196"/>
      <c r="L82" s="196"/>
      <c r="M82" s="196"/>
      <c r="N82" s="61"/>
      <c r="O82" s="421"/>
    </row>
    <row r="83" spans="1:15" outlineLevel="1">
      <c r="A83" s="586">
        <f>ROW()</f>
        <v>83</v>
      </c>
      <c r="B83" s="201" t="s">
        <v>473</v>
      </c>
      <c r="C83" s="71"/>
      <c r="D83" s="225"/>
      <c r="E83" s="225"/>
      <c r="F83" s="225"/>
      <c r="G83" s="226"/>
      <c r="H83" s="226"/>
      <c r="I83" s="210"/>
      <c r="J83" s="210"/>
      <c r="K83" s="210"/>
      <c r="L83" s="210"/>
      <c r="M83" s="210"/>
      <c r="N83" s="61"/>
      <c r="O83" s="421"/>
    </row>
    <row r="84" spans="1:15" outlineLevel="1">
      <c r="A84" s="586">
        <f>ROW()</f>
        <v>84</v>
      </c>
      <c r="B84" s="221" t="s">
        <v>474</v>
      </c>
      <c r="C84" s="222">
        <v>2026</v>
      </c>
      <c r="D84" s="224">
        <v>40000</v>
      </c>
      <c r="E84" s="362"/>
      <c r="F84" s="362"/>
      <c r="G84" s="1648">
        <v>0</v>
      </c>
      <c r="H84" s="856">
        <v>0</v>
      </c>
      <c r="I84" s="856">
        <v>1</v>
      </c>
      <c r="J84" s="856">
        <v>1</v>
      </c>
      <c r="K84" s="856">
        <v>1</v>
      </c>
      <c r="L84" s="856">
        <v>1</v>
      </c>
      <c r="M84" s="856">
        <v>1</v>
      </c>
      <c r="N84" s="61"/>
      <c r="O84" s="421"/>
    </row>
    <row r="85" spans="1:15" outlineLevel="1">
      <c r="A85" s="586">
        <f>ROW()</f>
        <v>85</v>
      </c>
      <c r="B85" s="176" t="s">
        <v>475</v>
      </c>
      <c r="C85" s="177" t="s">
        <v>471</v>
      </c>
      <c r="D85" s="180"/>
      <c r="E85" s="361"/>
      <c r="F85" s="361"/>
      <c r="G85" s="855">
        <f t="shared" ref="G85:M87" si="14">IF($C85&lt;=G$10,1,0)</f>
        <v>0</v>
      </c>
      <c r="H85" s="855">
        <f t="shared" si="14"/>
        <v>0</v>
      </c>
      <c r="I85" s="855">
        <f t="shared" si="14"/>
        <v>0</v>
      </c>
      <c r="J85" s="855">
        <f t="shared" si="14"/>
        <v>0</v>
      </c>
      <c r="K85" s="855">
        <f t="shared" si="14"/>
        <v>0</v>
      </c>
      <c r="L85" s="855">
        <f t="shared" si="14"/>
        <v>0</v>
      </c>
      <c r="M85" s="855">
        <f t="shared" si="14"/>
        <v>0</v>
      </c>
      <c r="N85" s="61"/>
      <c r="O85" s="421"/>
    </row>
    <row r="86" spans="1:15" outlineLevel="1">
      <c r="A86" s="586">
        <f>ROW()</f>
        <v>86</v>
      </c>
      <c r="B86" s="176" t="s">
        <v>476</v>
      </c>
      <c r="C86" s="177" t="s">
        <v>471</v>
      </c>
      <c r="D86" s="180">
        <v>0</v>
      </c>
      <c r="E86" s="361"/>
      <c r="F86" s="361"/>
      <c r="G86" s="855">
        <f t="shared" si="14"/>
        <v>0</v>
      </c>
      <c r="H86" s="855">
        <f t="shared" si="14"/>
        <v>0</v>
      </c>
      <c r="I86" s="855">
        <f t="shared" si="14"/>
        <v>0</v>
      </c>
      <c r="J86" s="855">
        <f t="shared" si="14"/>
        <v>0</v>
      </c>
      <c r="K86" s="855">
        <f t="shared" si="14"/>
        <v>0</v>
      </c>
      <c r="L86" s="855">
        <f t="shared" si="14"/>
        <v>0</v>
      </c>
      <c r="M86" s="855">
        <f t="shared" si="14"/>
        <v>0</v>
      </c>
      <c r="N86" s="61"/>
      <c r="O86" s="421"/>
    </row>
    <row r="87" spans="1:15" outlineLevel="1">
      <c r="A87" s="586">
        <f>ROW()</f>
        <v>87</v>
      </c>
      <c r="B87" s="176" t="s">
        <v>477</v>
      </c>
      <c r="C87" s="178" t="s">
        <v>471</v>
      </c>
      <c r="D87" s="181">
        <v>0</v>
      </c>
      <c r="E87" s="361"/>
      <c r="F87" s="361"/>
      <c r="G87" s="855">
        <f t="shared" si="14"/>
        <v>0</v>
      </c>
      <c r="H87" s="855">
        <f t="shared" si="14"/>
        <v>0</v>
      </c>
      <c r="I87" s="855">
        <f t="shared" si="14"/>
        <v>0</v>
      </c>
      <c r="J87" s="855">
        <f t="shared" si="14"/>
        <v>0</v>
      </c>
      <c r="K87" s="855">
        <f t="shared" si="14"/>
        <v>0</v>
      </c>
      <c r="L87" s="855">
        <f t="shared" si="14"/>
        <v>0</v>
      </c>
      <c r="M87" s="855">
        <f t="shared" si="14"/>
        <v>0</v>
      </c>
      <c r="N87" s="61"/>
      <c r="O87" s="421"/>
    </row>
    <row r="88" spans="1:15" outlineLevel="1">
      <c r="A88" s="586">
        <f>ROW()</f>
        <v>88</v>
      </c>
      <c r="D88" s="119"/>
      <c r="E88" s="119"/>
      <c r="F88" s="119"/>
      <c r="G88" s="61"/>
      <c r="H88" s="61"/>
      <c r="I88" s="61"/>
      <c r="J88" s="61"/>
      <c r="K88" s="61"/>
      <c r="L88" s="61"/>
      <c r="M88" s="61"/>
      <c r="N88" s="61"/>
      <c r="O88" s="421"/>
    </row>
    <row r="89" spans="1:15" outlineLevel="1">
      <c r="A89" s="586">
        <f>ROW()</f>
        <v>89</v>
      </c>
      <c r="B89" s="147" t="s">
        <v>478</v>
      </c>
      <c r="C89" s="144"/>
      <c r="D89" s="207"/>
      <c r="E89" s="207"/>
      <c r="F89" s="207"/>
      <c r="G89" s="422">
        <f t="shared" ref="G89:M89" si="15">SUM(G84:G87)+G81</f>
        <v>0</v>
      </c>
      <c r="H89" s="422">
        <f t="shared" si="15"/>
        <v>2.5</v>
      </c>
      <c r="I89" s="422">
        <f t="shared" si="15"/>
        <v>3.5</v>
      </c>
      <c r="J89" s="422">
        <f t="shared" si="15"/>
        <v>3.5</v>
      </c>
      <c r="K89" s="422">
        <f t="shared" si="15"/>
        <v>3.5</v>
      </c>
      <c r="L89" s="422">
        <f t="shared" si="15"/>
        <v>3.5</v>
      </c>
      <c r="M89" s="422">
        <f t="shared" si="15"/>
        <v>3.5</v>
      </c>
      <c r="N89" s="61"/>
      <c r="O89" s="421"/>
    </row>
    <row r="90" spans="1:15" outlineLevel="1">
      <c r="A90" s="586">
        <f>ROW()</f>
        <v>90</v>
      </c>
      <c r="B90" s="194"/>
      <c r="C90" s="194"/>
      <c r="D90" s="195"/>
      <c r="E90" s="195"/>
      <c r="F90" s="195"/>
      <c r="G90" s="194"/>
      <c r="H90" s="194"/>
      <c r="I90" s="194"/>
      <c r="J90" s="196"/>
      <c r="K90" s="196"/>
      <c r="L90" s="196"/>
      <c r="M90" s="196"/>
      <c r="N90" s="61"/>
      <c r="O90" s="421"/>
    </row>
    <row r="91" spans="1:15" outlineLevel="1">
      <c r="A91" s="586">
        <f>ROW()</f>
        <v>91</v>
      </c>
      <c r="B91" s="201" t="s">
        <v>479</v>
      </c>
      <c r="C91" s="71"/>
      <c r="D91" s="225"/>
      <c r="E91" s="225"/>
      <c r="F91" s="225"/>
      <c r="G91" s="71"/>
      <c r="H91" s="71"/>
      <c r="I91" s="71"/>
      <c r="J91" s="210"/>
      <c r="K91" s="210"/>
      <c r="L91" s="210"/>
      <c r="M91" s="210"/>
      <c r="N91" s="61"/>
      <c r="O91" s="421"/>
    </row>
    <row r="92" spans="1:15" outlineLevel="1">
      <c r="A92" s="586">
        <f>ROW()</f>
        <v>92</v>
      </c>
      <c r="B92" s="227" t="s">
        <v>480</v>
      </c>
      <c r="C92" s="228">
        <v>2026</v>
      </c>
      <c r="D92" s="229">
        <v>50000</v>
      </c>
      <c r="E92" s="362"/>
      <c r="F92" s="362"/>
      <c r="G92" s="1648">
        <v>0</v>
      </c>
      <c r="H92" s="856">
        <v>0.25</v>
      </c>
      <c r="I92" s="856">
        <v>0.5</v>
      </c>
      <c r="J92" s="1638">
        <f t="shared" ref="G92:M100" si="16">IF($C92&lt;=J$10,1,0)</f>
        <v>1</v>
      </c>
      <c r="K92" s="856">
        <f t="shared" si="16"/>
        <v>1</v>
      </c>
      <c r="L92" s="856">
        <f t="shared" si="16"/>
        <v>1</v>
      </c>
      <c r="M92" s="856">
        <f t="shared" si="16"/>
        <v>1</v>
      </c>
      <c r="N92" s="61"/>
      <c r="O92" s="421" t="s">
        <v>1224</v>
      </c>
    </row>
    <row r="93" spans="1:15" outlineLevel="1">
      <c r="A93" s="586">
        <f>ROW()</f>
        <v>93</v>
      </c>
      <c r="B93" s="171" t="s">
        <v>1221</v>
      </c>
      <c r="C93" s="172">
        <v>2026</v>
      </c>
      <c r="D93" s="182">
        <v>50000</v>
      </c>
      <c r="E93" s="361"/>
      <c r="F93" s="361"/>
      <c r="G93" s="1645">
        <v>0</v>
      </c>
      <c r="H93" s="855">
        <v>0.75</v>
      </c>
      <c r="I93" s="855">
        <v>1</v>
      </c>
      <c r="J93" s="1639">
        <f t="shared" si="16"/>
        <v>1</v>
      </c>
      <c r="K93" s="855">
        <v>1</v>
      </c>
      <c r="L93" s="855">
        <v>1</v>
      </c>
      <c r="M93" s="855">
        <v>1</v>
      </c>
      <c r="N93" s="61"/>
      <c r="O93" s="421" t="s">
        <v>1328</v>
      </c>
    </row>
    <row r="94" spans="1:15" outlineLevel="1">
      <c r="A94" s="586">
        <f>ROW()</f>
        <v>94</v>
      </c>
      <c r="B94" s="171" t="s">
        <v>1222</v>
      </c>
      <c r="C94" s="172">
        <v>2027</v>
      </c>
      <c r="D94" s="182">
        <v>45000</v>
      </c>
      <c r="E94" s="361"/>
      <c r="F94" s="361"/>
      <c r="G94" s="1645">
        <v>0</v>
      </c>
      <c r="H94" s="855">
        <f t="shared" si="16"/>
        <v>0</v>
      </c>
      <c r="I94" s="855">
        <f t="shared" si="16"/>
        <v>1</v>
      </c>
      <c r="J94" s="856">
        <f t="shared" si="16"/>
        <v>1</v>
      </c>
      <c r="K94" s="855">
        <v>1</v>
      </c>
      <c r="L94" s="855">
        <v>1</v>
      </c>
      <c r="M94" s="855">
        <v>1</v>
      </c>
      <c r="N94" s="61"/>
      <c r="O94" s="421"/>
    </row>
    <row r="95" spans="1:15" outlineLevel="1">
      <c r="A95" s="586">
        <f>ROW()</f>
        <v>95</v>
      </c>
      <c r="B95" s="171" t="s">
        <v>1223</v>
      </c>
      <c r="C95" s="172">
        <v>2028</v>
      </c>
      <c r="D95" s="182">
        <v>45000</v>
      </c>
      <c r="E95" s="361"/>
      <c r="F95" s="361"/>
      <c r="G95" s="1645">
        <f t="shared" si="16"/>
        <v>0</v>
      </c>
      <c r="H95" s="855">
        <f t="shared" si="16"/>
        <v>0</v>
      </c>
      <c r="I95" s="855">
        <f t="shared" si="16"/>
        <v>0</v>
      </c>
      <c r="J95" s="1639">
        <v>0.5</v>
      </c>
      <c r="K95" s="855">
        <v>0.5</v>
      </c>
      <c r="L95" s="855">
        <v>0.5</v>
      </c>
      <c r="M95" s="855">
        <v>0.5</v>
      </c>
      <c r="N95" s="61"/>
      <c r="O95" s="421" t="s">
        <v>1408</v>
      </c>
    </row>
    <row r="96" spans="1:15" outlineLevel="1">
      <c r="A96" s="586">
        <f>ROW()</f>
        <v>96</v>
      </c>
      <c r="B96" s="171"/>
      <c r="C96" s="172" t="s">
        <v>471</v>
      </c>
      <c r="D96" s="182"/>
      <c r="E96" s="361"/>
      <c r="F96" s="361"/>
      <c r="G96" s="855">
        <f t="shared" si="16"/>
        <v>0</v>
      </c>
      <c r="H96" s="855">
        <f t="shared" si="16"/>
        <v>0</v>
      </c>
      <c r="I96" s="855">
        <f t="shared" si="16"/>
        <v>0</v>
      </c>
      <c r="J96" s="855">
        <f t="shared" si="16"/>
        <v>0</v>
      </c>
      <c r="K96" s="855">
        <f t="shared" si="16"/>
        <v>0</v>
      </c>
      <c r="L96" s="855"/>
      <c r="M96" s="855"/>
      <c r="N96" s="61"/>
      <c r="O96" s="421"/>
    </row>
    <row r="97" spans="1:15" outlineLevel="1">
      <c r="A97" s="586">
        <f>ROW()</f>
        <v>97</v>
      </c>
      <c r="B97" s="171"/>
      <c r="C97" s="172" t="s">
        <v>471</v>
      </c>
      <c r="D97" s="182">
        <v>0</v>
      </c>
      <c r="E97" s="361"/>
      <c r="F97" s="361"/>
      <c r="G97" s="855">
        <f t="shared" si="16"/>
        <v>0</v>
      </c>
      <c r="H97" s="855">
        <f t="shared" si="16"/>
        <v>0</v>
      </c>
      <c r="I97" s="855">
        <f t="shared" si="16"/>
        <v>0</v>
      </c>
      <c r="J97" s="855">
        <f t="shared" si="16"/>
        <v>0</v>
      </c>
      <c r="K97" s="855">
        <f t="shared" si="16"/>
        <v>0</v>
      </c>
      <c r="L97" s="855">
        <f t="shared" si="16"/>
        <v>0</v>
      </c>
      <c r="M97" s="855">
        <f t="shared" si="16"/>
        <v>0</v>
      </c>
      <c r="N97" s="61"/>
      <c r="O97" s="421"/>
    </row>
    <row r="98" spans="1:15" outlineLevel="1">
      <c r="A98" s="586">
        <f>ROW()</f>
        <v>98</v>
      </c>
      <c r="B98" s="171"/>
      <c r="C98" s="172" t="s">
        <v>471</v>
      </c>
      <c r="D98" s="182">
        <v>0</v>
      </c>
      <c r="E98" s="361"/>
      <c r="F98" s="361"/>
      <c r="G98" s="855">
        <f t="shared" si="16"/>
        <v>0</v>
      </c>
      <c r="H98" s="855">
        <f t="shared" si="16"/>
        <v>0</v>
      </c>
      <c r="I98" s="855">
        <f t="shared" si="16"/>
        <v>0</v>
      </c>
      <c r="J98" s="855">
        <f t="shared" si="16"/>
        <v>0</v>
      </c>
      <c r="K98" s="855">
        <f t="shared" si="16"/>
        <v>0</v>
      </c>
      <c r="L98" s="855">
        <f t="shared" si="16"/>
        <v>0</v>
      </c>
      <c r="M98" s="855">
        <f t="shared" si="16"/>
        <v>0</v>
      </c>
      <c r="N98" s="61"/>
      <c r="O98" s="421"/>
    </row>
    <row r="99" spans="1:15" outlineLevel="1">
      <c r="A99" s="586">
        <f>ROW()</f>
        <v>99</v>
      </c>
      <c r="B99" s="171"/>
      <c r="C99" s="172" t="s">
        <v>471</v>
      </c>
      <c r="D99" s="182">
        <v>0</v>
      </c>
      <c r="E99" s="361"/>
      <c r="F99" s="361"/>
      <c r="G99" s="855">
        <f t="shared" si="16"/>
        <v>0</v>
      </c>
      <c r="H99" s="855">
        <f t="shared" si="16"/>
        <v>0</v>
      </c>
      <c r="I99" s="855">
        <f t="shared" si="16"/>
        <v>0</v>
      </c>
      <c r="J99" s="855">
        <f t="shared" si="16"/>
        <v>0</v>
      </c>
      <c r="K99" s="855">
        <f t="shared" si="16"/>
        <v>0</v>
      </c>
      <c r="L99" s="855">
        <f t="shared" si="16"/>
        <v>0</v>
      </c>
      <c r="M99" s="855">
        <f t="shared" si="16"/>
        <v>0</v>
      </c>
      <c r="N99" s="61"/>
      <c r="O99" s="421"/>
    </row>
    <row r="100" spans="1:15" outlineLevel="1">
      <c r="A100" s="586">
        <f>ROW()</f>
        <v>100</v>
      </c>
      <c r="B100" s="171"/>
      <c r="C100" s="172" t="s">
        <v>471</v>
      </c>
      <c r="D100" s="182">
        <v>0</v>
      </c>
      <c r="E100" s="361"/>
      <c r="F100" s="361"/>
      <c r="G100" s="857">
        <f t="shared" si="16"/>
        <v>0</v>
      </c>
      <c r="H100" s="857">
        <f t="shared" si="16"/>
        <v>0</v>
      </c>
      <c r="I100" s="857">
        <f t="shared" si="16"/>
        <v>0</v>
      </c>
      <c r="J100" s="857">
        <f t="shared" si="16"/>
        <v>0</v>
      </c>
      <c r="K100" s="857">
        <f t="shared" si="16"/>
        <v>0</v>
      </c>
      <c r="L100" s="857">
        <f t="shared" si="16"/>
        <v>0</v>
      </c>
      <c r="M100" s="857">
        <f t="shared" si="16"/>
        <v>0</v>
      </c>
      <c r="N100" s="61"/>
      <c r="O100" s="421"/>
    </row>
    <row r="101" spans="1:15" s="1610" customFormat="1" outlineLevel="1">
      <c r="A101" s="1604">
        <f>ROW()</f>
        <v>101</v>
      </c>
      <c r="B101" s="1605" t="s">
        <v>481</v>
      </c>
      <c r="C101" s="1605"/>
      <c r="D101" s="1605"/>
      <c r="E101" s="1605"/>
      <c r="F101" s="1605"/>
      <c r="G101" s="1606">
        <f t="shared" ref="G101:M101" si="17">SUM(G92:G100)</f>
        <v>0</v>
      </c>
      <c r="H101" s="1606">
        <f t="shared" si="17"/>
        <v>1</v>
      </c>
      <c r="I101" s="1607">
        <f t="shared" si="17"/>
        <v>2.5</v>
      </c>
      <c r="J101" s="1607">
        <f t="shared" si="17"/>
        <v>3.5</v>
      </c>
      <c r="K101" s="1607">
        <f t="shared" si="17"/>
        <v>3.5</v>
      </c>
      <c r="L101" s="1607">
        <f t="shared" si="17"/>
        <v>3.5</v>
      </c>
      <c r="M101" s="1607">
        <f t="shared" si="17"/>
        <v>3.5</v>
      </c>
      <c r="N101" s="1608"/>
      <c r="O101" s="1609"/>
    </row>
    <row r="102" spans="1:15" outlineLevel="1">
      <c r="A102" s="586">
        <f>ROW()</f>
        <v>102</v>
      </c>
      <c r="B102" s="197"/>
      <c r="C102" s="197"/>
      <c r="D102" s="197"/>
      <c r="E102" s="197"/>
      <c r="F102" s="197"/>
      <c r="G102" s="202"/>
      <c r="H102" s="202"/>
      <c r="I102" s="203"/>
      <c r="J102" s="203"/>
      <c r="K102" s="203"/>
      <c r="L102" s="203"/>
      <c r="M102" s="203"/>
      <c r="N102" s="61"/>
      <c r="O102" s="421"/>
    </row>
    <row r="103" spans="1:15" ht="15.75" outlineLevel="1">
      <c r="A103" s="586">
        <f>ROW()</f>
        <v>103</v>
      </c>
      <c r="B103" s="209" t="s">
        <v>482</v>
      </c>
      <c r="C103" s="71"/>
      <c r="D103" s="225"/>
      <c r="E103" s="225"/>
      <c r="F103" s="225"/>
      <c r="G103" s="71"/>
      <c r="H103" s="71"/>
      <c r="I103" s="71"/>
      <c r="J103" s="210"/>
      <c r="K103" s="210"/>
      <c r="L103" s="210"/>
      <c r="M103" s="210"/>
      <c r="N103" s="61"/>
      <c r="O103" s="421"/>
    </row>
    <row r="104" spans="1:15" outlineLevel="1">
      <c r="A104" s="586">
        <f>ROW()</f>
        <v>104</v>
      </c>
      <c r="B104" s="227" t="s">
        <v>1225</v>
      </c>
      <c r="C104" s="228">
        <v>2026</v>
      </c>
      <c r="D104" s="182">
        <v>45000</v>
      </c>
      <c r="E104" s="362"/>
      <c r="F104" s="362"/>
      <c r="G104" s="1648">
        <v>0</v>
      </c>
      <c r="H104" s="856">
        <v>0.5</v>
      </c>
      <c r="I104" s="856">
        <f t="shared" ref="G104:M112" si="18">IF($C104&lt;=I$10,1,0)</f>
        <v>1</v>
      </c>
      <c r="J104" s="856">
        <f t="shared" si="18"/>
        <v>1</v>
      </c>
      <c r="K104" s="856">
        <f t="shared" si="18"/>
        <v>1</v>
      </c>
      <c r="L104" s="856">
        <f t="shared" si="18"/>
        <v>1</v>
      </c>
      <c r="M104" s="856">
        <f t="shared" si="18"/>
        <v>1</v>
      </c>
      <c r="N104" s="61"/>
      <c r="O104" s="421" t="s">
        <v>1328</v>
      </c>
    </row>
    <row r="105" spans="1:15" outlineLevel="1">
      <c r="A105" s="586">
        <f>ROW()</f>
        <v>105</v>
      </c>
      <c r="B105" s="227" t="s">
        <v>1226</v>
      </c>
      <c r="C105" s="172">
        <v>2027</v>
      </c>
      <c r="D105" s="182">
        <v>45000</v>
      </c>
      <c r="E105" s="361"/>
      <c r="F105" s="361"/>
      <c r="G105" s="1645">
        <v>0</v>
      </c>
      <c r="H105" s="855">
        <f t="shared" si="18"/>
        <v>0</v>
      </c>
      <c r="I105" s="855">
        <f t="shared" si="18"/>
        <v>1</v>
      </c>
      <c r="J105" s="855">
        <f t="shared" si="18"/>
        <v>1</v>
      </c>
      <c r="K105" s="855">
        <f t="shared" si="18"/>
        <v>1</v>
      </c>
      <c r="L105" s="855">
        <f t="shared" si="18"/>
        <v>1</v>
      </c>
      <c r="M105" s="855">
        <f t="shared" si="18"/>
        <v>1</v>
      </c>
      <c r="N105" s="61"/>
      <c r="O105" s="421" t="s">
        <v>1328</v>
      </c>
    </row>
    <row r="106" spans="1:15" outlineLevel="1">
      <c r="A106" s="586">
        <f>ROW()</f>
        <v>106</v>
      </c>
      <c r="B106" s="227" t="s">
        <v>1227</v>
      </c>
      <c r="C106" s="172">
        <v>2028</v>
      </c>
      <c r="D106" s="182">
        <v>45000</v>
      </c>
      <c r="E106" s="361"/>
      <c r="F106" s="361"/>
      <c r="G106" s="855">
        <f t="shared" si="18"/>
        <v>0</v>
      </c>
      <c r="H106" s="855">
        <f t="shared" si="18"/>
        <v>0</v>
      </c>
      <c r="I106" s="855">
        <f t="shared" si="18"/>
        <v>0</v>
      </c>
      <c r="J106" s="855">
        <v>0.5</v>
      </c>
      <c r="K106" s="855">
        <v>0.5</v>
      </c>
      <c r="L106" s="855">
        <v>0.5</v>
      </c>
      <c r="M106" s="855">
        <v>0.5</v>
      </c>
      <c r="N106" s="61"/>
      <c r="O106" s="421" t="s">
        <v>1408</v>
      </c>
    </row>
    <row r="107" spans="1:15" outlineLevel="1">
      <c r="A107" s="586">
        <f>ROW()</f>
        <v>107</v>
      </c>
      <c r="B107" s="171"/>
      <c r="C107" s="172" t="s">
        <v>471</v>
      </c>
      <c r="D107" s="182">
        <v>0</v>
      </c>
      <c r="E107" s="361"/>
      <c r="F107" s="361"/>
      <c r="G107" s="855">
        <f t="shared" si="18"/>
        <v>0</v>
      </c>
      <c r="H107" s="855">
        <f t="shared" si="18"/>
        <v>0</v>
      </c>
      <c r="I107" s="855">
        <f t="shared" si="18"/>
        <v>0</v>
      </c>
      <c r="J107" s="855">
        <f t="shared" si="18"/>
        <v>0</v>
      </c>
      <c r="K107" s="855">
        <f t="shared" si="18"/>
        <v>0</v>
      </c>
      <c r="L107" s="855">
        <f t="shared" si="18"/>
        <v>0</v>
      </c>
      <c r="M107" s="855">
        <f t="shared" si="18"/>
        <v>0</v>
      </c>
      <c r="N107" s="61"/>
      <c r="O107" s="421"/>
    </row>
    <row r="108" spans="1:15" outlineLevel="1">
      <c r="A108" s="586">
        <f>ROW()</f>
        <v>108</v>
      </c>
      <c r="B108" s="171"/>
      <c r="C108" s="172" t="s">
        <v>471</v>
      </c>
      <c r="D108" s="182">
        <v>0</v>
      </c>
      <c r="E108" s="361"/>
      <c r="F108" s="361"/>
      <c r="G108" s="855">
        <f t="shared" si="18"/>
        <v>0</v>
      </c>
      <c r="H108" s="855">
        <f t="shared" si="18"/>
        <v>0</v>
      </c>
      <c r="I108" s="855">
        <f t="shared" si="18"/>
        <v>0</v>
      </c>
      <c r="J108" s="855">
        <f t="shared" si="18"/>
        <v>0</v>
      </c>
      <c r="K108" s="855">
        <f t="shared" si="18"/>
        <v>0</v>
      </c>
      <c r="L108" s="855">
        <f t="shared" si="18"/>
        <v>0</v>
      </c>
      <c r="M108" s="855">
        <f t="shared" si="18"/>
        <v>0</v>
      </c>
      <c r="N108" s="61"/>
      <c r="O108" s="421"/>
    </row>
    <row r="109" spans="1:15" outlineLevel="1">
      <c r="A109" s="586">
        <f>ROW()</f>
        <v>109</v>
      </c>
      <c r="B109" s="171"/>
      <c r="C109" s="172" t="s">
        <v>471</v>
      </c>
      <c r="D109" s="182">
        <v>0</v>
      </c>
      <c r="E109" s="361"/>
      <c r="F109" s="361"/>
      <c r="G109" s="855">
        <f t="shared" si="18"/>
        <v>0</v>
      </c>
      <c r="H109" s="855">
        <f t="shared" si="18"/>
        <v>0</v>
      </c>
      <c r="I109" s="855">
        <f t="shared" si="18"/>
        <v>0</v>
      </c>
      <c r="J109" s="855">
        <f t="shared" si="18"/>
        <v>0</v>
      </c>
      <c r="K109" s="855">
        <f t="shared" si="18"/>
        <v>0</v>
      </c>
      <c r="L109" s="855">
        <f t="shared" si="18"/>
        <v>0</v>
      </c>
      <c r="M109" s="855">
        <f t="shared" si="18"/>
        <v>0</v>
      </c>
      <c r="N109" s="61"/>
      <c r="O109" s="421"/>
    </row>
    <row r="110" spans="1:15" outlineLevel="1">
      <c r="A110" s="586">
        <f>ROW()</f>
        <v>110</v>
      </c>
      <c r="B110" s="171"/>
      <c r="C110" s="172" t="s">
        <v>471</v>
      </c>
      <c r="D110" s="182">
        <v>0</v>
      </c>
      <c r="E110" s="361"/>
      <c r="F110" s="361"/>
      <c r="G110" s="855">
        <f t="shared" si="18"/>
        <v>0</v>
      </c>
      <c r="H110" s="855">
        <f t="shared" si="18"/>
        <v>0</v>
      </c>
      <c r="I110" s="855">
        <f t="shared" si="18"/>
        <v>0</v>
      </c>
      <c r="J110" s="855">
        <f t="shared" si="18"/>
        <v>0</v>
      </c>
      <c r="K110" s="855">
        <f t="shared" si="18"/>
        <v>0</v>
      </c>
      <c r="L110" s="855">
        <f t="shared" si="18"/>
        <v>0</v>
      </c>
      <c r="M110" s="855">
        <f t="shared" si="18"/>
        <v>0</v>
      </c>
      <c r="N110" s="61"/>
      <c r="O110" s="421"/>
    </row>
    <row r="111" spans="1:15" outlineLevel="1">
      <c r="A111" s="586">
        <f>ROW()</f>
        <v>111</v>
      </c>
      <c r="B111" s="171"/>
      <c r="C111" s="172" t="s">
        <v>471</v>
      </c>
      <c r="D111" s="182">
        <v>0</v>
      </c>
      <c r="E111" s="361"/>
      <c r="F111" s="361"/>
      <c r="G111" s="855">
        <f t="shared" si="18"/>
        <v>0</v>
      </c>
      <c r="H111" s="855">
        <f t="shared" si="18"/>
        <v>0</v>
      </c>
      <c r="I111" s="855">
        <f t="shared" si="18"/>
        <v>0</v>
      </c>
      <c r="J111" s="855">
        <f t="shared" si="18"/>
        <v>0</v>
      </c>
      <c r="K111" s="855">
        <f t="shared" si="18"/>
        <v>0</v>
      </c>
      <c r="L111" s="855">
        <f t="shared" si="18"/>
        <v>0</v>
      </c>
      <c r="M111" s="855">
        <f t="shared" si="18"/>
        <v>0</v>
      </c>
      <c r="N111" s="61"/>
      <c r="O111" s="421"/>
    </row>
    <row r="112" spans="1:15" outlineLevel="1">
      <c r="A112" s="586">
        <f>ROW()</f>
        <v>112</v>
      </c>
      <c r="B112" s="171"/>
      <c r="C112" s="172" t="s">
        <v>471</v>
      </c>
      <c r="D112" s="182"/>
      <c r="E112" s="361"/>
      <c r="F112" s="361"/>
      <c r="G112" s="857">
        <f t="shared" si="18"/>
        <v>0</v>
      </c>
      <c r="H112" s="857">
        <f t="shared" si="18"/>
        <v>0</v>
      </c>
      <c r="I112" s="857">
        <f t="shared" si="18"/>
        <v>0</v>
      </c>
      <c r="J112" s="857">
        <f t="shared" si="18"/>
        <v>0</v>
      </c>
      <c r="K112" s="857">
        <f t="shared" si="18"/>
        <v>0</v>
      </c>
      <c r="L112" s="857">
        <f t="shared" si="18"/>
        <v>0</v>
      </c>
      <c r="M112" s="857">
        <f t="shared" si="18"/>
        <v>0</v>
      </c>
      <c r="N112" s="61"/>
      <c r="O112" s="421"/>
    </row>
    <row r="113" spans="1:15" s="1610" customFormat="1" outlineLevel="1">
      <c r="A113" s="1604">
        <f>ROW()</f>
        <v>113</v>
      </c>
      <c r="B113" s="1605" t="s">
        <v>483</v>
      </c>
      <c r="C113" s="1605"/>
      <c r="D113" s="1605"/>
      <c r="E113" s="1605"/>
      <c r="F113" s="1605"/>
      <c r="G113" s="1606">
        <f t="shared" ref="G113:M113" si="19">SUM(G104:G112)</f>
        <v>0</v>
      </c>
      <c r="H113" s="1606">
        <f t="shared" si="19"/>
        <v>0.5</v>
      </c>
      <c r="I113" s="1607">
        <f t="shared" si="19"/>
        <v>2</v>
      </c>
      <c r="J113" s="1607">
        <f t="shared" si="19"/>
        <v>2.5</v>
      </c>
      <c r="K113" s="1607">
        <f t="shared" si="19"/>
        <v>2.5</v>
      </c>
      <c r="L113" s="1607">
        <f t="shared" si="19"/>
        <v>2.5</v>
      </c>
      <c r="M113" s="1607">
        <f t="shared" si="19"/>
        <v>2.5</v>
      </c>
      <c r="N113" s="1608"/>
      <c r="O113" s="1609"/>
    </row>
    <row r="114" spans="1:15" outlineLevel="1">
      <c r="A114" s="586">
        <f>ROW()</f>
        <v>114</v>
      </c>
      <c r="B114" s="197"/>
      <c r="C114" s="197"/>
      <c r="D114" s="197"/>
      <c r="E114" s="197"/>
      <c r="F114" s="197"/>
      <c r="G114" s="202"/>
      <c r="H114" s="202"/>
      <c r="I114" s="202"/>
      <c r="J114" s="202"/>
      <c r="K114" s="202"/>
      <c r="L114" s="202"/>
      <c r="M114" s="202"/>
      <c r="N114" s="61"/>
      <c r="O114" s="421"/>
    </row>
    <row r="115" spans="1:15" ht="15.75" outlineLevel="1">
      <c r="A115" s="586">
        <f>ROW()</f>
        <v>115</v>
      </c>
      <c r="B115" s="209" t="s">
        <v>484</v>
      </c>
      <c r="C115" s="71"/>
      <c r="D115" s="225"/>
      <c r="E115" s="225"/>
      <c r="F115" s="225"/>
      <c r="G115" s="226"/>
      <c r="H115" s="226"/>
      <c r="I115" s="226"/>
      <c r="J115" s="226"/>
      <c r="K115" s="226"/>
      <c r="L115" s="226"/>
      <c r="M115" s="226"/>
      <c r="N115" s="61"/>
      <c r="O115" s="421"/>
    </row>
    <row r="116" spans="1:15" outlineLevel="1">
      <c r="A116" s="586">
        <f>ROW()</f>
        <v>116</v>
      </c>
      <c r="B116" s="227" t="s">
        <v>485</v>
      </c>
      <c r="C116" s="228" t="s">
        <v>471</v>
      </c>
      <c r="D116" s="229">
        <v>0</v>
      </c>
      <c r="E116" s="361"/>
      <c r="F116" s="361"/>
      <c r="G116" s="856">
        <f t="shared" ref="G116:M124" si="20">IF($C116&lt;=G$10,1,0)</f>
        <v>0</v>
      </c>
      <c r="H116" s="856">
        <f t="shared" si="20"/>
        <v>0</v>
      </c>
      <c r="I116" s="856">
        <f t="shared" si="20"/>
        <v>0</v>
      </c>
      <c r="J116" s="856">
        <f t="shared" si="20"/>
        <v>0</v>
      </c>
      <c r="K116" s="856">
        <f t="shared" si="20"/>
        <v>0</v>
      </c>
      <c r="L116" s="856">
        <f t="shared" si="20"/>
        <v>0</v>
      </c>
      <c r="M116" s="856">
        <f t="shared" si="20"/>
        <v>0</v>
      </c>
      <c r="N116" s="61"/>
      <c r="O116" s="421" t="s">
        <v>1344</v>
      </c>
    </row>
    <row r="117" spans="1:15" outlineLevel="1">
      <c r="A117" s="586">
        <f>ROW()</f>
        <v>117</v>
      </c>
      <c r="B117" s="171" t="s">
        <v>486</v>
      </c>
      <c r="C117" s="172">
        <v>2026</v>
      </c>
      <c r="D117" s="182">
        <v>50000</v>
      </c>
      <c r="E117" s="361"/>
      <c r="F117" s="361"/>
      <c r="G117" s="1645">
        <v>0</v>
      </c>
      <c r="H117" s="855">
        <v>0</v>
      </c>
      <c r="I117" s="855">
        <v>0</v>
      </c>
      <c r="J117" s="855">
        <v>0</v>
      </c>
      <c r="K117" s="855">
        <v>0</v>
      </c>
      <c r="L117" s="855">
        <v>0</v>
      </c>
      <c r="M117" s="855">
        <v>0</v>
      </c>
      <c r="N117" s="61"/>
      <c r="O117" s="421" t="s">
        <v>1407</v>
      </c>
    </row>
    <row r="118" spans="1:15" outlineLevel="1">
      <c r="A118" s="586">
        <f>ROW()</f>
        <v>118</v>
      </c>
      <c r="B118" s="171" t="s">
        <v>1228</v>
      </c>
      <c r="C118" s="172">
        <v>2027</v>
      </c>
      <c r="D118" s="182">
        <v>45000</v>
      </c>
      <c r="E118" s="361"/>
      <c r="F118" s="361"/>
      <c r="G118" s="1645">
        <v>0</v>
      </c>
      <c r="H118" s="855">
        <f t="shared" si="20"/>
        <v>0</v>
      </c>
      <c r="I118" s="855">
        <f t="shared" si="20"/>
        <v>1</v>
      </c>
      <c r="J118" s="855">
        <f t="shared" si="20"/>
        <v>1</v>
      </c>
      <c r="K118" s="855">
        <f t="shared" si="20"/>
        <v>1</v>
      </c>
      <c r="L118" s="855">
        <f t="shared" si="20"/>
        <v>1</v>
      </c>
      <c r="M118" s="855">
        <f t="shared" si="20"/>
        <v>1</v>
      </c>
      <c r="N118" s="61"/>
      <c r="O118" s="421"/>
    </row>
    <row r="119" spans="1:15" outlineLevel="1">
      <c r="A119" s="586">
        <f>ROW()</f>
        <v>119</v>
      </c>
      <c r="B119" s="171"/>
      <c r="C119" s="172" t="s">
        <v>471</v>
      </c>
      <c r="D119" s="182"/>
      <c r="E119" s="361"/>
      <c r="F119" s="361"/>
      <c r="G119" s="855">
        <f t="shared" si="20"/>
        <v>0</v>
      </c>
      <c r="H119" s="855">
        <f t="shared" si="20"/>
        <v>0</v>
      </c>
      <c r="I119" s="855">
        <f t="shared" si="20"/>
        <v>0</v>
      </c>
      <c r="J119" s="855">
        <f t="shared" si="20"/>
        <v>0</v>
      </c>
      <c r="K119" s="855">
        <f t="shared" si="20"/>
        <v>0</v>
      </c>
      <c r="L119" s="855">
        <f t="shared" si="20"/>
        <v>0</v>
      </c>
      <c r="M119" s="855">
        <f t="shared" si="20"/>
        <v>0</v>
      </c>
      <c r="N119" s="61"/>
      <c r="O119" s="421"/>
    </row>
    <row r="120" spans="1:15" outlineLevel="1">
      <c r="A120" s="586">
        <f>ROW()</f>
        <v>120</v>
      </c>
      <c r="B120" s="171"/>
      <c r="C120" s="172" t="s">
        <v>471</v>
      </c>
      <c r="D120" s="182">
        <v>0</v>
      </c>
      <c r="E120" s="361"/>
      <c r="F120" s="361"/>
      <c r="G120" s="855">
        <f t="shared" si="20"/>
        <v>0</v>
      </c>
      <c r="H120" s="855">
        <f t="shared" si="20"/>
        <v>0</v>
      </c>
      <c r="I120" s="855">
        <f t="shared" si="20"/>
        <v>0</v>
      </c>
      <c r="J120" s="855">
        <f t="shared" si="20"/>
        <v>0</v>
      </c>
      <c r="K120" s="855">
        <f t="shared" si="20"/>
        <v>0</v>
      </c>
      <c r="L120" s="855">
        <f t="shared" si="20"/>
        <v>0</v>
      </c>
      <c r="M120" s="855">
        <f t="shared" si="20"/>
        <v>0</v>
      </c>
      <c r="N120" s="61"/>
      <c r="O120" s="421"/>
    </row>
    <row r="121" spans="1:15" outlineLevel="1">
      <c r="A121" s="586">
        <f>ROW()</f>
        <v>121</v>
      </c>
      <c r="B121" s="171"/>
      <c r="C121" s="172" t="s">
        <v>471</v>
      </c>
      <c r="D121" s="182">
        <v>0</v>
      </c>
      <c r="E121" s="361"/>
      <c r="F121" s="361"/>
      <c r="G121" s="855">
        <f t="shared" si="20"/>
        <v>0</v>
      </c>
      <c r="H121" s="855">
        <f t="shared" si="20"/>
        <v>0</v>
      </c>
      <c r="I121" s="855">
        <f t="shared" si="20"/>
        <v>0</v>
      </c>
      <c r="J121" s="855">
        <f t="shared" si="20"/>
        <v>0</v>
      </c>
      <c r="K121" s="855">
        <f t="shared" si="20"/>
        <v>0</v>
      </c>
      <c r="L121" s="855">
        <f t="shared" si="20"/>
        <v>0</v>
      </c>
      <c r="M121" s="855">
        <f t="shared" si="20"/>
        <v>0</v>
      </c>
      <c r="N121" s="61"/>
      <c r="O121" s="421"/>
    </row>
    <row r="122" spans="1:15" outlineLevel="1">
      <c r="A122" s="586">
        <f>ROW()</f>
        <v>122</v>
      </c>
      <c r="B122" s="171"/>
      <c r="C122" s="172" t="s">
        <v>471</v>
      </c>
      <c r="D122" s="182">
        <v>0</v>
      </c>
      <c r="E122" s="361"/>
      <c r="F122" s="361"/>
      <c r="G122" s="855">
        <f t="shared" si="20"/>
        <v>0</v>
      </c>
      <c r="H122" s="855">
        <f t="shared" si="20"/>
        <v>0</v>
      </c>
      <c r="I122" s="855">
        <f t="shared" si="20"/>
        <v>0</v>
      </c>
      <c r="J122" s="855">
        <f t="shared" si="20"/>
        <v>0</v>
      </c>
      <c r="K122" s="855">
        <f t="shared" si="20"/>
        <v>0</v>
      </c>
      <c r="L122" s="855">
        <f t="shared" si="20"/>
        <v>0</v>
      </c>
      <c r="M122" s="855">
        <f t="shared" si="20"/>
        <v>0</v>
      </c>
      <c r="N122" s="61"/>
      <c r="O122" s="421"/>
    </row>
    <row r="123" spans="1:15" outlineLevel="1">
      <c r="A123" s="586">
        <f>ROW()</f>
        <v>123</v>
      </c>
      <c r="B123" s="171"/>
      <c r="C123" s="172" t="s">
        <v>471</v>
      </c>
      <c r="D123" s="182">
        <v>0</v>
      </c>
      <c r="E123" s="361"/>
      <c r="F123" s="361"/>
      <c r="G123" s="855">
        <f t="shared" si="20"/>
        <v>0</v>
      </c>
      <c r="H123" s="855">
        <f t="shared" si="20"/>
        <v>0</v>
      </c>
      <c r="I123" s="855">
        <f t="shared" si="20"/>
        <v>0</v>
      </c>
      <c r="J123" s="855">
        <f t="shared" si="20"/>
        <v>0</v>
      </c>
      <c r="K123" s="855">
        <f t="shared" si="20"/>
        <v>0</v>
      </c>
      <c r="L123" s="855">
        <f t="shared" si="20"/>
        <v>0</v>
      </c>
      <c r="M123" s="855">
        <f t="shared" si="20"/>
        <v>0</v>
      </c>
      <c r="N123" s="61"/>
      <c r="O123" s="421"/>
    </row>
    <row r="124" spans="1:15" outlineLevel="1">
      <c r="A124" s="586">
        <f>ROW()</f>
        <v>124</v>
      </c>
      <c r="B124" s="171"/>
      <c r="C124" s="172" t="s">
        <v>471</v>
      </c>
      <c r="D124" s="182"/>
      <c r="E124" s="361"/>
      <c r="F124" s="361"/>
      <c r="G124" s="857">
        <f t="shared" si="20"/>
        <v>0</v>
      </c>
      <c r="H124" s="857">
        <f t="shared" si="20"/>
        <v>0</v>
      </c>
      <c r="I124" s="857">
        <f t="shared" si="20"/>
        <v>0</v>
      </c>
      <c r="J124" s="857">
        <f t="shared" si="20"/>
        <v>0</v>
      </c>
      <c r="K124" s="857">
        <f t="shared" si="20"/>
        <v>0</v>
      </c>
      <c r="L124" s="857">
        <f t="shared" si="20"/>
        <v>0</v>
      </c>
      <c r="M124" s="857">
        <f t="shared" si="20"/>
        <v>0</v>
      </c>
      <c r="N124" s="61"/>
      <c r="O124" s="421"/>
    </row>
    <row r="125" spans="1:15" outlineLevel="1">
      <c r="A125" s="586">
        <f>ROW()</f>
        <v>125</v>
      </c>
      <c r="B125" s="147" t="s">
        <v>487</v>
      </c>
      <c r="C125" s="147"/>
      <c r="D125" s="147"/>
      <c r="E125" s="147"/>
      <c r="F125" s="147"/>
      <c r="G125" s="1527">
        <f t="shared" ref="G125:M125" si="21">SUM(G116:G124)</f>
        <v>0</v>
      </c>
      <c r="H125" s="1527">
        <f t="shared" si="21"/>
        <v>0</v>
      </c>
      <c r="I125" s="422">
        <f t="shared" si="21"/>
        <v>1</v>
      </c>
      <c r="J125" s="422">
        <f t="shared" si="21"/>
        <v>1</v>
      </c>
      <c r="K125" s="422">
        <f t="shared" si="21"/>
        <v>1</v>
      </c>
      <c r="L125" s="422">
        <f t="shared" si="21"/>
        <v>1</v>
      </c>
      <c r="M125" s="422">
        <f t="shared" si="21"/>
        <v>1</v>
      </c>
      <c r="N125" s="61"/>
      <c r="O125" s="421"/>
    </row>
    <row r="126" spans="1:15" outlineLevel="1">
      <c r="A126" s="586">
        <f>ROW()</f>
        <v>126</v>
      </c>
      <c r="G126" s="61"/>
      <c r="H126" s="61"/>
      <c r="I126" s="61"/>
      <c r="J126" s="61"/>
      <c r="K126" s="61"/>
      <c r="L126" s="61"/>
      <c r="M126" s="61"/>
      <c r="N126" s="61"/>
      <c r="O126" s="421"/>
    </row>
    <row r="127" spans="1:15" outlineLevel="1">
      <c r="A127" s="586">
        <f>ROW()</f>
        <v>127</v>
      </c>
      <c r="B127" s="147" t="s">
        <v>488</v>
      </c>
      <c r="C127" s="147"/>
      <c r="D127" s="147"/>
      <c r="E127" s="147"/>
      <c r="F127" s="147"/>
      <c r="G127" s="1527">
        <f t="shared" ref="G127:M127" si="22">+G101+G113+G125</f>
        <v>0</v>
      </c>
      <c r="H127" s="1527">
        <f t="shared" si="22"/>
        <v>1.5</v>
      </c>
      <c r="I127" s="422">
        <f t="shared" si="22"/>
        <v>5.5</v>
      </c>
      <c r="J127" s="422">
        <f t="shared" si="22"/>
        <v>7</v>
      </c>
      <c r="K127" s="422">
        <f t="shared" si="22"/>
        <v>7</v>
      </c>
      <c r="L127" s="422">
        <f t="shared" si="22"/>
        <v>7</v>
      </c>
      <c r="M127" s="422">
        <f t="shared" si="22"/>
        <v>7</v>
      </c>
      <c r="N127" s="61"/>
      <c r="O127" s="421"/>
    </row>
    <row r="128" spans="1:15" outlineLevel="1">
      <c r="A128" s="586">
        <f>ROW()</f>
        <v>128</v>
      </c>
      <c r="B128" s="147" t="s">
        <v>489</v>
      </c>
      <c r="C128" s="147"/>
      <c r="D128" s="147"/>
      <c r="E128" s="147"/>
      <c r="F128" s="147"/>
      <c r="G128" s="422">
        <f t="shared" ref="G128:M128" si="23">+G127+G89</f>
        <v>0</v>
      </c>
      <c r="H128" s="422">
        <f t="shared" si="23"/>
        <v>4</v>
      </c>
      <c r="I128" s="422">
        <f t="shared" si="23"/>
        <v>9</v>
      </c>
      <c r="J128" s="422">
        <f t="shared" si="23"/>
        <v>10.5</v>
      </c>
      <c r="K128" s="422">
        <f t="shared" si="23"/>
        <v>10.5</v>
      </c>
      <c r="L128" s="422">
        <f t="shared" si="23"/>
        <v>10.5</v>
      </c>
      <c r="M128" s="422">
        <f t="shared" si="23"/>
        <v>10.5</v>
      </c>
      <c r="N128" s="61"/>
      <c r="O128" s="421"/>
    </row>
    <row r="129" spans="1:15" outlineLevel="1">
      <c r="A129" s="586">
        <f>ROW()</f>
        <v>129</v>
      </c>
      <c r="B129" s="194"/>
      <c r="C129" s="194"/>
      <c r="D129" s="194"/>
      <c r="E129" s="194"/>
      <c r="F129" s="194"/>
      <c r="G129" s="197"/>
      <c r="H129" s="194"/>
      <c r="I129" s="194"/>
      <c r="J129" s="194"/>
      <c r="K129" s="194"/>
      <c r="L129" s="194"/>
      <c r="M129" s="196"/>
      <c r="N129" s="61"/>
      <c r="O129" s="421"/>
    </row>
    <row r="130" spans="1:15" ht="15.75" outlineLevel="1">
      <c r="A130" s="586">
        <f>ROW()</f>
        <v>130</v>
      </c>
      <c r="B130" s="209" t="s">
        <v>490</v>
      </c>
      <c r="C130" s="71"/>
      <c r="D130" s="71"/>
      <c r="E130" s="71"/>
      <c r="F130" s="71"/>
      <c r="G130" s="201"/>
      <c r="H130" s="71"/>
      <c r="I130" s="71"/>
      <c r="J130" s="71"/>
      <c r="K130" s="71"/>
      <c r="L130" s="71"/>
      <c r="M130" s="210"/>
      <c r="N130" s="61"/>
      <c r="O130" s="421"/>
    </row>
    <row r="131" spans="1:15" ht="30" outlineLevel="1">
      <c r="A131" s="586">
        <f>ROW()</f>
        <v>131</v>
      </c>
      <c r="B131" s="107" t="s">
        <v>491</v>
      </c>
      <c r="C131" s="36" t="s">
        <v>492</v>
      </c>
      <c r="D131" s="36" t="s">
        <v>493</v>
      </c>
      <c r="E131" s="36" t="s">
        <v>464</v>
      </c>
      <c r="F131" s="107" t="s">
        <v>494</v>
      </c>
      <c r="G131" s="107" t="s">
        <v>467</v>
      </c>
      <c r="H131" s="137" t="s">
        <v>466</v>
      </c>
      <c r="I131" s="107"/>
      <c r="J131" s="107"/>
      <c r="L131" s="61"/>
      <c r="N131" s="61"/>
      <c r="O131" s="421"/>
    </row>
    <row r="132" spans="1:15" outlineLevel="1">
      <c r="A132" s="586">
        <f>ROW()</f>
        <v>132</v>
      </c>
      <c r="B132" s="83" t="s">
        <v>465</v>
      </c>
      <c r="C132" s="64"/>
      <c r="D132" s="64">
        <f>' Enrol &amp; Rev'!$H$10</f>
        <v>2025</v>
      </c>
      <c r="E132" s="201"/>
      <c r="F132" s="201"/>
      <c r="G132" s="71"/>
      <c r="H132" s="71"/>
      <c r="I132" s="179"/>
      <c r="J132" s="179"/>
      <c r="K132" s="179"/>
      <c r="L132" s="210"/>
      <c r="M132" s="71"/>
      <c r="N132" s="61"/>
      <c r="O132" s="421"/>
    </row>
    <row r="133" spans="1:15" outlineLevel="1">
      <c r="A133" s="586">
        <f>ROW()</f>
        <v>133</v>
      </c>
      <c r="C133" s="47"/>
      <c r="D133" s="47"/>
      <c r="E133" s="35"/>
      <c r="F133" s="35"/>
      <c r="G133" s="37" t="s">
        <v>495</v>
      </c>
      <c r="L133" s="61"/>
      <c r="N133" s="61"/>
      <c r="O133" s="421"/>
    </row>
    <row r="134" spans="1:15" outlineLevel="1">
      <c r="A134" s="586">
        <f>ROW()</f>
        <v>134</v>
      </c>
      <c r="B134" s="230" t="s">
        <v>496</v>
      </c>
      <c r="C134" s="177" t="s">
        <v>471</v>
      </c>
      <c r="D134" s="177" t="s">
        <v>497</v>
      </c>
      <c r="E134" s="396">
        <v>0</v>
      </c>
      <c r="F134" s="231" t="s">
        <v>498</v>
      </c>
      <c r="G134" s="855">
        <f>IF($D134&lt;=G$10,1,0)</f>
        <v>0</v>
      </c>
      <c r="H134" s="855">
        <f t="shared" ref="H134:M136" si="24">IF($D134&lt;=H$10,1,0)</f>
        <v>0</v>
      </c>
      <c r="I134" s="855">
        <f t="shared" si="24"/>
        <v>0</v>
      </c>
      <c r="J134" s="855">
        <f t="shared" si="24"/>
        <v>0</v>
      </c>
      <c r="K134" s="855">
        <f t="shared" si="24"/>
        <v>0</v>
      </c>
      <c r="L134" s="855">
        <f t="shared" si="24"/>
        <v>0</v>
      </c>
      <c r="M134" s="855">
        <f t="shared" si="24"/>
        <v>0</v>
      </c>
      <c r="O134" s="421"/>
    </row>
    <row r="135" spans="1:15" outlineLevel="1">
      <c r="A135" s="586">
        <f>ROW()</f>
        <v>135</v>
      </c>
      <c r="B135" s="230" t="s">
        <v>496</v>
      </c>
      <c r="C135" s="177" t="s">
        <v>471</v>
      </c>
      <c r="D135" s="177" t="s">
        <v>497</v>
      </c>
      <c r="E135" s="180">
        <v>0</v>
      </c>
      <c r="F135" s="231" t="s">
        <v>498</v>
      </c>
      <c r="G135" s="855">
        <f>IF($D135&lt;=G$10,1,0)</f>
        <v>0</v>
      </c>
      <c r="H135" s="855">
        <f t="shared" si="24"/>
        <v>0</v>
      </c>
      <c r="I135" s="855">
        <f t="shared" si="24"/>
        <v>0</v>
      </c>
      <c r="J135" s="855">
        <f t="shared" si="24"/>
        <v>0</v>
      </c>
      <c r="K135" s="855">
        <f t="shared" si="24"/>
        <v>0</v>
      </c>
      <c r="L135" s="855">
        <f t="shared" si="24"/>
        <v>0</v>
      </c>
      <c r="M135" s="855">
        <f t="shared" si="24"/>
        <v>0</v>
      </c>
      <c r="O135" s="421"/>
    </row>
    <row r="136" spans="1:15" outlineLevel="1">
      <c r="A136" s="586">
        <f>ROW()</f>
        <v>136</v>
      </c>
      <c r="B136" s="230" t="s">
        <v>496</v>
      </c>
      <c r="C136" s="177" t="s">
        <v>471</v>
      </c>
      <c r="D136" s="177" t="s">
        <v>497</v>
      </c>
      <c r="E136" s="180">
        <v>0</v>
      </c>
      <c r="F136" s="231" t="s">
        <v>498</v>
      </c>
      <c r="G136" s="855">
        <f>IF($D136&lt;=G$10,1,0)</f>
        <v>0</v>
      </c>
      <c r="H136" s="855">
        <f t="shared" si="24"/>
        <v>0</v>
      </c>
      <c r="I136" s="855">
        <f t="shared" si="24"/>
        <v>0</v>
      </c>
      <c r="J136" s="855">
        <f t="shared" si="24"/>
        <v>0</v>
      </c>
      <c r="K136" s="855">
        <f t="shared" si="24"/>
        <v>0</v>
      </c>
      <c r="L136" s="855">
        <f t="shared" si="24"/>
        <v>0</v>
      </c>
      <c r="M136" s="855">
        <f t="shared" si="24"/>
        <v>0</v>
      </c>
      <c r="O136" s="421"/>
    </row>
    <row r="137" spans="1:15" outlineLevel="1">
      <c r="A137" s="586">
        <f>ROW()</f>
        <v>137</v>
      </c>
      <c r="B137" s="165"/>
      <c r="C137" s="169"/>
      <c r="D137" s="169"/>
      <c r="E137" s="393"/>
      <c r="F137" s="168"/>
      <c r="G137" s="61"/>
      <c r="H137" s="61"/>
      <c r="I137" s="61"/>
      <c r="J137" s="61"/>
      <c r="K137" s="61"/>
      <c r="L137" s="61"/>
      <c r="M137" s="61"/>
      <c r="O137" s="421"/>
    </row>
    <row r="138" spans="1:15" outlineLevel="1">
      <c r="A138" s="586">
        <f>ROW()</f>
        <v>138</v>
      </c>
      <c r="B138" s="230" t="s">
        <v>499</v>
      </c>
      <c r="C138" s="177" t="s">
        <v>471</v>
      </c>
      <c r="D138" s="177" t="s">
        <v>497</v>
      </c>
      <c r="E138" s="396">
        <v>0</v>
      </c>
      <c r="F138" s="231" t="s">
        <v>498</v>
      </c>
      <c r="G138" s="855">
        <f t="shared" ref="G138:M142" si="25">IF($D138&lt;=G$10,1,0)</f>
        <v>0</v>
      </c>
      <c r="H138" s="855">
        <f t="shared" si="25"/>
        <v>0</v>
      </c>
      <c r="I138" s="855">
        <f t="shared" si="25"/>
        <v>0</v>
      </c>
      <c r="J138" s="855">
        <f t="shared" si="25"/>
        <v>0</v>
      </c>
      <c r="K138" s="855">
        <f t="shared" si="25"/>
        <v>0</v>
      </c>
      <c r="L138" s="855">
        <f t="shared" si="25"/>
        <v>0</v>
      </c>
      <c r="M138" s="855">
        <f t="shared" si="25"/>
        <v>0</v>
      </c>
      <c r="O138" s="421"/>
    </row>
    <row r="139" spans="1:15" outlineLevel="1">
      <c r="A139" s="586">
        <f>ROW()</f>
        <v>139</v>
      </c>
      <c r="B139" s="230" t="s">
        <v>499</v>
      </c>
      <c r="C139" s="177" t="s">
        <v>471</v>
      </c>
      <c r="D139" s="177" t="s">
        <v>497</v>
      </c>
      <c r="E139" s="180">
        <v>0</v>
      </c>
      <c r="F139" s="231" t="s">
        <v>498</v>
      </c>
      <c r="G139" s="855">
        <f t="shared" si="25"/>
        <v>0</v>
      </c>
      <c r="H139" s="855">
        <f t="shared" si="25"/>
        <v>0</v>
      </c>
      <c r="I139" s="855">
        <f t="shared" si="25"/>
        <v>0</v>
      </c>
      <c r="J139" s="855">
        <f t="shared" si="25"/>
        <v>0</v>
      </c>
      <c r="K139" s="855">
        <f t="shared" si="25"/>
        <v>0</v>
      </c>
      <c r="L139" s="855">
        <f t="shared" si="25"/>
        <v>0</v>
      </c>
      <c r="M139" s="855">
        <f t="shared" si="25"/>
        <v>0</v>
      </c>
      <c r="O139" s="421"/>
    </row>
    <row r="140" spans="1:15" outlineLevel="1">
      <c r="A140" s="586">
        <f>ROW()</f>
        <v>140</v>
      </c>
      <c r="B140" s="230" t="s">
        <v>499</v>
      </c>
      <c r="C140" s="177" t="s">
        <v>471</v>
      </c>
      <c r="D140" s="177" t="s">
        <v>497</v>
      </c>
      <c r="E140" s="180">
        <v>0</v>
      </c>
      <c r="F140" s="231" t="s">
        <v>498</v>
      </c>
      <c r="G140" s="855">
        <f t="shared" si="25"/>
        <v>0</v>
      </c>
      <c r="H140" s="855">
        <f t="shared" si="25"/>
        <v>0</v>
      </c>
      <c r="I140" s="855">
        <f t="shared" si="25"/>
        <v>0</v>
      </c>
      <c r="J140" s="855">
        <f t="shared" si="25"/>
        <v>0</v>
      </c>
      <c r="K140" s="855">
        <f t="shared" si="25"/>
        <v>0</v>
      </c>
      <c r="L140" s="855">
        <f t="shared" si="25"/>
        <v>0</v>
      </c>
      <c r="M140" s="855">
        <f t="shared" si="25"/>
        <v>0</v>
      </c>
      <c r="O140" s="421"/>
    </row>
    <row r="141" spans="1:15" outlineLevel="1">
      <c r="A141" s="586">
        <f>ROW()</f>
        <v>141</v>
      </c>
      <c r="B141" s="230" t="s">
        <v>499</v>
      </c>
      <c r="C141" s="177" t="s">
        <v>471</v>
      </c>
      <c r="D141" s="177" t="s">
        <v>497</v>
      </c>
      <c r="E141" s="180">
        <v>0</v>
      </c>
      <c r="F141" s="231" t="s">
        <v>498</v>
      </c>
      <c r="G141" s="855">
        <f t="shared" si="25"/>
        <v>0</v>
      </c>
      <c r="H141" s="855">
        <f t="shared" si="25"/>
        <v>0</v>
      </c>
      <c r="I141" s="855">
        <f t="shared" si="25"/>
        <v>0</v>
      </c>
      <c r="J141" s="855">
        <f t="shared" si="25"/>
        <v>0</v>
      </c>
      <c r="K141" s="855">
        <f t="shared" si="25"/>
        <v>0</v>
      </c>
      <c r="L141" s="855">
        <f t="shared" si="25"/>
        <v>0</v>
      </c>
      <c r="M141" s="855">
        <f t="shared" si="25"/>
        <v>0</v>
      </c>
      <c r="O141" s="421"/>
    </row>
    <row r="142" spans="1:15" outlineLevel="1">
      <c r="A142" s="586">
        <f>ROW()</f>
        <v>142</v>
      </c>
      <c r="B142" s="230"/>
      <c r="C142" s="177" t="s">
        <v>471</v>
      </c>
      <c r="D142" s="177" t="s">
        <v>497</v>
      </c>
      <c r="E142" s="180">
        <v>0</v>
      </c>
      <c r="F142" s="231"/>
      <c r="G142" s="855">
        <f t="shared" si="25"/>
        <v>0</v>
      </c>
      <c r="H142" s="855">
        <f t="shared" si="25"/>
        <v>0</v>
      </c>
      <c r="I142" s="855">
        <f t="shared" si="25"/>
        <v>0</v>
      </c>
      <c r="J142" s="855">
        <f t="shared" si="25"/>
        <v>0</v>
      </c>
      <c r="K142" s="855">
        <f t="shared" si="25"/>
        <v>0</v>
      </c>
      <c r="L142" s="855">
        <f t="shared" si="25"/>
        <v>0</v>
      </c>
      <c r="M142" s="855">
        <f t="shared" si="25"/>
        <v>0</v>
      </c>
      <c r="O142" s="421"/>
    </row>
    <row r="143" spans="1:15" outlineLevel="1">
      <c r="A143" s="586">
        <f>ROW()</f>
        <v>143</v>
      </c>
      <c r="B143" s="165"/>
      <c r="C143" s="169"/>
      <c r="D143" s="169"/>
      <c r="E143" s="170"/>
      <c r="F143" s="170"/>
      <c r="G143" s="61"/>
      <c r="H143" s="61"/>
      <c r="I143" s="61"/>
      <c r="J143" s="61"/>
      <c r="K143" s="61"/>
      <c r="L143" s="61"/>
      <c r="M143" s="61"/>
      <c r="O143" s="421"/>
    </row>
    <row r="144" spans="1:15" outlineLevel="1">
      <c r="A144" s="586">
        <f>ROW()</f>
        <v>144</v>
      </c>
      <c r="B144" s="230" t="s">
        <v>500</v>
      </c>
      <c r="C144" s="177" t="s">
        <v>471</v>
      </c>
      <c r="D144" s="177" t="s">
        <v>497</v>
      </c>
      <c r="E144" s="396">
        <v>0</v>
      </c>
      <c r="F144" s="231" t="s">
        <v>498</v>
      </c>
      <c r="G144" s="855">
        <f t="shared" ref="G144:M148" si="26">IF($D144&lt;=G$10,1,0)</f>
        <v>0</v>
      </c>
      <c r="H144" s="855">
        <f t="shared" si="26"/>
        <v>0</v>
      </c>
      <c r="I144" s="855">
        <f t="shared" si="26"/>
        <v>0</v>
      </c>
      <c r="J144" s="855">
        <f t="shared" si="26"/>
        <v>0</v>
      </c>
      <c r="K144" s="855">
        <f t="shared" si="26"/>
        <v>0</v>
      </c>
      <c r="L144" s="855">
        <f t="shared" si="26"/>
        <v>0</v>
      </c>
      <c r="M144" s="855">
        <f t="shared" si="26"/>
        <v>0</v>
      </c>
      <c r="O144" s="421"/>
    </row>
    <row r="145" spans="1:15" outlineLevel="1">
      <c r="A145" s="586">
        <f>ROW()</f>
        <v>145</v>
      </c>
      <c r="B145" s="230" t="s">
        <v>500</v>
      </c>
      <c r="C145" s="177" t="s">
        <v>471</v>
      </c>
      <c r="D145" s="177" t="s">
        <v>497</v>
      </c>
      <c r="E145" s="180">
        <v>0</v>
      </c>
      <c r="F145" s="231" t="s">
        <v>498</v>
      </c>
      <c r="G145" s="855">
        <f t="shared" si="26"/>
        <v>0</v>
      </c>
      <c r="H145" s="855">
        <f t="shared" si="26"/>
        <v>0</v>
      </c>
      <c r="I145" s="855">
        <f t="shared" si="26"/>
        <v>0</v>
      </c>
      <c r="J145" s="855">
        <f t="shared" si="26"/>
        <v>0</v>
      </c>
      <c r="K145" s="855">
        <f t="shared" si="26"/>
        <v>0</v>
      </c>
      <c r="L145" s="855">
        <f t="shared" si="26"/>
        <v>0</v>
      </c>
      <c r="M145" s="855">
        <f t="shared" si="26"/>
        <v>0</v>
      </c>
      <c r="O145" s="421"/>
    </row>
    <row r="146" spans="1:15" outlineLevel="1">
      <c r="A146" s="586">
        <f>ROW()</f>
        <v>146</v>
      </c>
      <c r="B146" s="230" t="s">
        <v>500</v>
      </c>
      <c r="C146" s="177" t="s">
        <v>471</v>
      </c>
      <c r="D146" s="177" t="s">
        <v>497</v>
      </c>
      <c r="E146" s="180">
        <v>0</v>
      </c>
      <c r="F146" s="231" t="s">
        <v>498</v>
      </c>
      <c r="G146" s="855">
        <f t="shared" si="26"/>
        <v>0</v>
      </c>
      <c r="H146" s="855">
        <f t="shared" si="26"/>
        <v>0</v>
      </c>
      <c r="I146" s="855">
        <f t="shared" si="26"/>
        <v>0</v>
      </c>
      <c r="J146" s="855">
        <f t="shared" si="26"/>
        <v>0</v>
      </c>
      <c r="K146" s="855">
        <f t="shared" si="26"/>
        <v>0</v>
      </c>
      <c r="L146" s="855">
        <f t="shared" si="26"/>
        <v>0</v>
      </c>
      <c r="M146" s="855">
        <f t="shared" si="26"/>
        <v>0</v>
      </c>
      <c r="O146" s="421"/>
    </row>
    <row r="147" spans="1:15" outlineLevel="1">
      <c r="A147" s="586">
        <f>ROW()</f>
        <v>147</v>
      </c>
      <c r="B147" s="230" t="s">
        <v>500</v>
      </c>
      <c r="C147" s="177" t="s">
        <v>471</v>
      </c>
      <c r="D147" s="177" t="s">
        <v>497</v>
      </c>
      <c r="E147" s="180">
        <v>0</v>
      </c>
      <c r="F147" s="231" t="s">
        <v>498</v>
      </c>
      <c r="G147" s="855">
        <f t="shared" si="26"/>
        <v>0</v>
      </c>
      <c r="H147" s="855">
        <f t="shared" si="26"/>
        <v>0</v>
      </c>
      <c r="I147" s="855">
        <f t="shared" si="26"/>
        <v>0</v>
      </c>
      <c r="J147" s="855">
        <f t="shared" si="26"/>
        <v>0</v>
      </c>
      <c r="K147" s="855">
        <f t="shared" si="26"/>
        <v>0</v>
      </c>
      <c r="L147" s="855">
        <f t="shared" si="26"/>
        <v>0</v>
      </c>
      <c r="M147" s="855">
        <f t="shared" si="26"/>
        <v>0</v>
      </c>
      <c r="O147" s="421"/>
    </row>
    <row r="148" spans="1:15" outlineLevel="1">
      <c r="A148" s="586">
        <f>ROW()</f>
        <v>148</v>
      </c>
      <c r="B148" s="230"/>
      <c r="C148" s="177" t="s">
        <v>471</v>
      </c>
      <c r="D148" s="177" t="s">
        <v>497</v>
      </c>
      <c r="E148" s="180">
        <v>0</v>
      </c>
      <c r="F148" s="231"/>
      <c r="G148" s="855">
        <f t="shared" si="26"/>
        <v>0</v>
      </c>
      <c r="H148" s="855">
        <f t="shared" si="26"/>
        <v>0</v>
      </c>
      <c r="I148" s="855">
        <f t="shared" si="26"/>
        <v>0</v>
      </c>
      <c r="J148" s="855">
        <f t="shared" si="26"/>
        <v>0</v>
      </c>
      <c r="K148" s="855">
        <f t="shared" si="26"/>
        <v>0</v>
      </c>
      <c r="L148" s="855">
        <f t="shared" si="26"/>
        <v>0</v>
      </c>
      <c r="M148" s="855">
        <f t="shared" si="26"/>
        <v>0</v>
      </c>
      <c r="O148" s="421"/>
    </row>
    <row r="149" spans="1:15" outlineLevel="1">
      <c r="A149" s="586">
        <f>ROW()</f>
        <v>149</v>
      </c>
      <c r="B149" s="165"/>
      <c r="C149" s="169"/>
      <c r="D149" s="168"/>
      <c r="E149" s="170"/>
      <c r="F149" s="170"/>
      <c r="G149" s="61"/>
      <c r="H149" s="61"/>
      <c r="I149" s="61"/>
      <c r="J149" s="61"/>
      <c r="K149" s="61"/>
      <c r="L149" s="61"/>
      <c r="M149" s="61"/>
      <c r="O149" s="421"/>
    </row>
    <row r="150" spans="1:15" outlineLevel="1">
      <c r="A150" s="586">
        <f>ROW()</f>
        <v>150</v>
      </c>
      <c r="B150" s="230" t="s">
        <v>501</v>
      </c>
      <c r="C150" s="177" t="s">
        <v>471</v>
      </c>
      <c r="D150" s="177" t="s">
        <v>497</v>
      </c>
      <c r="E150" s="396">
        <v>0</v>
      </c>
      <c r="F150" s="231" t="s">
        <v>498</v>
      </c>
      <c r="G150" s="855">
        <f t="shared" ref="G150:M154" si="27">IF($D150&lt;=G$10,1,0)</f>
        <v>0</v>
      </c>
      <c r="H150" s="855">
        <f t="shared" si="27"/>
        <v>0</v>
      </c>
      <c r="I150" s="855">
        <f t="shared" si="27"/>
        <v>0</v>
      </c>
      <c r="J150" s="855">
        <f t="shared" si="27"/>
        <v>0</v>
      </c>
      <c r="K150" s="855">
        <f t="shared" si="27"/>
        <v>0</v>
      </c>
      <c r="L150" s="855">
        <f t="shared" si="27"/>
        <v>0</v>
      </c>
      <c r="M150" s="855">
        <f t="shared" si="27"/>
        <v>0</v>
      </c>
      <c r="O150" s="421"/>
    </row>
    <row r="151" spans="1:15" outlineLevel="1">
      <c r="A151" s="586">
        <f>ROW()</f>
        <v>151</v>
      </c>
      <c r="B151" s="230" t="s">
        <v>501</v>
      </c>
      <c r="C151" s="177" t="s">
        <v>471</v>
      </c>
      <c r="D151" s="177" t="s">
        <v>497</v>
      </c>
      <c r="E151" s="180">
        <v>0</v>
      </c>
      <c r="F151" s="231" t="s">
        <v>498</v>
      </c>
      <c r="G151" s="855">
        <f t="shared" si="27"/>
        <v>0</v>
      </c>
      <c r="H151" s="855">
        <f t="shared" si="27"/>
        <v>0</v>
      </c>
      <c r="I151" s="855">
        <f t="shared" si="27"/>
        <v>0</v>
      </c>
      <c r="J151" s="855">
        <f t="shared" si="27"/>
        <v>0</v>
      </c>
      <c r="K151" s="855">
        <f t="shared" si="27"/>
        <v>0</v>
      </c>
      <c r="L151" s="855">
        <f t="shared" si="27"/>
        <v>0</v>
      </c>
      <c r="M151" s="855">
        <f t="shared" si="27"/>
        <v>0</v>
      </c>
      <c r="O151" s="421"/>
    </row>
    <row r="152" spans="1:15" outlineLevel="1">
      <c r="A152" s="586">
        <f>ROW()</f>
        <v>152</v>
      </c>
      <c r="B152" s="230" t="s">
        <v>501</v>
      </c>
      <c r="C152" s="177" t="s">
        <v>471</v>
      </c>
      <c r="D152" s="177" t="s">
        <v>497</v>
      </c>
      <c r="E152" s="180">
        <v>0</v>
      </c>
      <c r="F152" s="231" t="s">
        <v>498</v>
      </c>
      <c r="G152" s="855">
        <f t="shared" si="27"/>
        <v>0</v>
      </c>
      <c r="H152" s="855">
        <f t="shared" si="27"/>
        <v>0</v>
      </c>
      <c r="I152" s="855">
        <f t="shared" si="27"/>
        <v>0</v>
      </c>
      <c r="J152" s="855">
        <f t="shared" si="27"/>
        <v>0</v>
      </c>
      <c r="K152" s="855">
        <f t="shared" si="27"/>
        <v>0</v>
      </c>
      <c r="L152" s="855">
        <f t="shared" si="27"/>
        <v>0</v>
      </c>
      <c r="M152" s="855">
        <f t="shared" si="27"/>
        <v>0</v>
      </c>
      <c r="O152" s="421"/>
    </row>
    <row r="153" spans="1:15" outlineLevel="1">
      <c r="A153" s="586">
        <f>ROW()</f>
        <v>153</v>
      </c>
      <c r="B153" s="230" t="s">
        <v>501</v>
      </c>
      <c r="C153" s="177" t="s">
        <v>471</v>
      </c>
      <c r="D153" s="177" t="s">
        <v>497</v>
      </c>
      <c r="E153" s="180">
        <v>0</v>
      </c>
      <c r="F153" s="231" t="s">
        <v>498</v>
      </c>
      <c r="G153" s="855">
        <f t="shared" si="27"/>
        <v>0</v>
      </c>
      <c r="H153" s="855">
        <f t="shared" si="27"/>
        <v>0</v>
      </c>
      <c r="I153" s="855">
        <f t="shared" si="27"/>
        <v>0</v>
      </c>
      <c r="J153" s="855">
        <f t="shared" si="27"/>
        <v>0</v>
      </c>
      <c r="K153" s="855">
        <f t="shared" si="27"/>
        <v>0</v>
      </c>
      <c r="L153" s="855">
        <f t="shared" si="27"/>
        <v>0</v>
      </c>
      <c r="M153" s="855">
        <f t="shared" si="27"/>
        <v>0</v>
      </c>
      <c r="O153" s="421"/>
    </row>
    <row r="154" spans="1:15" outlineLevel="1">
      <c r="A154" s="586">
        <f>ROW()</f>
        <v>154</v>
      </c>
      <c r="B154" s="230"/>
      <c r="C154" s="177" t="s">
        <v>471</v>
      </c>
      <c r="D154" s="177" t="s">
        <v>497</v>
      </c>
      <c r="E154" s="180">
        <v>0</v>
      </c>
      <c r="F154" s="231"/>
      <c r="G154" s="855">
        <f t="shared" si="27"/>
        <v>0</v>
      </c>
      <c r="H154" s="855">
        <f t="shared" si="27"/>
        <v>0</v>
      </c>
      <c r="I154" s="855">
        <f t="shared" si="27"/>
        <v>0</v>
      </c>
      <c r="J154" s="855">
        <f t="shared" si="27"/>
        <v>0</v>
      </c>
      <c r="K154" s="855">
        <f t="shared" si="27"/>
        <v>0</v>
      </c>
      <c r="L154" s="855">
        <f t="shared" si="27"/>
        <v>0</v>
      </c>
      <c r="M154" s="855">
        <f t="shared" si="27"/>
        <v>0</v>
      </c>
      <c r="O154" s="421"/>
    </row>
    <row r="155" spans="1:15" outlineLevel="1">
      <c r="A155" s="586">
        <f>ROW()</f>
        <v>155</v>
      </c>
      <c r="B155" s="165"/>
      <c r="C155" s="169"/>
      <c r="D155" s="169"/>
      <c r="E155" s="161"/>
      <c r="F155" s="161"/>
      <c r="G155" s="61"/>
      <c r="H155" s="61"/>
      <c r="I155" s="61"/>
      <c r="J155" s="61"/>
      <c r="K155" s="61"/>
      <c r="L155" s="61"/>
      <c r="M155" s="61"/>
      <c r="O155" s="421"/>
    </row>
    <row r="156" spans="1:15" outlineLevel="1">
      <c r="A156" s="586">
        <f>ROW()</f>
        <v>156</v>
      </c>
      <c r="B156" s="230" t="s">
        <v>502</v>
      </c>
      <c r="C156" s="177" t="s">
        <v>471</v>
      </c>
      <c r="D156" s="177" t="s">
        <v>497</v>
      </c>
      <c r="E156" s="396">
        <v>0</v>
      </c>
      <c r="F156" s="231" t="s">
        <v>498</v>
      </c>
      <c r="G156" s="855">
        <f t="shared" ref="G156:M160" si="28">IF($D156&lt;=G$10,1,0)</f>
        <v>0</v>
      </c>
      <c r="H156" s="855">
        <f t="shared" si="28"/>
        <v>0</v>
      </c>
      <c r="I156" s="855">
        <f t="shared" si="28"/>
        <v>0</v>
      </c>
      <c r="J156" s="855">
        <f t="shared" si="28"/>
        <v>0</v>
      </c>
      <c r="K156" s="855">
        <f t="shared" si="28"/>
        <v>0</v>
      </c>
      <c r="L156" s="855">
        <f t="shared" si="28"/>
        <v>0</v>
      </c>
      <c r="M156" s="855">
        <f t="shared" si="28"/>
        <v>0</v>
      </c>
      <c r="O156" s="421"/>
    </row>
    <row r="157" spans="1:15" outlineLevel="1">
      <c r="A157" s="586">
        <f>ROW()</f>
        <v>157</v>
      </c>
      <c r="B157" s="230" t="s">
        <v>502</v>
      </c>
      <c r="C157" s="177" t="s">
        <v>471</v>
      </c>
      <c r="D157" s="177" t="s">
        <v>497</v>
      </c>
      <c r="E157" s="180">
        <v>0</v>
      </c>
      <c r="F157" s="231" t="s">
        <v>498</v>
      </c>
      <c r="G157" s="855">
        <f t="shared" si="28"/>
        <v>0</v>
      </c>
      <c r="H157" s="855">
        <f t="shared" si="28"/>
        <v>0</v>
      </c>
      <c r="I157" s="855">
        <f t="shared" si="28"/>
        <v>0</v>
      </c>
      <c r="J157" s="855">
        <f t="shared" si="28"/>
        <v>0</v>
      </c>
      <c r="K157" s="855">
        <f t="shared" si="28"/>
        <v>0</v>
      </c>
      <c r="L157" s="855">
        <f t="shared" si="28"/>
        <v>0</v>
      </c>
      <c r="M157" s="855">
        <f t="shared" si="28"/>
        <v>0</v>
      </c>
      <c r="O157" s="421"/>
    </row>
    <row r="158" spans="1:15" outlineLevel="1">
      <c r="A158" s="586">
        <f>ROW()</f>
        <v>158</v>
      </c>
      <c r="B158" s="230" t="s">
        <v>502</v>
      </c>
      <c r="C158" s="177" t="s">
        <v>471</v>
      </c>
      <c r="D158" s="177" t="s">
        <v>497</v>
      </c>
      <c r="E158" s="180">
        <v>0</v>
      </c>
      <c r="F158" s="231" t="s">
        <v>498</v>
      </c>
      <c r="G158" s="855">
        <f t="shared" si="28"/>
        <v>0</v>
      </c>
      <c r="H158" s="855">
        <f t="shared" si="28"/>
        <v>0</v>
      </c>
      <c r="I158" s="855">
        <f t="shared" si="28"/>
        <v>0</v>
      </c>
      <c r="J158" s="855">
        <f t="shared" si="28"/>
        <v>0</v>
      </c>
      <c r="K158" s="855">
        <f t="shared" si="28"/>
        <v>0</v>
      </c>
      <c r="L158" s="855">
        <f t="shared" si="28"/>
        <v>0</v>
      </c>
      <c r="M158" s="855">
        <f t="shared" si="28"/>
        <v>0</v>
      </c>
      <c r="O158" s="421"/>
    </row>
    <row r="159" spans="1:15" outlineLevel="1">
      <c r="A159" s="586">
        <f>ROW()</f>
        <v>159</v>
      </c>
      <c r="B159" s="230" t="s">
        <v>502</v>
      </c>
      <c r="C159" s="177" t="s">
        <v>471</v>
      </c>
      <c r="D159" s="177" t="s">
        <v>497</v>
      </c>
      <c r="E159" s="180">
        <v>0</v>
      </c>
      <c r="F159" s="231" t="s">
        <v>498</v>
      </c>
      <c r="G159" s="855">
        <f t="shared" si="28"/>
        <v>0</v>
      </c>
      <c r="H159" s="855">
        <f t="shared" si="28"/>
        <v>0</v>
      </c>
      <c r="I159" s="855">
        <f t="shared" si="28"/>
        <v>0</v>
      </c>
      <c r="J159" s="855">
        <f t="shared" si="28"/>
        <v>0</v>
      </c>
      <c r="K159" s="855">
        <f t="shared" si="28"/>
        <v>0</v>
      </c>
      <c r="L159" s="855">
        <f t="shared" si="28"/>
        <v>0</v>
      </c>
      <c r="M159" s="855">
        <f t="shared" si="28"/>
        <v>0</v>
      </c>
      <c r="O159" s="421"/>
    </row>
    <row r="160" spans="1:15" outlineLevel="1">
      <c r="A160" s="586">
        <f>ROW()</f>
        <v>160</v>
      </c>
      <c r="B160" s="230"/>
      <c r="C160" s="177" t="s">
        <v>471</v>
      </c>
      <c r="D160" s="177" t="s">
        <v>497</v>
      </c>
      <c r="E160" s="180">
        <v>0</v>
      </c>
      <c r="F160" s="231"/>
      <c r="G160" s="855">
        <f t="shared" si="28"/>
        <v>0</v>
      </c>
      <c r="H160" s="855">
        <f t="shared" si="28"/>
        <v>0</v>
      </c>
      <c r="I160" s="855">
        <f t="shared" si="28"/>
        <v>0</v>
      </c>
      <c r="J160" s="855">
        <f t="shared" si="28"/>
        <v>0</v>
      </c>
      <c r="K160" s="855">
        <f t="shared" si="28"/>
        <v>0</v>
      </c>
      <c r="L160" s="855">
        <f t="shared" si="28"/>
        <v>0</v>
      </c>
      <c r="M160" s="855">
        <f t="shared" si="28"/>
        <v>0</v>
      </c>
      <c r="O160" s="421"/>
    </row>
    <row r="161" spans="1:15" outlineLevel="1">
      <c r="A161" s="586">
        <f>ROW()</f>
        <v>161</v>
      </c>
      <c r="B161" s="165"/>
      <c r="C161" s="169"/>
      <c r="D161" s="168"/>
      <c r="E161" s="170"/>
      <c r="F161" s="161"/>
      <c r="G161" s="61"/>
      <c r="H161" s="61"/>
      <c r="I161" s="61"/>
      <c r="J161" s="61"/>
      <c r="K161" s="61"/>
      <c r="L161" s="61"/>
      <c r="M161" s="61"/>
      <c r="O161" s="421"/>
    </row>
    <row r="162" spans="1:15" outlineLevel="1">
      <c r="A162" s="586">
        <f>ROW()</f>
        <v>162</v>
      </c>
      <c r="B162" s="230" t="s">
        <v>503</v>
      </c>
      <c r="C162" s="177" t="s">
        <v>471</v>
      </c>
      <c r="D162" s="177" t="s">
        <v>497</v>
      </c>
      <c r="E162" s="396">
        <v>0</v>
      </c>
      <c r="F162" s="231" t="s">
        <v>498</v>
      </c>
      <c r="G162" s="855">
        <f t="shared" ref="G162:M166" si="29">IF($D162&lt;=G$10,1,0)</f>
        <v>0</v>
      </c>
      <c r="H162" s="855">
        <f t="shared" si="29"/>
        <v>0</v>
      </c>
      <c r="I162" s="855">
        <f t="shared" si="29"/>
        <v>0</v>
      </c>
      <c r="J162" s="855">
        <f t="shared" si="29"/>
        <v>0</v>
      </c>
      <c r="K162" s="855">
        <f t="shared" si="29"/>
        <v>0</v>
      </c>
      <c r="L162" s="855">
        <f t="shared" si="29"/>
        <v>0</v>
      </c>
      <c r="M162" s="855">
        <f t="shared" si="29"/>
        <v>0</v>
      </c>
      <c r="O162" s="421"/>
    </row>
    <row r="163" spans="1:15" outlineLevel="1">
      <c r="A163" s="586">
        <f>ROW()</f>
        <v>163</v>
      </c>
      <c r="B163" s="230" t="s">
        <v>503</v>
      </c>
      <c r="C163" s="177" t="s">
        <v>471</v>
      </c>
      <c r="D163" s="177" t="s">
        <v>497</v>
      </c>
      <c r="E163" s="180">
        <v>0</v>
      </c>
      <c r="F163" s="231" t="s">
        <v>498</v>
      </c>
      <c r="G163" s="855">
        <f t="shared" si="29"/>
        <v>0</v>
      </c>
      <c r="H163" s="855">
        <f t="shared" si="29"/>
        <v>0</v>
      </c>
      <c r="I163" s="855">
        <f t="shared" si="29"/>
        <v>0</v>
      </c>
      <c r="J163" s="855">
        <f t="shared" si="29"/>
        <v>0</v>
      </c>
      <c r="K163" s="855">
        <f t="shared" si="29"/>
        <v>0</v>
      </c>
      <c r="L163" s="855">
        <f t="shared" si="29"/>
        <v>0</v>
      </c>
      <c r="M163" s="855">
        <f t="shared" si="29"/>
        <v>0</v>
      </c>
      <c r="O163" s="421"/>
    </row>
    <row r="164" spans="1:15" outlineLevel="1">
      <c r="A164" s="586">
        <f>ROW()</f>
        <v>164</v>
      </c>
      <c r="B164" s="230" t="s">
        <v>503</v>
      </c>
      <c r="C164" s="177" t="s">
        <v>471</v>
      </c>
      <c r="D164" s="177" t="s">
        <v>497</v>
      </c>
      <c r="E164" s="180">
        <v>0</v>
      </c>
      <c r="F164" s="231" t="s">
        <v>498</v>
      </c>
      <c r="G164" s="855">
        <f t="shared" si="29"/>
        <v>0</v>
      </c>
      <c r="H164" s="855">
        <f t="shared" si="29"/>
        <v>0</v>
      </c>
      <c r="I164" s="855">
        <f t="shared" si="29"/>
        <v>0</v>
      </c>
      <c r="J164" s="855">
        <f t="shared" si="29"/>
        <v>0</v>
      </c>
      <c r="K164" s="855">
        <f t="shared" si="29"/>
        <v>0</v>
      </c>
      <c r="L164" s="855">
        <f t="shared" si="29"/>
        <v>0</v>
      </c>
      <c r="M164" s="855">
        <f t="shared" si="29"/>
        <v>0</v>
      </c>
      <c r="O164" s="421"/>
    </row>
    <row r="165" spans="1:15" outlineLevel="1">
      <c r="A165" s="586">
        <f>ROW()</f>
        <v>165</v>
      </c>
      <c r="B165" s="230" t="s">
        <v>503</v>
      </c>
      <c r="C165" s="177" t="s">
        <v>471</v>
      </c>
      <c r="D165" s="177" t="s">
        <v>497</v>
      </c>
      <c r="E165" s="180">
        <v>0</v>
      </c>
      <c r="F165" s="231" t="s">
        <v>498</v>
      </c>
      <c r="G165" s="855">
        <f t="shared" si="29"/>
        <v>0</v>
      </c>
      <c r="H165" s="855">
        <f t="shared" si="29"/>
        <v>0</v>
      </c>
      <c r="I165" s="855">
        <f t="shared" si="29"/>
        <v>0</v>
      </c>
      <c r="J165" s="855">
        <f t="shared" si="29"/>
        <v>0</v>
      </c>
      <c r="K165" s="855">
        <f t="shared" si="29"/>
        <v>0</v>
      </c>
      <c r="L165" s="855">
        <f t="shared" si="29"/>
        <v>0</v>
      </c>
      <c r="M165" s="855">
        <f t="shared" si="29"/>
        <v>0</v>
      </c>
      <c r="O165" s="421"/>
    </row>
    <row r="166" spans="1:15" outlineLevel="1">
      <c r="A166" s="586">
        <f>ROW()</f>
        <v>166</v>
      </c>
      <c r="B166" s="230"/>
      <c r="C166" s="177" t="s">
        <v>471</v>
      </c>
      <c r="D166" s="177" t="s">
        <v>497</v>
      </c>
      <c r="E166" s="180">
        <v>0</v>
      </c>
      <c r="F166" s="231"/>
      <c r="G166" s="855">
        <f t="shared" si="29"/>
        <v>0</v>
      </c>
      <c r="H166" s="855">
        <f t="shared" si="29"/>
        <v>0</v>
      </c>
      <c r="I166" s="855">
        <f t="shared" si="29"/>
        <v>0</v>
      </c>
      <c r="J166" s="855">
        <f t="shared" si="29"/>
        <v>0</v>
      </c>
      <c r="K166" s="855">
        <f t="shared" si="29"/>
        <v>0</v>
      </c>
      <c r="L166" s="855">
        <f t="shared" si="29"/>
        <v>0</v>
      </c>
      <c r="M166" s="855">
        <f t="shared" si="29"/>
        <v>0</v>
      </c>
      <c r="O166" s="421"/>
    </row>
    <row r="167" spans="1:15" outlineLevel="1">
      <c r="A167" s="586">
        <f>ROW()</f>
        <v>167</v>
      </c>
      <c r="B167" s="165"/>
      <c r="C167" s="169"/>
      <c r="D167" s="169"/>
      <c r="E167" s="170"/>
      <c r="F167" s="161"/>
      <c r="G167" s="61"/>
      <c r="H167" s="61"/>
      <c r="I167" s="61"/>
      <c r="J167" s="61"/>
      <c r="K167" s="61"/>
      <c r="L167" s="61"/>
      <c r="M167" s="61"/>
      <c r="O167" s="421"/>
    </row>
    <row r="168" spans="1:15" outlineLevel="1">
      <c r="A168" s="586">
        <f>ROW()</f>
        <v>168</v>
      </c>
      <c r="B168" s="230" t="s">
        <v>504</v>
      </c>
      <c r="C168" s="177" t="s">
        <v>471</v>
      </c>
      <c r="D168" s="177" t="s">
        <v>497</v>
      </c>
      <c r="E168" s="396">
        <v>0</v>
      </c>
      <c r="F168" s="231" t="s">
        <v>498</v>
      </c>
      <c r="G168" s="855">
        <f t="shared" ref="G168:M172" si="30">IF($D168&lt;=G$10,1,0)</f>
        <v>0</v>
      </c>
      <c r="H168" s="855">
        <f t="shared" si="30"/>
        <v>0</v>
      </c>
      <c r="I168" s="855">
        <f t="shared" si="30"/>
        <v>0</v>
      </c>
      <c r="J168" s="855">
        <f t="shared" si="30"/>
        <v>0</v>
      </c>
      <c r="K168" s="855">
        <f t="shared" si="30"/>
        <v>0</v>
      </c>
      <c r="L168" s="855">
        <f t="shared" si="30"/>
        <v>0</v>
      </c>
      <c r="M168" s="855">
        <f t="shared" si="30"/>
        <v>0</v>
      </c>
      <c r="O168" s="421"/>
    </row>
    <row r="169" spans="1:15" outlineLevel="1">
      <c r="A169" s="586">
        <f>ROW()</f>
        <v>169</v>
      </c>
      <c r="B169" s="230" t="s">
        <v>504</v>
      </c>
      <c r="C169" s="177" t="s">
        <v>471</v>
      </c>
      <c r="D169" s="177" t="s">
        <v>497</v>
      </c>
      <c r="E169" s="180">
        <v>0</v>
      </c>
      <c r="F169" s="231" t="s">
        <v>498</v>
      </c>
      <c r="G169" s="855">
        <f t="shared" si="30"/>
        <v>0</v>
      </c>
      <c r="H169" s="855">
        <f t="shared" si="30"/>
        <v>0</v>
      </c>
      <c r="I169" s="855">
        <f t="shared" si="30"/>
        <v>0</v>
      </c>
      <c r="J169" s="855">
        <f t="shared" si="30"/>
        <v>0</v>
      </c>
      <c r="K169" s="855">
        <f t="shared" si="30"/>
        <v>0</v>
      </c>
      <c r="L169" s="855">
        <f t="shared" si="30"/>
        <v>0</v>
      </c>
      <c r="M169" s="855">
        <f t="shared" si="30"/>
        <v>0</v>
      </c>
      <c r="O169" s="421"/>
    </row>
    <row r="170" spans="1:15" outlineLevel="1">
      <c r="A170" s="586">
        <f>ROW()</f>
        <v>170</v>
      </c>
      <c r="B170" s="230" t="s">
        <v>504</v>
      </c>
      <c r="C170" s="177" t="s">
        <v>471</v>
      </c>
      <c r="D170" s="177" t="s">
        <v>497</v>
      </c>
      <c r="E170" s="180">
        <v>0</v>
      </c>
      <c r="F170" s="231" t="s">
        <v>498</v>
      </c>
      <c r="G170" s="855">
        <f t="shared" si="30"/>
        <v>0</v>
      </c>
      <c r="H170" s="855">
        <f t="shared" si="30"/>
        <v>0</v>
      </c>
      <c r="I170" s="855">
        <f t="shared" si="30"/>
        <v>0</v>
      </c>
      <c r="J170" s="855">
        <f t="shared" si="30"/>
        <v>0</v>
      </c>
      <c r="K170" s="855">
        <f t="shared" si="30"/>
        <v>0</v>
      </c>
      <c r="L170" s="855">
        <f t="shared" si="30"/>
        <v>0</v>
      </c>
      <c r="M170" s="855">
        <f t="shared" si="30"/>
        <v>0</v>
      </c>
      <c r="O170" s="421"/>
    </row>
    <row r="171" spans="1:15" outlineLevel="1">
      <c r="A171" s="586">
        <f>ROW()</f>
        <v>171</v>
      </c>
      <c r="B171" s="230" t="s">
        <v>504</v>
      </c>
      <c r="C171" s="177" t="s">
        <v>471</v>
      </c>
      <c r="D171" s="177" t="s">
        <v>497</v>
      </c>
      <c r="E171" s="180">
        <v>0</v>
      </c>
      <c r="F171" s="231" t="s">
        <v>498</v>
      </c>
      <c r="G171" s="855">
        <f t="shared" si="30"/>
        <v>0</v>
      </c>
      <c r="H171" s="855">
        <f t="shared" si="30"/>
        <v>0</v>
      </c>
      <c r="I171" s="855">
        <f t="shared" si="30"/>
        <v>0</v>
      </c>
      <c r="J171" s="855">
        <f t="shared" si="30"/>
        <v>0</v>
      </c>
      <c r="K171" s="855">
        <f t="shared" si="30"/>
        <v>0</v>
      </c>
      <c r="L171" s="855">
        <f t="shared" si="30"/>
        <v>0</v>
      </c>
      <c r="M171" s="855">
        <f t="shared" si="30"/>
        <v>0</v>
      </c>
      <c r="O171" s="421"/>
    </row>
    <row r="172" spans="1:15" outlineLevel="1">
      <c r="A172" s="586">
        <f>ROW()</f>
        <v>172</v>
      </c>
      <c r="B172" s="230"/>
      <c r="C172" s="177" t="s">
        <v>471</v>
      </c>
      <c r="D172" s="177" t="s">
        <v>497</v>
      </c>
      <c r="E172" s="180">
        <v>0</v>
      </c>
      <c r="F172" s="231"/>
      <c r="G172" s="855">
        <f t="shared" si="30"/>
        <v>0</v>
      </c>
      <c r="H172" s="855">
        <f t="shared" si="30"/>
        <v>0</v>
      </c>
      <c r="I172" s="855">
        <f t="shared" si="30"/>
        <v>0</v>
      </c>
      <c r="J172" s="855">
        <f t="shared" si="30"/>
        <v>0</v>
      </c>
      <c r="K172" s="855">
        <f t="shared" si="30"/>
        <v>0</v>
      </c>
      <c r="L172" s="855">
        <f t="shared" si="30"/>
        <v>0</v>
      </c>
      <c r="M172" s="855">
        <f t="shared" si="30"/>
        <v>0</v>
      </c>
      <c r="O172" s="421"/>
    </row>
    <row r="173" spans="1:15" outlineLevel="1">
      <c r="A173" s="586">
        <f>ROW()</f>
        <v>173</v>
      </c>
      <c r="B173" s="165"/>
      <c r="C173" s="161"/>
      <c r="D173" s="168"/>
      <c r="E173" s="170"/>
      <c r="F173" s="161"/>
      <c r="G173" s="61"/>
      <c r="H173" s="61"/>
      <c r="I173" s="61"/>
      <c r="J173" s="61"/>
      <c r="K173" s="61"/>
      <c r="L173" s="61"/>
      <c r="M173" s="61"/>
      <c r="O173" s="421"/>
    </row>
    <row r="174" spans="1:15" outlineLevel="1">
      <c r="A174" s="586">
        <f>ROW()</f>
        <v>174</v>
      </c>
      <c r="B174" s="230" t="s">
        <v>505</v>
      </c>
      <c r="C174" s="177" t="s">
        <v>471</v>
      </c>
      <c r="D174" s="177" t="s">
        <v>497</v>
      </c>
      <c r="E174" s="396">
        <v>0</v>
      </c>
      <c r="F174" s="231" t="s">
        <v>498</v>
      </c>
      <c r="G174" s="855">
        <f t="shared" ref="G174:M178" si="31">IF($D174&lt;=G$10,1,0)</f>
        <v>0</v>
      </c>
      <c r="H174" s="855">
        <f t="shared" si="31"/>
        <v>0</v>
      </c>
      <c r="I174" s="855">
        <f t="shared" si="31"/>
        <v>0</v>
      </c>
      <c r="J174" s="855">
        <f t="shared" si="31"/>
        <v>0</v>
      </c>
      <c r="K174" s="855">
        <f t="shared" si="31"/>
        <v>0</v>
      </c>
      <c r="L174" s="855">
        <f t="shared" si="31"/>
        <v>0</v>
      </c>
      <c r="M174" s="855">
        <f t="shared" si="31"/>
        <v>0</v>
      </c>
      <c r="O174" s="421"/>
    </row>
    <row r="175" spans="1:15" outlineLevel="1">
      <c r="A175" s="586">
        <f>ROW()</f>
        <v>175</v>
      </c>
      <c r="B175" s="230" t="s">
        <v>505</v>
      </c>
      <c r="C175" s="177" t="s">
        <v>471</v>
      </c>
      <c r="D175" s="177" t="s">
        <v>497</v>
      </c>
      <c r="E175" s="180">
        <v>0</v>
      </c>
      <c r="F175" s="231" t="s">
        <v>498</v>
      </c>
      <c r="G175" s="855">
        <f t="shared" si="31"/>
        <v>0</v>
      </c>
      <c r="H175" s="855">
        <f t="shared" si="31"/>
        <v>0</v>
      </c>
      <c r="I175" s="855">
        <f t="shared" si="31"/>
        <v>0</v>
      </c>
      <c r="J175" s="855">
        <f t="shared" si="31"/>
        <v>0</v>
      </c>
      <c r="K175" s="855">
        <f t="shared" si="31"/>
        <v>0</v>
      </c>
      <c r="L175" s="855">
        <f t="shared" si="31"/>
        <v>0</v>
      </c>
      <c r="M175" s="855">
        <f t="shared" si="31"/>
        <v>0</v>
      </c>
      <c r="O175" s="421"/>
    </row>
    <row r="176" spans="1:15" outlineLevel="1">
      <c r="A176" s="586">
        <f>ROW()</f>
        <v>176</v>
      </c>
      <c r="B176" s="230" t="s">
        <v>505</v>
      </c>
      <c r="C176" s="177" t="s">
        <v>471</v>
      </c>
      <c r="D176" s="177" t="s">
        <v>497</v>
      </c>
      <c r="E176" s="180">
        <v>0</v>
      </c>
      <c r="F176" s="231" t="s">
        <v>498</v>
      </c>
      <c r="G176" s="855">
        <f t="shared" si="31"/>
        <v>0</v>
      </c>
      <c r="H176" s="855">
        <f t="shared" si="31"/>
        <v>0</v>
      </c>
      <c r="I176" s="855">
        <f t="shared" si="31"/>
        <v>0</v>
      </c>
      <c r="J176" s="855">
        <f t="shared" si="31"/>
        <v>0</v>
      </c>
      <c r="K176" s="855">
        <f t="shared" si="31"/>
        <v>0</v>
      </c>
      <c r="L176" s="855">
        <f t="shared" si="31"/>
        <v>0</v>
      </c>
      <c r="M176" s="855">
        <f t="shared" si="31"/>
        <v>0</v>
      </c>
      <c r="O176" s="421"/>
    </row>
    <row r="177" spans="1:15" outlineLevel="1">
      <c r="A177" s="586">
        <f>ROW()</f>
        <v>177</v>
      </c>
      <c r="B177" s="230" t="s">
        <v>505</v>
      </c>
      <c r="C177" s="177" t="s">
        <v>471</v>
      </c>
      <c r="D177" s="177" t="s">
        <v>497</v>
      </c>
      <c r="E177" s="180">
        <v>0</v>
      </c>
      <c r="F177" s="231" t="s">
        <v>498</v>
      </c>
      <c r="G177" s="855">
        <f t="shared" si="31"/>
        <v>0</v>
      </c>
      <c r="H177" s="855">
        <f t="shared" si="31"/>
        <v>0</v>
      </c>
      <c r="I177" s="855">
        <f t="shared" si="31"/>
        <v>0</v>
      </c>
      <c r="J177" s="855">
        <f t="shared" si="31"/>
        <v>0</v>
      </c>
      <c r="K177" s="855">
        <f t="shared" si="31"/>
        <v>0</v>
      </c>
      <c r="L177" s="855">
        <f t="shared" si="31"/>
        <v>0</v>
      </c>
      <c r="M177" s="855">
        <f t="shared" si="31"/>
        <v>0</v>
      </c>
      <c r="O177" s="421"/>
    </row>
    <row r="178" spans="1:15" outlineLevel="1">
      <c r="A178" s="586">
        <f>ROW()</f>
        <v>178</v>
      </c>
      <c r="B178" s="230"/>
      <c r="C178" s="177" t="s">
        <v>471</v>
      </c>
      <c r="D178" s="177" t="s">
        <v>497</v>
      </c>
      <c r="E178" s="180">
        <v>0</v>
      </c>
      <c r="F178" s="231" t="s">
        <v>498</v>
      </c>
      <c r="G178" s="855">
        <f t="shared" si="31"/>
        <v>0</v>
      </c>
      <c r="H178" s="855">
        <f t="shared" si="31"/>
        <v>0</v>
      </c>
      <c r="I178" s="855">
        <f t="shared" si="31"/>
        <v>0</v>
      </c>
      <c r="J178" s="855">
        <f t="shared" si="31"/>
        <v>0</v>
      </c>
      <c r="K178" s="855">
        <f t="shared" si="31"/>
        <v>0</v>
      </c>
      <c r="L178" s="855">
        <f t="shared" si="31"/>
        <v>0</v>
      </c>
      <c r="M178" s="855">
        <f t="shared" si="31"/>
        <v>0</v>
      </c>
      <c r="O178" s="421"/>
    </row>
    <row r="179" spans="1:15" outlineLevel="1">
      <c r="A179" s="586">
        <f>ROW()</f>
        <v>179</v>
      </c>
      <c r="B179" s="165"/>
      <c r="C179" s="169"/>
      <c r="D179" s="169"/>
      <c r="E179" s="170"/>
      <c r="F179" s="161"/>
      <c r="G179" s="61"/>
      <c r="H179" s="61"/>
      <c r="I179" s="61"/>
      <c r="J179" s="61"/>
      <c r="K179" s="61"/>
      <c r="L179" s="61"/>
      <c r="M179" s="61"/>
      <c r="O179" s="421"/>
    </row>
    <row r="180" spans="1:15" outlineLevel="1">
      <c r="A180" s="586">
        <f>ROW()</f>
        <v>180</v>
      </c>
      <c r="B180" s="230" t="s">
        <v>506</v>
      </c>
      <c r="C180" s="177" t="s">
        <v>471</v>
      </c>
      <c r="D180" s="177" t="s">
        <v>497</v>
      </c>
      <c r="E180" s="396">
        <v>0</v>
      </c>
      <c r="F180" s="231" t="s">
        <v>498</v>
      </c>
      <c r="G180" s="855">
        <f t="shared" ref="G180:M185" si="32">IF($D180&lt;=G$10,1,0)</f>
        <v>0</v>
      </c>
      <c r="H180" s="855">
        <f t="shared" si="32"/>
        <v>0</v>
      </c>
      <c r="I180" s="855">
        <f t="shared" si="32"/>
        <v>0</v>
      </c>
      <c r="J180" s="855">
        <f t="shared" si="32"/>
        <v>0</v>
      </c>
      <c r="K180" s="855">
        <f t="shared" si="32"/>
        <v>0</v>
      </c>
      <c r="L180" s="855">
        <f t="shared" si="32"/>
        <v>0</v>
      </c>
      <c r="M180" s="855">
        <f t="shared" si="32"/>
        <v>0</v>
      </c>
      <c r="O180" s="421"/>
    </row>
    <row r="181" spans="1:15" outlineLevel="1">
      <c r="A181" s="586">
        <f>ROW()</f>
        <v>181</v>
      </c>
      <c r="B181" s="230" t="s">
        <v>506</v>
      </c>
      <c r="C181" s="177" t="s">
        <v>471</v>
      </c>
      <c r="D181" s="177" t="s">
        <v>497</v>
      </c>
      <c r="E181" s="180">
        <v>0</v>
      </c>
      <c r="F181" s="231" t="s">
        <v>498</v>
      </c>
      <c r="G181" s="855">
        <f t="shared" si="32"/>
        <v>0</v>
      </c>
      <c r="H181" s="855">
        <f t="shared" si="32"/>
        <v>0</v>
      </c>
      <c r="I181" s="855">
        <f t="shared" si="32"/>
        <v>0</v>
      </c>
      <c r="J181" s="855">
        <f t="shared" si="32"/>
        <v>0</v>
      </c>
      <c r="K181" s="855">
        <f t="shared" si="32"/>
        <v>0</v>
      </c>
      <c r="L181" s="855">
        <f t="shared" si="32"/>
        <v>0</v>
      </c>
      <c r="M181" s="855">
        <f t="shared" si="32"/>
        <v>0</v>
      </c>
      <c r="O181" s="421"/>
    </row>
    <row r="182" spans="1:15" outlineLevel="1">
      <c r="A182" s="586">
        <f>ROW()</f>
        <v>182</v>
      </c>
      <c r="B182" s="230" t="s">
        <v>506</v>
      </c>
      <c r="C182" s="177" t="s">
        <v>471</v>
      </c>
      <c r="D182" s="177" t="s">
        <v>497</v>
      </c>
      <c r="E182" s="180">
        <v>0</v>
      </c>
      <c r="F182" s="231" t="s">
        <v>498</v>
      </c>
      <c r="G182" s="855">
        <f t="shared" si="32"/>
        <v>0</v>
      </c>
      <c r="H182" s="855">
        <f t="shared" si="32"/>
        <v>0</v>
      </c>
      <c r="I182" s="855">
        <f t="shared" si="32"/>
        <v>0</v>
      </c>
      <c r="J182" s="855">
        <f t="shared" si="32"/>
        <v>0</v>
      </c>
      <c r="K182" s="855">
        <f t="shared" si="32"/>
        <v>0</v>
      </c>
      <c r="L182" s="855">
        <f t="shared" si="32"/>
        <v>0</v>
      </c>
      <c r="M182" s="855">
        <f t="shared" si="32"/>
        <v>0</v>
      </c>
      <c r="O182" s="421"/>
    </row>
    <row r="183" spans="1:15" outlineLevel="1">
      <c r="A183" s="586">
        <f>ROW()</f>
        <v>183</v>
      </c>
      <c r="B183" s="230" t="s">
        <v>506</v>
      </c>
      <c r="C183" s="177" t="s">
        <v>471</v>
      </c>
      <c r="D183" s="177" t="s">
        <v>497</v>
      </c>
      <c r="E183" s="180">
        <v>0</v>
      </c>
      <c r="F183" s="231" t="s">
        <v>498</v>
      </c>
      <c r="G183" s="855">
        <f t="shared" si="32"/>
        <v>0</v>
      </c>
      <c r="H183" s="855">
        <f t="shared" si="32"/>
        <v>0</v>
      </c>
      <c r="I183" s="855">
        <f t="shared" si="32"/>
        <v>0</v>
      </c>
      <c r="J183" s="855">
        <f t="shared" si="32"/>
        <v>0</v>
      </c>
      <c r="K183" s="855">
        <f t="shared" si="32"/>
        <v>0</v>
      </c>
      <c r="L183" s="855">
        <f t="shared" si="32"/>
        <v>0</v>
      </c>
      <c r="M183" s="855">
        <f t="shared" si="32"/>
        <v>0</v>
      </c>
      <c r="O183" s="421"/>
    </row>
    <row r="184" spans="1:15" outlineLevel="1">
      <c r="A184" s="586">
        <f>ROW()</f>
        <v>184</v>
      </c>
      <c r="B184" s="230"/>
      <c r="C184" s="177" t="s">
        <v>471</v>
      </c>
      <c r="D184" s="177" t="s">
        <v>497</v>
      </c>
      <c r="E184" s="180">
        <v>0</v>
      </c>
      <c r="F184" s="231" t="s">
        <v>498</v>
      </c>
      <c r="G184" s="855">
        <f t="shared" si="32"/>
        <v>0</v>
      </c>
      <c r="H184" s="855">
        <f t="shared" si="32"/>
        <v>0</v>
      </c>
      <c r="I184" s="855">
        <f t="shared" si="32"/>
        <v>0</v>
      </c>
      <c r="J184" s="855">
        <f t="shared" si="32"/>
        <v>0</v>
      </c>
      <c r="K184" s="855">
        <f t="shared" si="32"/>
        <v>0</v>
      </c>
      <c r="L184" s="855">
        <f t="shared" si="32"/>
        <v>0</v>
      </c>
      <c r="M184" s="855">
        <f t="shared" si="32"/>
        <v>0</v>
      </c>
      <c r="O184" s="421"/>
    </row>
    <row r="185" spans="1:15" outlineLevel="1">
      <c r="A185" s="586">
        <f>ROW()</f>
        <v>185</v>
      </c>
      <c r="B185" s="230"/>
      <c r="C185" s="177" t="s">
        <v>471</v>
      </c>
      <c r="D185" s="177" t="s">
        <v>497</v>
      </c>
      <c r="E185" s="231"/>
      <c r="F185" s="231" t="s">
        <v>498</v>
      </c>
      <c r="G185" s="855">
        <f t="shared" si="32"/>
        <v>0</v>
      </c>
      <c r="H185" s="855">
        <f t="shared" si="32"/>
        <v>0</v>
      </c>
      <c r="I185" s="855">
        <f t="shared" si="32"/>
        <v>0</v>
      </c>
      <c r="J185" s="855">
        <f t="shared" si="32"/>
        <v>0</v>
      </c>
      <c r="K185" s="855">
        <f t="shared" si="32"/>
        <v>0</v>
      </c>
      <c r="L185" s="855">
        <f t="shared" si="32"/>
        <v>0</v>
      </c>
      <c r="M185" s="855">
        <f t="shared" si="32"/>
        <v>0</v>
      </c>
      <c r="O185" s="421"/>
    </row>
    <row r="186" spans="1:15" outlineLevel="1">
      <c r="A186" s="586">
        <f>ROW()</f>
        <v>186</v>
      </c>
      <c r="B186" s="46"/>
      <c r="C186" s="120"/>
      <c r="D186" s="120"/>
      <c r="E186" s="121"/>
      <c r="F186" s="161"/>
      <c r="G186" s="61"/>
      <c r="H186" s="61"/>
      <c r="I186" s="61"/>
      <c r="J186" s="61"/>
      <c r="K186" s="61"/>
      <c r="L186" s="61"/>
      <c r="M186" s="61"/>
      <c r="O186" s="421"/>
    </row>
    <row r="187" spans="1:15" outlineLevel="1">
      <c r="A187" s="586">
        <f>ROW()</f>
        <v>187</v>
      </c>
      <c r="B187" s="230" t="s">
        <v>507</v>
      </c>
      <c r="C187" s="177" t="s">
        <v>471</v>
      </c>
      <c r="D187" s="177" t="s">
        <v>497</v>
      </c>
      <c r="E187" s="396">
        <v>0</v>
      </c>
      <c r="F187" s="231" t="s">
        <v>498</v>
      </c>
      <c r="G187" s="855">
        <f t="shared" ref="G187:M191" si="33">IF($D187&lt;=G$10,1,0)</f>
        <v>0</v>
      </c>
      <c r="H187" s="855">
        <f t="shared" si="33"/>
        <v>0</v>
      </c>
      <c r="I187" s="855">
        <f t="shared" si="33"/>
        <v>0</v>
      </c>
      <c r="J187" s="855">
        <f t="shared" si="33"/>
        <v>0</v>
      </c>
      <c r="K187" s="855">
        <f t="shared" si="33"/>
        <v>0</v>
      </c>
      <c r="L187" s="855">
        <f t="shared" si="33"/>
        <v>0</v>
      </c>
      <c r="M187" s="855">
        <f t="shared" si="33"/>
        <v>0</v>
      </c>
      <c r="O187" s="421"/>
    </row>
    <row r="188" spans="1:15" outlineLevel="1">
      <c r="A188" s="586">
        <f>ROW()</f>
        <v>188</v>
      </c>
      <c r="B188" s="230" t="s">
        <v>507</v>
      </c>
      <c r="C188" s="177" t="s">
        <v>471</v>
      </c>
      <c r="D188" s="177" t="s">
        <v>497</v>
      </c>
      <c r="E188" s="180">
        <v>0</v>
      </c>
      <c r="F188" s="231" t="s">
        <v>498</v>
      </c>
      <c r="G188" s="855">
        <f t="shared" si="33"/>
        <v>0</v>
      </c>
      <c r="H188" s="855">
        <f t="shared" si="33"/>
        <v>0</v>
      </c>
      <c r="I188" s="855">
        <f t="shared" si="33"/>
        <v>0</v>
      </c>
      <c r="J188" s="855">
        <f t="shared" si="33"/>
        <v>0</v>
      </c>
      <c r="K188" s="855">
        <f t="shared" si="33"/>
        <v>0</v>
      </c>
      <c r="L188" s="855">
        <f t="shared" si="33"/>
        <v>0</v>
      </c>
      <c r="M188" s="855">
        <f t="shared" si="33"/>
        <v>0</v>
      </c>
      <c r="O188" s="421"/>
    </row>
    <row r="189" spans="1:15" outlineLevel="1">
      <c r="A189" s="586">
        <f>ROW()</f>
        <v>189</v>
      </c>
      <c r="B189" s="230" t="s">
        <v>507</v>
      </c>
      <c r="C189" s="177" t="s">
        <v>471</v>
      </c>
      <c r="D189" s="177" t="s">
        <v>497</v>
      </c>
      <c r="E189" s="180">
        <v>0</v>
      </c>
      <c r="F189" s="231" t="s">
        <v>498</v>
      </c>
      <c r="G189" s="855">
        <f t="shared" si="33"/>
        <v>0</v>
      </c>
      <c r="H189" s="855">
        <f t="shared" si="33"/>
        <v>0</v>
      </c>
      <c r="I189" s="855">
        <f t="shared" si="33"/>
        <v>0</v>
      </c>
      <c r="J189" s="855">
        <f t="shared" si="33"/>
        <v>0</v>
      </c>
      <c r="K189" s="855">
        <f t="shared" si="33"/>
        <v>0</v>
      </c>
      <c r="L189" s="855">
        <f t="shared" si="33"/>
        <v>0</v>
      </c>
      <c r="M189" s="855">
        <f t="shared" si="33"/>
        <v>0</v>
      </c>
      <c r="O189" s="421"/>
    </row>
    <row r="190" spans="1:15" outlineLevel="1">
      <c r="A190" s="586">
        <f>ROW()</f>
        <v>190</v>
      </c>
      <c r="B190" s="230" t="s">
        <v>507</v>
      </c>
      <c r="C190" s="177" t="s">
        <v>471</v>
      </c>
      <c r="D190" s="177" t="s">
        <v>497</v>
      </c>
      <c r="E190" s="180">
        <v>0</v>
      </c>
      <c r="F190" s="231" t="s">
        <v>498</v>
      </c>
      <c r="G190" s="855">
        <f t="shared" si="33"/>
        <v>0</v>
      </c>
      <c r="H190" s="855">
        <f t="shared" si="33"/>
        <v>0</v>
      </c>
      <c r="I190" s="855">
        <f t="shared" si="33"/>
        <v>0</v>
      </c>
      <c r="J190" s="855">
        <f t="shared" si="33"/>
        <v>0</v>
      </c>
      <c r="K190" s="855">
        <f t="shared" si="33"/>
        <v>0</v>
      </c>
      <c r="L190" s="855">
        <f t="shared" si="33"/>
        <v>0</v>
      </c>
      <c r="M190" s="855">
        <f t="shared" si="33"/>
        <v>0</v>
      </c>
      <c r="O190" s="421"/>
    </row>
    <row r="191" spans="1:15" outlineLevel="1">
      <c r="A191" s="586">
        <f>ROW()</f>
        <v>191</v>
      </c>
      <c r="B191" s="230"/>
      <c r="C191" s="177" t="s">
        <v>471</v>
      </c>
      <c r="D191" s="177" t="s">
        <v>497</v>
      </c>
      <c r="E191" s="180">
        <v>0</v>
      </c>
      <c r="F191" s="231" t="s">
        <v>498</v>
      </c>
      <c r="G191" s="855">
        <f t="shared" si="33"/>
        <v>0</v>
      </c>
      <c r="H191" s="855">
        <f t="shared" si="33"/>
        <v>0</v>
      </c>
      <c r="I191" s="855">
        <f t="shared" si="33"/>
        <v>0</v>
      </c>
      <c r="J191" s="855">
        <f t="shared" si="33"/>
        <v>0</v>
      </c>
      <c r="K191" s="855">
        <f t="shared" si="33"/>
        <v>0</v>
      </c>
      <c r="L191" s="855">
        <f t="shared" si="33"/>
        <v>0</v>
      </c>
      <c r="M191" s="855">
        <f t="shared" si="33"/>
        <v>0</v>
      </c>
      <c r="O191" s="421"/>
    </row>
    <row r="192" spans="1:15" outlineLevel="1">
      <c r="A192" s="586">
        <f>ROW()</f>
        <v>192</v>
      </c>
      <c r="C192" s="168"/>
      <c r="D192" s="168"/>
      <c r="E192" s="170"/>
      <c r="F192" s="161"/>
      <c r="G192" s="61"/>
      <c r="H192" s="61"/>
      <c r="I192" s="61"/>
      <c r="J192" s="61"/>
      <c r="K192" s="61"/>
      <c r="L192" s="61"/>
      <c r="M192" s="61"/>
      <c r="O192" s="421"/>
    </row>
    <row r="193" spans="1:15" outlineLevel="1">
      <c r="A193" s="586">
        <f>ROW()</f>
        <v>193</v>
      </c>
      <c r="B193" s="230" t="s">
        <v>1229</v>
      </c>
      <c r="C193" s="177" t="s">
        <v>228</v>
      </c>
      <c r="D193" s="177">
        <v>2026</v>
      </c>
      <c r="E193" s="396">
        <v>45000</v>
      </c>
      <c r="F193" s="231" t="s">
        <v>498</v>
      </c>
      <c r="G193" s="1645">
        <v>0</v>
      </c>
      <c r="H193" s="855">
        <f t="shared" ref="G193:M196" si="34">IF($D193&lt;=H$10,1,0)</f>
        <v>1</v>
      </c>
      <c r="I193" s="855">
        <f t="shared" si="34"/>
        <v>1</v>
      </c>
      <c r="J193" s="855">
        <f t="shared" si="34"/>
        <v>1</v>
      </c>
      <c r="K193" s="855">
        <f t="shared" si="34"/>
        <v>1</v>
      </c>
      <c r="L193" s="855">
        <f t="shared" si="34"/>
        <v>1</v>
      </c>
      <c r="M193" s="855">
        <f t="shared" si="34"/>
        <v>1</v>
      </c>
      <c r="O193" s="421" t="s">
        <v>1328</v>
      </c>
    </row>
    <row r="194" spans="1:15" outlineLevel="1">
      <c r="A194" s="586">
        <f>ROW()</f>
        <v>194</v>
      </c>
      <c r="B194" s="230" t="s">
        <v>1230</v>
      </c>
      <c r="C194" s="177" t="s">
        <v>229</v>
      </c>
      <c r="D194" s="177">
        <v>2026</v>
      </c>
      <c r="E194" s="180">
        <v>45000</v>
      </c>
      <c r="F194" s="231" t="s">
        <v>498</v>
      </c>
      <c r="G194" s="1645">
        <v>0</v>
      </c>
      <c r="H194" s="855">
        <f t="shared" si="34"/>
        <v>1</v>
      </c>
      <c r="I194" s="855">
        <f t="shared" si="34"/>
        <v>1</v>
      </c>
      <c r="J194" s="855">
        <f t="shared" si="34"/>
        <v>1</v>
      </c>
      <c r="K194" s="855">
        <f t="shared" si="34"/>
        <v>1</v>
      </c>
      <c r="L194" s="855">
        <f t="shared" si="34"/>
        <v>1</v>
      </c>
      <c r="M194" s="855">
        <f t="shared" si="34"/>
        <v>1</v>
      </c>
      <c r="O194" s="421" t="s">
        <v>1328</v>
      </c>
    </row>
    <row r="195" spans="1:15" outlineLevel="1">
      <c r="A195" s="586">
        <f>ROW()</f>
        <v>195</v>
      </c>
      <c r="B195" s="230" t="s">
        <v>1231</v>
      </c>
      <c r="C195" s="177" t="s">
        <v>230</v>
      </c>
      <c r="D195" s="177">
        <v>2027</v>
      </c>
      <c r="E195" s="180">
        <v>45000</v>
      </c>
      <c r="F195" s="231" t="s">
        <v>498</v>
      </c>
      <c r="G195" s="1645">
        <v>0</v>
      </c>
      <c r="H195" s="855">
        <f t="shared" si="34"/>
        <v>0</v>
      </c>
      <c r="I195" s="855">
        <f t="shared" si="34"/>
        <v>1</v>
      </c>
      <c r="J195" s="855">
        <f t="shared" si="34"/>
        <v>1</v>
      </c>
      <c r="K195" s="855">
        <f t="shared" si="34"/>
        <v>1</v>
      </c>
      <c r="L195" s="855">
        <f t="shared" si="34"/>
        <v>1</v>
      </c>
      <c r="M195" s="855">
        <f t="shared" si="34"/>
        <v>1</v>
      </c>
      <c r="O195" s="421" t="s">
        <v>1328</v>
      </c>
    </row>
    <row r="196" spans="1:15" outlineLevel="1">
      <c r="A196" s="586">
        <f>ROW()</f>
        <v>196</v>
      </c>
      <c r="B196" s="230" t="s">
        <v>1232</v>
      </c>
      <c r="C196" s="177" t="s">
        <v>231</v>
      </c>
      <c r="D196" s="177">
        <v>2028</v>
      </c>
      <c r="E196" s="180">
        <v>45000</v>
      </c>
      <c r="F196" s="231" t="s">
        <v>498</v>
      </c>
      <c r="G196" s="1645">
        <f t="shared" si="34"/>
        <v>0</v>
      </c>
      <c r="H196" s="855">
        <f t="shared" si="34"/>
        <v>0</v>
      </c>
      <c r="I196" s="855">
        <f t="shared" si="34"/>
        <v>0</v>
      </c>
      <c r="J196" s="855">
        <f t="shared" si="34"/>
        <v>1</v>
      </c>
      <c r="K196" s="855">
        <f t="shared" si="34"/>
        <v>1</v>
      </c>
      <c r="L196" s="855">
        <f t="shared" si="34"/>
        <v>1</v>
      </c>
      <c r="M196" s="855">
        <f t="shared" si="34"/>
        <v>1</v>
      </c>
      <c r="O196" s="421" t="s">
        <v>1328</v>
      </c>
    </row>
    <row r="197" spans="1:15" outlineLevel="1">
      <c r="A197" s="586">
        <f>ROW()</f>
        <v>197</v>
      </c>
      <c r="B197" s="230" t="s">
        <v>1233</v>
      </c>
      <c r="C197" s="177" t="s">
        <v>1246</v>
      </c>
      <c r="D197" s="177">
        <v>2024</v>
      </c>
      <c r="E197" s="180">
        <v>45000</v>
      </c>
      <c r="F197" s="231" t="s">
        <v>498</v>
      </c>
      <c r="G197" s="1645">
        <v>0</v>
      </c>
      <c r="H197" s="855">
        <v>0.5</v>
      </c>
      <c r="I197" s="855">
        <v>1</v>
      </c>
      <c r="J197" s="855">
        <v>1</v>
      </c>
      <c r="K197" s="855">
        <v>1</v>
      </c>
      <c r="L197" s="855">
        <v>1</v>
      </c>
      <c r="M197" s="855">
        <v>1</v>
      </c>
      <c r="O197" s="1634" t="s">
        <v>1423</v>
      </c>
    </row>
    <row r="198" spans="1:15" outlineLevel="1">
      <c r="A198" s="586">
        <f>ROW()</f>
        <v>198</v>
      </c>
      <c r="C198" s="168"/>
      <c r="D198" s="168"/>
      <c r="E198" s="170"/>
      <c r="F198" s="161"/>
      <c r="G198" s="61"/>
      <c r="H198" s="61"/>
      <c r="I198" s="61"/>
      <c r="J198" s="61"/>
      <c r="K198" s="61"/>
      <c r="L198" s="61"/>
      <c r="M198" s="61"/>
      <c r="O198" s="421"/>
    </row>
    <row r="199" spans="1:15" outlineLevel="1">
      <c r="A199" s="586">
        <f>ROW()</f>
        <v>199</v>
      </c>
      <c r="B199" s="230" t="s">
        <v>1234</v>
      </c>
      <c r="C199" s="177" t="s">
        <v>228</v>
      </c>
      <c r="D199" s="177">
        <v>2026</v>
      </c>
      <c r="E199" s="396">
        <v>45000</v>
      </c>
      <c r="F199" s="231" t="s">
        <v>498</v>
      </c>
      <c r="G199" s="1645">
        <v>0</v>
      </c>
      <c r="H199" s="855">
        <f t="shared" ref="G199:M203" si="35">IF($D199&lt;=H$10,1,0)</f>
        <v>1</v>
      </c>
      <c r="I199" s="855">
        <f t="shared" si="35"/>
        <v>1</v>
      </c>
      <c r="J199" s="855">
        <f t="shared" si="35"/>
        <v>1</v>
      </c>
      <c r="K199" s="855">
        <f t="shared" si="35"/>
        <v>1</v>
      </c>
      <c r="L199" s="855">
        <f t="shared" si="35"/>
        <v>1</v>
      </c>
      <c r="M199" s="855">
        <f t="shared" si="35"/>
        <v>1</v>
      </c>
      <c r="O199" s="421" t="s">
        <v>1328</v>
      </c>
    </row>
    <row r="200" spans="1:15" outlineLevel="1">
      <c r="A200" s="586">
        <f>ROW()</f>
        <v>200</v>
      </c>
      <c r="B200" s="230" t="s">
        <v>1235</v>
      </c>
      <c r="C200" s="177" t="s">
        <v>229</v>
      </c>
      <c r="D200" s="177">
        <v>2026</v>
      </c>
      <c r="E200" s="180">
        <v>45000</v>
      </c>
      <c r="F200" s="231" t="s">
        <v>498</v>
      </c>
      <c r="G200" s="1645">
        <v>0</v>
      </c>
      <c r="H200" s="855">
        <f t="shared" si="35"/>
        <v>1</v>
      </c>
      <c r="I200" s="855">
        <f t="shared" si="35"/>
        <v>1</v>
      </c>
      <c r="J200" s="855">
        <f t="shared" si="35"/>
        <v>1</v>
      </c>
      <c r="K200" s="855">
        <f t="shared" si="35"/>
        <v>1</v>
      </c>
      <c r="L200" s="855">
        <f t="shared" si="35"/>
        <v>1</v>
      </c>
      <c r="M200" s="855">
        <f t="shared" si="35"/>
        <v>1</v>
      </c>
      <c r="O200" s="421" t="s">
        <v>1328</v>
      </c>
    </row>
    <row r="201" spans="1:15" outlineLevel="1">
      <c r="A201" s="586">
        <f>ROW()</f>
        <v>201</v>
      </c>
      <c r="B201" s="230" t="s">
        <v>1236</v>
      </c>
      <c r="C201" s="177" t="s">
        <v>230</v>
      </c>
      <c r="D201" s="177">
        <v>2027</v>
      </c>
      <c r="E201" s="180">
        <v>45000</v>
      </c>
      <c r="F201" s="231" t="s">
        <v>498</v>
      </c>
      <c r="G201" s="1645">
        <v>0</v>
      </c>
      <c r="H201" s="855">
        <f t="shared" si="35"/>
        <v>0</v>
      </c>
      <c r="I201" s="855">
        <f t="shared" si="35"/>
        <v>1</v>
      </c>
      <c r="J201" s="855">
        <f t="shared" si="35"/>
        <v>1</v>
      </c>
      <c r="K201" s="855">
        <f t="shared" si="35"/>
        <v>1</v>
      </c>
      <c r="L201" s="855">
        <f t="shared" si="35"/>
        <v>1</v>
      </c>
      <c r="M201" s="855">
        <f t="shared" si="35"/>
        <v>1</v>
      </c>
      <c r="O201" s="421" t="s">
        <v>1328</v>
      </c>
    </row>
    <row r="202" spans="1:15" outlineLevel="1">
      <c r="A202" s="586">
        <f>ROW()</f>
        <v>202</v>
      </c>
      <c r="B202" s="230" t="s">
        <v>1237</v>
      </c>
      <c r="C202" s="177" t="s">
        <v>231</v>
      </c>
      <c r="D202" s="177">
        <v>2028</v>
      </c>
      <c r="E202" s="180">
        <v>45000</v>
      </c>
      <c r="F202" s="231" t="s">
        <v>498</v>
      </c>
      <c r="G202" s="1645">
        <f t="shared" si="35"/>
        <v>0</v>
      </c>
      <c r="H202" s="855">
        <f t="shared" si="35"/>
        <v>0</v>
      </c>
      <c r="I202" s="855">
        <f t="shared" si="35"/>
        <v>0</v>
      </c>
      <c r="J202" s="855">
        <f t="shared" si="35"/>
        <v>1</v>
      </c>
      <c r="K202" s="855">
        <f t="shared" si="35"/>
        <v>1</v>
      </c>
      <c r="L202" s="855">
        <f t="shared" si="35"/>
        <v>1</v>
      </c>
      <c r="M202" s="855">
        <f t="shared" si="35"/>
        <v>1</v>
      </c>
      <c r="O202" s="421" t="s">
        <v>1328</v>
      </c>
    </row>
    <row r="203" spans="1:15" outlineLevel="1">
      <c r="A203" s="586">
        <f>ROW()</f>
        <v>203</v>
      </c>
      <c r="B203" s="230" t="s">
        <v>1238</v>
      </c>
      <c r="C203" s="177" t="s">
        <v>1246</v>
      </c>
      <c r="D203" s="177">
        <v>2024</v>
      </c>
      <c r="E203" s="180">
        <v>45000</v>
      </c>
      <c r="F203" s="231" t="s">
        <v>498</v>
      </c>
      <c r="G203" s="1645">
        <v>0</v>
      </c>
      <c r="H203" s="855">
        <v>0</v>
      </c>
      <c r="I203" s="855">
        <f t="shared" si="35"/>
        <v>1</v>
      </c>
      <c r="J203" s="855">
        <f t="shared" si="35"/>
        <v>1</v>
      </c>
      <c r="K203" s="855">
        <f t="shared" si="35"/>
        <v>1</v>
      </c>
      <c r="L203" s="855">
        <v>1</v>
      </c>
      <c r="M203" s="855">
        <v>1</v>
      </c>
      <c r="O203" s="1634" t="s">
        <v>1418</v>
      </c>
    </row>
    <row r="204" spans="1:15" outlineLevel="1">
      <c r="A204" s="586">
        <f>ROW()</f>
        <v>204</v>
      </c>
      <c r="C204" s="161"/>
      <c r="D204" s="161"/>
      <c r="E204" s="208"/>
      <c r="F204" s="161"/>
      <c r="G204" s="61"/>
      <c r="H204" s="61"/>
      <c r="I204" s="61"/>
      <c r="J204" s="61"/>
      <c r="K204" s="61"/>
      <c r="L204" s="61"/>
      <c r="M204" s="61"/>
      <c r="O204" s="421"/>
    </row>
    <row r="205" spans="1:15" outlineLevel="1">
      <c r="A205" s="586">
        <f>ROW()</f>
        <v>205</v>
      </c>
      <c r="B205" s="230" t="s">
        <v>1239</v>
      </c>
      <c r="C205" s="177" t="s">
        <v>1246</v>
      </c>
      <c r="D205" s="177">
        <v>2026</v>
      </c>
      <c r="E205" s="396">
        <v>45000</v>
      </c>
      <c r="F205" s="231" t="s">
        <v>498</v>
      </c>
      <c r="G205" s="1645">
        <v>0</v>
      </c>
      <c r="H205" s="855">
        <v>1</v>
      </c>
      <c r="I205" s="855">
        <f t="shared" ref="H205:M209" si="36">IF($D205&lt;=I$10,1,0)</f>
        <v>1</v>
      </c>
      <c r="J205" s="855">
        <f t="shared" si="36"/>
        <v>1</v>
      </c>
      <c r="K205" s="855">
        <f t="shared" si="36"/>
        <v>1</v>
      </c>
      <c r="L205" s="855">
        <f t="shared" si="36"/>
        <v>1</v>
      </c>
      <c r="M205" s="855">
        <f t="shared" si="36"/>
        <v>1</v>
      </c>
      <c r="O205" s="421" t="s">
        <v>1328</v>
      </c>
    </row>
    <row r="206" spans="1:15" outlineLevel="1">
      <c r="A206" s="586">
        <f>ROW()</f>
        <v>206</v>
      </c>
      <c r="B206" s="230" t="s">
        <v>1240</v>
      </c>
      <c r="C206" s="177" t="s">
        <v>1247</v>
      </c>
      <c r="D206" s="177">
        <v>2027</v>
      </c>
      <c r="E206" s="180">
        <v>45000</v>
      </c>
      <c r="F206" s="231" t="s">
        <v>498</v>
      </c>
      <c r="G206" s="1645">
        <v>0</v>
      </c>
      <c r="H206" s="855">
        <f t="shared" si="36"/>
        <v>0</v>
      </c>
      <c r="I206" s="855">
        <f t="shared" si="36"/>
        <v>1</v>
      </c>
      <c r="J206" s="855">
        <f>IF($D206&lt;=J$10,1,0)</f>
        <v>1</v>
      </c>
      <c r="K206" s="855">
        <f t="shared" si="36"/>
        <v>1</v>
      </c>
      <c r="L206" s="855">
        <v>1</v>
      </c>
      <c r="M206" s="855">
        <v>1</v>
      </c>
      <c r="O206" s="421" t="s">
        <v>1328</v>
      </c>
    </row>
    <row r="207" spans="1:15" outlineLevel="1">
      <c r="A207" s="586">
        <f>ROW()</f>
        <v>207</v>
      </c>
      <c r="B207" s="230" t="s">
        <v>1241</v>
      </c>
      <c r="C207" s="177" t="s">
        <v>1246</v>
      </c>
      <c r="D207" s="177">
        <v>2026</v>
      </c>
      <c r="E207" s="180">
        <v>45000</v>
      </c>
      <c r="F207" s="231" t="s">
        <v>498</v>
      </c>
      <c r="G207" s="1645">
        <v>0</v>
      </c>
      <c r="H207" s="855">
        <v>0.5</v>
      </c>
      <c r="I207" s="855">
        <f t="shared" si="36"/>
        <v>1</v>
      </c>
      <c r="J207" s="855">
        <f t="shared" si="36"/>
        <v>1</v>
      </c>
      <c r="K207" s="855">
        <f t="shared" si="36"/>
        <v>1</v>
      </c>
      <c r="L207" s="855">
        <f t="shared" si="36"/>
        <v>1</v>
      </c>
      <c r="M207" s="855">
        <f t="shared" si="36"/>
        <v>1</v>
      </c>
      <c r="O207" s="421" t="s">
        <v>1328</v>
      </c>
    </row>
    <row r="208" spans="1:15" outlineLevel="1">
      <c r="A208" s="586">
        <f>ROW()</f>
        <v>208</v>
      </c>
      <c r="B208" s="230" t="s">
        <v>1242</v>
      </c>
      <c r="C208" s="177" t="s">
        <v>1247</v>
      </c>
      <c r="D208" s="177">
        <v>2028</v>
      </c>
      <c r="E208" s="180">
        <v>45000</v>
      </c>
      <c r="F208" s="231" t="s">
        <v>498</v>
      </c>
      <c r="G208" s="1645">
        <v>0</v>
      </c>
      <c r="H208" s="855">
        <f t="shared" si="36"/>
        <v>0</v>
      </c>
      <c r="I208" s="855">
        <f t="shared" si="36"/>
        <v>0</v>
      </c>
      <c r="J208" s="855">
        <f t="shared" si="36"/>
        <v>1</v>
      </c>
      <c r="K208" s="855">
        <f t="shared" si="36"/>
        <v>1</v>
      </c>
      <c r="L208" s="855">
        <v>1</v>
      </c>
      <c r="M208" s="855">
        <v>1</v>
      </c>
      <c r="O208" s="421" t="s">
        <v>1328</v>
      </c>
    </row>
    <row r="209" spans="1:15" outlineLevel="1">
      <c r="A209" s="586">
        <f>ROW()</f>
        <v>209</v>
      </c>
      <c r="B209" s="230" t="s">
        <v>1243</v>
      </c>
      <c r="C209" s="177" t="s">
        <v>1396</v>
      </c>
      <c r="D209" s="177">
        <v>2026</v>
      </c>
      <c r="E209" s="180">
        <v>45000</v>
      </c>
      <c r="F209" s="231" t="s">
        <v>498</v>
      </c>
      <c r="G209" s="1645">
        <v>0</v>
      </c>
      <c r="H209" s="855">
        <v>0.5</v>
      </c>
      <c r="I209" s="855">
        <f t="shared" si="36"/>
        <v>1</v>
      </c>
      <c r="J209" s="855">
        <f t="shared" si="36"/>
        <v>1</v>
      </c>
      <c r="K209" s="855">
        <f t="shared" si="36"/>
        <v>1</v>
      </c>
      <c r="L209" s="855">
        <f t="shared" si="36"/>
        <v>1</v>
      </c>
      <c r="M209" s="855">
        <f t="shared" si="36"/>
        <v>1</v>
      </c>
      <c r="O209" s="421" t="s">
        <v>1424</v>
      </c>
    </row>
    <row r="210" spans="1:15" outlineLevel="1">
      <c r="A210" s="586">
        <f>ROW()</f>
        <v>210</v>
      </c>
      <c r="C210" s="161"/>
      <c r="D210" s="161"/>
      <c r="E210" s="170"/>
      <c r="F210" s="161"/>
      <c r="G210" s="61"/>
      <c r="H210" s="61"/>
      <c r="I210" s="61"/>
      <c r="J210" s="61"/>
      <c r="K210" s="61"/>
      <c r="L210" s="61"/>
      <c r="M210" s="61"/>
      <c r="O210" s="421"/>
    </row>
    <row r="211" spans="1:15" outlineLevel="1">
      <c r="A211" s="586">
        <f>ROW()</f>
        <v>211</v>
      </c>
      <c r="B211" s="230"/>
      <c r="C211" s="177"/>
      <c r="D211" s="177"/>
      <c r="E211" s="396"/>
      <c r="F211" s="231"/>
      <c r="G211" s="855"/>
      <c r="H211" s="855"/>
      <c r="I211" s="855"/>
      <c r="J211" s="855"/>
      <c r="K211" s="855"/>
      <c r="L211" s="855"/>
      <c r="M211" s="855"/>
      <c r="O211" s="421"/>
    </row>
    <row r="212" spans="1:15" outlineLevel="1">
      <c r="A212" s="586">
        <f>ROW()</f>
        <v>212</v>
      </c>
      <c r="B212" s="1637" t="s">
        <v>1244</v>
      </c>
      <c r="C212" s="177" t="s">
        <v>228</v>
      </c>
      <c r="D212" s="177">
        <v>2026</v>
      </c>
      <c r="E212" s="180">
        <v>90000</v>
      </c>
      <c r="F212" s="231" t="s">
        <v>498</v>
      </c>
      <c r="G212" s="1645">
        <v>0</v>
      </c>
      <c r="H212" s="855">
        <v>0.5</v>
      </c>
      <c r="I212" s="855">
        <v>0.5</v>
      </c>
      <c r="J212" s="855">
        <v>0.5</v>
      </c>
      <c r="K212" s="855">
        <v>0.5</v>
      </c>
      <c r="L212" s="855">
        <v>0.5</v>
      </c>
      <c r="M212" s="855">
        <v>0.5</v>
      </c>
      <c r="O212" s="421" t="s">
        <v>1338</v>
      </c>
    </row>
    <row r="213" spans="1:15" outlineLevel="1">
      <c r="A213" s="586">
        <f>ROW()</f>
        <v>213</v>
      </c>
      <c r="B213" s="230" t="s">
        <v>1245</v>
      </c>
      <c r="C213" s="177" t="s">
        <v>1249</v>
      </c>
      <c r="D213" s="177">
        <v>2027</v>
      </c>
      <c r="E213" s="180">
        <v>45000</v>
      </c>
      <c r="F213" s="231" t="s">
        <v>498</v>
      </c>
      <c r="G213" s="1645">
        <v>0</v>
      </c>
      <c r="H213" s="855">
        <v>0</v>
      </c>
      <c r="I213" s="855">
        <v>1</v>
      </c>
      <c r="J213" s="855">
        <f t="shared" ref="G213:M215" si="37">IF($D213&lt;=J$10,1,0)</f>
        <v>1</v>
      </c>
      <c r="K213" s="855">
        <f t="shared" si="37"/>
        <v>1</v>
      </c>
      <c r="L213" s="855">
        <f t="shared" si="37"/>
        <v>1</v>
      </c>
      <c r="M213" s="855">
        <f t="shared" si="37"/>
        <v>1</v>
      </c>
      <c r="O213" s="421" t="s">
        <v>1328</v>
      </c>
    </row>
    <row r="214" spans="1:15" outlineLevel="1">
      <c r="A214" s="586">
        <f>ROW()</f>
        <v>214</v>
      </c>
      <c r="B214" s="230" t="s">
        <v>1248</v>
      </c>
      <c r="C214" s="177" t="s">
        <v>1247</v>
      </c>
      <c r="D214" s="177">
        <v>2028</v>
      </c>
      <c r="E214" s="180">
        <v>45000</v>
      </c>
      <c r="F214" s="231" t="s">
        <v>498</v>
      </c>
      <c r="G214" s="1645">
        <v>0</v>
      </c>
      <c r="H214" s="855">
        <f t="shared" si="37"/>
        <v>0</v>
      </c>
      <c r="I214" s="855">
        <f t="shared" si="37"/>
        <v>0</v>
      </c>
      <c r="J214" s="855">
        <f t="shared" si="37"/>
        <v>1</v>
      </c>
      <c r="K214" s="855">
        <f t="shared" si="37"/>
        <v>1</v>
      </c>
      <c r="L214" s="855">
        <f t="shared" si="37"/>
        <v>1</v>
      </c>
      <c r="M214" s="855">
        <f t="shared" si="37"/>
        <v>1</v>
      </c>
      <c r="O214" s="421" t="s">
        <v>1328</v>
      </c>
    </row>
    <row r="215" spans="1:15" outlineLevel="1">
      <c r="A215" s="586">
        <f>ROW()</f>
        <v>215</v>
      </c>
      <c r="B215" s="230"/>
      <c r="C215" s="177" t="s">
        <v>471</v>
      </c>
      <c r="D215" s="177" t="s">
        <v>497</v>
      </c>
      <c r="E215" s="180">
        <v>0</v>
      </c>
      <c r="F215" s="231" t="s">
        <v>498</v>
      </c>
      <c r="G215" s="855">
        <f t="shared" si="37"/>
        <v>0</v>
      </c>
      <c r="H215" s="855">
        <f t="shared" si="37"/>
        <v>0</v>
      </c>
      <c r="I215" s="855">
        <f t="shared" si="37"/>
        <v>0</v>
      </c>
      <c r="J215" s="855">
        <f t="shared" si="37"/>
        <v>0</v>
      </c>
      <c r="K215" s="855">
        <f t="shared" si="37"/>
        <v>0</v>
      </c>
      <c r="L215" s="855">
        <f t="shared" si="37"/>
        <v>0</v>
      </c>
      <c r="M215" s="855">
        <f t="shared" si="37"/>
        <v>0</v>
      </c>
      <c r="O215" s="421"/>
    </row>
    <row r="216" spans="1:15" s="1610" customFormat="1" outlineLevel="1">
      <c r="A216" s="1604">
        <f>ROW()</f>
        <v>216</v>
      </c>
      <c r="B216" s="1611"/>
      <c r="C216" s="1612"/>
      <c r="D216" s="1612"/>
      <c r="E216" s="1612"/>
      <c r="F216" s="1613"/>
      <c r="G216" s="1614"/>
      <c r="H216" s="1614"/>
      <c r="I216" s="1614"/>
      <c r="J216" s="1614"/>
      <c r="K216" s="1614"/>
      <c r="L216" s="1614"/>
      <c r="M216" s="1614"/>
      <c r="N216" s="1615"/>
      <c r="O216" s="1609"/>
    </row>
    <row r="217" spans="1:15" outlineLevel="1">
      <c r="A217" s="586">
        <f>ROW()</f>
        <v>217</v>
      </c>
      <c r="B217" s="230" t="s">
        <v>496</v>
      </c>
      <c r="C217" s="177" t="s">
        <v>471</v>
      </c>
      <c r="D217" s="177" t="s">
        <v>497</v>
      </c>
      <c r="E217" s="396">
        <v>0</v>
      </c>
      <c r="F217" s="231" t="s">
        <v>498</v>
      </c>
      <c r="G217" s="855">
        <f t="shared" ref="G217:M221" si="38">IF($D217&lt;=G$10,1,0)</f>
        <v>0</v>
      </c>
      <c r="H217" s="855">
        <f t="shared" si="38"/>
        <v>0</v>
      </c>
      <c r="I217" s="855">
        <f t="shared" si="38"/>
        <v>0</v>
      </c>
      <c r="J217" s="855">
        <f t="shared" si="38"/>
        <v>0</v>
      </c>
      <c r="K217" s="855">
        <f t="shared" si="38"/>
        <v>0</v>
      </c>
      <c r="L217" s="855">
        <f t="shared" si="38"/>
        <v>0</v>
      </c>
      <c r="M217" s="855">
        <f t="shared" si="38"/>
        <v>0</v>
      </c>
      <c r="O217" s="421"/>
    </row>
    <row r="218" spans="1:15" outlineLevel="1">
      <c r="A218" s="586">
        <f>ROW()</f>
        <v>218</v>
      </c>
      <c r="B218" s="230" t="s">
        <v>496</v>
      </c>
      <c r="C218" s="177" t="s">
        <v>471</v>
      </c>
      <c r="D218" s="177" t="s">
        <v>497</v>
      </c>
      <c r="E218" s="180">
        <v>0</v>
      </c>
      <c r="F218" s="231" t="s">
        <v>498</v>
      </c>
      <c r="G218" s="855">
        <f t="shared" si="38"/>
        <v>0</v>
      </c>
      <c r="H218" s="855">
        <f t="shared" si="38"/>
        <v>0</v>
      </c>
      <c r="I218" s="855">
        <f t="shared" si="38"/>
        <v>0</v>
      </c>
      <c r="J218" s="855">
        <f t="shared" si="38"/>
        <v>0</v>
      </c>
      <c r="K218" s="855">
        <f t="shared" si="38"/>
        <v>0</v>
      </c>
      <c r="L218" s="855">
        <f t="shared" si="38"/>
        <v>0</v>
      </c>
      <c r="M218" s="855">
        <f t="shared" si="38"/>
        <v>0</v>
      </c>
      <c r="O218" s="421"/>
    </row>
    <row r="219" spans="1:15" outlineLevel="1">
      <c r="A219" s="586">
        <f>ROW()</f>
        <v>219</v>
      </c>
      <c r="B219" s="230" t="s">
        <v>496</v>
      </c>
      <c r="C219" s="177" t="s">
        <v>471</v>
      </c>
      <c r="D219" s="177" t="s">
        <v>497</v>
      </c>
      <c r="E219" s="180">
        <v>0</v>
      </c>
      <c r="F219" s="231" t="s">
        <v>498</v>
      </c>
      <c r="G219" s="855">
        <f t="shared" si="38"/>
        <v>0</v>
      </c>
      <c r="H219" s="855">
        <f t="shared" si="38"/>
        <v>0</v>
      </c>
      <c r="I219" s="855">
        <f t="shared" si="38"/>
        <v>0</v>
      </c>
      <c r="J219" s="855">
        <f t="shared" si="38"/>
        <v>0</v>
      </c>
      <c r="K219" s="855">
        <f t="shared" si="38"/>
        <v>0</v>
      </c>
      <c r="L219" s="855">
        <f t="shared" si="38"/>
        <v>0</v>
      </c>
      <c r="M219" s="855">
        <f t="shared" si="38"/>
        <v>0</v>
      </c>
      <c r="O219" s="421"/>
    </row>
    <row r="220" spans="1:15" outlineLevel="1">
      <c r="A220" s="586">
        <f>ROW()</f>
        <v>220</v>
      </c>
      <c r="B220" s="230" t="s">
        <v>496</v>
      </c>
      <c r="C220" s="177" t="s">
        <v>471</v>
      </c>
      <c r="D220" s="177" t="s">
        <v>497</v>
      </c>
      <c r="E220" s="180">
        <v>0</v>
      </c>
      <c r="F220" s="231" t="s">
        <v>498</v>
      </c>
      <c r="G220" s="855">
        <f t="shared" si="38"/>
        <v>0</v>
      </c>
      <c r="H220" s="855">
        <f t="shared" si="38"/>
        <v>0</v>
      </c>
      <c r="I220" s="855">
        <f t="shared" si="38"/>
        <v>0</v>
      </c>
      <c r="J220" s="855">
        <f t="shared" si="38"/>
        <v>0</v>
      </c>
      <c r="K220" s="855">
        <f t="shared" si="38"/>
        <v>0</v>
      </c>
      <c r="L220" s="855">
        <f t="shared" si="38"/>
        <v>0</v>
      </c>
      <c r="M220" s="855">
        <f t="shared" si="38"/>
        <v>0</v>
      </c>
      <c r="O220" s="421"/>
    </row>
    <row r="221" spans="1:15" outlineLevel="1">
      <c r="A221" s="586">
        <f>ROW()</f>
        <v>221</v>
      </c>
      <c r="B221" s="230" t="s">
        <v>496</v>
      </c>
      <c r="C221" s="177" t="s">
        <v>471</v>
      </c>
      <c r="D221" s="177" t="s">
        <v>497</v>
      </c>
      <c r="E221" s="180">
        <v>0</v>
      </c>
      <c r="F221" s="231" t="s">
        <v>498</v>
      </c>
      <c r="G221" s="855">
        <f t="shared" si="38"/>
        <v>0</v>
      </c>
      <c r="H221" s="855">
        <f t="shared" si="38"/>
        <v>0</v>
      </c>
      <c r="I221" s="855">
        <f t="shared" si="38"/>
        <v>0</v>
      </c>
      <c r="J221" s="855">
        <f t="shared" si="38"/>
        <v>0</v>
      </c>
      <c r="K221" s="855">
        <f t="shared" si="38"/>
        <v>0</v>
      </c>
      <c r="L221" s="855">
        <f t="shared" si="38"/>
        <v>0</v>
      </c>
      <c r="M221" s="855">
        <f t="shared" si="38"/>
        <v>0</v>
      </c>
      <c r="O221" s="421"/>
    </row>
    <row r="222" spans="1:15" outlineLevel="1">
      <c r="A222" s="586">
        <f>ROW()</f>
        <v>222</v>
      </c>
      <c r="C222" s="168"/>
      <c r="D222" s="168"/>
      <c r="E222" s="170"/>
      <c r="F222" s="161"/>
      <c r="G222" s="61"/>
      <c r="H222" s="61"/>
      <c r="I222" s="61"/>
      <c r="J222" s="61"/>
      <c r="K222" s="61"/>
      <c r="L222" s="61"/>
      <c r="M222" s="61"/>
      <c r="O222" s="421"/>
    </row>
    <row r="223" spans="1:15" outlineLevel="1">
      <c r="A223" s="586">
        <f>ROW()</f>
        <v>223</v>
      </c>
      <c r="B223" s="230" t="s">
        <v>496</v>
      </c>
      <c r="C223" s="177" t="s">
        <v>471</v>
      </c>
      <c r="D223" s="177" t="s">
        <v>497</v>
      </c>
      <c r="E223" s="396">
        <v>0</v>
      </c>
      <c r="F223" s="231" t="s">
        <v>498</v>
      </c>
      <c r="G223" s="855">
        <f t="shared" ref="G223:M227" si="39">IF($D223&lt;=G$10,1,0)</f>
        <v>0</v>
      </c>
      <c r="H223" s="855">
        <f t="shared" si="39"/>
        <v>0</v>
      </c>
      <c r="I223" s="855">
        <f t="shared" si="39"/>
        <v>0</v>
      </c>
      <c r="J223" s="855">
        <f t="shared" si="39"/>
        <v>0</v>
      </c>
      <c r="K223" s="855">
        <f t="shared" si="39"/>
        <v>0</v>
      </c>
      <c r="L223" s="855">
        <f t="shared" si="39"/>
        <v>0</v>
      </c>
      <c r="M223" s="855">
        <f t="shared" si="39"/>
        <v>0</v>
      </c>
      <c r="O223" s="421"/>
    </row>
    <row r="224" spans="1:15" outlineLevel="1">
      <c r="A224" s="586">
        <f>ROW()</f>
        <v>224</v>
      </c>
      <c r="B224" s="230" t="s">
        <v>496</v>
      </c>
      <c r="C224" s="177" t="s">
        <v>471</v>
      </c>
      <c r="D224" s="177" t="s">
        <v>497</v>
      </c>
      <c r="E224" s="180">
        <v>0</v>
      </c>
      <c r="F224" s="231" t="s">
        <v>498</v>
      </c>
      <c r="G224" s="855">
        <f t="shared" si="39"/>
        <v>0</v>
      </c>
      <c r="H224" s="855">
        <f t="shared" si="39"/>
        <v>0</v>
      </c>
      <c r="I224" s="855">
        <f t="shared" si="39"/>
        <v>0</v>
      </c>
      <c r="J224" s="855">
        <f t="shared" si="39"/>
        <v>0</v>
      </c>
      <c r="K224" s="855">
        <f t="shared" si="39"/>
        <v>0</v>
      </c>
      <c r="L224" s="855">
        <f t="shared" si="39"/>
        <v>0</v>
      </c>
      <c r="M224" s="855">
        <f t="shared" si="39"/>
        <v>0</v>
      </c>
      <c r="O224" s="421"/>
    </row>
    <row r="225" spans="1:15" outlineLevel="1">
      <c r="A225" s="586">
        <f>ROW()</f>
        <v>225</v>
      </c>
      <c r="B225" s="230" t="s">
        <v>496</v>
      </c>
      <c r="C225" s="177" t="s">
        <v>471</v>
      </c>
      <c r="D225" s="177" t="s">
        <v>497</v>
      </c>
      <c r="E225" s="180">
        <v>0</v>
      </c>
      <c r="F225" s="231" t="s">
        <v>498</v>
      </c>
      <c r="G225" s="855">
        <f t="shared" si="39"/>
        <v>0</v>
      </c>
      <c r="H225" s="855">
        <f t="shared" si="39"/>
        <v>0</v>
      </c>
      <c r="I225" s="855">
        <f t="shared" si="39"/>
        <v>0</v>
      </c>
      <c r="J225" s="855">
        <f t="shared" si="39"/>
        <v>0</v>
      </c>
      <c r="K225" s="855">
        <f t="shared" si="39"/>
        <v>0</v>
      </c>
      <c r="L225" s="855">
        <f t="shared" si="39"/>
        <v>0</v>
      </c>
      <c r="M225" s="855">
        <f t="shared" si="39"/>
        <v>0</v>
      </c>
      <c r="O225" s="421"/>
    </row>
    <row r="226" spans="1:15" outlineLevel="1">
      <c r="A226" s="586">
        <f>ROW()</f>
        <v>226</v>
      </c>
      <c r="B226" s="230" t="s">
        <v>496</v>
      </c>
      <c r="C226" s="177" t="s">
        <v>471</v>
      </c>
      <c r="D226" s="177" t="s">
        <v>497</v>
      </c>
      <c r="E226" s="180">
        <v>0</v>
      </c>
      <c r="F226" s="231" t="s">
        <v>498</v>
      </c>
      <c r="G226" s="855">
        <f t="shared" si="39"/>
        <v>0</v>
      </c>
      <c r="H226" s="855">
        <f t="shared" si="39"/>
        <v>0</v>
      </c>
      <c r="I226" s="855">
        <f t="shared" si="39"/>
        <v>0</v>
      </c>
      <c r="J226" s="855">
        <f t="shared" si="39"/>
        <v>0</v>
      </c>
      <c r="K226" s="855">
        <f t="shared" si="39"/>
        <v>0</v>
      </c>
      <c r="L226" s="855">
        <f t="shared" si="39"/>
        <v>0</v>
      </c>
      <c r="M226" s="855">
        <f t="shared" si="39"/>
        <v>0</v>
      </c>
      <c r="O226" s="421"/>
    </row>
    <row r="227" spans="1:15" outlineLevel="1">
      <c r="A227" s="586">
        <f>ROW()</f>
        <v>227</v>
      </c>
      <c r="B227" s="230" t="s">
        <v>496</v>
      </c>
      <c r="C227" s="177" t="s">
        <v>471</v>
      </c>
      <c r="D227" s="177" t="s">
        <v>497</v>
      </c>
      <c r="E227" s="180">
        <v>0</v>
      </c>
      <c r="F227" s="231" t="s">
        <v>498</v>
      </c>
      <c r="G227" s="855">
        <f t="shared" si="39"/>
        <v>0</v>
      </c>
      <c r="H227" s="855">
        <f t="shared" si="39"/>
        <v>0</v>
      </c>
      <c r="I227" s="855">
        <f t="shared" si="39"/>
        <v>0</v>
      </c>
      <c r="J227" s="855">
        <f t="shared" si="39"/>
        <v>0</v>
      </c>
      <c r="K227" s="855">
        <f t="shared" si="39"/>
        <v>0</v>
      </c>
      <c r="L227" s="855">
        <f t="shared" si="39"/>
        <v>0</v>
      </c>
      <c r="M227" s="855">
        <f t="shared" si="39"/>
        <v>0</v>
      </c>
      <c r="O227" s="421"/>
    </row>
    <row r="228" spans="1:15">
      <c r="A228" s="586">
        <f>ROW()</f>
        <v>228</v>
      </c>
      <c r="C228" s="122"/>
      <c r="D228" s="122"/>
      <c r="E228" s="108"/>
      <c r="F228" s="108"/>
      <c r="G228" s="117"/>
      <c r="H228" s="117"/>
      <c r="I228" s="117"/>
      <c r="J228" s="117"/>
      <c r="K228" s="61"/>
      <c r="L228" s="61"/>
      <c r="M228" s="61"/>
      <c r="O228" s="421"/>
    </row>
    <row r="229" spans="1:15">
      <c r="A229" s="586">
        <f>ROW()</f>
        <v>229</v>
      </c>
      <c r="B229" s="147" t="s">
        <v>508</v>
      </c>
      <c r="C229" s="148"/>
      <c r="D229" s="148"/>
      <c r="E229" s="147"/>
      <c r="F229" s="147"/>
      <c r="G229" s="1527">
        <f t="shared" ref="G229:M229" si="40">SUM(G134:G227)</f>
        <v>0</v>
      </c>
      <c r="H229" s="422">
        <f t="shared" si="40"/>
        <v>7</v>
      </c>
      <c r="I229" s="422">
        <f t="shared" si="40"/>
        <v>13.5</v>
      </c>
      <c r="J229" s="422">
        <f t="shared" si="40"/>
        <v>17.5</v>
      </c>
      <c r="K229" s="422">
        <f t="shared" si="40"/>
        <v>17.5</v>
      </c>
      <c r="L229" s="422">
        <f t="shared" si="40"/>
        <v>17.5</v>
      </c>
      <c r="M229" s="422">
        <f t="shared" si="40"/>
        <v>17.5</v>
      </c>
      <c r="N229" s="35"/>
      <c r="O229" s="421"/>
    </row>
    <row r="230" spans="1:15">
      <c r="A230" s="586">
        <f>ROW()</f>
        <v>230</v>
      </c>
      <c r="B230" s="37" t="s">
        <v>509</v>
      </c>
      <c r="G230" s="383">
        <f t="shared" ref="G230:M230" si="41">+G229+G127</f>
        <v>0</v>
      </c>
      <c r="H230" s="383">
        <f t="shared" si="41"/>
        <v>8.5</v>
      </c>
      <c r="I230" s="383">
        <f t="shared" si="41"/>
        <v>19</v>
      </c>
      <c r="J230" s="383">
        <f t="shared" si="41"/>
        <v>24.5</v>
      </c>
      <c r="K230" s="383">
        <f t="shared" si="41"/>
        <v>24.5</v>
      </c>
      <c r="L230" s="383">
        <f t="shared" si="41"/>
        <v>24.5</v>
      </c>
      <c r="M230" s="383">
        <f t="shared" si="41"/>
        <v>24.5</v>
      </c>
      <c r="O230" s="421"/>
    </row>
    <row r="231" spans="1:15">
      <c r="A231" s="586">
        <f>ROW()</f>
        <v>231</v>
      </c>
      <c r="G231" s="117"/>
      <c r="H231" s="117"/>
      <c r="I231" s="117"/>
      <c r="J231" s="117"/>
      <c r="K231" s="117"/>
      <c r="L231" s="57"/>
      <c r="M231" s="57"/>
      <c r="O231" s="421"/>
    </row>
    <row r="232" spans="1:15" ht="15.75">
      <c r="A232" s="586">
        <f>ROW()</f>
        <v>232</v>
      </c>
      <c r="B232" s="123" t="s">
        <v>510</v>
      </c>
      <c r="C232" s="123"/>
      <c r="D232" s="123"/>
      <c r="E232" s="123"/>
      <c r="F232" s="123"/>
      <c r="G232" s="389"/>
      <c r="H232" s="389"/>
      <c r="I232" s="389"/>
      <c r="J232" s="389"/>
      <c r="K232" s="389"/>
      <c r="L232" s="390"/>
      <c r="M232" s="390"/>
      <c r="O232" s="421"/>
    </row>
    <row r="233" spans="1:15" outlineLevel="1">
      <c r="A233" s="586">
        <f>ROW()</f>
        <v>233</v>
      </c>
      <c r="B233" s="124"/>
      <c r="G233" s="117"/>
      <c r="H233" s="117"/>
      <c r="I233" s="117"/>
      <c r="J233" s="117"/>
      <c r="K233" s="117"/>
      <c r="L233" s="57"/>
      <c r="N233" s="57"/>
      <c r="O233" s="421"/>
    </row>
    <row r="234" spans="1:15" outlineLevel="1">
      <c r="A234" s="586">
        <f>ROW()</f>
        <v>234</v>
      </c>
      <c r="B234" s="201" t="str">
        <f>$B$74</f>
        <v>Administrators (Full-time &amp; Part-Time w/benefits)</v>
      </c>
      <c r="C234" s="71"/>
      <c r="D234" s="71"/>
      <c r="E234" s="71"/>
      <c r="F234" s="71"/>
      <c r="G234" s="117"/>
      <c r="H234" s="117"/>
      <c r="I234" s="117"/>
      <c r="J234" s="117"/>
      <c r="K234" s="117"/>
      <c r="L234" s="57"/>
      <c r="N234" s="57"/>
      <c r="O234" s="421"/>
    </row>
    <row r="235" spans="1:15" outlineLevel="1">
      <c r="A235" s="586">
        <f>ROW()</f>
        <v>235</v>
      </c>
      <c r="B235" s="37" t="str">
        <f>$B75</f>
        <v>School Leader</v>
      </c>
      <c r="C235" s="150">
        <f t="shared" ref="C235:C240" si="42">SUM(G235:M235)</f>
        <v>630000</v>
      </c>
      <c r="D235" s="125"/>
      <c r="E235" s="125"/>
      <c r="F235" s="125"/>
      <c r="G235" s="858">
        <f>G75*$D75</f>
        <v>0</v>
      </c>
      <c r="H235" s="858">
        <f t="shared" ref="H235:M239" si="43">(H75*$D75)</f>
        <v>105000</v>
      </c>
      <c r="I235" s="858">
        <f t="shared" si="43"/>
        <v>105000</v>
      </c>
      <c r="J235" s="858">
        <f t="shared" si="43"/>
        <v>105000</v>
      </c>
      <c r="K235" s="858">
        <f t="shared" si="43"/>
        <v>105000</v>
      </c>
      <c r="L235" s="858">
        <f t="shared" si="43"/>
        <v>105000</v>
      </c>
      <c r="M235" s="858">
        <f t="shared" si="43"/>
        <v>105000</v>
      </c>
      <c r="O235" s="421"/>
    </row>
    <row r="236" spans="1:15" outlineLevel="1">
      <c r="A236" s="586">
        <f>ROW()</f>
        <v>236</v>
      </c>
      <c r="B236" s="37" t="str">
        <f>$B76</f>
        <v>Director of Operations</v>
      </c>
      <c r="C236" s="159">
        <f t="shared" si="42"/>
        <v>510000</v>
      </c>
      <c r="D236" s="57"/>
      <c r="E236" s="57"/>
      <c r="F236" s="125"/>
      <c r="G236" s="795">
        <f>G76*$D76</f>
        <v>0</v>
      </c>
      <c r="H236" s="795">
        <f t="shared" si="43"/>
        <v>85000</v>
      </c>
      <c r="I236" s="795">
        <f t="shared" si="43"/>
        <v>85000</v>
      </c>
      <c r="J236" s="795">
        <f t="shared" si="43"/>
        <v>85000</v>
      </c>
      <c r="K236" s="795">
        <f t="shared" si="43"/>
        <v>85000</v>
      </c>
      <c r="L236" s="795">
        <f t="shared" si="43"/>
        <v>85000</v>
      </c>
      <c r="M236" s="795">
        <f t="shared" si="43"/>
        <v>85000</v>
      </c>
      <c r="O236" s="421"/>
    </row>
    <row r="237" spans="1:15" outlineLevel="1">
      <c r="A237" s="586">
        <f>ROW()</f>
        <v>237</v>
      </c>
      <c r="B237" s="37" t="str">
        <f t="shared" ref="B237:B239" si="44">$B77</f>
        <v>Director of CTE</v>
      </c>
      <c r="C237" s="159">
        <f t="shared" si="42"/>
        <v>270000</v>
      </c>
      <c r="D237" s="57"/>
      <c r="E237" s="57"/>
      <c r="F237" s="125"/>
      <c r="G237" s="795">
        <f>G77*$D77</f>
        <v>0</v>
      </c>
      <c r="H237" s="795">
        <f t="shared" si="43"/>
        <v>45000</v>
      </c>
      <c r="I237" s="795">
        <f t="shared" si="43"/>
        <v>45000</v>
      </c>
      <c r="J237" s="795">
        <f t="shared" si="43"/>
        <v>45000</v>
      </c>
      <c r="K237" s="795">
        <f t="shared" si="43"/>
        <v>45000</v>
      </c>
      <c r="L237" s="795">
        <f t="shared" si="43"/>
        <v>45000</v>
      </c>
      <c r="M237" s="795">
        <f t="shared" si="43"/>
        <v>45000</v>
      </c>
      <c r="O237" s="421"/>
    </row>
    <row r="238" spans="1:15" outlineLevel="1">
      <c r="A238" s="586">
        <f>ROW()</f>
        <v>238</v>
      </c>
      <c r="B238" s="37">
        <f t="shared" si="44"/>
        <v>0</v>
      </c>
      <c r="C238" s="159">
        <f t="shared" si="42"/>
        <v>0</v>
      </c>
      <c r="D238" s="57"/>
      <c r="E238" s="57"/>
      <c r="F238" s="125"/>
      <c r="G238" s="795">
        <f>G78*$D78</f>
        <v>0</v>
      </c>
      <c r="H238" s="795">
        <f t="shared" si="43"/>
        <v>0</v>
      </c>
      <c r="I238" s="795">
        <f t="shared" si="43"/>
        <v>0</v>
      </c>
      <c r="J238" s="795">
        <f t="shared" si="43"/>
        <v>0</v>
      </c>
      <c r="K238" s="795">
        <f t="shared" si="43"/>
        <v>0</v>
      </c>
      <c r="L238" s="795">
        <f t="shared" si="43"/>
        <v>0</v>
      </c>
      <c r="M238" s="795">
        <f t="shared" si="43"/>
        <v>0</v>
      </c>
      <c r="O238" s="421"/>
    </row>
    <row r="239" spans="1:15" outlineLevel="1">
      <c r="A239" s="586">
        <f>ROW()</f>
        <v>239</v>
      </c>
      <c r="B239" s="71">
        <f t="shared" si="44"/>
        <v>0</v>
      </c>
      <c r="C239" s="160">
        <f t="shared" si="42"/>
        <v>0</v>
      </c>
      <c r="D239" s="126"/>
      <c r="E239" s="126"/>
      <c r="F239" s="126"/>
      <c r="G239" s="796">
        <f>G79*$D79</f>
        <v>0</v>
      </c>
      <c r="H239" s="796">
        <f t="shared" si="43"/>
        <v>0</v>
      </c>
      <c r="I239" s="796">
        <f t="shared" si="43"/>
        <v>0</v>
      </c>
      <c r="J239" s="796">
        <f t="shared" si="43"/>
        <v>0</v>
      </c>
      <c r="K239" s="796">
        <f t="shared" si="43"/>
        <v>0</v>
      </c>
      <c r="L239" s="796">
        <f t="shared" si="43"/>
        <v>0</v>
      </c>
      <c r="M239" s="796">
        <f t="shared" si="43"/>
        <v>0</v>
      </c>
      <c r="O239" s="421"/>
    </row>
    <row r="240" spans="1:15" outlineLevel="1">
      <c r="A240" s="586">
        <f>ROW()</f>
        <v>240</v>
      </c>
      <c r="B240" s="35" t="s">
        <v>511</v>
      </c>
      <c r="C240" s="159">
        <f t="shared" si="42"/>
        <v>1410000</v>
      </c>
      <c r="D240" s="57"/>
      <c r="E240" s="57"/>
      <c r="F240" s="57"/>
      <c r="G240" s="429">
        <f t="shared" ref="G240:M240" si="45">SUM(G235:G239)</f>
        <v>0</v>
      </c>
      <c r="H240" s="429">
        <f t="shared" si="45"/>
        <v>235000</v>
      </c>
      <c r="I240" s="429">
        <f t="shared" si="45"/>
        <v>235000</v>
      </c>
      <c r="J240" s="429">
        <f t="shared" si="45"/>
        <v>235000</v>
      </c>
      <c r="K240" s="429">
        <f t="shared" si="45"/>
        <v>235000</v>
      </c>
      <c r="L240" s="429">
        <f t="shared" si="45"/>
        <v>235000</v>
      </c>
      <c r="M240" s="429">
        <f t="shared" si="45"/>
        <v>235000</v>
      </c>
      <c r="O240" s="421"/>
    </row>
    <row r="241" spans="1:15" outlineLevel="1">
      <c r="A241" s="586">
        <f>ROW()</f>
        <v>241</v>
      </c>
      <c r="B241" s="35"/>
      <c r="C241" s="159"/>
      <c r="D241" s="57"/>
      <c r="E241" s="57"/>
      <c r="F241" s="57"/>
      <c r="G241" s="159"/>
      <c r="H241" s="159"/>
      <c r="I241" s="159"/>
      <c r="J241" s="159"/>
      <c r="K241" s="159"/>
      <c r="L241" s="159"/>
      <c r="M241" s="159"/>
      <c r="O241" s="421"/>
    </row>
    <row r="242" spans="1:15" outlineLevel="1">
      <c r="A242" s="586">
        <f>ROW()</f>
        <v>242</v>
      </c>
      <c r="B242" s="201" t="str">
        <f>$B$83</f>
        <v>Office Staff (Full-time &amp; Part-Time w/benefits)</v>
      </c>
      <c r="C242" s="160"/>
      <c r="D242" s="126"/>
      <c r="E242" s="126"/>
      <c r="F242" s="126"/>
      <c r="G242" s="160"/>
      <c r="H242" s="160"/>
      <c r="I242" s="160"/>
      <c r="J242" s="160"/>
      <c r="K242" s="160"/>
      <c r="L242" s="160"/>
      <c r="M242" s="160"/>
      <c r="O242" s="421"/>
    </row>
    <row r="243" spans="1:15" outlineLevel="1">
      <c r="A243" s="586">
        <f>ROW()</f>
        <v>243</v>
      </c>
      <c r="B243" s="37" t="str">
        <f>$B84</f>
        <v>Office Manager</v>
      </c>
      <c r="C243" s="159">
        <f>SUM(G243:M243)</f>
        <v>200000</v>
      </c>
      <c r="D243" s="57"/>
      <c r="E243" s="57"/>
      <c r="F243" s="57"/>
      <c r="G243" s="795">
        <f>G84*$D84</f>
        <v>0</v>
      </c>
      <c r="H243" s="795">
        <f>(H84*$D84)</f>
        <v>0</v>
      </c>
      <c r="I243" s="795">
        <f t="shared" ref="I243:M246" si="46">(I84*$D84)</f>
        <v>40000</v>
      </c>
      <c r="J243" s="795">
        <f t="shared" si="46"/>
        <v>40000</v>
      </c>
      <c r="K243" s="795">
        <f t="shared" si="46"/>
        <v>40000</v>
      </c>
      <c r="L243" s="795">
        <f t="shared" si="46"/>
        <v>40000</v>
      </c>
      <c r="M243" s="795">
        <f t="shared" si="46"/>
        <v>40000</v>
      </c>
      <c r="O243" s="421"/>
    </row>
    <row r="244" spans="1:15" outlineLevel="1">
      <c r="A244" s="586">
        <f>ROW()</f>
        <v>244</v>
      </c>
      <c r="B244" s="37" t="str">
        <f t="shared" ref="B244:B246" si="47">$B85</f>
        <v>Office 2</v>
      </c>
      <c r="C244" s="159">
        <f>SUM(G244:M244)</f>
        <v>0</v>
      </c>
      <c r="D244" s="57"/>
      <c r="E244" s="57"/>
      <c r="F244" s="57"/>
      <c r="G244" s="795">
        <f>G85*$D85</f>
        <v>0</v>
      </c>
      <c r="H244" s="795">
        <f>(H85*$D85)</f>
        <v>0</v>
      </c>
      <c r="I244" s="795">
        <f t="shared" ref="I244:M244" si="48">(I85*$D85)</f>
        <v>0</v>
      </c>
      <c r="J244" s="795">
        <f t="shared" si="48"/>
        <v>0</v>
      </c>
      <c r="K244" s="795">
        <f t="shared" si="48"/>
        <v>0</v>
      </c>
      <c r="L244" s="795">
        <f t="shared" si="48"/>
        <v>0</v>
      </c>
      <c r="M244" s="795">
        <f t="shared" si="48"/>
        <v>0</v>
      </c>
      <c r="O244" s="421"/>
    </row>
    <row r="245" spans="1:15" outlineLevel="1">
      <c r="A245" s="586"/>
      <c r="B245" s="37" t="str">
        <f t="shared" si="47"/>
        <v>Office 3</v>
      </c>
      <c r="C245" s="159">
        <f>SUM(G245:M245)</f>
        <v>0</v>
      </c>
      <c r="D245" s="57"/>
      <c r="E245" s="57"/>
      <c r="F245" s="57"/>
      <c r="G245" s="795">
        <f>G86*$D86</f>
        <v>0</v>
      </c>
      <c r="H245" s="795">
        <f>(H86*$D86)</f>
        <v>0</v>
      </c>
      <c r="I245" s="795">
        <f t="shared" si="46"/>
        <v>0</v>
      </c>
      <c r="J245" s="795">
        <f t="shared" si="46"/>
        <v>0</v>
      </c>
      <c r="K245" s="795">
        <f t="shared" si="46"/>
        <v>0</v>
      </c>
      <c r="L245" s="795">
        <f t="shared" si="46"/>
        <v>0</v>
      </c>
      <c r="M245" s="795">
        <f t="shared" si="46"/>
        <v>0</v>
      </c>
      <c r="O245" s="421"/>
    </row>
    <row r="246" spans="1:15" outlineLevel="1">
      <c r="A246" s="586">
        <f>ROW()</f>
        <v>246</v>
      </c>
      <c r="B246" s="71" t="str">
        <f t="shared" si="47"/>
        <v>Office 4</v>
      </c>
      <c r="C246" s="160">
        <f>SUM(G246:M246)</f>
        <v>0</v>
      </c>
      <c r="D246" s="126"/>
      <c r="E246" s="126"/>
      <c r="F246" s="126"/>
      <c r="G246" s="795">
        <f>G87*$D87</f>
        <v>0</v>
      </c>
      <c r="H246" s="795">
        <f>(H87*$D87)</f>
        <v>0</v>
      </c>
      <c r="I246" s="795">
        <f t="shared" si="46"/>
        <v>0</v>
      </c>
      <c r="J246" s="795">
        <f t="shared" si="46"/>
        <v>0</v>
      </c>
      <c r="K246" s="795">
        <f t="shared" si="46"/>
        <v>0</v>
      </c>
      <c r="L246" s="795">
        <f t="shared" si="46"/>
        <v>0</v>
      </c>
      <c r="M246" s="795">
        <f t="shared" si="46"/>
        <v>0</v>
      </c>
      <c r="O246" s="421"/>
    </row>
    <row r="247" spans="1:15" outlineLevel="1">
      <c r="A247" s="586">
        <f>ROW()</f>
        <v>247</v>
      </c>
      <c r="B247" s="35" t="s">
        <v>512</v>
      </c>
      <c r="C247" s="159">
        <f>SUM(G247:M247)</f>
        <v>200000</v>
      </c>
      <c r="D247" s="57"/>
      <c r="E247" s="57"/>
      <c r="F247" s="57"/>
      <c r="G247" s="429">
        <f t="shared" ref="G247:M247" si="49">SUM(G243:G246)</f>
        <v>0</v>
      </c>
      <c r="H247" s="429">
        <f t="shared" si="49"/>
        <v>0</v>
      </c>
      <c r="I247" s="429">
        <f t="shared" si="49"/>
        <v>40000</v>
      </c>
      <c r="J247" s="429">
        <f t="shared" si="49"/>
        <v>40000</v>
      </c>
      <c r="K247" s="429">
        <f t="shared" si="49"/>
        <v>40000</v>
      </c>
      <c r="L247" s="429">
        <f t="shared" si="49"/>
        <v>40000</v>
      </c>
      <c r="M247" s="429">
        <f t="shared" si="49"/>
        <v>40000</v>
      </c>
      <c r="O247" s="421"/>
    </row>
    <row r="248" spans="1:15" outlineLevel="1">
      <c r="A248" s="586">
        <f>ROW()</f>
        <v>248</v>
      </c>
      <c r="C248" s="159"/>
      <c r="D248" s="57"/>
      <c r="E248" s="57"/>
      <c r="F248" s="57"/>
      <c r="G248" s="159"/>
      <c r="H248" s="159"/>
      <c r="I248" s="159"/>
      <c r="J248" s="159"/>
      <c r="K248" s="159"/>
      <c r="L248" s="159"/>
      <c r="M248" s="159"/>
      <c r="O248" s="421"/>
    </row>
    <row r="249" spans="1:15" outlineLevel="1">
      <c r="A249" s="586">
        <f>ROW()</f>
        <v>249</v>
      </c>
      <c r="B249" s="1199" t="str">
        <f>$B$89</f>
        <v>Total Administrators and Office Staff</v>
      </c>
      <c r="C249" s="1528">
        <f>SUM(G249:M249)</f>
        <v>1610000</v>
      </c>
      <c r="D249" s="1198"/>
      <c r="E249" s="1198"/>
      <c r="F249" s="1198"/>
      <c r="G249" s="1202">
        <f t="shared" ref="G249:M249" si="50">+G240+G247</f>
        <v>0</v>
      </c>
      <c r="H249" s="1202">
        <f t="shared" si="50"/>
        <v>235000</v>
      </c>
      <c r="I249" s="1202">
        <f t="shared" si="50"/>
        <v>275000</v>
      </c>
      <c r="J249" s="1202">
        <f t="shared" si="50"/>
        <v>275000</v>
      </c>
      <c r="K249" s="1202">
        <f t="shared" si="50"/>
        <v>275000</v>
      </c>
      <c r="L249" s="1202">
        <f t="shared" si="50"/>
        <v>275000</v>
      </c>
      <c r="M249" s="1202">
        <f t="shared" si="50"/>
        <v>275000</v>
      </c>
      <c r="O249" s="421"/>
    </row>
    <row r="250" spans="1:15" outlineLevel="1">
      <c r="A250" s="586">
        <f>ROW()</f>
        <v>250</v>
      </c>
      <c r="G250" s="611"/>
      <c r="H250" s="611"/>
      <c r="I250" s="611"/>
      <c r="J250" s="611"/>
      <c r="K250" s="611"/>
      <c r="L250" s="611"/>
      <c r="M250" s="611"/>
      <c r="O250" s="421"/>
    </row>
    <row r="251" spans="1:15" outlineLevel="1">
      <c r="A251" s="586">
        <f>ROW()</f>
        <v>251</v>
      </c>
      <c r="B251" s="35"/>
      <c r="C251" s="159"/>
      <c r="D251" s="57"/>
      <c r="E251" s="57"/>
      <c r="F251" s="57"/>
      <c r="G251" s="159"/>
      <c r="H251" s="159"/>
      <c r="I251" s="159"/>
      <c r="J251" s="159"/>
      <c r="K251" s="159"/>
      <c r="L251" s="159"/>
      <c r="M251" s="159"/>
      <c r="O251" s="421"/>
    </row>
    <row r="252" spans="1:15" outlineLevel="1">
      <c r="A252" s="586">
        <f>ROW()</f>
        <v>252</v>
      </c>
      <c r="B252" s="201" t="str">
        <f>$B$91</f>
        <v>Special Education (SPED) Teachers (Full-time &amp; Part-Time w/benefits)</v>
      </c>
      <c r="C252" s="160"/>
      <c r="D252" s="126"/>
      <c r="E252" s="126"/>
      <c r="F252" s="126"/>
      <c r="G252" s="160"/>
      <c r="H252" s="160"/>
      <c r="I252" s="160"/>
      <c r="J252" s="160"/>
      <c r="K252" s="160"/>
      <c r="L252" s="160"/>
      <c r="M252" s="160"/>
      <c r="O252" s="421"/>
    </row>
    <row r="253" spans="1:15" outlineLevel="1">
      <c r="A253" s="586">
        <f>ROW()</f>
        <v>253</v>
      </c>
      <c r="B253" s="193" t="str">
        <f>$B$92</f>
        <v>Special Education Director 1</v>
      </c>
      <c r="C253" s="159">
        <f t="shared" ref="C253:C262" si="51">SUM(G253:M253)</f>
        <v>237500</v>
      </c>
      <c r="D253" s="57"/>
      <c r="E253" s="57"/>
      <c r="F253" s="57"/>
      <c r="G253" s="795">
        <f t="shared" ref="G253:G261" si="52">G92*$D92</f>
        <v>0</v>
      </c>
      <c r="H253" s="795">
        <f t="shared" ref="H253:M261" si="53">(H92*$D92)</f>
        <v>12500</v>
      </c>
      <c r="I253" s="795">
        <f t="shared" si="53"/>
        <v>25000</v>
      </c>
      <c r="J253" s="795">
        <f t="shared" si="53"/>
        <v>50000</v>
      </c>
      <c r="K253" s="795">
        <f t="shared" si="53"/>
        <v>50000</v>
      </c>
      <c r="L253" s="795">
        <f t="shared" si="53"/>
        <v>50000</v>
      </c>
      <c r="M253" s="795">
        <f t="shared" si="53"/>
        <v>50000</v>
      </c>
      <c r="O253" s="421" t="s">
        <v>1224</v>
      </c>
    </row>
    <row r="254" spans="1:15" outlineLevel="1">
      <c r="A254" s="586">
        <f>ROW()</f>
        <v>254</v>
      </c>
      <c r="B254" s="193" t="str">
        <f>$B$93</f>
        <v>Special Education Teacher 1</v>
      </c>
      <c r="C254" s="159">
        <f t="shared" si="51"/>
        <v>287500</v>
      </c>
      <c r="D254" s="57"/>
      <c r="E254" s="57"/>
      <c r="F254" s="57"/>
      <c r="G254" s="795">
        <f t="shared" si="52"/>
        <v>0</v>
      </c>
      <c r="H254" s="795">
        <f t="shared" si="53"/>
        <v>37500</v>
      </c>
      <c r="I254" s="795">
        <f t="shared" si="53"/>
        <v>50000</v>
      </c>
      <c r="J254" s="795">
        <f t="shared" si="53"/>
        <v>50000</v>
      </c>
      <c r="K254" s="795">
        <f t="shared" si="53"/>
        <v>50000</v>
      </c>
      <c r="L254" s="795">
        <f t="shared" si="53"/>
        <v>50000</v>
      </c>
      <c r="M254" s="795">
        <f t="shared" si="53"/>
        <v>50000</v>
      </c>
      <c r="O254" s="421"/>
    </row>
    <row r="255" spans="1:15" outlineLevel="1">
      <c r="A255" s="586">
        <f>ROW()</f>
        <v>255</v>
      </c>
      <c r="B255" s="193" t="str">
        <f>$B$94</f>
        <v>Special Education Teacher 2</v>
      </c>
      <c r="C255" s="159">
        <f t="shared" si="51"/>
        <v>225000</v>
      </c>
      <c r="D255" s="57"/>
      <c r="E255" s="57"/>
      <c r="F255" s="57"/>
      <c r="G255" s="795">
        <f t="shared" si="52"/>
        <v>0</v>
      </c>
      <c r="H255" s="795">
        <f t="shared" si="53"/>
        <v>0</v>
      </c>
      <c r="I255" s="795">
        <f t="shared" si="53"/>
        <v>45000</v>
      </c>
      <c r="J255" s="795">
        <f t="shared" si="53"/>
        <v>45000</v>
      </c>
      <c r="K255" s="795">
        <f t="shared" si="53"/>
        <v>45000</v>
      </c>
      <c r="L255" s="795">
        <f t="shared" si="53"/>
        <v>45000</v>
      </c>
      <c r="M255" s="795">
        <f t="shared" si="53"/>
        <v>45000</v>
      </c>
      <c r="O255" s="421"/>
    </row>
    <row r="256" spans="1:15" outlineLevel="1">
      <c r="A256" s="586">
        <f>ROW()</f>
        <v>256</v>
      </c>
      <c r="B256" s="193" t="str">
        <f>$B$95</f>
        <v>Special Education Teacher 3</v>
      </c>
      <c r="C256" s="159">
        <f t="shared" si="51"/>
        <v>90000</v>
      </c>
      <c r="D256" s="57"/>
      <c r="E256" s="57"/>
      <c r="F256" s="57"/>
      <c r="G256" s="795">
        <f t="shared" si="52"/>
        <v>0</v>
      </c>
      <c r="H256" s="795">
        <f t="shared" si="53"/>
        <v>0</v>
      </c>
      <c r="I256" s="795">
        <f t="shared" si="53"/>
        <v>0</v>
      </c>
      <c r="J256" s="795">
        <f t="shared" si="53"/>
        <v>22500</v>
      </c>
      <c r="K256" s="795">
        <f t="shared" si="53"/>
        <v>22500</v>
      </c>
      <c r="L256" s="795">
        <f t="shared" si="53"/>
        <v>22500</v>
      </c>
      <c r="M256" s="795">
        <f t="shared" si="53"/>
        <v>22500</v>
      </c>
      <c r="O256" s="421"/>
    </row>
    <row r="257" spans="1:15" outlineLevel="1">
      <c r="A257" s="586">
        <f>ROW()</f>
        <v>257</v>
      </c>
      <c r="B257" s="193">
        <f>$B$96</f>
        <v>0</v>
      </c>
      <c r="C257" s="159">
        <f t="shared" si="51"/>
        <v>0</v>
      </c>
      <c r="D257" s="57"/>
      <c r="E257" s="57"/>
      <c r="F257" s="57"/>
      <c r="G257" s="795">
        <f t="shared" si="52"/>
        <v>0</v>
      </c>
      <c r="H257" s="795">
        <f t="shared" si="53"/>
        <v>0</v>
      </c>
      <c r="I257" s="795">
        <f t="shared" si="53"/>
        <v>0</v>
      </c>
      <c r="J257" s="795">
        <f t="shared" si="53"/>
        <v>0</v>
      </c>
      <c r="K257" s="795">
        <f t="shared" si="53"/>
        <v>0</v>
      </c>
      <c r="L257" s="795">
        <f t="shared" si="53"/>
        <v>0</v>
      </c>
      <c r="M257" s="795">
        <f t="shared" si="53"/>
        <v>0</v>
      </c>
      <c r="O257" s="421"/>
    </row>
    <row r="258" spans="1:15" outlineLevel="1">
      <c r="A258" s="586">
        <f>ROW()</f>
        <v>258</v>
      </c>
      <c r="B258" s="193">
        <f>$B97</f>
        <v>0</v>
      </c>
      <c r="C258" s="159">
        <f t="shared" si="51"/>
        <v>0</v>
      </c>
      <c r="D258" s="57"/>
      <c r="E258" s="57"/>
      <c r="F258" s="57"/>
      <c r="G258" s="795">
        <f t="shared" si="52"/>
        <v>0</v>
      </c>
      <c r="H258" s="795">
        <f t="shared" si="53"/>
        <v>0</v>
      </c>
      <c r="I258" s="795">
        <f t="shared" si="53"/>
        <v>0</v>
      </c>
      <c r="J258" s="795">
        <f t="shared" si="53"/>
        <v>0</v>
      </c>
      <c r="K258" s="795">
        <f t="shared" si="53"/>
        <v>0</v>
      </c>
      <c r="L258" s="795">
        <f t="shared" si="53"/>
        <v>0</v>
      </c>
      <c r="M258" s="795">
        <f t="shared" si="53"/>
        <v>0</v>
      </c>
      <c r="O258" s="421"/>
    </row>
    <row r="259" spans="1:15" outlineLevel="1">
      <c r="A259" s="586">
        <f>ROW()</f>
        <v>259</v>
      </c>
      <c r="B259" s="193">
        <f>$B98</f>
        <v>0</v>
      </c>
      <c r="C259" s="159">
        <f t="shared" si="51"/>
        <v>0</v>
      </c>
      <c r="D259" s="57"/>
      <c r="E259" s="57"/>
      <c r="F259" s="57"/>
      <c r="G259" s="795">
        <f t="shared" si="52"/>
        <v>0</v>
      </c>
      <c r="H259" s="795">
        <f t="shared" si="53"/>
        <v>0</v>
      </c>
      <c r="I259" s="795">
        <f t="shared" si="53"/>
        <v>0</v>
      </c>
      <c r="J259" s="795">
        <f t="shared" si="53"/>
        <v>0</v>
      </c>
      <c r="K259" s="795">
        <f t="shared" si="53"/>
        <v>0</v>
      </c>
      <c r="L259" s="795">
        <f t="shared" si="53"/>
        <v>0</v>
      </c>
      <c r="M259" s="795">
        <f t="shared" si="53"/>
        <v>0</v>
      </c>
      <c r="O259" s="421"/>
    </row>
    <row r="260" spans="1:15" outlineLevel="1">
      <c r="A260" s="586">
        <f>ROW()</f>
        <v>260</v>
      </c>
      <c r="B260" s="193">
        <f>$B99</f>
        <v>0</v>
      </c>
      <c r="C260" s="159">
        <f t="shared" si="51"/>
        <v>0</v>
      </c>
      <c r="D260" s="57"/>
      <c r="E260" s="57"/>
      <c r="F260" s="57"/>
      <c r="G260" s="795">
        <f t="shared" si="52"/>
        <v>0</v>
      </c>
      <c r="H260" s="795">
        <f t="shared" si="53"/>
        <v>0</v>
      </c>
      <c r="I260" s="795">
        <f t="shared" si="53"/>
        <v>0</v>
      </c>
      <c r="J260" s="795">
        <f t="shared" si="53"/>
        <v>0</v>
      </c>
      <c r="K260" s="795">
        <f t="shared" si="53"/>
        <v>0</v>
      </c>
      <c r="L260" s="795">
        <f t="shared" si="53"/>
        <v>0</v>
      </c>
      <c r="M260" s="795">
        <f t="shared" si="53"/>
        <v>0</v>
      </c>
      <c r="O260" s="421"/>
    </row>
    <row r="261" spans="1:15" outlineLevel="1">
      <c r="A261" s="586">
        <f>ROW()</f>
        <v>261</v>
      </c>
      <c r="B261" s="193">
        <f>$B100</f>
        <v>0</v>
      </c>
      <c r="C261" s="159">
        <f t="shared" si="51"/>
        <v>0</v>
      </c>
      <c r="D261" s="57"/>
      <c r="E261" s="57"/>
      <c r="F261" s="57"/>
      <c r="G261" s="795">
        <f t="shared" si="52"/>
        <v>0</v>
      </c>
      <c r="H261" s="795">
        <f t="shared" si="53"/>
        <v>0</v>
      </c>
      <c r="I261" s="795">
        <f t="shared" si="53"/>
        <v>0</v>
      </c>
      <c r="J261" s="795">
        <f t="shared" si="53"/>
        <v>0</v>
      </c>
      <c r="K261" s="795">
        <f t="shared" si="53"/>
        <v>0</v>
      </c>
      <c r="L261" s="795">
        <f t="shared" si="53"/>
        <v>0</v>
      </c>
      <c r="M261" s="795">
        <f t="shared" si="53"/>
        <v>0</v>
      </c>
      <c r="O261" s="421"/>
    </row>
    <row r="262" spans="1:15" outlineLevel="1">
      <c r="A262" s="586">
        <f>ROW()</f>
        <v>262</v>
      </c>
      <c r="B262" s="1199" t="str">
        <f>$B101</f>
        <v>Total Special EducationTeachers</v>
      </c>
      <c r="C262" s="1200">
        <f t="shared" si="51"/>
        <v>840000</v>
      </c>
      <c r="D262" s="1201"/>
      <c r="E262" s="1201"/>
      <c r="F262" s="1201"/>
      <c r="G262" s="1202">
        <f t="shared" ref="G262:M262" si="54">SUM(G253:G261)</f>
        <v>0</v>
      </c>
      <c r="H262" s="1202">
        <f t="shared" si="54"/>
        <v>50000</v>
      </c>
      <c r="I262" s="1202">
        <f t="shared" si="54"/>
        <v>120000</v>
      </c>
      <c r="J262" s="1202">
        <f t="shared" si="54"/>
        <v>167500</v>
      </c>
      <c r="K262" s="1202">
        <f t="shared" si="54"/>
        <v>167500</v>
      </c>
      <c r="L262" s="1202">
        <f t="shared" si="54"/>
        <v>167500</v>
      </c>
      <c r="M262" s="1202">
        <f t="shared" si="54"/>
        <v>167500</v>
      </c>
      <c r="O262" s="421"/>
    </row>
    <row r="263" spans="1:15" outlineLevel="1">
      <c r="A263" s="586">
        <f>ROW()</f>
        <v>263</v>
      </c>
      <c r="C263" s="159"/>
      <c r="D263" s="57"/>
      <c r="E263" s="57"/>
      <c r="F263" s="57"/>
      <c r="G263" s="159"/>
      <c r="H263" s="159"/>
      <c r="I263" s="159"/>
      <c r="J263" s="159"/>
      <c r="K263" s="159"/>
      <c r="L263" s="159"/>
      <c r="M263" s="159"/>
      <c r="O263" s="421"/>
    </row>
    <row r="264" spans="1:15" outlineLevel="1">
      <c r="A264" s="586">
        <f>ROW()</f>
        <v>264</v>
      </c>
      <c r="B264" s="201" t="str">
        <f t="shared" ref="B264:B274" si="55">$B103</f>
        <v>English Language Learner (ELL) Teachers (Full-time &amp; Part-Time w/benefits)</v>
      </c>
      <c r="C264" s="160"/>
      <c r="D264" s="126"/>
      <c r="E264" s="126"/>
      <c r="F264" s="126"/>
      <c r="G264" s="160"/>
      <c r="H264" s="160"/>
      <c r="I264" s="160"/>
      <c r="J264" s="160"/>
      <c r="K264" s="160"/>
      <c r="L264" s="160"/>
      <c r="M264" s="160"/>
      <c r="O264" s="421"/>
    </row>
    <row r="265" spans="1:15" outlineLevel="1">
      <c r="A265" s="586">
        <f>ROW()</f>
        <v>265</v>
      </c>
      <c r="B265" s="193" t="str">
        <f t="shared" si="55"/>
        <v>ELL Teacher 1</v>
      </c>
      <c r="C265" s="159">
        <f t="shared" ref="C265:C274" si="56">SUM(G265:M265)</f>
        <v>247500</v>
      </c>
      <c r="D265" s="57"/>
      <c r="E265" s="57"/>
      <c r="F265" s="57"/>
      <c r="G265" s="795">
        <f t="shared" ref="G265:G273" si="57">G104*$D104</f>
        <v>0</v>
      </c>
      <c r="H265" s="795">
        <f t="shared" ref="H265:M273" si="58">(H104*$D104)</f>
        <v>22500</v>
      </c>
      <c r="I265" s="795">
        <f t="shared" si="58"/>
        <v>45000</v>
      </c>
      <c r="J265" s="795">
        <f t="shared" si="58"/>
        <v>45000</v>
      </c>
      <c r="K265" s="795">
        <f t="shared" si="58"/>
        <v>45000</v>
      </c>
      <c r="L265" s="795">
        <f t="shared" si="58"/>
        <v>45000</v>
      </c>
      <c r="M265" s="795">
        <f t="shared" si="58"/>
        <v>45000</v>
      </c>
      <c r="O265" s="421"/>
    </row>
    <row r="266" spans="1:15" outlineLevel="1">
      <c r="A266" s="586">
        <f>ROW()</f>
        <v>266</v>
      </c>
      <c r="B266" s="193" t="str">
        <f t="shared" si="55"/>
        <v>ELL Teacher 2</v>
      </c>
      <c r="C266" s="159">
        <f t="shared" si="56"/>
        <v>225000</v>
      </c>
      <c r="D266" s="57"/>
      <c r="E266" s="57"/>
      <c r="F266" s="57"/>
      <c r="G266" s="795">
        <f t="shared" si="57"/>
        <v>0</v>
      </c>
      <c r="H266" s="795">
        <f t="shared" si="58"/>
        <v>0</v>
      </c>
      <c r="I266" s="795">
        <f t="shared" si="58"/>
        <v>45000</v>
      </c>
      <c r="J266" s="795">
        <f t="shared" si="58"/>
        <v>45000</v>
      </c>
      <c r="K266" s="795">
        <f t="shared" si="58"/>
        <v>45000</v>
      </c>
      <c r="L266" s="795">
        <f t="shared" si="58"/>
        <v>45000</v>
      </c>
      <c r="M266" s="795">
        <f t="shared" si="58"/>
        <v>45000</v>
      </c>
      <c r="O266" s="421"/>
    </row>
    <row r="267" spans="1:15" outlineLevel="1">
      <c r="A267" s="586">
        <f>ROW()</f>
        <v>267</v>
      </c>
      <c r="B267" s="193" t="str">
        <f t="shared" si="55"/>
        <v>ELL Teacher 3</v>
      </c>
      <c r="C267" s="159">
        <f t="shared" si="56"/>
        <v>90000</v>
      </c>
      <c r="D267" s="57"/>
      <c r="E267" s="57"/>
      <c r="F267" s="57"/>
      <c r="G267" s="795">
        <f t="shared" si="57"/>
        <v>0</v>
      </c>
      <c r="H267" s="795">
        <f t="shared" si="58"/>
        <v>0</v>
      </c>
      <c r="I267" s="795">
        <f t="shared" si="58"/>
        <v>0</v>
      </c>
      <c r="J267" s="795">
        <f t="shared" si="58"/>
        <v>22500</v>
      </c>
      <c r="K267" s="795">
        <f t="shared" si="58"/>
        <v>22500</v>
      </c>
      <c r="L267" s="795">
        <f t="shared" si="58"/>
        <v>22500</v>
      </c>
      <c r="M267" s="795">
        <f t="shared" si="58"/>
        <v>22500</v>
      </c>
      <c r="O267" s="421"/>
    </row>
    <row r="268" spans="1:15" outlineLevel="1">
      <c r="A268" s="586">
        <f>ROW()</f>
        <v>268</v>
      </c>
      <c r="B268" s="193">
        <f t="shared" si="55"/>
        <v>0</v>
      </c>
      <c r="C268" s="159">
        <f t="shared" si="56"/>
        <v>0</v>
      </c>
      <c r="D268" s="57"/>
      <c r="E268" s="57"/>
      <c r="F268" s="57"/>
      <c r="G268" s="795">
        <f t="shared" si="57"/>
        <v>0</v>
      </c>
      <c r="H268" s="795">
        <f t="shared" si="58"/>
        <v>0</v>
      </c>
      <c r="I268" s="795">
        <f t="shared" si="58"/>
        <v>0</v>
      </c>
      <c r="J268" s="795">
        <f t="shared" si="58"/>
        <v>0</v>
      </c>
      <c r="K268" s="795">
        <f t="shared" si="58"/>
        <v>0</v>
      </c>
      <c r="L268" s="795">
        <f t="shared" si="58"/>
        <v>0</v>
      </c>
      <c r="M268" s="795">
        <f t="shared" si="58"/>
        <v>0</v>
      </c>
      <c r="O268" s="421"/>
    </row>
    <row r="269" spans="1:15" outlineLevel="1">
      <c r="A269" s="586">
        <f>ROW()</f>
        <v>269</v>
      </c>
      <c r="B269" s="193">
        <f t="shared" si="55"/>
        <v>0</v>
      </c>
      <c r="C269" s="159">
        <f t="shared" si="56"/>
        <v>0</v>
      </c>
      <c r="D269" s="57"/>
      <c r="E269" s="57"/>
      <c r="F269" s="57"/>
      <c r="G269" s="795">
        <f t="shared" si="57"/>
        <v>0</v>
      </c>
      <c r="H269" s="795">
        <f t="shared" si="58"/>
        <v>0</v>
      </c>
      <c r="I269" s="795">
        <f t="shared" si="58"/>
        <v>0</v>
      </c>
      <c r="J269" s="795">
        <f t="shared" si="58"/>
        <v>0</v>
      </c>
      <c r="K269" s="795">
        <f t="shared" si="58"/>
        <v>0</v>
      </c>
      <c r="L269" s="795">
        <f t="shared" si="58"/>
        <v>0</v>
      </c>
      <c r="M269" s="795">
        <f t="shared" si="58"/>
        <v>0</v>
      </c>
      <c r="O269" s="421"/>
    </row>
    <row r="270" spans="1:15" outlineLevel="1">
      <c r="A270" s="586">
        <f>ROW()</f>
        <v>270</v>
      </c>
      <c r="B270" s="193">
        <f t="shared" si="55"/>
        <v>0</v>
      </c>
      <c r="C270" s="159">
        <f t="shared" si="56"/>
        <v>0</v>
      </c>
      <c r="D270" s="57"/>
      <c r="E270" s="57"/>
      <c r="F270" s="57"/>
      <c r="G270" s="795">
        <f t="shared" si="57"/>
        <v>0</v>
      </c>
      <c r="H270" s="795">
        <f t="shared" si="58"/>
        <v>0</v>
      </c>
      <c r="I270" s="795">
        <f t="shared" si="58"/>
        <v>0</v>
      </c>
      <c r="J270" s="795">
        <f t="shared" si="58"/>
        <v>0</v>
      </c>
      <c r="K270" s="795">
        <f t="shared" si="58"/>
        <v>0</v>
      </c>
      <c r="L270" s="795">
        <f t="shared" si="58"/>
        <v>0</v>
      </c>
      <c r="M270" s="795">
        <f t="shared" si="58"/>
        <v>0</v>
      </c>
      <c r="O270" s="421"/>
    </row>
    <row r="271" spans="1:15" outlineLevel="1">
      <c r="A271" s="586">
        <f>ROW()</f>
        <v>271</v>
      </c>
      <c r="B271" s="193">
        <f t="shared" si="55"/>
        <v>0</v>
      </c>
      <c r="C271" s="159">
        <f t="shared" si="56"/>
        <v>0</v>
      </c>
      <c r="D271" s="57"/>
      <c r="E271" s="57"/>
      <c r="F271" s="57"/>
      <c r="G271" s="795">
        <f t="shared" si="57"/>
        <v>0</v>
      </c>
      <c r="H271" s="795">
        <f t="shared" si="58"/>
        <v>0</v>
      </c>
      <c r="I271" s="795">
        <f t="shared" si="58"/>
        <v>0</v>
      </c>
      <c r="J271" s="795">
        <f t="shared" si="58"/>
        <v>0</v>
      </c>
      <c r="K271" s="795">
        <f t="shared" si="58"/>
        <v>0</v>
      </c>
      <c r="L271" s="795">
        <f t="shared" si="58"/>
        <v>0</v>
      </c>
      <c r="M271" s="795">
        <f t="shared" si="58"/>
        <v>0</v>
      </c>
      <c r="O271" s="421"/>
    </row>
    <row r="272" spans="1:15" outlineLevel="1">
      <c r="A272" s="586">
        <f>ROW()</f>
        <v>272</v>
      </c>
      <c r="B272" s="193">
        <f t="shared" si="55"/>
        <v>0</v>
      </c>
      <c r="C272" s="159">
        <f t="shared" si="56"/>
        <v>0</v>
      </c>
      <c r="D272" s="57"/>
      <c r="E272" s="57"/>
      <c r="F272" s="57"/>
      <c r="G272" s="795">
        <f t="shared" si="57"/>
        <v>0</v>
      </c>
      <c r="H272" s="795">
        <f t="shared" si="58"/>
        <v>0</v>
      </c>
      <c r="I272" s="795">
        <f t="shared" si="58"/>
        <v>0</v>
      </c>
      <c r="J272" s="795">
        <f t="shared" si="58"/>
        <v>0</v>
      </c>
      <c r="K272" s="795">
        <f t="shared" si="58"/>
        <v>0</v>
      </c>
      <c r="L272" s="795">
        <f t="shared" si="58"/>
        <v>0</v>
      </c>
      <c r="M272" s="795">
        <f t="shared" si="58"/>
        <v>0</v>
      </c>
      <c r="O272" s="421"/>
    </row>
    <row r="273" spans="1:15" outlineLevel="1">
      <c r="A273" s="586">
        <f>ROW()</f>
        <v>273</v>
      </c>
      <c r="B273" s="193">
        <f t="shared" si="55"/>
        <v>0</v>
      </c>
      <c r="C273" s="159">
        <f t="shared" si="56"/>
        <v>0</v>
      </c>
      <c r="D273" s="57"/>
      <c r="E273" s="57"/>
      <c r="F273" s="57"/>
      <c r="G273" s="795">
        <f t="shared" si="57"/>
        <v>0</v>
      </c>
      <c r="H273" s="795">
        <f t="shared" si="58"/>
        <v>0</v>
      </c>
      <c r="I273" s="795">
        <f t="shared" si="58"/>
        <v>0</v>
      </c>
      <c r="J273" s="795">
        <f t="shared" si="58"/>
        <v>0</v>
      </c>
      <c r="K273" s="795">
        <f t="shared" si="58"/>
        <v>0</v>
      </c>
      <c r="L273" s="795">
        <f t="shared" si="58"/>
        <v>0</v>
      </c>
      <c r="M273" s="795">
        <f t="shared" si="58"/>
        <v>0</v>
      </c>
      <c r="O273" s="421"/>
    </row>
    <row r="274" spans="1:15" outlineLevel="1">
      <c r="A274" s="586">
        <f>ROW()</f>
        <v>274</v>
      </c>
      <c r="B274" s="1199" t="str">
        <f t="shared" si="55"/>
        <v>Total ELL Teachers</v>
      </c>
      <c r="C274" s="1200">
        <f t="shared" si="56"/>
        <v>562500</v>
      </c>
      <c r="D274" s="1198"/>
      <c r="E274" s="1198"/>
      <c r="F274" s="1198"/>
      <c r="G274" s="1202">
        <f t="shared" ref="G274:M274" si="59">SUM(G265:G273)</f>
        <v>0</v>
      </c>
      <c r="H274" s="1202">
        <f t="shared" si="59"/>
        <v>22500</v>
      </c>
      <c r="I274" s="1202">
        <f t="shared" si="59"/>
        <v>90000</v>
      </c>
      <c r="J274" s="1202">
        <f t="shared" si="59"/>
        <v>112500</v>
      </c>
      <c r="K274" s="1202">
        <f t="shared" si="59"/>
        <v>112500</v>
      </c>
      <c r="L274" s="1202">
        <f t="shared" si="59"/>
        <v>112500</v>
      </c>
      <c r="M274" s="1202">
        <f t="shared" si="59"/>
        <v>112500</v>
      </c>
      <c r="O274" s="421"/>
    </row>
    <row r="275" spans="1:15" outlineLevel="1">
      <c r="A275" s="586">
        <f>ROW()</f>
        <v>275</v>
      </c>
      <c r="C275" s="159"/>
      <c r="D275" s="57"/>
      <c r="E275" s="57"/>
      <c r="F275" s="57"/>
      <c r="G275" s="159"/>
      <c r="H275" s="159"/>
      <c r="I275" s="159"/>
      <c r="J275" s="159"/>
      <c r="K275" s="159"/>
      <c r="L275" s="159"/>
      <c r="M275" s="159"/>
      <c r="O275" s="421"/>
    </row>
    <row r="276" spans="1:15" outlineLevel="1">
      <c r="A276" s="586">
        <f>ROW()</f>
        <v>276</v>
      </c>
      <c r="B276" s="201" t="str">
        <f t="shared" ref="B276:B286" si="60">$B115</f>
        <v>Guidance Counselor &amp; Other (Full-time &amp; Part-Time w/benefits)</v>
      </c>
      <c r="C276" s="160"/>
      <c r="D276" s="126"/>
      <c r="E276" s="126"/>
      <c r="F276" s="126"/>
      <c r="G276" s="160"/>
      <c r="H276" s="160"/>
      <c r="I276" s="160"/>
      <c r="J276" s="160"/>
      <c r="K276" s="160"/>
      <c r="L276" s="160"/>
      <c r="M276" s="160"/>
      <c r="O276" s="421"/>
    </row>
    <row r="277" spans="1:15" outlineLevel="1">
      <c r="A277" s="586">
        <f>ROW()</f>
        <v>277</v>
      </c>
      <c r="B277" s="193" t="str">
        <f t="shared" si="60"/>
        <v>Nurse</v>
      </c>
      <c r="C277" s="159">
        <f t="shared" ref="C277:C286" si="61">SUM(G277:M277)</f>
        <v>0</v>
      </c>
      <c r="D277" s="57"/>
      <c r="E277" s="57"/>
      <c r="F277" s="57"/>
      <c r="G277" s="795">
        <f t="shared" ref="G277:G285" si="62">G116*$D116</f>
        <v>0</v>
      </c>
      <c r="H277" s="795">
        <f t="shared" ref="H277:M285" si="63">(H116*$D116)</f>
        <v>0</v>
      </c>
      <c r="I277" s="795">
        <f t="shared" si="63"/>
        <v>0</v>
      </c>
      <c r="J277" s="795">
        <f t="shared" si="63"/>
        <v>0</v>
      </c>
      <c r="K277" s="795">
        <f t="shared" si="63"/>
        <v>0</v>
      </c>
      <c r="L277" s="795">
        <f t="shared" si="63"/>
        <v>0</v>
      </c>
      <c r="M277" s="795">
        <f t="shared" si="63"/>
        <v>0</v>
      </c>
      <c r="O277" s="421" t="s">
        <v>1343</v>
      </c>
    </row>
    <row r="278" spans="1:15" outlineLevel="1">
      <c r="A278" s="586">
        <f>ROW()</f>
        <v>278</v>
      </c>
      <c r="B278" s="193" t="str">
        <f t="shared" si="60"/>
        <v>Guidance Counselor</v>
      </c>
      <c r="C278" s="159">
        <f t="shared" si="61"/>
        <v>0</v>
      </c>
      <c r="D278" s="57"/>
      <c r="E278" s="57"/>
      <c r="F278" s="57"/>
      <c r="G278" s="795">
        <f t="shared" si="62"/>
        <v>0</v>
      </c>
      <c r="H278" s="795">
        <f t="shared" si="63"/>
        <v>0</v>
      </c>
      <c r="I278" s="795">
        <f t="shared" si="63"/>
        <v>0</v>
      </c>
      <c r="J278" s="795">
        <f t="shared" si="63"/>
        <v>0</v>
      </c>
      <c r="K278" s="795">
        <f t="shared" si="63"/>
        <v>0</v>
      </c>
      <c r="L278" s="795">
        <f t="shared" si="63"/>
        <v>0</v>
      </c>
      <c r="M278" s="795">
        <f t="shared" si="63"/>
        <v>0</v>
      </c>
      <c r="O278" s="421"/>
    </row>
    <row r="279" spans="1:15" outlineLevel="1">
      <c r="A279" s="586">
        <f>ROW()</f>
        <v>279</v>
      </c>
      <c r="B279" s="193" t="str">
        <f t="shared" si="60"/>
        <v>Dean of Culture</v>
      </c>
      <c r="C279" s="159">
        <f t="shared" si="61"/>
        <v>225000</v>
      </c>
      <c r="D279" s="57"/>
      <c r="E279" s="57"/>
      <c r="F279" s="57"/>
      <c r="G279" s="795">
        <f t="shared" si="62"/>
        <v>0</v>
      </c>
      <c r="H279" s="795">
        <f t="shared" si="63"/>
        <v>0</v>
      </c>
      <c r="I279" s="795">
        <f t="shared" si="63"/>
        <v>45000</v>
      </c>
      <c r="J279" s="795">
        <f t="shared" si="63"/>
        <v>45000</v>
      </c>
      <c r="K279" s="795">
        <f t="shared" si="63"/>
        <v>45000</v>
      </c>
      <c r="L279" s="795">
        <f t="shared" si="63"/>
        <v>45000</v>
      </c>
      <c r="M279" s="795">
        <f t="shared" si="63"/>
        <v>45000</v>
      </c>
      <c r="O279" s="421"/>
    </row>
    <row r="280" spans="1:15" outlineLevel="1">
      <c r="A280" s="586">
        <f>ROW()</f>
        <v>280</v>
      </c>
      <c r="B280" s="193">
        <f t="shared" si="60"/>
        <v>0</v>
      </c>
      <c r="C280" s="159">
        <f t="shared" si="61"/>
        <v>0</v>
      </c>
      <c r="D280" s="57"/>
      <c r="E280" s="57"/>
      <c r="F280" s="57"/>
      <c r="G280" s="795">
        <f t="shared" si="62"/>
        <v>0</v>
      </c>
      <c r="H280" s="795">
        <f t="shared" si="63"/>
        <v>0</v>
      </c>
      <c r="I280" s="795">
        <f t="shared" si="63"/>
        <v>0</v>
      </c>
      <c r="J280" s="795">
        <f t="shared" si="63"/>
        <v>0</v>
      </c>
      <c r="K280" s="795">
        <f t="shared" si="63"/>
        <v>0</v>
      </c>
      <c r="L280" s="795">
        <f t="shared" si="63"/>
        <v>0</v>
      </c>
      <c r="M280" s="795">
        <f t="shared" si="63"/>
        <v>0</v>
      </c>
      <c r="O280" s="421"/>
    </row>
    <row r="281" spans="1:15" outlineLevel="1">
      <c r="A281" s="586">
        <f>ROW()</f>
        <v>281</v>
      </c>
      <c r="B281" s="193">
        <f t="shared" si="60"/>
        <v>0</v>
      </c>
      <c r="C281" s="159">
        <f t="shared" si="61"/>
        <v>0</v>
      </c>
      <c r="D281" s="57"/>
      <c r="E281" s="57"/>
      <c r="F281" s="57"/>
      <c r="G281" s="795">
        <f t="shared" si="62"/>
        <v>0</v>
      </c>
      <c r="H281" s="795">
        <f t="shared" si="63"/>
        <v>0</v>
      </c>
      <c r="I281" s="795">
        <f t="shared" si="63"/>
        <v>0</v>
      </c>
      <c r="J281" s="795">
        <f t="shared" si="63"/>
        <v>0</v>
      </c>
      <c r="K281" s="795">
        <f t="shared" si="63"/>
        <v>0</v>
      </c>
      <c r="L281" s="795">
        <f t="shared" si="63"/>
        <v>0</v>
      </c>
      <c r="M281" s="795">
        <f t="shared" si="63"/>
        <v>0</v>
      </c>
      <c r="O281" s="421"/>
    </row>
    <row r="282" spans="1:15" outlineLevel="1">
      <c r="A282" s="586">
        <f>ROW()</f>
        <v>282</v>
      </c>
      <c r="B282" s="193">
        <f t="shared" si="60"/>
        <v>0</v>
      </c>
      <c r="C282" s="159">
        <f t="shared" si="61"/>
        <v>0</v>
      </c>
      <c r="D282" s="57"/>
      <c r="E282" s="57"/>
      <c r="F282" s="57"/>
      <c r="G282" s="795">
        <f t="shared" si="62"/>
        <v>0</v>
      </c>
      <c r="H282" s="795">
        <f t="shared" si="63"/>
        <v>0</v>
      </c>
      <c r="I282" s="795">
        <f t="shared" si="63"/>
        <v>0</v>
      </c>
      <c r="J282" s="795">
        <f t="shared" si="63"/>
        <v>0</v>
      </c>
      <c r="K282" s="795">
        <f t="shared" si="63"/>
        <v>0</v>
      </c>
      <c r="L282" s="795">
        <f t="shared" si="63"/>
        <v>0</v>
      </c>
      <c r="M282" s="795">
        <f t="shared" si="63"/>
        <v>0</v>
      </c>
      <c r="O282" s="421"/>
    </row>
    <row r="283" spans="1:15" outlineLevel="1">
      <c r="A283" s="586">
        <f>ROW()</f>
        <v>283</v>
      </c>
      <c r="B283" s="193">
        <f t="shared" si="60"/>
        <v>0</v>
      </c>
      <c r="C283" s="159">
        <f t="shared" si="61"/>
        <v>0</v>
      </c>
      <c r="D283" s="57"/>
      <c r="E283" s="57"/>
      <c r="F283" s="57"/>
      <c r="G283" s="795">
        <f t="shared" si="62"/>
        <v>0</v>
      </c>
      <c r="H283" s="795">
        <f t="shared" si="63"/>
        <v>0</v>
      </c>
      <c r="I283" s="795">
        <f t="shared" si="63"/>
        <v>0</v>
      </c>
      <c r="J283" s="795">
        <f t="shared" si="63"/>
        <v>0</v>
      </c>
      <c r="K283" s="795">
        <f t="shared" si="63"/>
        <v>0</v>
      </c>
      <c r="L283" s="795">
        <f t="shared" si="63"/>
        <v>0</v>
      </c>
      <c r="M283" s="795">
        <f t="shared" si="63"/>
        <v>0</v>
      </c>
      <c r="O283" s="421"/>
    </row>
    <row r="284" spans="1:15" outlineLevel="1">
      <c r="A284" s="586">
        <f>ROW()</f>
        <v>284</v>
      </c>
      <c r="B284" s="193">
        <f t="shared" si="60"/>
        <v>0</v>
      </c>
      <c r="C284" s="159">
        <f t="shared" si="61"/>
        <v>0</v>
      </c>
      <c r="D284" s="57"/>
      <c r="E284" s="57"/>
      <c r="F284" s="57"/>
      <c r="G284" s="795">
        <f t="shared" si="62"/>
        <v>0</v>
      </c>
      <c r="H284" s="795">
        <f t="shared" si="63"/>
        <v>0</v>
      </c>
      <c r="I284" s="795">
        <f t="shared" si="63"/>
        <v>0</v>
      </c>
      <c r="J284" s="795">
        <f t="shared" si="63"/>
        <v>0</v>
      </c>
      <c r="K284" s="795">
        <f t="shared" si="63"/>
        <v>0</v>
      </c>
      <c r="L284" s="795">
        <f t="shared" si="63"/>
        <v>0</v>
      </c>
      <c r="M284" s="795">
        <f t="shared" si="63"/>
        <v>0</v>
      </c>
      <c r="O284" s="421"/>
    </row>
    <row r="285" spans="1:15" outlineLevel="1">
      <c r="A285" s="586">
        <f>ROW()</f>
        <v>285</v>
      </c>
      <c r="B285" s="193">
        <f t="shared" si="60"/>
        <v>0</v>
      </c>
      <c r="C285" s="159">
        <f t="shared" si="61"/>
        <v>0</v>
      </c>
      <c r="D285" s="57"/>
      <c r="E285" s="57"/>
      <c r="F285" s="57"/>
      <c r="G285" s="795">
        <f t="shared" si="62"/>
        <v>0</v>
      </c>
      <c r="H285" s="795">
        <f t="shared" si="63"/>
        <v>0</v>
      </c>
      <c r="I285" s="795">
        <f t="shared" si="63"/>
        <v>0</v>
      </c>
      <c r="J285" s="795">
        <f t="shared" si="63"/>
        <v>0</v>
      </c>
      <c r="K285" s="795">
        <f t="shared" si="63"/>
        <v>0</v>
      </c>
      <c r="L285" s="795">
        <f t="shared" si="63"/>
        <v>0</v>
      </c>
      <c r="M285" s="795">
        <f t="shared" si="63"/>
        <v>0</v>
      </c>
      <c r="O285" s="421"/>
    </row>
    <row r="286" spans="1:15" outlineLevel="1">
      <c r="A286" s="586">
        <f>ROW()</f>
        <v>286</v>
      </c>
      <c r="B286" s="1203" t="str">
        <f t="shared" si="60"/>
        <v>Total Guidance Counselors/Other</v>
      </c>
      <c r="C286" s="1200">
        <f t="shared" si="61"/>
        <v>225000</v>
      </c>
      <c r="D286" s="1201"/>
      <c r="E286" s="1201"/>
      <c r="F286" s="1201"/>
      <c r="G286" s="1202">
        <f t="shared" ref="G286:H286" si="64">SUM(G277:G285)</f>
        <v>0</v>
      </c>
      <c r="H286" s="1202">
        <f t="shared" si="64"/>
        <v>0</v>
      </c>
      <c r="I286" s="1202">
        <f t="shared" ref="I286:M286" si="65">SUM(I277:I285)</f>
        <v>45000</v>
      </c>
      <c r="J286" s="1202">
        <f t="shared" si="65"/>
        <v>45000</v>
      </c>
      <c r="K286" s="1202">
        <f t="shared" si="65"/>
        <v>45000</v>
      </c>
      <c r="L286" s="1202">
        <f t="shared" si="65"/>
        <v>45000</v>
      </c>
      <c r="M286" s="1202">
        <f t="shared" si="65"/>
        <v>45000</v>
      </c>
      <c r="O286" s="421"/>
    </row>
    <row r="287" spans="1:15" outlineLevel="1">
      <c r="A287" s="586">
        <f>ROW()</f>
        <v>287</v>
      </c>
      <c r="C287" s="57"/>
      <c r="D287" s="57"/>
      <c r="E287" s="57"/>
      <c r="F287" s="57"/>
      <c r="G287" s="159"/>
      <c r="H287" s="159"/>
      <c r="I287" s="159"/>
      <c r="J287" s="159"/>
      <c r="K287" s="159"/>
      <c r="L287" s="159"/>
      <c r="M287" s="159"/>
      <c r="O287" s="421"/>
    </row>
    <row r="288" spans="1:15" outlineLevel="1">
      <c r="A288" s="586">
        <f>ROW()</f>
        <v>288</v>
      </c>
      <c r="B288" s="215" t="str">
        <f>$B134</f>
        <v>Grade Level Teacher</v>
      </c>
      <c r="C288" s="129">
        <f t="shared" ref="C288:C319" si="66">SUM(G288:M288)</f>
        <v>0</v>
      </c>
      <c r="D288" s="129"/>
      <c r="E288" s="129"/>
      <c r="F288" s="129"/>
      <c r="G288" s="795">
        <f>G134*$E134</f>
        <v>0</v>
      </c>
      <c r="H288" s="795">
        <f t="shared" ref="H288:M290" si="67">(H134*$E134)</f>
        <v>0</v>
      </c>
      <c r="I288" s="795">
        <f t="shared" si="67"/>
        <v>0</v>
      </c>
      <c r="J288" s="795">
        <f t="shared" si="67"/>
        <v>0</v>
      </c>
      <c r="K288" s="795">
        <f t="shared" si="67"/>
        <v>0</v>
      </c>
      <c r="L288" s="795">
        <f t="shared" si="67"/>
        <v>0</v>
      </c>
      <c r="M288" s="795">
        <f t="shared" si="67"/>
        <v>0</v>
      </c>
      <c r="N288" s="127"/>
      <c r="O288" s="421"/>
    </row>
    <row r="289" spans="1:15" outlineLevel="1">
      <c r="A289" s="586">
        <f>ROW()</f>
        <v>289</v>
      </c>
      <c r="B289" s="215" t="str">
        <f>$B135</f>
        <v>Grade Level Teacher</v>
      </c>
      <c r="C289" s="129">
        <f t="shared" si="66"/>
        <v>0</v>
      </c>
      <c r="D289" s="129"/>
      <c r="E289" s="129"/>
      <c r="F289" s="129"/>
      <c r="G289" s="795">
        <f>G135*$E135</f>
        <v>0</v>
      </c>
      <c r="H289" s="795">
        <f t="shared" si="67"/>
        <v>0</v>
      </c>
      <c r="I289" s="795">
        <f t="shared" si="67"/>
        <v>0</v>
      </c>
      <c r="J289" s="795">
        <f t="shared" si="67"/>
        <v>0</v>
      </c>
      <c r="K289" s="795">
        <f t="shared" si="67"/>
        <v>0</v>
      </c>
      <c r="L289" s="795">
        <f t="shared" si="67"/>
        <v>0</v>
      </c>
      <c r="M289" s="795">
        <f t="shared" si="67"/>
        <v>0</v>
      </c>
      <c r="N289" s="127"/>
      <c r="O289" s="421"/>
    </row>
    <row r="290" spans="1:15" outlineLevel="1">
      <c r="A290" s="586">
        <f>ROW()</f>
        <v>290</v>
      </c>
      <c r="B290" s="215" t="str">
        <f>$B136</f>
        <v>Grade Level Teacher</v>
      </c>
      <c r="C290" s="129">
        <f t="shared" si="66"/>
        <v>0</v>
      </c>
      <c r="D290" s="129"/>
      <c r="E290" s="129"/>
      <c r="F290" s="129"/>
      <c r="G290" s="795">
        <f>G136*$E136</f>
        <v>0</v>
      </c>
      <c r="H290" s="795">
        <f t="shared" si="67"/>
        <v>0</v>
      </c>
      <c r="I290" s="795">
        <f t="shared" si="67"/>
        <v>0</v>
      </c>
      <c r="J290" s="795">
        <f t="shared" si="67"/>
        <v>0</v>
      </c>
      <c r="K290" s="795">
        <f t="shared" si="67"/>
        <v>0</v>
      </c>
      <c r="L290" s="795">
        <f t="shared" si="67"/>
        <v>0</v>
      </c>
      <c r="M290" s="795">
        <f t="shared" si="67"/>
        <v>0</v>
      </c>
      <c r="N290" s="127"/>
      <c r="O290" s="421"/>
    </row>
    <row r="291" spans="1:15" outlineLevel="1">
      <c r="A291" s="586">
        <f>ROW()</f>
        <v>291</v>
      </c>
      <c r="B291" s="215"/>
      <c r="C291" s="129">
        <f t="shared" si="66"/>
        <v>0</v>
      </c>
      <c r="D291" s="129"/>
      <c r="E291" s="129"/>
      <c r="F291" s="129"/>
      <c r="G291" s="795"/>
      <c r="H291" s="795"/>
      <c r="I291" s="795"/>
      <c r="J291" s="795"/>
      <c r="K291" s="795"/>
      <c r="L291" s="795"/>
      <c r="M291" s="795"/>
      <c r="N291" s="127"/>
      <c r="O291" s="421"/>
    </row>
    <row r="292" spans="1:15" outlineLevel="1">
      <c r="A292" s="586">
        <f>ROW()</f>
        <v>292</v>
      </c>
      <c r="B292" s="215" t="str">
        <f>$B138</f>
        <v>Kindergarten Teacher</v>
      </c>
      <c r="C292" s="129">
        <f t="shared" si="66"/>
        <v>0</v>
      </c>
      <c r="D292" s="129"/>
      <c r="E292" s="129"/>
      <c r="F292" s="129"/>
      <c r="G292" s="795">
        <f>G138*$E138</f>
        <v>0</v>
      </c>
      <c r="H292" s="795">
        <f t="shared" ref="H292:M296" si="68">(H138*$E138)</f>
        <v>0</v>
      </c>
      <c r="I292" s="795">
        <f t="shared" si="68"/>
        <v>0</v>
      </c>
      <c r="J292" s="795">
        <f t="shared" si="68"/>
        <v>0</v>
      </c>
      <c r="K292" s="795">
        <f t="shared" si="68"/>
        <v>0</v>
      </c>
      <c r="L292" s="795">
        <f t="shared" si="68"/>
        <v>0</v>
      </c>
      <c r="M292" s="795">
        <f t="shared" si="68"/>
        <v>0</v>
      </c>
      <c r="N292" s="127"/>
      <c r="O292" s="421"/>
    </row>
    <row r="293" spans="1:15" outlineLevel="1">
      <c r="A293" s="586">
        <f>ROW()</f>
        <v>293</v>
      </c>
      <c r="B293" s="215" t="str">
        <f>$B139</f>
        <v>Kindergarten Teacher</v>
      </c>
      <c r="C293" s="129">
        <f t="shared" si="66"/>
        <v>0</v>
      </c>
      <c r="D293" s="129"/>
      <c r="E293" s="129"/>
      <c r="F293" s="129"/>
      <c r="G293" s="795">
        <f>G139*$E139</f>
        <v>0</v>
      </c>
      <c r="H293" s="795">
        <f t="shared" si="68"/>
        <v>0</v>
      </c>
      <c r="I293" s="795">
        <f t="shared" si="68"/>
        <v>0</v>
      </c>
      <c r="J293" s="795">
        <f t="shared" si="68"/>
        <v>0</v>
      </c>
      <c r="K293" s="795">
        <f t="shared" si="68"/>
        <v>0</v>
      </c>
      <c r="L293" s="795">
        <f t="shared" si="68"/>
        <v>0</v>
      </c>
      <c r="M293" s="795">
        <f t="shared" si="68"/>
        <v>0</v>
      </c>
      <c r="N293" s="127"/>
      <c r="O293" s="421"/>
    </row>
    <row r="294" spans="1:15" outlineLevel="1">
      <c r="A294" s="586">
        <f>ROW()</f>
        <v>294</v>
      </c>
      <c r="B294" s="215" t="str">
        <f>$B140</f>
        <v>Kindergarten Teacher</v>
      </c>
      <c r="C294" s="129">
        <f t="shared" si="66"/>
        <v>0</v>
      </c>
      <c r="D294" s="129"/>
      <c r="E294" s="129"/>
      <c r="F294" s="129"/>
      <c r="G294" s="795">
        <f>G140*$E140</f>
        <v>0</v>
      </c>
      <c r="H294" s="795">
        <f t="shared" si="68"/>
        <v>0</v>
      </c>
      <c r="I294" s="795">
        <f t="shared" si="68"/>
        <v>0</v>
      </c>
      <c r="J294" s="795">
        <f t="shared" si="68"/>
        <v>0</v>
      </c>
      <c r="K294" s="795">
        <f t="shared" si="68"/>
        <v>0</v>
      </c>
      <c r="L294" s="795">
        <f t="shared" si="68"/>
        <v>0</v>
      </c>
      <c r="M294" s="795">
        <f t="shared" si="68"/>
        <v>0</v>
      </c>
      <c r="N294" s="127"/>
      <c r="O294" s="421"/>
    </row>
    <row r="295" spans="1:15" outlineLevel="1">
      <c r="A295" s="586">
        <f>ROW()</f>
        <v>295</v>
      </c>
      <c r="B295" s="215" t="str">
        <f>$B141</f>
        <v>Kindergarten Teacher</v>
      </c>
      <c r="C295" s="129">
        <f t="shared" si="66"/>
        <v>0</v>
      </c>
      <c r="D295" s="129"/>
      <c r="E295" s="129"/>
      <c r="F295" s="129"/>
      <c r="G295" s="795">
        <f>G141*$E141</f>
        <v>0</v>
      </c>
      <c r="H295" s="795">
        <f t="shared" si="68"/>
        <v>0</v>
      </c>
      <c r="I295" s="795">
        <f t="shared" si="68"/>
        <v>0</v>
      </c>
      <c r="J295" s="795">
        <f t="shared" si="68"/>
        <v>0</v>
      </c>
      <c r="K295" s="795">
        <f t="shared" si="68"/>
        <v>0</v>
      </c>
      <c r="L295" s="795">
        <f t="shared" si="68"/>
        <v>0</v>
      </c>
      <c r="M295" s="795">
        <f t="shared" si="68"/>
        <v>0</v>
      </c>
      <c r="N295" s="127"/>
      <c r="O295" s="421"/>
    </row>
    <row r="296" spans="1:15" outlineLevel="1">
      <c r="A296" s="586">
        <f>ROW()</f>
        <v>296</v>
      </c>
      <c r="B296" s="215">
        <f>$B142</f>
        <v>0</v>
      </c>
      <c r="C296" s="129">
        <f t="shared" si="66"/>
        <v>0</v>
      </c>
      <c r="D296" s="129"/>
      <c r="E296" s="129"/>
      <c r="F296" s="129"/>
      <c r="G296" s="795">
        <f>G142*$E142</f>
        <v>0</v>
      </c>
      <c r="H296" s="795">
        <f t="shared" si="68"/>
        <v>0</v>
      </c>
      <c r="I296" s="795">
        <f t="shared" si="68"/>
        <v>0</v>
      </c>
      <c r="J296" s="795">
        <f t="shared" si="68"/>
        <v>0</v>
      </c>
      <c r="K296" s="795">
        <f t="shared" si="68"/>
        <v>0</v>
      </c>
      <c r="L296" s="795">
        <f t="shared" si="68"/>
        <v>0</v>
      </c>
      <c r="M296" s="795">
        <f t="shared" si="68"/>
        <v>0</v>
      </c>
      <c r="N296" s="127"/>
      <c r="O296" s="421"/>
    </row>
    <row r="297" spans="1:15" outlineLevel="1">
      <c r="A297" s="586">
        <f>ROW()</f>
        <v>297</v>
      </c>
      <c r="B297" s="215"/>
      <c r="C297" s="129">
        <f t="shared" si="66"/>
        <v>0</v>
      </c>
      <c r="D297" s="129"/>
      <c r="E297" s="129"/>
      <c r="F297" s="129"/>
      <c r="G297" s="795"/>
      <c r="H297" s="795"/>
      <c r="I297" s="795"/>
      <c r="J297" s="795"/>
      <c r="K297" s="795"/>
      <c r="L297" s="795"/>
      <c r="M297" s="795"/>
      <c r="N297" s="127"/>
      <c r="O297" s="421"/>
    </row>
    <row r="298" spans="1:15" outlineLevel="1">
      <c r="A298" s="586">
        <f>ROW()</f>
        <v>298</v>
      </c>
      <c r="B298" s="215" t="str">
        <f>$B144</f>
        <v>1st Grade Teacher</v>
      </c>
      <c r="C298" s="129">
        <f t="shared" si="66"/>
        <v>0</v>
      </c>
      <c r="D298" s="129"/>
      <c r="E298" s="129"/>
      <c r="F298" s="129"/>
      <c r="G298" s="795">
        <f>G144*$E144</f>
        <v>0</v>
      </c>
      <c r="H298" s="795">
        <f t="shared" ref="H298:M302" si="69">(H144*$E144)</f>
        <v>0</v>
      </c>
      <c r="I298" s="795">
        <f t="shared" si="69"/>
        <v>0</v>
      </c>
      <c r="J298" s="795">
        <f t="shared" si="69"/>
        <v>0</v>
      </c>
      <c r="K298" s="795">
        <f t="shared" si="69"/>
        <v>0</v>
      </c>
      <c r="L298" s="795">
        <f t="shared" si="69"/>
        <v>0</v>
      </c>
      <c r="M298" s="795">
        <f t="shared" si="69"/>
        <v>0</v>
      </c>
      <c r="N298" s="127"/>
      <c r="O298" s="421"/>
    </row>
    <row r="299" spans="1:15" outlineLevel="1">
      <c r="A299" s="586">
        <f>ROW()</f>
        <v>299</v>
      </c>
      <c r="B299" s="215" t="str">
        <f>$B145</f>
        <v>1st Grade Teacher</v>
      </c>
      <c r="C299" s="129">
        <f t="shared" si="66"/>
        <v>0</v>
      </c>
      <c r="D299" s="129"/>
      <c r="E299" s="129"/>
      <c r="F299" s="129"/>
      <c r="G299" s="795">
        <f>G145*$E145</f>
        <v>0</v>
      </c>
      <c r="H299" s="795">
        <f t="shared" si="69"/>
        <v>0</v>
      </c>
      <c r="I299" s="795">
        <f t="shared" si="69"/>
        <v>0</v>
      </c>
      <c r="J299" s="795">
        <f t="shared" si="69"/>
        <v>0</v>
      </c>
      <c r="K299" s="795">
        <f t="shared" si="69"/>
        <v>0</v>
      </c>
      <c r="L299" s="795">
        <f t="shared" si="69"/>
        <v>0</v>
      </c>
      <c r="M299" s="795">
        <f t="shared" si="69"/>
        <v>0</v>
      </c>
      <c r="N299" s="127"/>
      <c r="O299" s="421"/>
    </row>
    <row r="300" spans="1:15" outlineLevel="1">
      <c r="A300" s="586">
        <f>ROW()</f>
        <v>300</v>
      </c>
      <c r="B300" s="215" t="str">
        <f>$B146</f>
        <v>1st Grade Teacher</v>
      </c>
      <c r="C300" s="129">
        <f t="shared" si="66"/>
        <v>0</v>
      </c>
      <c r="D300" s="129"/>
      <c r="E300" s="129"/>
      <c r="F300" s="129"/>
      <c r="G300" s="795">
        <f>G146*$E146</f>
        <v>0</v>
      </c>
      <c r="H300" s="795">
        <f t="shared" si="69"/>
        <v>0</v>
      </c>
      <c r="I300" s="795">
        <f t="shared" si="69"/>
        <v>0</v>
      </c>
      <c r="J300" s="795">
        <f t="shared" si="69"/>
        <v>0</v>
      </c>
      <c r="K300" s="795">
        <f t="shared" si="69"/>
        <v>0</v>
      </c>
      <c r="L300" s="795">
        <f t="shared" si="69"/>
        <v>0</v>
      </c>
      <c r="M300" s="795">
        <f t="shared" si="69"/>
        <v>0</v>
      </c>
      <c r="N300" s="127"/>
      <c r="O300" s="421"/>
    </row>
    <row r="301" spans="1:15" outlineLevel="1">
      <c r="A301" s="586">
        <f>ROW()</f>
        <v>301</v>
      </c>
      <c r="B301" s="215" t="str">
        <f>$B147</f>
        <v>1st Grade Teacher</v>
      </c>
      <c r="C301" s="129">
        <f t="shared" si="66"/>
        <v>0</v>
      </c>
      <c r="D301" s="129"/>
      <c r="E301" s="129"/>
      <c r="F301" s="129"/>
      <c r="G301" s="795">
        <f>G147*$E147</f>
        <v>0</v>
      </c>
      <c r="H301" s="795">
        <f t="shared" si="69"/>
        <v>0</v>
      </c>
      <c r="I301" s="795">
        <f t="shared" si="69"/>
        <v>0</v>
      </c>
      <c r="J301" s="795">
        <f t="shared" si="69"/>
        <v>0</v>
      </c>
      <c r="K301" s="795">
        <f t="shared" si="69"/>
        <v>0</v>
      </c>
      <c r="L301" s="795">
        <f t="shared" si="69"/>
        <v>0</v>
      </c>
      <c r="M301" s="795">
        <f t="shared" si="69"/>
        <v>0</v>
      </c>
      <c r="N301" s="127"/>
      <c r="O301" s="421"/>
    </row>
    <row r="302" spans="1:15" outlineLevel="1">
      <c r="A302" s="586">
        <f>ROW()</f>
        <v>302</v>
      </c>
      <c r="B302" s="215">
        <f>$B148</f>
        <v>0</v>
      </c>
      <c r="C302" s="129">
        <f t="shared" si="66"/>
        <v>0</v>
      </c>
      <c r="D302" s="129"/>
      <c r="E302" s="129"/>
      <c r="F302" s="129"/>
      <c r="G302" s="795">
        <f>G148*$E148</f>
        <v>0</v>
      </c>
      <c r="H302" s="795">
        <f t="shared" si="69"/>
        <v>0</v>
      </c>
      <c r="I302" s="795">
        <f t="shared" si="69"/>
        <v>0</v>
      </c>
      <c r="J302" s="795">
        <f t="shared" si="69"/>
        <v>0</v>
      </c>
      <c r="K302" s="795">
        <f t="shared" si="69"/>
        <v>0</v>
      </c>
      <c r="L302" s="795">
        <f t="shared" si="69"/>
        <v>0</v>
      </c>
      <c r="M302" s="795">
        <f t="shared" si="69"/>
        <v>0</v>
      </c>
      <c r="N302" s="127"/>
      <c r="O302" s="421"/>
    </row>
    <row r="303" spans="1:15" outlineLevel="1">
      <c r="A303" s="586">
        <f>ROW()</f>
        <v>303</v>
      </c>
      <c r="B303" s="215"/>
      <c r="C303" s="129">
        <f t="shared" si="66"/>
        <v>0</v>
      </c>
      <c r="D303" s="129"/>
      <c r="E303" s="129"/>
      <c r="F303" s="129"/>
      <c r="G303" s="795"/>
      <c r="H303" s="795"/>
      <c r="I303" s="795"/>
      <c r="J303" s="795"/>
      <c r="K303" s="795"/>
      <c r="L303" s="795"/>
      <c r="M303" s="795"/>
      <c r="N303" s="127"/>
      <c r="O303" s="421"/>
    </row>
    <row r="304" spans="1:15" outlineLevel="1">
      <c r="A304" s="586">
        <f>ROW()</f>
        <v>304</v>
      </c>
      <c r="B304" s="215" t="str">
        <f>$B150</f>
        <v>2nd Grade Teacher</v>
      </c>
      <c r="C304" s="129">
        <f t="shared" si="66"/>
        <v>0</v>
      </c>
      <c r="D304" s="129"/>
      <c r="E304" s="129"/>
      <c r="F304" s="129"/>
      <c r="G304" s="795">
        <f>G150*$E150</f>
        <v>0</v>
      </c>
      <c r="H304" s="795">
        <f t="shared" ref="H304:M308" si="70">(H150*$E150)</f>
        <v>0</v>
      </c>
      <c r="I304" s="795">
        <f t="shared" si="70"/>
        <v>0</v>
      </c>
      <c r="J304" s="795">
        <f t="shared" si="70"/>
        <v>0</v>
      </c>
      <c r="K304" s="795">
        <f t="shared" si="70"/>
        <v>0</v>
      </c>
      <c r="L304" s="795">
        <f t="shared" si="70"/>
        <v>0</v>
      </c>
      <c r="M304" s="795">
        <f t="shared" si="70"/>
        <v>0</v>
      </c>
      <c r="N304" s="127"/>
      <c r="O304" s="421"/>
    </row>
    <row r="305" spans="1:15" outlineLevel="1">
      <c r="A305" s="586">
        <f>ROW()</f>
        <v>305</v>
      </c>
      <c r="B305" s="215" t="str">
        <f>$B151</f>
        <v>2nd Grade Teacher</v>
      </c>
      <c r="C305" s="129">
        <f t="shared" si="66"/>
        <v>0</v>
      </c>
      <c r="D305" s="129"/>
      <c r="E305" s="129"/>
      <c r="F305" s="129"/>
      <c r="G305" s="795">
        <f>G151*$E151</f>
        <v>0</v>
      </c>
      <c r="H305" s="795">
        <f t="shared" si="70"/>
        <v>0</v>
      </c>
      <c r="I305" s="795">
        <f t="shared" si="70"/>
        <v>0</v>
      </c>
      <c r="J305" s="795">
        <f t="shared" si="70"/>
        <v>0</v>
      </c>
      <c r="K305" s="795">
        <f t="shared" si="70"/>
        <v>0</v>
      </c>
      <c r="L305" s="795">
        <f t="shared" si="70"/>
        <v>0</v>
      </c>
      <c r="M305" s="795">
        <f t="shared" si="70"/>
        <v>0</v>
      </c>
      <c r="N305" s="127"/>
      <c r="O305" s="421"/>
    </row>
    <row r="306" spans="1:15" outlineLevel="1">
      <c r="A306" s="586">
        <f>ROW()</f>
        <v>306</v>
      </c>
      <c r="B306" s="215" t="str">
        <f>$B152</f>
        <v>2nd Grade Teacher</v>
      </c>
      <c r="C306" s="129">
        <f t="shared" si="66"/>
        <v>0</v>
      </c>
      <c r="D306" s="129"/>
      <c r="E306" s="129"/>
      <c r="F306" s="129"/>
      <c r="G306" s="795">
        <f>G152*$E152</f>
        <v>0</v>
      </c>
      <c r="H306" s="795">
        <f t="shared" si="70"/>
        <v>0</v>
      </c>
      <c r="I306" s="795">
        <f t="shared" si="70"/>
        <v>0</v>
      </c>
      <c r="J306" s="795">
        <f t="shared" si="70"/>
        <v>0</v>
      </c>
      <c r="K306" s="795">
        <f t="shared" si="70"/>
        <v>0</v>
      </c>
      <c r="L306" s="795">
        <f t="shared" si="70"/>
        <v>0</v>
      </c>
      <c r="M306" s="795">
        <f t="shared" si="70"/>
        <v>0</v>
      </c>
      <c r="N306" s="127"/>
      <c r="O306" s="421"/>
    </row>
    <row r="307" spans="1:15" outlineLevel="1">
      <c r="A307" s="586">
        <f>ROW()</f>
        <v>307</v>
      </c>
      <c r="B307" s="215" t="str">
        <f>$B153</f>
        <v>2nd Grade Teacher</v>
      </c>
      <c r="C307" s="129">
        <f t="shared" si="66"/>
        <v>0</v>
      </c>
      <c r="D307" s="129"/>
      <c r="E307" s="129"/>
      <c r="F307" s="129"/>
      <c r="G307" s="795">
        <f>G153*$E153</f>
        <v>0</v>
      </c>
      <c r="H307" s="795">
        <f t="shared" si="70"/>
        <v>0</v>
      </c>
      <c r="I307" s="795">
        <f t="shared" si="70"/>
        <v>0</v>
      </c>
      <c r="J307" s="795">
        <f t="shared" si="70"/>
        <v>0</v>
      </c>
      <c r="K307" s="795">
        <f t="shared" si="70"/>
        <v>0</v>
      </c>
      <c r="L307" s="795">
        <f t="shared" si="70"/>
        <v>0</v>
      </c>
      <c r="M307" s="795">
        <f t="shared" si="70"/>
        <v>0</v>
      </c>
      <c r="N307" s="127"/>
      <c r="O307" s="421"/>
    </row>
    <row r="308" spans="1:15" outlineLevel="1">
      <c r="A308" s="586">
        <f>ROW()</f>
        <v>308</v>
      </c>
      <c r="B308" s="215">
        <f>$B154</f>
        <v>0</v>
      </c>
      <c r="C308" s="129">
        <f t="shared" si="66"/>
        <v>0</v>
      </c>
      <c r="D308" s="129"/>
      <c r="E308" s="129"/>
      <c r="F308" s="129"/>
      <c r="G308" s="795">
        <f>G154*$E154</f>
        <v>0</v>
      </c>
      <c r="H308" s="795">
        <f t="shared" si="70"/>
        <v>0</v>
      </c>
      <c r="I308" s="795">
        <f t="shared" si="70"/>
        <v>0</v>
      </c>
      <c r="J308" s="795">
        <f t="shared" si="70"/>
        <v>0</v>
      </c>
      <c r="K308" s="795">
        <f t="shared" si="70"/>
        <v>0</v>
      </c>
      <c r="L308" s="795">
        <f t="shared" si="70"/>
        <v>0</v>
      </c>
      <c r="M308" s="795">
        <f t="shared" si="70"/>
        <v>0</v>
      </c>
      <c r="N308" s="127"/>
      <c r="O308" s="421"/>
    </row>
    <row r="309" spans="1:15" outlineLevel="1">
      <c r="A309" s="586">
        <f>ROW()</f>
        <v>309</v>
      </c>
      <c r="B309" s="215"/>
      <c r="C309" s="129">
        <f t="shared" si="66"/>
        <v>0</v>
      </c>
      <c r="D309" s="129"/>
      <c r="E309" s="129"/>
      <c r="F309" s="129"/>
      <c r="G309" s="795"/>
      <c r="H309" s="795"/>
      <c r="I309" s="795"/>
      <c r="J309" s="795"/>
      <c r="K309" s="795"/>
      <c r="L309" s="795"/>
      <c r="M309" s="795"/>
      <c r="N309" s="127"/>
      <c r="O309" s="421"/>
    </row>
    <row r="310" spans="1:15" outlineLevel="1">
      <c r="A310" s="586">
        <f>ROW()</f>
        <v>310</v>
      </c>
      <c r="B310" s="215" t="str">
        <f>$B156</f>
        <v>3rd Grade Teacher</v>
      </c>
      <c r="C310" s="129">
        <f t="shared" si="66"/>
        <v>0</v>
      </c>
      <c r="D310" s="129"/>
      <c r="E310" s="129"/>
      <c r="F310" s="129"/>
      <c r="G310" s="795">
        <f>G156*$E156</f>
        <v>0</v>
      </c>
      <c r="H310" s="795">
        <f t="shared" ref="H310:M314" si="71">(H156*$E156)</f>
        <v>0</v>
      </c>
      <c r="I310" s="795">
        <f t="shared" si="71"/>
        <v>0</v>
      </c>
      <c r="J310" s="795">
        <f t="shared" si="71"/>
        <v>0</v>
      </c>
      <c r="K310" s="795">
        <f t="shared" si="71"/>
        <v>0</v>
      </c>
      <c r="L310" s="795">
        <f t="shared" si="71"/>
        <v>0</v>
      </c>
      <c r="M310" s="795">
        <f t="shared" si="71"/>
        <v>0</v>
      </c>
      <c r="N310" s="127"/>
      <c r="O310" s="421"/>
    </row>
    <row r="311" spans="1:15" outlineLevel="1">
      <c r="A311" s="586">
        <f>ROW()</f>
        <v>311</v>
      </c>
      <c r="B311" s="215" t="str">
        <f>$B157</f>
        <v>3rd Grade Teacher</v>
      </c>
      <c r="C311" s="129">
        <f t="shared" si="66"/>
        <v>0</v>
      </c>
      <c r="D311" s="129"/>
      <c r="E311" s="129"/>
      <c r="F311" s="129"/>
      <c r="G311" s="795">
        <f>G157*$E157</f>
        <v>0</v>
      </c>
      <c r="H311" s="795">
        <f t="shared" si="71"/>
        <v>0</v>
      </c>
      <c r="I311" s="795">
        <f t="shared" si="71"/>
        <v>0</v>
      </c>
      <c r="J311" s="795">
        <f t="shared" si="71"/>
        <v>0</v>
      </c>
      <c r="K311" s="795">
        <f t="shared" si="71"/>
        <v>0</v>
      </c>
      <c r="L311" s="795">
        <f t="shared" si="71"/>
        <v>0</v>
      </c>
      <c r="M311" s="795">
        <f t="shared" si="71"/>
        <v>0</v>
      </c>
      <c r="N311" s="127"/>
      <c r="O311" s="421"/>
    </row>
    <row r="312" spans="1:15" outlineLevel="1">
      <c r="A312" s="586">
        <f>ROW()</f>
        <v>312</v>
      </c>
      <c r="B312" s="215" t="str">
        <f>$B158</f>
        <v>3rd Grade Teacher</v>
      </c>
      <c r="C312" s="129">
        <f t="shared" si="66"/>
        <v>0</v>
      </c>
      <c r="D312" s="129"/>
      <c r="E312" s="129"/>
      <c r="F312" s="129"/>
      <c r="G312" s="795">
        <f>G158*$E158</f>
        <v>0</v>
      </c>
      <c r="H312" s="795">
        <f t="shared" si="71"/>
        <v>0</v>
      </c>
      <c r="I312" s="795">
        <f t="shared" si="71"/>
        <v>0</v>
      </c>
      <c r="J312" s="795">
        <f t="shared" si="71"/>
        <v>0</v>
      </c>
      <c r="K312" s="795">
        <f t="shared" si="71"/>
        <v>0</v>
      </c>
      <c r="L312" s="795">
        <f t="shared" si="71"/>
        <v>0</v>
      </c>
      <c r="M312" s="795">
        <f t="shared" si="71"/>
        <v>0</v>
      </c>
      <c r="N312" s="127"/>
      <c r="O312" s="421"/>
    </row>
    <row r="313" spans="1:15" outlineLevel="1">
      <c r="A313" s="586">
        <f>ROW()</f>
        <v>313</v>
      </c>
      <c r="B313" s="215" t="str">
        <f>$B159</f>
        <v>3rd Grade Teacher</v>
      </c>
      <c r="C313" s="129">
        <f t="shared" si="66"/>
        <v>0</v>
      </c>
      <c r="D313" s="129"/>
      <c r="E313" s="129"/>
      <c r="F313" s="129"/>
      <c r="G313" s="795">
        <f>G159*$E159</f>
        <v>0</v>
      </c>
      <c r="H313" s="795">
        <f t="shared" si="71"/>
        <v>0</v>
      </c>
      <c r="I313" s="795">
        <f t="shared" si="71"/>
        <v>0</v>
      </c>
      <c r="J313" s="795">
        <f t="shared" si="71"/>
        <v>0</v>
      </c>
      <c r="K313" s="795">
        <f t="shared" si="71"/>
        <v>0</v>
      </c>
      <c r="L313" s="795">
        <f t="shared" si="71"/>
        <v>0</v>
      </c>
      <c r="M313" s="795">
        <f t="shared" si="71"/>
        <v>0</v>
      </c>
      <c r="N313" s="127"/>
      <c r="O313" s="421"/>
    </row>
    <row r="314" spans="1:15" outlineLevel="1">
      <c r="A314" s="586">
        <f>ROW()</f>
        <v>314</v>
      </c>
      <c r="B314" s="215">
        <f>$B160</f>
        <v>0</v>
      </c>
      <c r="C314" s="129">
        <f t="shared" si="66"/>
        <v>0</v>
      </c>
      <c r="D314" s="129"/>
      <c r="E314" s="129"/>
      <c r="F314" s="129"/>
      <c r="G314" s="795">
        <f>G160*$E160</f>
        <v>0</v>
      </c>
      <c r="H314" s="795">
        <f t="shared" si="71"/>
        <v>0</v>
      </c>
      <c r="I314" s="795">
        <f t="shared" si="71"/>
        <v>0</v>
      </c>
      <c r="J314" s="795">
        <f t="shared" si="71"/>
        <v>0</v>
      </c>
      <c r="K314" s="795">
        <f t="shared" si="71"/>
        <v>0</v>
      </c>
      <c r="L314" s="795">
        <f t="shared" si="71"/>
        <v>0</v>
      </c>
      <c r="M314" s="795">
        <f t="shared" si="71"/>
        <v>0</v>
      </c>
      <c r="N314" s="127"/>
      <c r="O314" s="421"/>
    </row>
    <row r="315" spans="1:15" outlineLevel="1">
      <c r="A315" s="586">
        <f>ROW()</f>
        <v>315</v>
      </c>
      <c r="B315" s="215"/>
      <c r="C315" s="129">
        <f t="shared" si="66"/>
        <v>0</v>
      </c>
      <c r="D315" s="129"/>
      <c r="E315" s="129"/>
      <c r="F315" s="129"/>
      <c r="G315" s="795"/>
      <c r="H315" s="795"/>
      <c r="I315" s="795"/>
      <c r="J315" s="795"/>
      <c r="K315" s="795"/>
      <c r="L315" s="795"/>
      <c r="M315" s="795"/>
      <c r="N315" s="127"/>
      <c r="O315" s="421"/>
    </row>
    <row r="316" spans="1:15" outlineLevel="1">
      <c r="A316" s="586">
        <f>ROW()</f>
        <v>316</v>
      </c>
      <c r="B316" s="215" t="str">
        <f>$B162</f>
        <v>4th Grade Teacher</v>
      </c>
      <c r="C316" s="129">
        <f t="shared" si="66"/>
        <v>0</v>
      </c>
      <c r="D316" s="129"/>
      <c r="E316" s="129"/>
      <c r="F316" s="129"/>
      <c r="G316" s="795">
        <f>G162*$E162</f>
        <v>0</v>
      </c>
      <c r="H316" s="795">
        <f t="shared" ref="H316:M320" si="72">(H162*$E162)</f>
        <v>0</v>
      </c>
      <c r="I316" s="795">
        <f t="shared" si="72"/>
        <v>0</v>
      </c>
      <c r="J316" s="795">
        <f t="shared" si="72"/>
        <v>0</v>
      </c>
      <c r="K316" s="795">
        <f t="shared" si="72"/>
        <v>0</v>
      </c>
      <c r="L316" s="795">
        <f t="shared" si="72"/>
        <v>0</v>
      </c>
      <c r="M316" s="795">
        <f t="shared" si="72"/>
        <v>0</v>
      </c>
      <c r="N316" s="127"/>
      <c r="O316" s="421"/>
    </row>
    <row r="317" spans="1:15" outlineLevel="1">
      <c r="A317" s="586">
        <f>ROW()</f>
        <v>317</v>
      </c>
      <c r="B317" s="215" t="str">
        <f>$B163</f>
        <v>4th Grade Teacher</v>
      </c>
      <c r="C317" s="129">
        <f t="shared" si="66"/>
        <v>0</v>
      </c>
      <c r="D317" s="129"/>
      <c r="E317" s="129"/>
      <c r="F317" s="129"/>
      <c r="G317" s="795">
        <f>G163*$E163</f>
        <v>0</v>
      </c>
      <c r="H317" s="795">
        <f t="shared" si="72"/>
        <v>0</v>
      </c>
      <c r="I317" s="795">
        <f t="shared" si="72"/>
        <v>0</v>
      </c>
      <c r="J317" s="795">
        <f t="shared" si="72"/>
        <v>0</v>
      </c>
      <c r="K317" s="795">
        <f t="shared" si="72"/>
        <v>0</v>
      </c>
      <c r="L317" s="795">
        <f t="shared" si="72"/>
        <v>0</v>
      </c>
      <c r="M317" s="795">
        <f t="shared" si="72"/>
        <v>0</v>
      </c>
      <c r="N317" s="127"/>
      <c r="O317" s="421"/>
    </row>
    <row r="318" spans="1:15" outlineLevel="1">
      <c r="A318" s="586">
        <f>ROW()</f>
        <v>318</v>
      </c>
      <c r="B318" s="215" t="str">
        <f>$B164</f>
        <v>4th Grade Teacher</v>
      </c>
      <c r="C318" s="129">
        <f t="shared" si="66"/>
        <v>0</v>
      </c>
      <c r="D318" s="129"/>
      <c r="E318" s="129"/>
      <c r="F318" s="129"/>
      <c r="G318" s="795">
        <f>G164*$E164</f>
        <v>0</v>
      </c>
      <c r="H318" s="795">
        <f t="shared" si="72"/>
        <v>0</v>
      </c>
      <c r="I318" s="795">
        <f t="shared" si="72"/>
        <v>0</v>
      </c>
      <c r="J318" s="795">
        <f t="shared" si="72"/>
        <v>0</v>
      </c>
      <c r="K318" s="795">
        <f t="shared" si="72"/>
        <v>0</v>
      </c>
      <c r="L318" s="795">
        <f t="shared" si="72"/>
        <v>0</v>
      </c>
      <c r="M318" s="795">
        <f t="shared" si="72"/>
        <v>0</v>
      </c>
      <c r="N318" s="127"/>
      <c r="O318" s="421"/>
    </row>
    <row r="319" spans="1:15" outlineLevel="1">
      <c r="A319" s="586">
        <f>ROW()</f>
        <v>319</v>
      </c>
      <c r="B319" s="215" t="str">
        <f>$B165</f>
        <v>4th Grade Teacher</v>
      </c>
      <c r="C319" s="129">
        <f t="shared" si="66"/>
        <v>0</v>
      </c>
      <c r="D319" s="129"/>
      <c r="E319" s="129"/>
      <c r="F319" s="129"/>
      <c r="G319" s="795">
        <f>G165*$E165</f>
        <v>0</v>
      </c>
      <c r="H319" s="795">
        <f t="shared" si="72"/>
        <v>0</v>
      </c>
      <c r="I319" s="795">
        <f t="shared" si="72"/>
        <v>0</v>
      </c>
      <c r="J319" s="795">
        <f t="shared" si="72"/>
        <v>0</v>
      </c>
      <c r="K319" s="795">
        <f t="shared" si="72"/>
        <v>0</v>
      </c>
      <c r="L319" s="795">
        <f t="shared" si="72"/>
        <v>0</v>
      </c>
      <c r="M319" s="795">
        <f t="shared" si="72"/>
        <v>0</v>
      </c>
      <c r="N319" s="127"/>
      <c r="O319" s="421"/>
    </row>
    <row r="320" spans="1:15" outlineLevel="1">
      <c r="A320" s="586">
        <f>ROW()</f>
        <v>320</v>
      </c>
      <c r="B320" s="215">
        <f>$B166</f>
        <v>0</v>
      </c>
      <c r="C320" s="129">
        <f t="shared" ref="C320:C351" si="73">SUM(G320:M320)</f>
        <v>0</v>
      </c>
      <c r="D320" s="129"/>
      <c r="E320" s="129"/>
      <c r="F320" s="129"/>
      <c r="G320" s="795">
        <f>G166*$E166</f>
        <v>0</v>
      </c>
      <c r="H320" s="795">
        <f t="shared" si="72"/>
        <v>0</v>
      </c>
      <c r="I320" s="795">
        <f t="shared" si="72"/>
        <v>0</v>
      </c>
      <c r="J320" s="795">
        <f t="shared" si="72"/>
        <v>0</v>
      </c>
      <c r="K320" s="795">
        <f t="shared" si="72"/>
        <v>0</v>
      </c>
      <c r="L320" s="795">
        <f t="shared" si="72"/>
        <v>0</v>
      </c>
      <c r="M320" s="795">
        <f t="shared" si="72"/>
        <v>0</v>
      </c>
      <c r="N320" s="127"/>
      <c r="O320" s="421"/>
    </row>
    <row r="321" spans="1:15" outlineLevel="1">
      <c r="A321" s="586">
        <f>ROW()</f>
        <v>321</v>
      </c>
      <c r="B321" s="215"/>
      <c r="C321" s="129">
        <f t="shared" si="73"/>
        <v>0</v>
      </c>
      <c r="D321" s="129"/>
      <c r="E321" s="129"/>
      <c r="F321" s="129"/>
      <c r="G321" s="795"/>
      <c r="H321" s="795"/>
      <c r="I321" s="795"/>
      <c r="J321" s="795"/>
      <c r="K321" s="795"/>
      <c r="L321" s="795"/>
      <c r="M321" s="795"/>
      <c r="N321" s="127"/>
      <c r="O321" s="421"/>
    </row>
    <row r="322" spans="1:15" outlineLevel="1">
      <c r="A322" s="586">
        <f>ROW()</f>
        <v>322</v>
      </c>
      <c r="B322" s="215" t="str">
        <f>$B168</f>
        <v>5th Grade Teacher</v>
      </c>
      <c r="C322" s="129">
        <f t="shared" si="73"/>
        <v>0</v>
      </c>
      <c r="D322" s="129"/>
      <c r="E322" s="129"/>
      <c r="F322" s="129"/>
      <c r="G322" s="795">
        <f>G168*$E168</f>
        <v>0</v>
      </c>
      <c r="H322" s="795">
        <f t="shared" ref="H322:M326" si="74">(H168*$E168)</f>
        <v>0</v>
      </c>
      <c r="I322" s="795">
        <f t="shared" si="74"/>
        <v>0</v>
      </c>
      <c r="J322" s="795">
        <f t="shared" si="74"/>
        <v>0</v>
      </c>
      <c r="K322" s="795">
        <f t="shared" si="74"/>
        <v>0</v>
      </c>
      <c r="L322" s="795">
        <f t="shared" si="74"/>
        <v>0</v>
      </c>
      <c r="M322" s="795">
        <f t="shared" si="74"/>
        <v>0</v>
      </c>
      <c r="N322" s="127"/>
      <c r="O322" s="421"/>
    </row>
    <row r="323" spans="1:15" outlineLevel="1">
      <c r="A323" s="586">
        <f>ROW()</f>
        <v>323</v>
      </c>
      <c r="B323" s="215" t="str">
        <f>$B169</f>
        <v>5th Grade Teacher</v>
      </c>
      <c r="C323" s="129">
        <f t="shared" si="73"/>
        <v>0</v>
      </c>
      <c r="D323" s="129"/>
      <c r="E323" s="129"/>
      <c r="F323" s="129"/>
      <c r="G323" s="795">
        <f>G169*$E169</f>
        <v>0</v>
      </c>
      <c r="H323" s="795">
        <f t="shared" si="74"/>
        <v>0</v>
      </c>
      <c r="I323" s="795">
        <f t="shared" si="74"/>
        <v>0</v>
      </c>
      <c r="J323" s="795">
        <f t="shared" si="74"/>
        <v>0</v>
      </c>
      <c r="K323" s="795">
        <f t="shared" si="74"/>
        <v>0</v>
      </c>
      <c r="L323" s="795">
        <f t="shared" si="74"/>
        <v>0</v>
      </c>
      <c r="M323" s="795">
        <f t="shared" si="74"/>
        <v>0</v>
      </c>
      <c r="N323" s="127"/>
      <c r="O323" s="421"/>
    </row>
    <row r="324" spans="1:15" outlineLevel="1">
      <c r="A324" s="586">
        <f>ROW()</f>
        <v>324</v>
      </c>
      <c r="B324" s="215" t="str">
        <f>$B170</f>
        <v>5th Grade Teacher</v>
      </c>
      <c r="C324" s="129">
        <f t="shared" si="73"/>
        <v>0</v>
      </c>
      <c r="D324" s="129"/>
      <c r="E324" s="129"/>
      <c r="F324" s="129"/>
      <c r="G324" s="795">
        <f>G170*$E170</f>
        <v>0</v>
      </c>
      <c r="H324" s="795">
        <f t="shared" si="74"/>
        <v>0</v>
      </c>
      <c r="I324" s="795">
        <f t="shared" si="74"/>
        <v>0</v>
      </c>
      <c r="J324" s="795">
        <f t="shared" si="74"/>
        <v>0</v>
      </c>
      <c r="K324" s="795">
        <f t="shared" si="74"/>
        <v>0</v>
      </c>
      <c r="L324" s="795">
        <f t="shared" si="74"/>
        <v>0</v>
      </c>
      <c r="M324" s="795">
        <f t="shared" si="74"/>
        <v>0</v>
      </c>
      <c r="N324" s="127"/>
      <c r="O324" s="421"/>
    </row>
    <row r="325" spans="1:15" outlineLevel="1">
      <c r="A325" s="586">
        <f>ROW()</f>
        <v>325</v>
      </c>
      <c r="B325" s="215" t="str">
        <f>$B171</f>
        <v>5th Grade Teacher</v>
      </c>
      <c r="C325" s="129">
        <f t="shared" si="73"/>
        <v>0</v>
      </c>
      <c r="D325" s="129"/>
      <c r="E325" s="129"/>
      <c r="F325" s="129"/>
      <c r="G325" s="795">
        <f>G171*$E171</f>
        <v>0</v>
      </c>
      <c r="H325" s="795">
        <f t="shared" si="74"/>
        <v>0</v>
      </c>
      <c r="I325" s="795">
        <f t="shared" si="74"/>
        <v>0</v>
      </c>
      <c r="J325" s="795">
        <f t="shared" si="74"/>
        <v>0</v>
      </c>
      <c r="K325" s="795">
        <f t="shared" si="74"/>
        <v>0</v>
      </c>
      <c r="L325" s="795">
        <f t="shared" si="74"/>
        <v>0</v>
      </c>
      <c r="M325" s="795">
        <f t="shared" si="74"/>
        <v>0</v>
      </c>
      <c r="N325" s="127"/>
      <c r="O325" s="421"/>
    </row>
    <row r="326" spans="1:15" outlineLevel="1">
      <c r="A326" s="586">
        <f>ROW()</f>
        <v>326</v>
      </c>
      <c r="B326" s="215">
        <f>$B172</f>
        <v>0</v>
      </c>
      <c r="C326" s="129">
        <f t="shared" si="73"/>
        <v>0</v>
      </c>
      <c r="D326" s="129"/>
      <c r="E326" s="129"/>
      <c r="F326" s="129"/>
      <c r="G326" s="795">
        <f>G172*$E172</f>
        <v>0</v>
      </c>
      <c r="H326" s="795">
        <f t="shared" si="74"/>
        <v>0</v>
      </c>
      <c r="I326" s="795">
        <f t="shared" si="74"/>
        <v>0</v>
      </c>
      <c r="J326" s="795">
        <f t="shared" si="74"/>
        <v>0</v>
      </c>
      <c r="K326" s="795">
        <f t="shared" si="74"/>
        <v>0</v>
      </c>
      <c r="L326" s="795">
        <f t="shared" si="74"/>
        <v>0</v>
      </c>
      <c r="M326" s="795">
        <f t="shared" si="74"/>
        <v>0</v>
      </c>
      <c r="N326" s="127"/>
      <c r="O326" s="421"/>
    </row>
    <row r="327" spans="1:15" outlineLevel="1">
      <c r="A327" s="586">
        <f>ROW()</f>
        <v>327</v>
      </c>
      <c r="B327" s="215"/>
      <c r="C327" s="129">
        <f t="shared" si="73"/>
        <v>0</v>
      </c>
      <c r="D327" s="129"/>
      <c r="E327" s="129"/>
      <c r="F327" s="129"/>
      <c r="G327" s="795"/>
      <c r="H327" s="795"/>
      <c r="I327" s="795"/>
      <c r="J327" s="795"/>
      <c r="K327" s="795"/>
      <c r="L327" s="795"/>
      <c r="M327" s="795"/>
      <c r="N327" s="127"/>
      <c r="O327" s="421"/>
    </row>
    <row r="328" spans="1:15" outlineLevel="1">
      <c r="A328" s="586">
        <f>ROW()</f>
        <v>328</v>
      </c>
      <c r="B328" s="215" t="str">
        <f>$B174</f>
        <v>6th Grade Teacher</v>
      </c>
      <c r="C328" s="129">
        <f t="shared" si="73"/>
        <v>0</v>
      </c>
      <c r="D328" s="129"/>
      <c r="E328" s="129"/>
      <c r="F328" s="129"/>
      <c r="G328" s="795">
        <f>G174*$E174</f>
        <v>0</v>
      </c>
      <c r="H328" s="795">
        <f t="shared" ref="H328:M332" si="75">(H174*$E174)</f>
        <v>0</v>
      </c>
      <c r="I328" s="795">
        <f t="shared" si="75"/>
        <v>0</v>
      </c>
      <c r="J328" s="795">
        <f t="shared" si="75"/>
        <v>0</v>
      </c>
      <c r="K328" s="795">
        <f t="shared" si="75"/>
        <v>0</v>
      </c>
      <c r="L328" s="795">
        <f t="shared" si="75"/>
        <v>0</v>
      </c>
      <c r="M328" s="795">
        <f t="shared" si="75"/>
        <v>0</v>
      </c>
      <c r="N328" s="127"/>
      <c r="O328" s="421"/>
    </row>
    <row r="329" spans="1:15" outlineLevel="1">
      <c r="A329" s="586">
        <f>ROW()</f>
        <v>329</v>
      </c>
      <c r="B329" s="215" t="str">
        <f>$B175</f>
        <v>6th Grade Teacher</v>
      </c>
      <c r="C329" s="129">
        <f t="shared" si="73"/>
        <v>0</v>
      </c>
      <c r="D329" s="129"/>
      <c r="E329" s="129"/>
      <c r="F329" s="129"/>
      <c r="G329" s="795">
        <f>G175*$E175</f>
        <v>0</v>
      </c>
      <c r="H329" s="795">
        <f t="shared" si="75"/>
        <v>0</v>
      </c>
      <c r="I329" s="795">
        <f t="shared" si="75"/>
        <v>0</v>
      </c>
      <c r="J329" s="795">
        <f t="shared" si="75"/>
        <v>0</v>
      </c>
      <c r="K329" s="795">
        <f t="shared" si="75"/>
        <v>0</v>
      </c>
      <c r="L329" s="795">
        <f t="shared" si="75"/>
        <v>0</v>
      </c>
      <c r="M329" s="795">
        <f t="shared" si="75"/>
        <v>0</v>
      </c>
      <c r="N329" s="127"/>
      <c r="O329" s="421"/>
    </row>
    <row r="330" spans="1:15" outlineLevel="1">
      <c r="A330" s="586">
        <f>ROW()</f>
        <v>330</v>
      </c>
      <c r="B330" s="215" t="str">
        <f>$B176</f>
        <v>6th Grade Teacher</v>
      </c>
      <c r="C330" s="129">
        <f t="shared" si="73"/>
        <v>0</v>
      </c>
      <c r="D330" s="129"/>
      <c r="E330" s="129"/>
      <c r="F330" s="129"/>
      <c r="G330" s="795">
        <f>G176*$E176</f>
        <v>0</v>
      </c>
      <c r="H330" s="795">
        <f t="shared" si="75"/>
        <v>0</v>
      </c>
      <c r="I330" s="795">
        <f t="shared" si="75"/>
        <v>0</v>
      </c>
      <c r="J330" s="795">
        <f t="shared" si="75"/>
        <v>0</v>
      </c>
      <c r="K330" s="795">
        <f t="shared" si="75"/>
        <v>0</v>
      </c>
      <c r="L330" s="795">
        <f t="shared" si="75"/>
        <v>0</v>
      </c>
      <c r="M330" s="795">
        <f t="shared" si="75"/>
        <v>0</v>
      </c>
      <c r="N330" s="127"/>
      <c r="O330" s="421"/>
    </row>
    <row r="331" spans="1:15" outlineLevel="1">
      <c r="A331" s="586">
        <f>ROW()</f>
        <v>331</v>
      </c>
      <c r="B331" s="215" t="str">
        <f>$B177</f>
        <v>6th Grade Teacher</v>
      </c>
      <c r="C331" s="129">
        <f t="shared" si="73"/>
        <v>0</v>
      </c>
      <c r="D331" s="129"/>
      <c r="E331" s="129"/>
      <c r="F331" s="129"/>
      <c r="G331" s="795">
        <f>G177*$E177</f>
        <v>0</v>
      </c>
      <c r="H331" s="795">
        <f t="shared" si="75"/>
        <v>0</v>
      </c>
      <c r="I331" s="795">
        <f t="shared" si="75"/>
        <v>0</v>
      </c>
      <c r="J331" s="795">
        <f t="shared" si="75"/>
        <v>0</v>
      </c>
      <c r="K331" s="795">
        <f t="shared" si="75"/>
        <v>0</v>
      </c>
      <c r="L331" s="795">
        <f t="shared" si="75"/>
        <v>0</v>
      </c>
      <c r="M331" s="795">
        <f t="shared" si="75"/>
        <v>0</v>
      </c>
      <c r="N331" s="127"/>
      <c r="O331" s="421"/>
    </row>
    <row r="332" spans="1:15" outlineLevel="1">
      <c r="A332" s="586">
        <f>ROW()</f>
        <v>332</v>
      </c>
      <c r="B332" s="215">
        <f>$B178</f>
        <v>0</v>
      </c>
      <c r="C332" s="129">
        <f t="shared" si="73"/>
        <v>0</v>
      </c>
      <c r="D332" s="129"/>
      <c r="E332" s="129"/>
      <c r="F332" s="129"/>
      <c r="G332" s="795">
        <f>G178*$E178</f>
        <v>0</v>
      </c>
      <c r="H332" s="795">
        <f t="shared" si="75"/>
        <v>0</v>
      </c>
      <c r="I332" s="795">
        <f t="shared" si="75"/>
        <v>0</v>
      </c>
      <c r="J332" s="795">
        <f t="shared" si="75"/>
        <v>0</v>
      </c>
      <c r="K332" s="795">
        <f t="shared" si="75"/>
        <v>0</v>
      </c>
      <c r="L332" s="795">
        <f t="shared" si="75"/>
        <v>0</v>
      </c>
      <c r="M332" s="795">
        <f t="shared" si="75"/>
        <v>0</v>
      </c>
      <c r="N332" s="127"/>
      <c r="O332" s="421"/>
    </row>
    <row r="333" spans="1:15" outlineLevel="1">
      <c r="A333" s="586">
        <f>ROW()</f>
        <v>333</v>
      </c>
      <c r="B333" s="215"/>
      <c r="C333" s="129">
        <f t="shared" si="73"/>
        <v>0</v>
      </c>
      <c r="D333" s="129"/>
      <c r="E333" s="129"/>
      <c r="F333" s="129"/>
      <c r="G333" s="795"/>
      <c r="H333" s="795"/>
      <c r="I333" s="795"/>
      <c r="J333" s="795"/>
      <c r="K333" s="795"/>
      <c r="L333" s="795"/>
      <c r="M333" s="795"/>
      <c r="N333" s="127"/>
      <c r="O333" s="421"/>
    </row>
    <row r="334" spans="1:15" outlineLevel="1">
      <c r="A334" s="586">
        <f>ROW()</f>
        <v>334</v>
      </c>
      <c r="B334" s="215" t="str">
        <f t="shared" ref="B334:B339" si="76">$B180</f>
        <v>7th Grade Teacher</v>
      </c>
      <c r="C334" s="129">
        <f t="shared" si="73"/>
        <v>0</v>
      </c>
      <c r="D334" s="129"/>
      <c r="E334" s="129"/>
      <c r="F334" s="129"/>
      <c r="G334" s="795">
        <f t="shared" ref="G334:G339" si="77">G180*$E180</f>
        <v>0</v>
      </c>
      <c r="H334" s="795">
        <f t="shared" ref="H334:M339" si="78">(H180*$E180)</f>
        <v>0</v>
      </c>
      <c r="I334" s="795">
        <f t="shared" si="78"/>
        <v>0</v>
      </c>
      <c r="J334" s="795">
        <f t="shared" si="78"/>
        <v>0</v>
      </c>
      <c r="K334" s="795">
        <f t="shared" si="78"/>
        <v>0</v>
      </c>
      <c r="L334" s="795">
        <f t="shared" si="78"/>
        <v>0</v>
      </c>
      <c r="M334" s="795">
        <f t="shared" si="78"/>
        <v>0</v>
      </c>
      <c r="N334" s="127"/>
      <c r="O334" s="421"/>
    </row>
    <row r="335" spans="1:15" outlineLevel="1">
      <c r="A335" s="586">
        <f>ROW()</f>
        <v>335</v>
      </c>
      <c r="B335" s="215" t="str">
        <f t="shared" si="76"/>
        <v>7th Grade Teacher</v>
      </c>
      <c r="C335" s="129">
        <f t="shared" si="73"/>
        <v>0</v>
      </c>
      <c r="D335" s="129"/>
      <c r="E335" s="129"/>
      <c r="F335" s="129"/>
      <c r="G335" s="795">
        <f t="shared" si="77"/>
        <v>0</v>
      </c>
      <c r="H335" s="795">
        <f t="shared" si="78"/>
        <v>0</v>
      </c>
      <c r="I335" s="795">
        <f t="shared" si="78"/>
        <v>0</v>
      </c>
      <c r="J335" s="795">
        <f t="shared" si="78"/>
        <v>0</v>
      </c>
      <c r="K335" s="795">
        <f t="shared" si="78"/>
        <v>0</v>
      </c>
      <c r="L335" s="795">
        <f t="shared" si="78"/>
        <v>0</v>
      </c>
      <c r="M335" s="795">
        <f t="shared" si="78"/>
        <v>0</v>
      </c>
      <c r="N335" s="127"/>
      <c r="O335" s="421"/>
    </row>
    <row r="336" spans="1:15" outlineLevel="1">
      <c r="A336" s="586">
        <f>ROW()</f>
        <v>336</v>
      </c>
      <c r="B336" s="215" t="str">
        <f t="shared" si="76"/>
        <v>7th Grade Teacher</v>
      </c>
      <c r="C336" s="129">
        <f t="shared" si="73"/>
        <v>0</v>
      </c>
      <c r="D336" s="129"/>
      <c r="E336" s="129"/>
      <c r="F336" s="129"/>
      <c r="G336" s="795">
        <f t="shared" si="77"/>
        <v>0</v>
      </c>
      <c r="H336" s="795">
        <f t="shared" si="78"/>
        <v>0</v>
      </c>
      <c r="I336" s="795">
        <f t="shared" si="78"/>
        <v>0</v>
      </c>
      <c r="J336" s="795">
        <f t="shared" si="78"/>
        <v>0</v>
      </c>
      <c r="K336" s="795">
        <f t="shared" si="78"/>
        <v>0</v>
      </c>
      <c r="L336" s="795">
        <f t="shared" si="78"/>
        <v>0</v>
      </c>
      <c r="M336" s="795">
        <f t="shared" si="78"/>
        <v>0</v>
      </c>
      <c r="N336" s="127"/>
      <c r="O336" s="421"/>
    </row>
    <row r="337" spans="1:15" outlineLevel="1">
      <c r="A337" s="586">
        <f>ROW()</f>
        <v>337</v>
      </c>
      <c r="B337" s="215" t="str">
        <f t="shared" si="76"/>
        <v>7th Grade Teacher</v>
      </c>
      <c r="C337" s="129">
        <f t="shared" si="73"/>
        <v>0</v>
      </c>
      <c r="D337" s="129"/>
      <c r="E337" s="129"/>
      <c r="F337" s="129"/>
      <c r="G337" s="795">
        <f t="shared" si="77"/>
        <v>0</v>
      </c>
      <c r="H337" s="795">
        <f t="shared" si="78"/>
        <v>0</v>
      </c>
      <c r="I337" s="795">
        <f t="shared" si="78"/>
        <v>0</v>
      </c>
      <c r="J337" s="795">
        <f t="shared" si="78"/>
        <v>0</v>
      </c>
      <c r="K337" s="795">
        <f t="shared" si="78"/>
        <v>0</v>
      </c>
      <c r="L337" s="795">
        <f t="shared" si="78"/>
        <v>0</v>
      </c>
      <c r="M337" s="795">
        <f t="shared" si="78"/>
        <v>0</v>
      </c>
      <c r="N337" s="127"/>
      <c r="O337" s="421"/>
    </row>
    <row r="338" spans="1:15" outlineLevel="1">
      <c r="A338" s="586">
        <f>ROW()</f>
        <v>338</v>
      </c>
      <c r="B338" s="215">
        <f t="shared" si="76"/>
        <v>0</v>
      </c>
      <c r="C338" s="129">
        <f t="shared" si="73"/>
        <v>0</v>
      </c>
      <c r="D338" s="129"/>
      <c r="E338" s="129"/>
      <c r="F338" s="129"/>
      <c r="G338" s="795">
        <f t="shared" si="77"/>
        <v>0</v>
      </c>
      <c r="H338" s="795">
        <f t="shared" si="78"/>
        <v>0</v>
      </c>
      <c r="I338" s="795">
        <f t="shared" si="78"/>
        <v>0</v>
      </c>
      <c r="J338" s="795">
        <f t="shared" si="78"/>
        <v>0</v>
      </c>
      <c r="K338" s="795">
        <f t="shared" si="78"/>
        <v>0</v>
      </c>
      <c r="L338" s="795">
        <f t="shared" si="78"/>
        <v>0</v>
      </c>
      <c r="M338" s="795">
        <f t="shared" si="78"/>
        <v>0</v>
      </c>
      <c r="N338" s="127"/>
      <c r="O338" s="421"/>
    </row>
    <row r="339" spans="1:15" outlineLevel="1">
      <c r="A339" s="586">
        <f>ROW()</f>
        <v>339</v>
      </c>
      <c r="B339" s="215">
        <f t="shared" si="76"/>
        <v>0</v>
      </c>
      <c r="C339" s="129">
        <f t="shared" si="73"/>
        <v>0</v>
      </c>
      <c r="D339" s="129"/>
      <c r="E339" s="129"/>
      <c r="F339" s="129"/>
      <c r="G339" s="795">
        <f t="shared" si="77"/>
        <v>0</v>
      </c>
      <c r="H339" s="795">
        <f t="shared" si="78"/>
        <v>0</v>
      </c>
      <c r="I339" s="795">
        <f t="shared" si="78"/>
        <v>0</v>
      </c>
      <c r="J339" s="795">
        <f t="shared" si="78"/>
        <v>0</v>
      </c>
      <c r="K339" s="795">
        <f t="shared" si="78"/>
        <v>0</v>
      </c>
      <c r="L339" s="795">
        <f t="shared" si="78"/>
        <v>0</v>
      </c>
      <c r="M339" s="795">
        <f t="shared" si="78"/>
        <v>0</v>
      </c>
      <c r="N339" s="127"/>
      <c r="O339" s="421"/>
    </row>
    <row r="340" spans="1:15" outlineLevel="1">
      <c r="A340" s="586">
        <f>ROW()</f>
        <v>340</v>
      </c>
      <c r="B340" s="215"/>
      <c r="C340" s="129">
        <f t="shared" si="73"/>
        <v>0</v>
      </c>
      <c r="D340" s="129"/>
      <c r="E340" s="129"/>
      <c r="F340" s="129"/>
      <c r="G340" s="795"/>
      <c r="H340" s="795"/>
      <c r="I340" s="795"/>
      <c r="J340" s="795"/>
      <c r="K340" s="795"/>
      <c r="L340" s="795"/>
      <c r="M340" s="795"/>
      <c r="N340" s="127"/>
      <c r="O340" s="421"/>
    </row>
    <row r="341" spans="1:15" outlineLevel="1">
      <c r="A341" s="586">
        <f>ROW()</f>
        <v>341</v>
      </c>
      <c r="B341" s="215" t="str">
        <f>$B187</f>
        <v>8th Grade Teacher</v>
      </c>
      <c r="C341" s="129">
        <f t="shared" si="73"/>
        <v>0</v>
      </c>
      <c r="D341" s="129"/>
      <c r="E341" s="129"/>
      <c r="F341" s="129"/>
      <c r="G341" s="795">
        <f>G187*$E187</f>
        <v>0</v>
      </c>
      <c r="H341" s="795">
        <f t="shared" ref="H341:M345" si="79">(H187*$E187)</f>
        <v>0</v>
      </c>
      <c r="I341" s="795">
        <f t="shared" si="79"/>
        <v>0</v>
      </c>
      <c r="J341" s="795">
        <f t="shared" si="79"/>
        <v>0</v>
      </c>
      <c r="K341" s="795">
        <f t="shared" si="79"/>
        <v>0</v>
      </c>
      <c r="L341" s="795">
        <f t="shared" si="79"/>
        <v>0</v>
      </c>
      <c r="M341" s="795">
        <f t="shared" si="79"/>
        <v>0</v>
      </c>
      <c r="N341" s="127"/>
      <c r="O341" s="421"/>
    </row>
    <row r="342" spans="1:15" outlineLevel="1">
      <c r="A342" s="586">
        <f>ROW()</f>
        <v>342</v>
      </c>
      <c r="B342" s="215" t="str">
        <f>$B$188</f>
        <v>8th Grade Teacher</v>
      </c>
      <c r="C342" s="129">
        <f t="shared" si="73"/>
        <v>0</v>
      </c>
      <c r="D342" s="129"/>
      <c r="E342" s="129"/>
      <c r="F342" s="129"/>
      <c r="G342" s="795">
        <f>G188*$E188</f>
        <v>0</v>
      </c>
      <c r="H342" s="795">
        <f t="shared" si="79"/>
        <v>0</v>
      </c>
      <c r="I342" s="795">
        <f t="shared" si="79"/>
        <v>0</v>
      </c>
      <c r="J342" s="795">
        <f t="shared" si="79"/>
        <v>0</v>
      </c>
      <c r="K342" s="795">
        <f t="shared" si="79"/>
        <v>0</v>
      </c>
      <c r="L342" s="795">
        <f t="shared" si="79"/>
        <v>0</v>
      </c>
      <c r="M342" s="795">
        <f t="shared" si="79"/>
        <v>0</v>
      </c>
      <c r="N342" s="127"/>
      <c r="O342" s="421"/>
    </row>
    <row r="343" spans="1:15" outlineLevel="1">
      <c r="A343" s="586">
        <f>ROW()</f>
        <v>343</v>
      </c>
      <c r="B343" s="215" t="str">
        <f>$B$189</f>
        <v>8th Grade Teacher</v>
      </c>
      <c r="C343" s="129">
        <f t="shared" si="73"/>
        <v>0</v>
      </c>
      <c r="D343" s="129"/>
      <c r="E343" s="129"/>
      <c r="F343" s="129"/>
      <c r="G343" s="795">
        <f>G189*$E189</f>
        <v>0</v>
      </c>
      <c r="H343" s="795">
        <f t="shared" si="79"/>
        <v>0</v>
      </c>
      <c r="I343" s="795">
        <f t="shared" si="79"/>
        <v>0</v>
      </c>
      <c r="J343" s="795">
        <f t="shared" si="79"/>
        <v>0</v>
      </c>
      <c r="K343" s="795">
        <f t="shared" si="79"/>
        <v>0</v>
      </c>
      <c r="L343" s="795">
        <f t="shared" si="79"/>
        <v>0</v>
      </c>
      <c r="M343" s="795">
        <f t="shared" si="79"/>
        <v>0</v>
      </c>
      <c r="N343" s="127"/>
      <c r="O343" s="421"/>
    </row>
    <row r="344" spans="1:15" outlineLevel="1">
      <c r="A344" s="586">
        <f>ROW()</f>
        <v>344</v>
      </c>
      <c r="B344" s="215" t="str">
        <f>$B$190</f>
        <v>8th Grade Teacher</v>
      </c>
      <c r="C344" s="129">
        <f t="shared" si="73"/>
        <v>0</v>
      </c>
      <c r="D344" s="129"/>
      <c r="E344" s="129"/>
      <c r="F344" s="129"/>
      <c r="G344" s="795">
        <f>G190*$E190</f>
        <v>0</v>
      </c>
      <c r="H344" s="795">
        <f t="shared" si="79"/>
        <v>0</v>
      </c>
      <c r="I344" s="795">
        <f t="shared" si="79"/>
        <v>0</v>
      </c>
      <c r="J344" s="795">
        <f t="shared" si="79"/>
        <v>0</v>
      </c>
      <c r="K344" s="795">
        <f t="shared" si="79"/>
        <v>0</v>
      </c>
      <c r="L344" s="795">
        <f t="shared" si="79"/>
        <v>0</v>
      </c>
      <c r="M344" s="795">
        <f t="shared" si="79"/>
        <v>0</v>
      </c>
      <c r="N344" s="127"/>
      <c r="O344" s="421"/>
    </row>
    <row r="345" spans="1:15" outlineLevel="1">
      <c r="A345" s="586">
        <f>ROW()</f>
        <v>345</v>
      </c>
      <c r="B345" s="215">
        <f>$B$191</f>
        <v>0</v>
      </c>
      <c r="C345" s="129">
        <f t="shared" si="73"/>
        <v>0</v>
      </c>
      <c r="D345" s="129"/>
      <c r="E345" s="129"/>
      <c r="F345" s="129"/>
      <c r="G345" s="795">
        <f>G191*$E191</f>
        <v>0</v>
      </c>
      <c r="H345" s="795">
        <f t="shared" si="79"/>
        <v>0</v>
      </c>
      <c r="I345" s="795">
        <f t="shared" si="79"/>
        <v>0</v>
      </c>
      <c r="J345" s="795">
        <f t="shared" si="79"/>
        <v>0</v>
      </c>
      <c r="K345" s="795">
        <f t="shared" si="79"/>
        <v>0</v>
      </c>
      <c r="L345" s="795">
        <f t="shared" si="79"/>
        <v>0</v>
      </c>
      <c r="M345" s="795">
        <f t="shared" si="79"/>
        <v>0</v>
      </c>
      <c r="N345" s="127"/>
      <c r="O345" s="421"/>
    </row>
    <row r="346" spans="1:15" outlineLevel="1">
      <c r="A346" s="586">
        <f>ROW()</f>
        <v>346</v>
      </c>
      <c r="B346" s="215"/>
      <c r="C346" s="129">
        <f t="shared" si="73"/>
        <v>0</v>
      </c>
      <c r="D346" s="129"/>
      <c r="E346" s="129"/>
      <c r="F346" s="129"/>
      <c r="G346" s="795"/>
      <c r="H346" s="795"/>
      <c r="I346" s="795"/>
      <c r="J346" s="795"/>
      <c r="K346" s="795"/>
      <c r="L346" s="795"/>
      <c r="M346" s="795"/>
      <c r="N346" s="127"/>
      <c r="O346" s="421"/>
    </row>
    <row r="347" spans="1:15" outlineLevel="1">
      <c r="A347" s="586">
        <f>ROW()</f>
        <v>347</v>
      </c>
      <c r="B347" s="215" t="str">
        <f>$B$193</f>
        <v>English Teacher 1</v>
      </c>
      <c r="C347" s="129">
        <f t="shared" si="73"/>
        <v>270000</v>
      </c>
      <c r="D347" s="129"/>
      <c r="E347" s="129"/>
      <c r="F347" s="129"/>
      <c r="G347" s="795">
        <f>G193*$E193</f>
        <v>0</v>
      </c>
      <c r="H347" s="795">
        <f t="shared" ref="H347:M351" si="80">(H193*$E193)</f>
        <v>45000</v>
      </c>
      <c r="I347" s="795">
        <f t="shared" si="80"/>
        <v>45000</v>
      </c>
      <c r="J347" s="795">
        <f t="shared" si="80"/>
        <v>45000</v>
      </c>
      <c r="K347" s="795">
        <f t="shared" si="80"/>
        <v>45000</v>
      </c>
      <c r="L347" s="795">
        <f t="shared" si="80"/>
        <v>45000</v>
      </c>
      <c r="M347" s="795">
        <f t="shared" si="80"/>
        <v>45000</v>
      </c>
      <c r="N347" s="127"/>
      <c r="O347" s="421"/>
    </row>
    <row r="348" spans="1:15" outlineLevel="1">
      <c r="A348" s="586">
        <f>ROW()</f>
        <v>348</v>
      </c>
      <c r="B348" s="215" t="str">
        <f>$B$194</f>
        <v>English Teacher 2</v>
      </c>
      <c r="C348" s="129">
        <f t="shared" si="73"/>
        <v>270000</v>
      </c>
      <c r="D348" s="129"/>
      <c r="E348" s="129"/>
      <c r="F348" s="129"/>
      <c r="G348" s="795">
        <f>G194*$E194</f>
        <v>0</v>
      </c>
      <c r="H348" s="795">
        <f t="shared" si="80"/>
        <v>45000</v>
      </c>
      <c r="I348" s="795">
        <f t="shared" si="80"/>
        <v>45000</v>
      </c>
      <c r="J348" s="795">
        <f t="shared" si="80"/>
        <v>45000</v>
      </c>
      <c r="K348" s="795">
        <f t="shared" si="80"/>
        <v>45000</v>
      </c>
      <c r="L348" s="795">
        <f t="shared" si="80"/>
        <v>45000</v>
      </c>
      <c r="M348" s="795">
        <f t="shared" si="80"/>
        <v>45000</v>
      </c>
      <c r="N348" s="127"/>
      <c r="O348" s="421"/>
    </row>
    <row r="349" spans="1:15" outlineLevel="1">
      <c r="A349" s="586">
        <f>ROW()</f>
        <v>349</v>
      </c>
      <c r="B349" s="215" t="str">
        <f>$B$195</f>
        <v>English Teacher 3</v>
      </c>
      <c r="C349" s="129">
        <f t="shared" si="73"/>
        <v>225000</v>
      </c>
      <c r="D349" s="129"/>
      <c r="E349" s="129"/>
      <c r="F349" s="129"/>
      <c r="G349" s="795">
        <f>G195*$E195</f>
        <v>0</v>
      </c>
      <c r="H349" s="795">
        <f t="shared" si="80"/>
        <v>0</v>
      </c>
      <c r="I349" s="795">
        <f t="shared" si="80"/>
        <v>45000</v>
      </c>
      <c r="J349" s="795">
        <f t="shared" si="80"/>
        <v>45000</v>
      </c>
      <c r="K349" s="795">
        <f t="shared" si="80"/>
        <v>45000</v>
      </c>
      <c r="L349" s="795">
        <f t="shared" si="80"/>
        <v>45000</v>
      </c>
      <c r="M349" s="795">
        <f t="shared" si="80"/>
        <v>45000</v>
      </c>
      <c r="N349" s="127"/>
      <c r="O349" s="421"/>
    </row>
    <row r="350" spans="1:15" outlineLevel="1">
      <c r="A350" s="586">
        <f>ROW()</f>
        <v>350</v>
      </c>
      <c r="B350" s="215" t="str">
        <f>$B$196</f>
        <v>English Teacher 4</v>
      </c>
      <c r="C350" s="129">
        <f t="shared" si="73"/>
        <v>180000</v>
      </c>
      <c r="D350" s="129"/>
      <c r="E350" s="129"/>
      <c r="F350" s="129"/>
      <c r="G350" s="795">
        <f>G196*$E196</f>
        <v>0</v>
      </c>
      <c r="H350" s="795">
        <f t="shared" si="80"/>
        <v>0</v>
      </c>
      <c r="I350" s="795">
        <f t="shared" si="80"/>
        <v>0</v>
      </c>
      <c r="J350" s="795">
        <f t="shared" si="80"/>
        <v>45000</v>
      </c>
      <c r="K350" s="795">
        <f t="shared" si="80"/>
        <v>45000</v>
      </c>
      <c r="L350" s="795">
        <f t="shared" si="80"/>
        <v>45000</v>
      </c>
      <c r="M350" s="795">
        <f t="shared" si="80"/>
        <v>45000</v>
      </c>
      <c r="N350" s="127"/>
      <c r="O350" s="421"/>
    </row>
    <row r="351" spans="1:15" outlineLevel="1">
      <c r="A351" s="586">
        <f>ROW()</f>
        <v>351</v>
      </c>
      <c r="B351" s="215" t="str">
        <f>$B$197</f>
        <v>Humanities Teacher</v>
      </c>
      <c r="C351" s="129">
        <f t="shared" si="73"/>
        <v>247500</v>
      </c>
      <c r="D351" s="129"/>
      <c r="E351" s="129"/>
      <c r="F351" s="129"/>
      <c r="G351" s="795">
        <f>G197*$E197</f>
        <v>0</v>
      </c>
      <c r="H351" s="795">
        <f t="shared" si="80"/>
        <v>22500</v>
      </c>
      <c r="I351" s="795">
        <f t="shared" si="80"/>
        <v>45000</v>
      </c>
      <c r="J351" s="795">
        <f t="shared" si="80"/>
        <v>45000</v>
      </c>
      <c r="K351" s="795">
        <f t="shared" si="80"/>
        <v>45000</v>
      </c>
      <c r="L351" s="795">
        <f t="shared" si="80"/>
        <v>45000</v>
      </c>
      <c r="M351" s="795">
        <f t="shared" si="80"/>
        <v>45000</v>
      </c>
      <c r="N351" s="127"/>
      <c r="O351" s="421"/>
    </row>
    <row r="352" spans="1:15" outlineLevel="1">
      <c r="A352" s="586">
        <f>ROW()</f>
        <v>352</v>
      </c>
      <c r="B352" s="215"/>
      <c r="C352" s="129">
        <f t="shared" ref="C352:C381" si="81">SUM(G352:M352)</f>
        <v>0</v>
      </c>
      <c r="D352" s="129"/>
      <c r="E352" s="129"/>
      <c r="F352" s="129"/>
      <c r="G352" s="795"/>
      <c r="H352" s="795"/>
      <c r="I352" s="795"/>
      <c r="J352" s="795"/>
      <c r="K352" s="795"/>
      <c r="L352" s="795"/>
      <c r="M352" s="795"/>
      <c r="N352" s="127"/>
      <c r="O352" s="421"/>
    </row>
    <row r="353" spans="1:15" outlineLevel="1">
      <c r="A353" s="586">
        <f>ROW()</f>
        <v>353</v>
      </c>
      <c r="B353" s="215" t="str">
        <f>$B$199</f>
        <v>Math Teacher 1</v>
      </c>
      <c r="C353" s="129">
        <f t="shared" si="81"/>
        <v>270000</v>
      </c>
      <c r="D353" s="129"/>
      <c r="E353" s="129"/>
      <c r="F353" s="129"/>
      <c r="G353" s="795">
        <f>G199*$E199</f>
        <v>0</v>
      </c>
      <c r="H353" s="795">
        <f t="shared" ref="H353:M357" si="82">(H199*$E199)</f>
        <v>45000</v>
      </c>
      <c r="I353" s="795">
        <f t="shared" si="82"/>
        <v>45000</v>
      </c>
      <c r="J353" s="795">
        <f t="shared" si="82"/>
        <v>45000</v>
      </c>
      <c r="K353" s="795">
        <f t="shared" si="82"/>
        <v>45000</v>
      </c>
      <c r="L353" s="795">
        <f t="shared" si="82"/>
        <v>45000</v>
      </c>
      <c r="M353" s="795">
        <f t="shared" si="82"/>
        <v>45000</v>
      </c>
      <c r="N353" s="127"/>
      <c r="O353" s="421"/>
    </row>
    <row r="354" spans="1:15" outlineLevel="1">
      <c r="A354" s="586">
        <f>ROW()</f>
        <v>354</v>
      </c>
      <c r="B354" s="215" t="str">
        <f>$B$200</f>
        <v>Math Teacher 2</v>
      </c>
      <c r="C354" s="129">
        <f t="shared" si="81"/>
        <v>270000</v>
      </c>
      <c r="D354" s="129"/>
      <c r="E354" s="129"/>
      <c r="F354" s="129"/>
      <c r="G354" s="795">
        <f>G200*$E200</f>
        <v>0</v>
      </c>
      <c r="H354" s="795">
        <f t="shared" si="82"/>
        <v>45000</v>
      </c>
      <c r="I354" s="795">
        <f t="shared" si="82"/>
        <v>45000</v>
      </c>
      <c r="J354" s="795">
        <f t="shared" si="82"/>
        <v>45000</v>
      </c>
      <c r="K354" s="795">
        <f t="shared" si="82"/>
        <v>45000</v>
      </c>
      <c r="L354" s="795">
        <f t="shared" si="82"/>
        <v>45000</v>
      </c>
      <c r="M354" s="795">
        <f t="shared" si="82"/>
        <v>45000</v>
      </c>
      <c r="N354" s="127"/>
      <c r="O354" s="421"/>
    </row>
    <row r="355" spans="1:15" outlineLevel="1">
      <c r="A355" s="586">
        <f>ROW()</f>
        <v>355</v>
      </c>
      <c r="B355" s="215" t="str">
        <f>$B$201</f>
        <v>Math Teacher 3</v>
      </c>
      <c r="C355" s="129">
        <f t="shared" si="81"/>
        <v>225000</v>
      </c>
      <c r="D355" s="129"/>
      <c r="E355" s="129"/>
      <c r="F355" s="129"/>
      <c r="G355" s="795">
        <f>G201*$E201</f>
        <v>0</v>
      </c>
      <c r="H355" s="795">
        <f t="shared" si="82"/>
        <v>0</v>
      </c>
      <c r="I355" s="795">
        <f t="shared" si="82"/>
        <v>45000</v>
      </c>
      <c r="J355" s="795">
        <f t="shared" si="82"/>
        <v>45000</v>
      </c>
      <c r="K355" s="795">
        <f t="shared" si="82"/>
        <v>45000</v>
      </c>
      <c r="L355" s="795">
        <f t="shared" si="82"/>
        <v>45000</v>
      </c>
      <c r="M355" s="795">
        <f t="shared" si="82"/>
        <v>45000</v>
      </c>
      <c r="N355" s="127"/>
      <c r="O355" s="421"/>
    </row>
    <row r="356" spans="1:15" outlineLevel="1">
      <c r="A356" s="586">
        <f>ROW()</f>
        <v>356</v>
      </c>
      <c r="B356" s="215" t="str">
        <f>$B$202</f>
        <v>Math Teacher 4</v>
      </c>
      <c r="C356" s="129">
        <f t="shared" si="81"/>
        <v>180000</v>
      </c>
      <c r="D356" s="129"/>
      <c r="E356" s="129"/>
      <c r="F356" s="129"/>
      <c r="G356" s="795">
        <f>G202*$E202</f>
        <v>0</v>
      </c>
      <c r="H356" s="795">
        <f t="shared" si="82"/>
        <v>0</v>
      </c>
      <c r="I356" s="795">
        <f t="shared" si="82"/>
        <v>0</v>
      </c>
      <c r="J356" s="795">
        <f t="shared" si="82"/>
        <v>45000</v>
      </c>
      <c r="K356" s="795">
        <f t="shared" si="82"/>
        <v>45000</v>
      </c>
      <c r="L356" s="795">
        <f t="shared" si="82"/>
        <v>45000</v>
      </c>
      <c r="M356" s="795">
        <f t="shared" si="82"/>
        <v>45000</v>
      </c>
      <c r="N356" s="127"/>
      <c r="O356" s="421"/>
    </row>
    <row r="357" spans="1:15" outlineLevel="1">
      <c r="A357" s="586">
        <f>ROW()</f>
        <v>357</v>
      </c>
      <c r="B357" s="215" t="str">
        <f>$B$203</f>
        <v>STEM Teacher</v>
      </c>
      <c r="C357" s="129">
        <f t="shared" si="81"/>
        <v>225000</v>
      </c>
      <c r="D357" s="129"/>
      <c r="E357" s="129"/>
      <c r="F357" s="129"/>
      <c r="G357" s="795">
        <f>G203*$E203</f>
        <v>0</v>
      </c>
      <c r="H357" s="795">
        <f t="shared" si="82"/>
        <v>0</v>
      </c>
      <c r="I357" s="795">
        <f t="shared" si="82"/>
        <v>45000</v>
      </c>
      <c r="J357" s="795">
        <f t="shared" si="82"/>
        <v>45000</v>
      </c>
      <c r="K357" s="795">
        <f t="shared" si="82"/>
        <v>45000</v>
      </c>
      <c r="L357" s="795">
        <f t="shared" si="82"/>
        <v>45000</v>
      </c>
      <c r="M357" s="795">
        <f t="shared" si="82"/>
        <v>45000</v>
      </c>
      <c r="N357" s="127"/>
      <c r="O357" s="421"/>
    </row>
    <row r="358" spans="1:15" outlineLevel="1">
      <c r="A358" s="586">
        <f>ROW()</f>
        <v>358</v>
      </c>
      <c r="B358" s="215"/>
      <c r="C358" s="129">
        <f t="shared" si="81"/>
        <v>0</v>
      </c>
      <c r="D358" s="129"/>
      <c r="E358" s="129"/>
      <c r="F358" s="129"/>
      <c r="G358" s="795"/>
      <c r="H358" s="795"/>
      <c r="I358" s="795"/>
      <c r="J358" s="795"/>
      <c r="K358" s="795"/>
      <c r="L358" s="795"/>
      <c r="M358" s="795"/>
      <c r="N358" s="127"/>
      <c r="O358" s="421"/>
    </row>
    <row r="359" spans="1:15" outlineLevel="1">
      <c r="A359" s="586">
        <f>ROW()</f>
        <v>359</v>
      </c>
      <c r="B359" s="215" t="str">
        <f>$B$205</f>
        <v>Science Teacher 1</v>
      </c>
      <c r="C359" s="129">
        <f t="shared" si="81"/>
        <v>270000</v>
      </c>
      <c r="D359" s="129"/>
      <c r="E359" s="129"/>
      <c r="F359" s="129"/>
      <c r="G359" s="795">
        <f>G205*$E205</f>
        <v>0</v>
      </c>
      <c r="H359" s="795">
        <f t="shared" ref="H359:M363" si="83">(H205*$E205)</f>
        <v>45000</v>
      </c>
      <c r="I359" s="795">
        <f t="shared" si="83"/>
        <v>45000</v>
      </c>
      <c r="J359" s="795">
        <f t="shared" si="83"/>
        <v>45000</v>
      </c>
      <c r="K359" s="795">
        <f t="shared" si="83"/>
        <v>45000</v>
      </c>
      <c r="L359" s="795">
        <f t="shared" si="83"/>
        <v>45000</v>
      </c>
      <c r="M359" s="795">
        <f t="shared" si="83"/>
        <v>45000</v>
      </c>
      <c r="N359" s="127"/>
      <c r="O359" s="421"/>
    </row>
    <row r="360" spans="1:15" outlineLevel="1">
      <c r="A360" s="586">
        <f>ROW()</f>
        <v>360</v>
      </c>
      <c r="B360" s="215" t="str">
        <f>$B$206</f>
        <v>Science Teacher 2</v>
      </c>
      <c r="C360" s="129">
        <f t="shared" si="81"/>
        <v>225000</v>
      </c>
      <c r="D360" s="129"/>
      <c r="E360" s="129"/>
      <c r="F360" s="129"/>
      <c r="G360" s="795">
        <f>G206*$E206</f>
        <v>0</v>
      </c>
      <c r="H360" s="795">
        <f t="shared" si="83"/>
        <v>0</v>
      </c>
      <c r="I360" s="795">
        <f t="shared" si="83"/>
        <v>45000</v>
      </c>
      <c r="J360" s="795">
        <f t="shared" si="83"/>
        <v>45000</v>
      </c>
      <c r="K360" s="795">
        <f t="shared" si="83"/>
        <v>45000</v>
      </c>
      <c r="L360" s="795">
        <f t="shared" si="83"/>
        <v>45000</v>
      </c>
      <c r="M360" s="795">
        <f t="shared" si="83"/>
        <v>45000</v>
      </c>
      <c r="N360" s="127"/>
      <c r="O360" s="421"/>
    </row>
    <row r="361" spans="1:15" outlineLevel="1">
      <c r="A361" s="586">
        <f>ROW()</f>
        <v>361</v>
      </c>
      <c r="B361" s="215" t="str">
        <f>$B$207</f>
        <v>Social Studies Teacher 1</v>
      </c>
      <c r="C361" s="129">
        <f t="shared" si="81"/>
        <v>247500</v>
      </c>
      <c r="D361" s="129"/>
      <c r="E361" s="129"/>
      <c r="F361" s="129"/>
      <c r="G361" s="795">
        <f>G207*$E207</f>
        <v>0</v>
      </c>
      <c r="H361" s="795">
        <f t="shared" si="83"/>
        <v>22500</v>
      </c>
      <c r="I361" s="795">
        <f t="shared" si="83"/>
        <v>45000</v>
      </c>
      <c r="J361" s="795">
        <f t="shared" si="83"/>
        <v>45000</v>
      </c>
      <c r="K361" s="795">
        <f t="shared" si="83"/>
        <v>45000</v>
      </c>
      <c r="L361" s="795">
        <f t="shared" si="83"/>
        <v>45000</v>
      </c>
      <c r="M361" s="795">
        <f t="shared" si="83"/>
        <v>45000</v>
      </c>
      <c r="N361" s="127"/>
      <c r="O361" s="421"/>
    </row>
    <row r="362" spans="1:15" outlineLevel="1">
      <c r="A362" s="586">
        <f>ROW()</f>
        <v>362</v>
      </c>
      <c r="B362" s="215" t="str">
        <f>$B$208</f>
        <v>Social Studies Teacher 2</v>
      </c>
      <c r="C362" s="129">
        <f t="shared" si="81"/>
        <v>180000</v>
      </c>
      <c r="D362" s="129"/>
      <c r="E362" s="129"/>
      <c r="F362" s="129"/>
      <c r="G362" s="795">
        <f>G208*$E208</f>
        <v>0</v>
      </c>
      <c r="H362" s="795">
        <f t="shared" si="83"/>
        <v>0</v>
      </c>
      <c r="I362" s="795">
        <f t="shared" si="83"/>
        <v>0</v>
      </c>
      <c r="J362" s="795">
        <f t="shared" si="83"/>
        <v>45000</v>
      </c>
      <c r="K362" s="795">
        <f t="shared" si="83"/>
        <v>45000</v>
      </c>
      <c r="L362" s="795">
        <f t="shared" si="83"/>
        <v>45000</v>
      </c>
      <c r="M362" s="795">
        <f t="shared" si="83"/>
        <v>45000</v>
      </c>
      <c r="N362" s="127"/>
      <c r="O362" s="421"/>
    </row>
    <row r="363" spans="1:15" outlineLevel="1">
      <c r="A363" s="586">
        <f>ROW()</f>
        <v>363</v>
      </c>
      <c r="B363" s="215" t="str">
        <f>$B$209</f>
        <v>Phys Ed/ Health Teacher 1</v>
      </c>
      <c r="C363" s="129">
        <f t="shared" si="81"/>
        <v>247500</v>
      </c>
      <c r="D363" s="129"/>
      <c r="E363" s="129"/>
      <c r="F363" s="129"/>
      <c r="G363" s="795">
        <f>G209*$E209</f>
        <v>0</v>
      </c>
      <c r="H363" s="795">
        <f t="shared" si="83"/>
        <v>22500</v>
      </c>
      <c r="I363" s="795">
        <f t="shared" si="83"/>
        <v>45000</v>
      </c>
      <c r="J363" s="795">
        <f t="shared" si="83"/>
        <v>45000</v>
      </c>
      <c r="K363" s="795">
        <f t="shared" si="83"/>
        <v>45000</v>
      </c>
      <c r="L363" s="795">
        <f t="shared" si="83"/>
        <v>45000</v>
      </c>
      <c r="M363" s="795">
        <f t="shared" si="83"/>
        <v>45000</v>
      </c>
      <c r="N363" s="127"/>
      <c r="O363" s="421"/>
    </row>
    <row r="364" spans="1:15" outlineLevel="1">
      <c r="A364" s="586">
        <f>ROW()</f>
        <v>364</v>
      </c>
      <c r="B364" s="215"/>
      <c r="C364" s="129">
        <f t="shared" si="81"/>
        <v>0</v>
      </c>
      <c r="D364" s="129"/>
      <c r="E364" s="129"/>
      <c r="F364" s="129"/>
      <c r="G364" s="795"/>
      <c r="H364" s="795"/>
      <c r="I364" s="795"/>
      <c r="J364" s="795"/>
      <c r="K364" s="795"/>
      <c r="L364" s="795"/>
      <c r="M364" s="795"/>
      <c r="N364" s="127"/>
      <c r="O364" s="421"/>
    </row>
    <row r="365" spans="1:15" outlineLevel="1">
      <c r="A365" s="586">
        <f>ROW()</f>
        <v>365</v>
      </c>
      <c r="B365" s="215">
        <f>$B$211</f>
        <v>0</v>
      </c>
      <c r="C365" s="129">
        <f t="shared" si="81"/>
        <v>0</v>
      </c>
      <c r="D365" s="129"/>
      <c r="E365" s="129"/>
      <c r="F365" s="129"/>
      <c r="G365" s="795">
        <f>G211*$E211</f>
        <v>0</v>
      </c>
      <c r="H365" s="795">
        <f t="shared" ref="H365:M369" si="84">(H211*$E211)</f>
        <v>0</v>
      </c>
      <c r="I365" s="795">
        <f t="shared" si="84"/>
        <v>0</v>
      </c>
      <c r="J365" s="795">
        <f t="shared" si="84"/>
        <v>0</v>
      </c>
      <c r="K365" s="795">
        <f t="shared" si="84"/>
        <v>0</v>
      </c>
      <c r="L365" s="795">
        <f t="shared" si="84"/>
        <v>0</v>
      </c>
      <c r="M365" s="795">
        <f t="shared" si="84"/>
        <v>0</v>
      </c>
      <c r="N365" s="127"/>
      <c r="O365" s="421"/>
    </row>
    <row r="366" spans="1:15" outlineLevel="1">
      <c r="A366" s="586">
        <f>ROW()</f>
        <v>366</v>
      </c>
      <c r="B366" s="215" t="str">
        <f>$B$212</f>
        <v>CTE Teacher 1</v>
      </c>
      <c r="C366" s="129">
        <f t="shared" si="81"/>
        <v>270000</v>
      </c>
      <c r="D366" s="129"/>
      <c r="E366" s="129"/>
      <c r="F366" s="129"/>
      <c r="G366" s="795">
        <f>G212*$E212</f>
        <v>0</v>
      </c>
      <c r="H366" s="795">
        <f t="shared" si="84"/>
        <v>45000</v>
      </c>
      <c r="I366" s="795">
        <f t="shared" si="84"/>
        <v>45000</v>
      </c>
      <c r="J366" s="795">
        <f t="shared" si="84"/>
        <v>45000</v>
      </c>
      <c r="K366" s="795">
        <f t="shared" si="84"/>
        <v>45000</v>
      </c>
      <c r="L366" s="795">
        <f t="shared" si="84"/>
        <v>45000</v>
      </c>
      <c r="M366" s="795">
        <f t="shared" si="84"/>
        <v>45000</v>
      </c>
      <c r="N366" s="127"/>
      <c r="O366" s="421"/>
    </row>
    <row r="367" spans="1:15" outlineLevel="1">
      <c r="A367" s="586">
        <f>ROW()</f>
        <v>367</v>
      </c>
      <c r="B367" s="215" t="str">
        <f>$B$213</f>
        <v>CTE Teacher 2</v>
      </c>
      <c r="C367" s="129">
        <f t="shared" si="81"/>
        <v>225000</v>
      </c>
      <c r="D367" s="129"/>
      <c r="E367" s="129"/>
      <c r="F367" s="129"/>
      <c r="G367" s="795">
        <f>G213*$E213</f>
        <v>0</v>
      </c>
      <c r="H367" s="795">
        <f t="shared" si="84"/>
        <v>0</v>
      </c>
      <c r="I367" s="795">
        <f t="shared" si="84"/>
        <v>45000</v>
      </c>
      <c r="J367" s="795">
        <f t="shared" si="84"/>
        <v>45000</v>
      </c>
      <c r="K367" s="795">
        <f t="shared" si="84"/>
        <v>45000</v>
      </c>
      <c r="L367" s="795">
        <f t="shared" si="84"/>
        <v>45000</v>
      </c>
      <c r="M367" s="795">
        <f t="shared" si="84"/>
        <v>45000</v>
      </c>
      <c r="N367" s="127"/>
      <c r="O367" s="421"/>
    </row>
    <row r="368" spans="1:15" outlineLevel="1">
      <c r="A368" s="586">
        <f>ROW()</f>
        <v>368</v>
      </c>
      <c r="B368" s="215" t="str">
        <f>$B$214</f>
        <v>CTE Teacher 3</v>
      </c>
      <c r="C368" s="129">
        <f t="shared" si="81"/>
        <v>180000</v>
      </c>
      <c r="D368" s="129"/>
      <c r="E368" s="129"/>
      <c r="F368" s="129"/>
      <c r="G368" s="795">
        <f>G214*$E214</f>
        <v>0</v>
      </c>
      <c r="H368" s="795">
        <f t="shared" si="84"/>
        <v>0</v>
      </c>
      <c r="I368" s="795">
        <f t="shared" si="84"/>
        <v>0</v>
      </c>
      <c r="J368" s="795">
        <f t="shared" si="84"/>
        <v>45000</v>
      </c>
      <c r="K368" s="795">
        <f t="shared" si="84"/>
        <v>45000</v>
      </c>
      <c r="L368" s="795">
        <f t="shared" si="84"/>
        <v>45000</v>
      </c>
      <c r="M368" s="795">
        <f t="shared" si="84"/>
        <v>45000</v>
      </c>
      <c r="N368" s="127"/>
      <c r="O368" s="421"/>
    </row>
    <row r="369" spans="1:15" outlineLevel="1">
      <c r="A369" s="586">
        <f>ROW()</f>
        <v>369</v>
      </c>
      <c r="B369" s="215">
        <f>$B$215</f>
        <v>0</v>
      </c>
      <c r="C369" s="129">
        <f t="shared" si="81"/>
        <v>0</v>
      </c>
      <c r="D369" s="129"/>
      <c r="E369" s="129"/>
      <c r="F369" s="129"/>
      <c r="G369" s="795">
        <f>G215*$E215</f>
        <v>0</v>
      </c>
      <c r="H369" s="795">
        <f t="shared" si="84"/>
        <v>0</v>
      </c>
      <c r="I369" s="795">
        <f t="shared" si="84"/>
        <v>0</v>
      </c>
      <c r="J369" s="795">
        <f t="shared" si="84"/>
        <v>0</v>
      </c>
      <c r="K369" s="795">
        <f t="shared" si="84"/>
        <v>0</v>
      </c>
      <c r="L369" s="795">
        <f t="shared" si="84"/>
        <v>0</v>
      </c>
      <c r="M369" s="795">
        <f t="shared" si="84"/>
        <v>0</v>
      </c>
      <c r="N369" s="127"/>
      <c r="O369" s="421"/>
    </row>
    <row r="370" spans="1:15" outlineLevel="1">
      <c r="A370" s="586">
        <f>ROW()</f>
        <v>370</v>
      </c>
      <c r="B370" s="215"/>
      <c r="C370" s="129">
        <f t="shared" si="81"/>
        <v>0</v>
      </c>
      <c r="D370" s="129"/>
      <c r="E370" s="129"/>
      <c r="F370" s="129"/>
      <c r="G370" s="795"/>
      <c r="H370" s="795"/>
      <c r="I370" s="795"/>
      <c r="J370" s="795"/>
      <c r="K370" s="795"/>
      <c r="L370" s="795"/>
      <c r="M370" s="795"/>
      <c r="N370" s="127"/>
      <c r="O370" s="421"/>
    </row>
    <row r="371" spans="1:15" outlineLevel="1">
      <c r="A371" s="586">
        <f>ROW()</f>
        <v>371</v>
      </c>
      <c r="B371" s="215" t="str">
        <f>$B$217</f>
        <v>Grade Level Teacher</v>
      </c>
      <c r="C371" s="129">
        <f t="shared" si="81"/>
        <v>0</v>
      </c>
      <c r="D371" s="129"/>
      <c r="E371" s="129"/>
      <c r="F371" s="129"/>
      <c r="G371" s="795">
        <f>G217*$E217</f>
        <v>0</v>
      </c>
      <c r="H371" s="795">
        <f t="shared" ref="H371:M375" si="85">(H217*$E217)</f>
        <v>0</v>
      </c>
      <c r="I371" s="795">
        <f t="shared" si="85"/>
        <v>0</v>
      </c>
      <c r="J371" s="795">
        <f t="shared" si="85"/>
        <v>0</v>
      </c>
      <c r="K371" s="795">
        <f t="shared" si="85"/>
        <v>0</v>
      </c>
      <c r="L371" s="795">
        <f t="shared" si="85"/>
        <v>0</v>
      </c>
      <c r="M371" s="795">
        <f t="shared" si="85"/>
        <v>0</v>
      </c>
      <c r="N371" s="127"/>
      <c r="O371" s="421"/>
    </row>
    <row r="372" spans="1:15" outlineLevel="1">
      <c r="A372" s="586">
        <f>ROW()</f>
        <v>372</v>
      </c>
      <c r="B372" s="215" t="str">
        <f>$B$218</f>
        <v>Grade Level Teacher</v>
      </c>
      <c r="C372" s="129">
        <f t="shared" si="81"/>
        <v>0</v>
      </c>
      <c r="D372" s="129"/>
      <c r="E372" s="129"/>
      <c r="F372" s="129"/>
      <c r="G372" s="795">
        <f>G218*$E218</f>
        <v>0</v>
      </c>
      <c r="H372" s="795">
        <f t="shared" si="85"/>
        <v>0</v>
      </c>
      <c r="I372" s="795">
        <f t="shared" si="85"/>
        <v>0</v>
      </c>
      <c r="J372" s="795">
        <f t="shared" si="85"/>
        <v>0</v>
      </c>
      <c r="K372" s="795">
        <f t="shared" si="85"/>
        <v>0</v>
      </c>
      <c r="L372" s="795">
        <f t="shared" si="85"/>
        <v>0</v>
      </c>
      <c r="M372" s="795">
        <f t="shared" si="85"/>
        <v>0</v>
      </c>
      <c r="N372" s="127"/>
      <c r="O372" s="421"/>
    </row>
    <row r="373" spans="1:15" outlineLevel="1">
      <c r="A373" s="586">
        <f>ROW()</f>
        <v>373</v>
      </c>
      <c r="B373" s="215" t="str">
        <f>$B$219</f>
        <v>Grade Level Teacher</v>
      </c>
      <c r="C373" s="129">
        <f t="shared" si="81"/>
        <v>0</v>
      </c>
      <c r="D373" s="129"/>
      <c r="E373" s="129"/>
      <c r="F373" s="129"/>
      <c r="G373" s="795">
        <f>G219*$E219</f>
        <v>0</v>
      </c>
      <c r="H373" s="795">
        <f t="shared" si="85"/>
        <v>0</v>
      </c>
      <c r="I373" s="795">
        <f t="shared" si="85"/>
        <v>0</v>
      </c>
      <c r="J373" s="795">
        <f t="shared" si="85"/>
        <v>0</v>
      </c>
      <c r="K373" s="795">
        <f t="shared" si="85"/>
        <v>0</v>
      </c>
      <c r="L373" s="795">
        <f t="shared" si="85"/>
        <v>0</v>
      </c>
      <c r="M373" s="795">
        <f t="shared" si="85"/>
        <v>0</v>
      </c>
      <c r="N373" s="127"/>
      <c r="O373" s="421"/>
    </row>
    <row r="374" spans="1:15" outlineLevel="1">
      <c r="A374" s="586">
        <f>ROW()</f>
        <v>374</v>
      </c>
      <c r="B374" s="215" t="str">
        <f>$B$220</f>
        <v>Grade Level Teacher</v>
      </c>
      <c r="C374" s="129">
        <f t="shared" si="81"/>
        <v>0</v>
      </c>
      <c r="D374" s="129"/>
      <c r="E374" s="129"/>
      <c r="F374" s="129"/>
      <c r="G374" s="795">
        <f>G220*$E220</f>
        <v>0</v>
      </c>
      <c r="H374" s="795">
        <f t="shared" si="85"/>
        <v>0</v>
      </c>
      <c r="I374" s="795">
        <f t="shared" si="85"/>
        <v>0</v>
      </c>
      <c r="J374" s="795">
        <f t="shared" si="85"/>
        <v>0</v>
      </c>
      <c r="K374" s="795">
        <f t="shared" si="85"/>
        <v>0</v>
      </c>
      <c r="L374" s="795">
        <f t="shared" si="85"/>
        <v>0</v>
      </c>
      <c r="M374" s="795">
        <f t="shared" si="85"/>
        <v>0</v>
      </c>
      <c r="N374" s="127"/>
      <c r="O374" s="421"/>
    </row>
    <row r="375" spans="1:15" outlineLevel="1">
      <c r="A375" s="586">
        <f>ROW()</f>
        <v>375</v>
      </c>
      <c r="B375" s="215" t="str">
        <f>$B$221</f>
        <v>Grade Level Teacher</v>
      </c>
      <c r="C375" s="129">
        <f t="shared" si="81"/>
        <v>0</v>
      </c>
      <c r="D375" s="129"/>
      <c r="E375" s="129"/>
      <c r="F375" s="129"/>
      <c r="G375" s="795">
        <f>G221*$E221</f>
        <v>0</v>
      </c>
      <c r="H375" s="795">
        <f t="shared" si="85"/>
        <v>0</v>
      </c>
      <c r="I375" s="795">
        <f t="shared" si="85"/>
        <v>0</v>
      </c>
      <c r="J375" s="795">
        <f t="shared" si="85"/>
        <v>0</v>
      </c>
      <c r="K375" s="795">
        <f t="shared" si="85"/>
        <v>0</v>
      </c>
      <c r="L375" s="795">
        <f t="shared" si="85"/>
        <v>0</v>
      </c>
      <c r="M375" s="795">
        <f t="shared" si="85"/>
        <v>0</v>
      </c>
      <c r="N375" s="127"/>
      <c r="O375" s="421"/>
    </row>
    <row r="376" spans="1:15" outlineLevel="1">
      <c r="A376" s="586">
        <f>ROW()</f>
        <v>376</v>
      </c>
      <c r="B376" s="215"/>
      <c r="C376" s="129">
        <f t="shared" si="81"/>
        <v>0</v>
      </c>
      <c r="D376" s="129"/>
      <c r="E376" s="129"/>
      <c r="F376" s="129"/>
      <c r="G376" s="795"/>
      <c r="H376" s="795"/>
      <c r="I376" s="795"/>
      <c r="J376" s="795"/>
      <c r="K376" s="795"/>
      <c r="L376" s="795"/>
      <c r="M376" s="795"/>
      <c r="N376" s="127"/>
      <c r="O376" s="421"/>
    </row>
    <row r="377" spans="1:15" outlineLevel="1">
      <c r="A377" s="586">
        <f>ROW()</f>
        <v>377</v>
      </c>
      <c r="B377" s="215" t="str">
        <f>$B$223</f>
        <v>Grade Level Teacher</v>
      </c>
      <c r="C377" s="129">
        <f t="shared" si="81"/>
        <v>0</v>
      </c>
      <c r="D377" s="129"/>
      <c r="E377" s="129"/>
      <c r="F377" s="129"/>
      <c r="G377" s="795">
        <f>G223*$E223</f>
        <v>0</v>
      </c>
      <c r="H377" s="795">
        <f t="shared" ref="H377:M381" si="86">(H223*$E223)</f>
        <v>0</v>
      </c>
      <c r="I377" s="795">
        <f t="shared" si="86"/>
        <v>0</v>
      </c>
      <c r="J377" s="795">
        <f t="shared" si="86"/>
        <v>0</v>
      </c>
      <c r="K377" s="795">
        <f t="shared" si="86"/>
        <v>0</v>
      </c>
      <c r="L377" s="795">
        <f t="shared" si="86"/>
        <v>0</v>
      </c>
      <c r="M377" s="795">
        <f t="shared" si="86"/>
        <v>0</v>
      </c>
      <c r="N377" s="127"/>
      <c r="O377" s="421"/>
    </row>
    <row r="378" spans="1:15" outlineLevel="1">
      <c r="A378" s="586">
        <f>ROW()</f>
        <v>378</v>
      </c>
      <c r="B378" s="215" t="str">
        <f>$B$224</f>
        <v>Grade Level Teacher</v>
      </c>
      <c r="C378" s="129">
        <f t="shared" si="81"/>
        <v>0</v>
      </c>
      <c r="D378" s="129"/>
      <c r="E378" s="129"/>
      <c r="F378" s="129"/>
      <c r="G378" s="795">
        <f>G224*$E224</f>
        <v>0</v>
      </c>
      <c r="H378" s="795">
        <f t="shared" si="86"/>
        <v>0</v>
      </c>
      <c r="I378" s="795">
        <f t="shared" si="86"/>
        <v>0</v>
      </c>
      <c r="J378" s="795">
        <f t="shared" si="86"/>
        <v>0</v>
      </c>
      <c r="K378" s="795">
        <f t="shared" si="86"/>
        <v>0</v>
      </c>
      <c r="L378" s="795">
        <f t="shared" si="86"/>
        <v>0</v>
      </c>
      <c r="M378" s="795">
        <f t="shared" si="86"/>
        <v>0</v>
      </c>
      <c r="N378" s="127"/>
      <c r="O378" s="421"/>
    </row>
    <row r="379" spans="1:15" outlineLevel="1">
      <c r="A379" s="586">
        <f>ROW()</f>
        <v>379</v>
      </c>
      <c r="B379" s="215" t="str">
        <f>$B$225</f>
        <v>Grade Level Teacher</v>
      </c>
      <c r="C379" s="129">
        <f t="shared" si="81"/>
        <v>0</v>
      </c>
      <c r="D379" s="129"/>
      <c r="E379" s="129"/>
      <c r="F379" s="129"/>
      <c r="G379" s="795">
        <f>G225*$E225</f>
        <v>0</v>
      </c>
      <c r="H379" s="795">
        <f t="shared" si="86"/>
        <v>0</v>
      </c>
      <c r="I379" s="795">
        <f t="shared" si="86"/>
        <v>0</v>
      </c>
      <c r="J379" s="795">
        <f t="shared" si="86"/>
        <v>0</v>
      </c>
      <c r="K379" s="795">
        <f t="shared" si="86"/>
        <v>0</v>
      </c>
      <c r="L379" s="795">
        <f t="shared" si="86"/>
        <v>0</v>
      </c>
      <c r="M379" s="795">
        <f t="shared" si="86"/>
        <v>0</v>
      </c>
      <c r="N379" s="127"/>
      <c r="O379" s="421"/>
    </row>
    <row r="380" spans="1:15" outlineLevel="1">
      <c r="A380" s="586">
        <f>ROW()</f>
        <v>380</v>
      </c>
      <c r="B380" s="215" t="str">
        <f>$B$226</f>
        <v>Grade Level Teacher</v>
      </c>
      <c r="C380" s="129">
        <f t="shared" si="81"/>
        <v>0</v>
      </c>
      <c r="D380" s="129"/>
      <c r="E380" s="129"/>
      <c r="F380" s="129"/>
      <c r="G380" s="795">
        <f>G226*$E226</f>
        <v>0</v>
      </c>
      <c r="H380" s="795">
        <f t="shared" si="86"/>
        <v>0</v>
      </c>
      <c r="I380" s="795">
        <f t="shared" si="86"/>
        <v>0</v>
      </c>
      <c r="J380" s="795">
        <f t="shared" si="86"/>
        <v>0</v>
      </c>
      <c r="K380" s="795">
        <f t="shared" si="86"/>
        <v>0</v>
      </c>
      <c r="L380" s="795">
        <f t="shared" si="86"/>
        <v>0</v>
      </c>
      <c r="M380" s="795">
        <f t="shared" si="86"/>
        <v>0</v>
      </c>
      <c r="N380" s="127"/>
      <c r="O380" s="421"/>
    </row>
    <row r="381" spans="1:15" outlineLevel="1">
      <c r="A381" s="586">
        <f>ROW()</f>
        <v>381</v>
      </c>
      <c r="B381" s="215" t="str">
        <f>$B$227</f>
        <v>Grade Level Teacher</v>
      </c>
      <c r="C381" s="129">
        <f t="shared" si="81"/>
        <v>0</v>
      </c>
      <c r="D381" s="129"/>
      <c r="E381" s="129"/>
      <c r="F381" s="129"/>
      <c r="G381" s="795">
        <f>G227*$E227</f>
        <v>0</v>
      </c>
      <c r="H381" s="795">
        <f t="shared" si="86"/>
        <v>0</v>
      </c>
      <c r="I381" s="795">
        <f t="shared" si="86"/>
        <v>0</v>
      </c>
      <c r="J381" s="795">
        <f t="shared" si="86"/>
        <v>0</v>
      </c>
      <c r="K381" s="795">
        <f t="shared" si="86"/>
        <v>0</v>
      </c>
      <c r="L381" s="795">
        <f t="shared" si="86"/>
        <v>0</v>
      </c>
      <c r="M381" s="795">
        <f t="shared" si="86"/>
        <v>0</v>
      </c>
      <c r="N381" s="127"/>
      <c r="O381" s="421"/>
    </row>
    <row r="382" spans="1:15" outlineLevel="1">
      <c r="A382" s="586">
        <f>ROW()</f>
        <v>382</v>
      </c>
      <c r="B382" s="127"/>
      <c r="C382" s="129"/>
      <c r="D382" s="129"/>
      <c r="E382" s="129"/>
      <c r="F382" s="129"/>
      <c r="G382" s="1215"/>
      <c r="H382" s="1215"/>
      <c r="I382" s="1215"/>
      <c r="J382" s="1215"/>
      <c r="K382" s="1215"/>
      <c r="L382" s="1215"/>
      <c r="M382" s="1215"/>
      <c r="N382" s="127"/>
      <c r="O382" s="421"/>
    </row>
    <row r="383" spans="1:15" ht="15.75" outlineLevel="1">
      <c r="A383" s="586">
        <f>ROW()</f>
        <v>383</v>
      </c>
      <c r="B383" s="1216" t="s">
        <v>513</v>
      </c>
      <c r="C383" s="1217">
        <f>SUM(G383:M383)</f>
        <v>4207500</v>
      </c>
      <c r="D383" s="1216"/>
      <c r="E383" s="1216"/>
      <c r="F383" s="1216"/>
      <c r="G383" s="1217">
        <f t="shared" ref="G383:M383" si="87">SUM(G288:G381)</f>
        <v>0</v>
      </c>
      <c r="H383" s="1217">
        <f t="shared" si="87"/>
        <v>337500</v>
      </c>
      <c r="I383" s="1217">
        <f>SUM(I288:I381)</f>
        <v>630000</v>
      </c>
      <c r="J383" s="1217">
        <f t="shared" si="87"/>
        <v>810000</v>
      </c>
      <c r="K383" s="1217">
        <f t="shared" si="87"/>
        <v>810000</v>
      </c>
      <c r="L383" s="1217">
        <f t="shared" si="87"/>
        <v>810000</v>
      </c>
      <c r="M383" s="1217">
        <f t="shared" si="87"/>
        <v>810000</v>
      </c>
      <c r="O383" s="421"/>
    </row>
    <row r="384" spans="1:15" outlineLevel="1">
      <c r="A384" s="586">
        <f>ROW()</f>
        <v>384</v>
      </c>
      <c r="C384" s="57"/>
      <c r="D384" s="57"/>
      <c r="E384" s="57"/>
      <c r="F384" s="57"/>
      <c r="G384" s="159"/>
      <c r="H384" s="150"/>
      <c r="I384" s="150"/>
      <c r="J384" s="150"/>
      <c r="K384" s="150"/>
      <c r="L384" s="150"/>
      <c r="M384" s="150"/>
      <c r="O384" s="421"/>
    </row>
    <row r="385" spans="1:15" outlineLevel="1">
      <c r="A385" s="586">
        <f>ROW()</f>
        <v>385</v>
      </c>
      <c r="B385" s="1204" t="s">
        <v>391</v>
      </c>
      <c r="C385" s="1205"/>
      <c r="D385" s="1206"/>
      <c r="E385" s="1206"/>
      <c r="F385" s="1206"/>
      <c r="G385" s="1218">
        <v>0</v>
      </c>
      <c r="H385" s="1218">
        <v>0</v>
      </c>
      <c r="I385" s="1218">
        <v>0</v>
      </c>
      <c r="J385" s="1218">
        <f>500*J21</f>
        <v>14000</v>
      </c>
      <c r="K385" s="1218">
        <f t="shared" ref="K385:M385" si="88">500*K21</f>
        <v>14000</v>
      </c>
      <c r="L385" s="1218">
        <f t="shared" si="88"/>
        <v>14000</v>
      </c>
      <c r="M385" s="1218">
        <f t="shared" si="88"/>
        <v>14000</v>
      </c>
      <c r="O385" s="1666"/>
    </row>
    <row r="386" spans="1:15" outlineLevel="1">
      <c r="A386" s="586">
        <f>ROW()</f>
        <v>386</v>
      </c>
      <c r="C386" s="57"/>
      <c r="D386" s="57"/>
      <c r="E386" s="57"/>
      <c r="F386" s="57"/>
      <c r="G386" s="828"/>
      <c r="H386" s="1219"/>
      <c r="I386" s="1219"/>
      <c r="J386" s="1219"/>
      <c r="K386" s="1219"/>
      <c r="L386" s="1219"/>
      <c r="M386" s="1219"/>
      <c r="O386" s="421"/>
    </row>
    <row r="387" spans="1:15" ht="15.75" outlineLevel="1">
      <c r="A387" s="586">
        <f>ROW()</f>
        <v>387</v>
      </c>
      <c r="B387" s="1210" t="s">
        <v>456</v>
      </c>
      <c r="C387" s="1211"/>
      <c r="D387" s="1210"/>
      <c r="E387" s="1210"/>
      <c r="F387" s="1210"/>
      <c r="G387" s="1211">
        <f>SUM(G383,G274,G249,G262,G286,G385)*$C$63</f>
        <v>0</v>
      </c>
      <c r="H387" s="1211">
        <f>SUM(H383,H274,H249,H262,H286,H385)*$C$63</f>
        <v>6450</v>
      </c>
      <c r="I387" s="1211">
        <f t="shared" ref="I387:M387" si="89">SUM(I383,I274,I249,I262,I286,I385)*$C$63</f>
        <v>11600</v>
      </c>
      <c r="J387" s="1211">
        <f t="shared" si="89"/>
        <v>14240</v>
      </c>
      <c r="K387" s="1211">
        <f t="shared" si="89"/>
        <v>14240</v>
      </c>
      <c r="L387" s="1211">
        <f t="shared" si="89"/>
        <v>14240</v>
      </c>
      <c r="M387" s="1211">
        <f t="shared" si="89"/>
        <v>14240</v>
      </c>
      <c r="O387" s="421"/>
    </row>
    <row r="388" spans="1:15" ht="15.75" outlineLevel="1" thickBot="1">
      <c r="A388" s="586">
        <f>ROW()</f>
        <v>388</v>
      </c>
      <c r="C388" s="57"/>
      <c r="D388" s="57"/>
      <c r="E388" s="57"/>
      <c r="F388" s="57"/>
      <c r="G388" s="159"/>
      <c r="H388" s="159"/>
      <c r="I388" s="159"/>
      <c r="J388" s="159"/>
      <c r="K388" s="159"/>
      <c r="L388" s="159"/>
      <c r="M388" s="159"/>
      <c r="O388" s="421"/>
    </row>
    <row r="389" spans="1:15" ht="15.75" thickBot="1">
      <c r="A389" s="586">
        <f>ROW()</f>
        <v>389</v>
      </c>
      <c r="B389" s="1187" t="s">
        <v>423</v>
      </c>
      <c r="C389" s="1188">
        <f>SUM(G389:M389)</f>
        <v>7576010</v>
      </c>
      <c r="D389" s="1214"/>
      <c r="E389" s="1214"/>
      <c r="F389" s="1214"/>
      <c r="G389" s="1188">
        <f t="shared" ref="G389:M389" si="90">G383+G274+G249+G262+G286+G385+G387</f>
        <v>0</v>
      </c>
      <c r="H389" s="1188">
        <f t="shared" si="90"/>
        <v>651450</v>
      </c>
      <c r="I389" s="1188">
        <f t="shared" si="90"/>
        <v>1171600</v>
      </c>
      <c r="J389" s="1188">
        <f t="shared" si="90"/>
        <v>1438240</v>
      </c>
      <c r="K389" s="1188">
        <f t="shared" si="90"/>
        <v>1438240</v>
      </c>
      <c r="L389" s="1188">
        <f t="shared" si="90"/>
        <v>1438240</v>
      </c>
      <c r="M389" s="1188">
        <f t="shared" si="90"/>
        <v>1438240</v>
      </c>
      <c r="O389" s="421"/>
    </row>
    <row r="390" spans="1:15">
      <c r="A390" s="586">
        <f>ROW()</f>
        <v>390</v>
      </c>
      <c r="C390" s="150"/>
      <c r="G390" s="611"/>
      <c r="H390" s="829"/>
      <c r="I390" s="829"/>
      <c r="J390" s="829"/>
      <c r="K390" s="829"/>
      <c r="L390" s="829"/>
      <c r="M390" s="829"/>
      <c r="N390" s="57"/>
      <c r="O390" s="421"/>
    </row>
    <row r="391" spans="1:15" ht="15.75">
      <c r="A391" s="586">
        <f>ROW()</f>
        <v>391</v>
      </c>
      <c r="B391" s="1152" t="s">
        <v>424</v>
      </c>
      <c r="C391" s="1153"/>
      <c r="D391" s="1152"/>
      <c r="E391" s="1152"/>
      <c r="F391" s="1152"/>
      <c r="G391" s="1154"/>
      <c r="H391" s="1155"/>
      <c r="I391" s="1155"/>
      <c r="J391" s="1155"/>
      <c r="K391" s="1155"/>
      <c r="L391" s="1155"/>
      <c r="M391" s="1155"/>
      <c r="N391" s="232"/>
      <c r="O391" s="421"/>
    </row>
    <row r="392" spans="1:15" ht="15.75">
      <c r="A392" s="586">
        <f>ROW()</f>
        <v>392</v>
      </c>
      <c r="B392" s="127"/>
      <c r="C392" s="151"/>
      <c r="D392" s="127"/>
      <c r="E392" s="127"/>
      <c r="F392" s="127"/>
      <c r="G392" s="611"/>
      <c r="H392" s="829"/>
      <c r="I392" s="829"/>
      <c r="J392" s="829"/>
      <c r="K392" s="829"/>
      <c r="L392" s="829"/>
      <c r="M392" s="829"/>
      <c r="N392" s="232"/>
      <c r="O392" s="421"/>
    </row>
    <row r="393" spans="1:15" ht="15.75">
      <c r="A393" s="586">
        <f>ROW()</f>
        <v>393</v>
      </c>
      <c r="B393" s="1210" t="s">
        <v>425</v>
      </c>
      <c r="C393" s="1211"/>
      <c r="D393" s="1210"/>
      <c r="E393" s="1210"/>
      <c r="F393" s="1210"/>
      <c r="G393" s="1212"/>
      <c r="H393" s="1213"/>
      <c r="I393" s="1213"/>
      <c r="J393" s="1213"/>
      <c r="K393" s="1213"/>
      <c r="L393" s="1213"/>
      <c r="M393" s="1213"/>
      <c r="N393" s="232"/>
      <c r="O393" s="421"/>
    </row>
    <row r="394" spans="1:15" ht="15.75">
      <c r="A394" s="586">
        <f>ROW()</f>
        <v>394</v>
      </c>
      <c r="B394" s="147" t="s">
        <v>514</v>
      </c>
      <c r="C394" s="212"/>
      <c r="D394" s="147"/>
      <c r="E394" s="144"/>
      <c r="F394" s="144"/>
      <c r="G394" s="773">
        <f t="shared" ref="G394:M394" si="91">IFERROR((G21*$C$53*((1+$C$63)^(G$10-$G$10))),0)</f>
        <v>0</v>
      </c>
      <c r="H394" s="1138">
        <f t="shared" si="91"/>
        <v>48061.86</v>
      </c>
      <c r="I394" s="773">
        <f t="shared" si="91"/>
        <v>99291.433499999999</v>
      </c>
      <c r="J394" s="773">
        <f t="shared" si="91"/>
        <v>124798.29952799999</v>
      </c>
      <c r="K394" s="773">
        <f t="shared" si="91"/>
        <v>126046.28252328001</v>
      </c>
      <c r="L394" s="773">
        <f t="shared" si="91"/>
        <v>127306.74534851279</v>
      </c>
      <c r="M394" s="773">
        <f t="shared" si="91"/>
        <v>128579.81280199795</v>
      </c>
      <c r="N394" s="232"/>
      <c r="O394" s="421"/>
    </row>
    <row r="395" spans="1:15" ht="15.75">
      <c r="A395" s="586">
        <f>ROW()</f>
        <v>395</v>
      </c>
      <c r="B395" s="127"/>
      <c r="C395" s="152"/>
      <c r="D395" s="128"/>
      <c r="E395" s="127"/>
      <c r="F395" s="127"/>
      <c r="G395" s="114"/>
      <c r="H395" s="114"/>
      <c r="I395" s="114"/>
      <c r="J395" s="114"/>
      <c r="K395" s="114"/>
      <c r="L395" s="114"/>
      <c r="M395" s="114"/>
      <c r="N395" s="232"/>
      <c r="O395" s="421"/>
    </row>
    <row r="396" spans="1:15" ht="15.75">
      <c r="A396" s="586">
        <f>ROW()</f>
        <v>396</v>
      </c>
      <c r="B396" s="1210" t="s">
        <v>445</v>
      </c>
      <c r="C396" s="1211"/>
      <c r="D396" s="1210"/>
      <c r="E396" s="1210"/>
      <c r="F396" s="1210"/>
      <c r="G396" s="1212"/>
      <c r="H396" s="1213"/>
      <c r="I396" s="1213"/>
      <c r="J396" s="1213"/>
      <c r="K396" s="1213"/>
      <c r="L396" s="1213"/>
      <c r="M396" s="1213"/>
      <c r="N396" s="232"/>
      <c r="O396" s="421"/>
    </row>
    <row r="397" spans="1:15" ht="15.75">
      <c r="A397" s="586">
        <f>ROW()</f>
        <v>397</v>
      </c>
      <c r="B397" s="213" t="s">
        <v>515</v>
      </c>
      <c r="C397" s="214"/>
      <c r="D397" s="213"/>
      <c r="E397" s="192"/>
      <c r="F397" s="192"/>
      <c r="G397" s="773">
        <f t="shared" ref="G397:M397" si="92">G389*$C$54</f>
        <v>0</v>
      </c>
      <c r="H397" s="773">
        <f>H389*$C$54</f>
        <v>9446.0249999999996</v>
      </c>
      <c r="I397" s="773">
        <f t="shared" si="92"/>
        <v>16988.2</v>
      </c>
      <c r="J397" s="773">
        <f t="shared" si="92"/>
        <v>20854.48</v>
      </c>
      <c r="K397" s="773">
        <f t="shared" si="92"/>
        <v>20854.48</v>
      </c>
      <c r="L397" s="773">
        <f t="shared" si="92"/>
        <v>20854.48</v>
      </c>
      <c r="M397" s="773">
        <f t="shared" si="92"/>
        <v>20854.48</v>
      </c>
      <c r="N397" s="232"/>
      <c r="O397" s="421"/>
    </row>
    <row r="398" spans="1:15" ht="15.75">
      <c r="A398" s="586">
        <f>ROW()</f>
        <v>398</v>
      </c>
      <c r="B398" s="127"/>
      <c r="C398" s="152"/>
      <c r="D398" s="128"/>
      <c r="E398" s="127"/>
      <c r="F398" s="127"/>
      <c r="G398" s="830"/>
      <c r="H398" s="830"/>
      <c r="I398" s="830"/>
      <c r="J398" s="830"/>
      <c r="K398" s="830"/>
      <c r="L398" s="830"/>
      <c r="M398" s="830"/>
      <c r="N398" s="232"/>
      <c r="O398" s="421"/>
    </row>
    <row r="399" spans="1:15" ht="15.75">
      <c r="A399" s="586">
        <f>ROW()</f>
        <v>399</v>
      </c>
      <c r="B399" s="1210" t="s">
        <v>516</v>
      </c>
      <c r="C399" s="1211"/>
      <c r="D399" s="1210"/>
      <c r="E399" s="1210"/>
      <c r="F399" s="1210"/>
      <c r="G399" s="1212"/>
      <c r="H399" s="1213"/>
      <c r="I399" s="1213"/>
      <c r="J399" s="1213"/>
      <c r="K399" s="1213"/>
      <c r="L399" s="1213"/>
      <c r="M399" s="1213"/>
      <c r="N399" s="232"/>
      <c r="O399" s="421"/>
    </row>
    <row r="400" spans="1:15" ht="15.75">
      <c r="A400" s="586">
        <f>ROW()</f>
        <v>400</v>
      </c>
      <c r="B400" s="213" t="s">
        <v>517</v>
      </c>
      <c r="C400" s="214"/>
      <c r="D400" s="213"/>
      <c r="E400" s="192"/>
      <c r="F400" s="192"/>
      <c r="G400" s="773">
        <f t="shared" ref="G400:M400" si="93">G389*$C$55</f>
        <v>0</v>
      </c>
      <c r="H400" s="773">
        <f t="shared" si="93"/>
        <v>99346.125</v>
      </c>
      <c r="I400" s="773">
        <f t="shared" si="93"/>
        <v>178669</v>
      </c>
      <c r="J400" s="773">
        <f t="shared" si="93"/>
        <v>219331.6</v>
      </c>
      <c r="K400" s="773">
        <f t="shared" si="93"/>
        <v>219331.6</v>
      </c>
      <c r="L400" s="773">
        <f t="shared" si="93"/>
        <v>219331.6</v>
      </c>
      <c r="M400" s="773">
        <f t="shared" si="93"/>
        <v>219331.6</v>
      </c>
      <c r="N400" s="232"/>
      <c r="O400" s="421"/>
    </row>
    <row r="401" spans="1:15" ht="15.75">
      <c r="A401" s="586">
        <f>ROW()</f>
        <v>401</v>
      </c>
      <c r="B401" s="127"/>
      <c r="C401" s="152"/>
      <c r="D401" s="128"/>
      <c r="E401" s="127"/>
      <c r="F401" s="127"/>
      <c r="G401" s="611"/>
      <c r="H401" s="114"/>
      <c r="I401" s="114"/>
      <c r="J401" s="114"/>
      <c r="K401" s="114"/>
      <c r="L401" s="114"/>
      <c r="M401" s="114"/>
      <c r="N401" s="232"/>
      <c r="O401" s="421"/>
    </row>
    <row r="402" spans="1:15" ht="15.75">
      <c r="A402" s="586">
        <f>ROW()</f>
        <v>402</v>
      </c>
      <c r="B402" s="1210" t="s">
        <v>448</v>
      </c>
      <c r="C402" s="1211"/>
      <c r="D402" s="1210"/>
      <c r="E402" s="1210"/>
      <c r="F402" s="1210"/>
      <c r="G402" s="1212"/>
      <c r="H402" s="1213"/>
      <c r="I402" s="1213"/>
      <c r="J402" s="1213"/>
      <c r="K402" s="1213"/>
      <c r="L402" s="1213"/>
      <c r="M402" s="1213"/>
      <c r="N402" s="232"/>
      <c r="O402" s="421"/>
    </row>
    <row r="403" spans="1:15" ht="15.75">
      <c r="A403" s="586">
        <f>ROW()</f>
        <v>403</v>
      </c>
      <c r="B403" s="213" t="s">
        <v>518</v>
      </c>
      <c r="C403" s="214"/>
      <c r="D403" s="213"/>
      <c r="E403" s="192"/>
      <c r="F403" s="192"/>
      <c r="G403" s="773">
        <f t="shared" ref="G403:M403" si="94">G389*$C$56</f>
        <v>0</v>
      </c>
      <c r="H403" s="773">
        <f t="shared" si="94"/>
        <v>6514.5</v>
      </c>
      <c r="I403" s="773">
        <f t="shared" si="94"/>
        <v>11716</v>
      </c>
      <c r="J403" s="773">
        <f t="shared" si="94"/>
        <v>14382.4</v>
      </c>
      <c r="K403" s="773">
        <f t="shared" si="94"/>
        <v>14382.4</v>
      </c>
      <c r="L403" s="773">
        <f t="shared" si="94"/>
        <v>14382.4</v>
      </c>
      <c r="M403" s="773">
        <f t="shared" si="94"/>
        <v>14382.4</v>
      </c>
      <c r="N403" s="232"/>
      <c r="O403" s="421"/>
    </row>
    <row r="404" spans="1:15" ht="15.75">
      <c r="A404" s="586">
        <f>ROW()</f>
        <v>404</v>
      </c>
      <c r="B404" s="35"/>
      <c r="C404" s="153"/>
      <c r="D404" s="35"/>
      <c r="G404" s="611"/>
      <c r="H404" s="616"/>
      <c r="I404" s="616"/>
      <c r="J404" s="616"/>
      <c r="K404" s="616"/>
      <c r="L404" s="616"/>
      <c r="M404" s="616"/>
      <c r="N404" s="232"/>
      <c r="O404" s="421"/>
    </row>
    <row r="405" spans="1:15" ht="15.75">
      <c r="A405" s="586">
        <f>ROW()</f>
        <v>405</v>
      </c>
      <c r="B405" s="1210" t="s">
        <v>519</v>
      </c>
      <c r="C405" s="1211"/>
      <c r="D405" s="1210"/>
      <c r="E405" s="1210"/>
      <c r="F405" s="1210"/>
      <c r="G405" s="1212"/>
      <c r="H405" s="1213"/>
      <c r="I405" s="1213"/>
      <c r="J405" s="1213"/>
      <c r="K405" s="1213"/>
      <c r="L405" s="1213"/>
      <c r="M405" s="1213"/>
      <c r="N405" s="232"/>
      <c r="O405" s="421"/>
    </row>
    <row r="406" spans="1:15" ht="15.75">
      <c r="A406" s="586">
        <f>ROW()</f>
        <v>406</v>
      </c>
      <c r="B406" s="211" t="s">
        <v>520</v>
      </c>
      <c r="C406" s="212"/>
      <c r="D406" s="147"/>
      <c r="E406" s="144"/>
      <c r="F406" s="144"/>
      <c r="G406" s="773">
        <f t="shared" ref="G406:M406" si="95">G21*$C$57</f>
        <v>0</v>
      </c>
      <c r="H406" s="773">
        <f t="shared" si="95"/>
        <v>0</v>
      </c>
      <c r="I406" s="773">
        <f t="shared" si="95"/>
        <v>0</v>
      </c>
      <c r="J406" s="773">
        <f t="shared" si="95"/>
        <v>0</v>
      </c>
      <c r="K406" s="773">
        <f t="shared" si="95"/>
        <v>0</v>
      </c>
      <c r="L406" s="773">
        <f t="shared" si="95"/>
        <v>0</v>
      </c>
      <c r="M406" s="773">
        <f t="shared" si="95"/>
        <v>0</v>
      </c>
      <c r="N406" s="232"/>
      <c r="O406" s="421"/>
    </row>
    <row r="407" spans="1:15" ht="15.75">
      <c r="A407" s="586">
        <f>ROW()</f>
        <v>407</v>
      </c>
      <c r="B407" s="35"/>
      <c r="C407" s="153"/>
      <c r="D407" s="35"/>
      <c r="G407" s="611"/>
      <c r="H407" s="616"/>
      <c r="I407" s="616"/>
      <c r="J407" s="616"/>
      <c r="K407" s="616"/>
      <c r="L407" s="616"/>
      <c r="M407" s="616"/>
      <c r="N407" s="232"/>
      <c r="O407" s="421"/>
    </row>
    <row r="408" spans="1:15" ht="15.75">
      <c r="A408" s="586">
        <f>ROW()</f>
        <v>408</v>
      </c>
      <c r="B408" s="1210" t="s">
        <v>521</v>
      </c>
      <c r="C408" s="1211"/>
      <c r="D408" s="1210"/>
      <c r="E408" s="1210"/>
      <c r="F408" s="1210"/>
      <c r="G408" s="1212"/>
      <c r="H408" s="1213"/>
      <c r="I408" s="1213"/>
      <c r="J408" s="1213"/>
      <c r="K408" s="1213"/>
      <c r="L408" s="1213"/>
      <c r="M408" s="1213"/>
      <c r="N408" s="232"/>
      <c r="O408" s="421"/>
    </row>
    <row r="409" spans="1:15" ht="15.75">
      <c r="A409" s="586">
        <f>ROW()</f>
        <v>409</v>
      </c>
      <c r="B409" s="147" t="s">
        <v>522</v>
      </c>
      <c r="C409" s="212"/>
      <c r="D409" s="147"/>
      <c r="E409" s="144"/>
      <c r="F409" s="144"/>
      <c r="G409" s="773">
        <f t="shared" ref="G409:M409" si="96">G21*$C$58</f>
        <v>0</v>
      </c>
      <c r="H409" s="773">
        <f t="shared" si="96"/>
        <v>311.56304347826085</v>
      </c>
      <c r="I409" s="773">
        <f t="shared" si="96"/>
        <v>637.28804347826087</v>
      </c>
      <c r="J409" s="773">
        <f t="shared" si="96"/>
        <v>793.0695652173913</v>
      </c>
      <c r="K409" s="773">
        <f t="shared" si="96"/>
        <v>793.0695652173913</v>
      </c>
      <c r="L409" s="773">
        <f t="shared" si="96"/>
        <v>793.0695652173913</v>
      </c>
      <c r="M409" s="773">
        <f t="shared" si="96"/>
        <v>793.0695652173913</v>
      </c>
      <c r="N409" s="232"/>
      <c r="O409" s="421"/>
    </row>
    <row r="410" spans="1:15">
      <c r="A410" s="586">
        <f>ROW()</f>
        <v>410</v>
      </c>
      <c r="B410" s="35"/>
      <c r="C410" s="153"/>
      <c r="D410" s="35"/>
      <c r="G410" s="616"/>
      <c r="H410" s="616"/>
      <c r="I410" s="616"/>
      <c r="J410" s="616"/>
      <c r="K410" s="616"/>
      <c r="L410" s="616"/>
      <c r="M410" s="616"/>
      <c r="O410" s="421"/>
    </row>
    <row r="411" spans="1:15" ht="15.75">
      <c r="A411" s="586">
        <f>ROW()</f>
        <v>411</v>
      </c>
      <c r="B411" s="1210" t="s">
        <v>523</v>
      </c>
      <c r="C411" s="1211"/>
      <c r="D411" s="1210"/>
      <c r="E411" s="1210"/>
      <c r="F411" s="1210"/>
      <c r="G411" s="1212"/>
      <c r="H411" s="1213"/>
      <c r="I411" s="1213"/>
      <c r="J411" s="1213"/>
      <c r="K411" s="1213"/>
      <c r="L411" s="1213"/>
      <c r="M411" s="1213"/>
      <c r="O411" s="421"/>
    </row>
    <row r="412" spans="1:15">
      <c r="A412" s="586">
        <f>ROW()</f>
        <v>412</v>
      </c>
      <c r="B412" s="147" t="s">
        <v>524</v>
      </c>
      <c r="C412" s="212"/>
      <c r="D412" s="147"/>
      <c r="E412" s="144"/>
      <c r="F412" s="144"/>
      <c r="G412" s="773">
        <f t="shared" ref="G412:M412" si="97">G21*$C$59</f>
        <v>0</v>
      </c>
      <c r="H412" s="773">
        <f t="shared" si="97"/>
        <v>7700</v>
      </c>
      <c r="I412" s="773">
        <f t="shared" si="97"/>
        <v>15750</v>
      </c>
      <c r="J412" s="773">
        <f t="shared" si="97"/>
        <v>19600</v>
      </c>
      <c r="K412" s="773">
        <f t="shared" si="97"/>
        <v>19600</v>
      </c>
      <c r="L412" s="773">
        <f t="shared" si="97"/>
        <v>19600</v>
      </c>
      <c r="M412" s="773">
        <f t="shared" si="97"/>
        <v>19600</v>
      </c>
      <c r="O412" s="421"/>
    </row>
    <row r="413" spans="1:15" ht="15.75" thickBot="1">
      <c r="A413" s="586">
        <f>ROW()</f>
        <v>413</v>
      </c>
      <c r="C413" s="150"/>
      <c r="E413" s="71"/>
      <c r="F413" s="71"/>
      <c r="G413" s="611"/>
      <c r="H413" s="159"/>
      <c r="I413" s="159"/>
      <c r="J413" s="159"/>
      <c r="K413" s="159"/>
      <c r="L413" s="159"/>
      <c r="M413" s="159"/>
      <c r="O413" s="421"/>
    </row>
    <row r="414" spans="1:15" ht="15.75" thickBot="1">
      <c r="A414" s="586">
        <f>ROW()</f>
        <v>414</v>
      </c>
      <c r="B414" s="1187" t="s">
        <v>525</v>
      </c>
      <c r="C414" s="1188"/>
      <c r="D414" s="1214"/>
      <c r="E414" s="1214"/>
      <c r="F414" s="1214"/>
      <c r="G414" s="1188">
        <f t="shared" ref="G414:M414" si="98">G409+G406+G403+G400+G397+G394+G412</f>
        <v>0</v>
      </c>
      <c r="H414" s="1188">
        <f t="shared" si="98"/>
        <v>171380.07304347825</v>
      </c>
      <c r="I414" s="1188">
        <f t="shared" si="98"/>
        <v>323051.92154347827</v>
      </c>
      <c r="J414" s="1188">
        <f t="shared" si="98"/>
        <v>399759.8490932174</v>
      </c>
      <c r="K414" s="1188">
        <f t="shared" si="98"/>
        <v>401007.83208849741</v>
      </c>
      <c r="L414" s="1188">
        <f t="shared" si="98"/>
        <v>402268.29491373018</v>
      </c>
      <c r="M414" s="1188">
        <f t="shared" si="98"/>
        <v>403541.36236721533</v>
      </c>
      <c r="O414" s="421"/>
    </row>
    <row r="415" spans="1:15">
      <c r="A415" s="586">
        <f>ROW()</f>
        <v>415</v>
      </c>
      <c r="B415" s="88" t="s">
        <v>526</v>
      </c>
      <c r="C415" s="154"/>
      <c r="D415" s="88"/>
      <c r="E415" s="88"/>
      <c r="F415" s="88"/>
      <c r="G415" s="831">
        <f>IFERROR(G414/G389,0)</f>
        <v>0</v>
      </c>
      <c r="H415" s="831">
        <f t="shared" ref="H415:M415" si="99">IF(OR(H414=0,H389=0),0,H414/H389)</f>
        <v>0.26307479168543746</v>
      </c>
      <c r="I415" s="831">
        <f t="shared" si="99"/>
        <v>0.27573567902311219</v>
      </c>
      <c r="J415" s="831">
        <f t="shared" si="99"/>
        <v>0.27795072386612624</v>
      </c>
      <c r="K415" s="831">
        <f t="shared" si="99"/>
        <v>0.27881843926500266</v>
      </c>
      <c r="L415" s="831">
        <f t="shared" si="99"/>
        <v>0.27969483181786781</v>
      </c>
      <c r="M415" s="831">
        <f t="shared" si="99"/>
        <v>0.28057998829626163</v>
      </c>
      <c r="N415" s="88"/>
      <c r="O415" s="421"/>
    </row>
    <row r="416" spans="1:15">
      <c r="A416" s="586">
        <f>ROW()</f>
        <v>416</v>
      </c>
      <c r="C416" s="150"/>
      <c r="G416" s="56"/>
      <c r="H416" s="56"/>
      <c r="I416" s="56"/>
      <c r="J416" s="56"/>
      <c r="K416" s="56"/>
      <c r="L416" s="56"/>
      <c r="M416" s="56"/>
      <c r="O416" s="421"/>
    </row>
    <row r="417" spans="1:15">
      <c r="A417" s="586">
        <f>ROW()</f>
        <v>417</v>
      </c>
      <c r="B417" s="35" t="s">
        <v>527</v>
      </c>
      <c r="C417" s="150"/>
      <c r="G417" s="56"/>
      <c r="H417" s="56"/>
      <c r="I417" s="56"/>
      <c r="J417" s="56"/>
      <c r="K417" s="56"/>
      <c r="L417" s="56"/>
      <c r="M417" s="56"/>
      <c r="O417" s="421"/>
    </row>
    <row r="418" spans="1:15">
      <c r="A418" s="586">
        <f>ROW()</f>
        <v>418</v>
      </c>
      <c r="C418" s="150"/>
      <c r="G418" s="56"/>
      <c r="H418" s="56"/>
      <c r="I418" s="56"/>
      <c r="J418" s="56"/>
      <c r="K418" s="56"/>
      <c r="L418" s="56"/>
      <c r="M418" s="56"/>
      <c r="O418" s="421"/>
    </row>
    <row r="419" spans="1:15">
      <c r="A419" s="586">
        <f>ROW()</f>
        <v>419</v>
      </c>
      <c r="B419" s="37" t="s">
        <v>528</v>
      </c>
      <c r="C419" s="150"/>
      <c r="G419" s="56"/>
      <c r="H419" s="56"/>
      <c r="I419" s="56"/>
      <c r="J419" s="56"/>
      <c r="K419" s="56"/>
      <c r="L419" s="56"/>
      <c r="M419" s="56"/>
      <c r="O419" s="421"/>
    </row>
    <row r="420" spans="1:15">
      <c r="A420" s="586">
        <f>ROW()</f>
        <v>420</v>
      </c>
      <c r="B420" s="37" t="s">
        <v>529</v>
      </c>
      <c r="C420" s="150"/>
      <c r="G420" s="826"/>
      <c r="H420" s="826">
        <f>0.4*'Gen Optg'!G138</f>
        <v>0</v>
      </c>
      <c r="I420" s="826">
        <f>0.4*'Gen Optg'!H138</f>
        <v>0.8</v>
      </c>
      <c r="J420" s="826">
        <f>0.4*'Gen Optg'!I138</f>
        <v>2.8000000000000003</v>
      </c>
      <c r="K420" s="826">
        <f>0.4*'Gen Optg'!J138</f>
        <v>3.2</v>
      </c>
      <c r="L420" s="826">
        <f>0.4*'Gen Optg'!K138</f>
        <v>3.2</v>
      </c>
      <c r="M420" s="826">
        <f>0.4*'Gen Optg'!L138</f>
        <v>3.2</v>
      </c>
      <c r="N420" s="1665"/>
      <c r="O420" s="1666" t="s">
        <v>1440</v>
      </c>
    </row>
    <row r="421" spans="1:15">
      <c r="A421" s="586">
        <f>ROW()</f>
        <v>421</v>
      </c>
      <c r="B421" s="37" t="s">
        <v>530</v>
      </c>
      <c r="C421" s="155">
        <f>184*8*17</f>
        <v>25024</v>
      </c>
      <c r="G421" s="701">
        <f t="shared" ref="G421:M421" si="100">$C$421*G420</f>
        <v>0</v>
      </c>
      <c r="H421" s="701">
        <f t="shared" si="100"/>
        <v>0</v>
      </c>
      <c r="I421" s="701">
        <f t="shared" si="100"/>
        <v>20019.2</v>
      </c>
      <c r="J421" s="701">
        <f t="shared" si="100"/>
        <v>70067.200000000012</v>
      </c>
      <c r="K421" s="701">
        <f t="shared" si="100"/>
        <v>80076.800000000003</v>
      </c>
      <c r="L421" s="701">
        <f t="shared" si="100"/>
        <v>80076.800000000003</v>
      </c>
      <c r="M421" s="701">
        <f t="shared" si="100"/>
        <v>80076.800000000003</v>
      </c>
      <c r="O421" s="421" t="s">
        <v>1340</v>
      </c>
    </row>
    <row r="422" spans="1:15">
      <c r="A422" s="586">
        <f>ROW()</f>
        <v>422</v>
      </c>
      <c r="C422" s="153"/>
      <c r="D422" s="363"/>
      <c r="G422" s="159"/>
      <c r="H422" s="159"/>
      <c r="I422" s="159"/>
      <c r="J422" s="159"/>
      <c r="K422" s="159"/>
      <c r="L422" s="159"/>
      <c r="M422" s="159"/>
      <c r="O422" s="421"/>
    </row>
    <row r="423" spans="1:15">
      <c r="A423" s="586">
        <f>ROW()</f>
        <v>423</v>
      </c>
      <c r="B423" s="37" t="s">
        <v>531</v>
      </c>
      <c r="C423" s="150"/>
      <c r="G423" s="159"/>
      <c r="H423" s="159"/>
      <c r="I423" s="159"/>
      <c r="J423" s="159"/>
      <c r="K423" s="159"/>
      <c r="L423" s="159"/>
      <c r="M423" s="159"/>
      <c r="O423" s="421"/>
    </row>
    <row r="424" spans="1:15">
      <c r="A424" s="586">
        <f>ROW()</f>
        <v>424</v>
      </c>
      <c r="B424" s="37" t="s">
        <v>532</v>
      </c>
      <c r="C424" s="150"/>
      <c r="G424" s="827"/>
      <c r="H424" s="827">
        <v>0.5</v>
      </c>
      <c r="I424" s="827">
        <v>1</v>
      </c>
      <c r="J424" s="827">
        <v>1</v>
      </c>
      <c r="K424" s="827">
        <v>1</v>
      </c>
      <c r="L424" s="827">
        <v>1</v>
      </c>
      <c r="M424" s="827">
        <v>1</v>
      </c>
      <c r="N424" s="1665"/>
      <c r="O424" s="1666" t="s">
        <v>1441</v>
      </c>
    </row>
    <row r="425" spans="1:15">
      <c r="A425" s="586">
        <f>ROW()</f>
        <v>425</v>
      </c>
      <c r="B425" s="37" t="s">
        <v>530</v>
      </c>
      <c r="C425" s="155">
        <f>184*30*8</f>
        <v>44160</v>
      </c>
      <c r="G425" s="701">
        <f t="shared" ref="G425:M425" si="101">$C$425*G424</f>
        <v>0</v>
      </c>
      <c r="H425" s="701">
        <f t="shared" si="101"/>
        <v>22080</v>
      </c>
      <c r="I425" s="701">
        <f t="shared" si="101"/>
        <v>44160</v>
      </c>
      <c r="J425" s="701">
        <f t="shared" si="101"/>
        <v>44160</v>
      </c>
      <c r="K425" s="701">
        <f t="shared" si="101"/>
        <v>44160</v>
      </c>
      <c r="L425" s="701">
        <f t="shared" si="101"/>
        <v>44160</v>
      </c>
      <c r="M425" s="701">
        <f t="shared" si="101"/>
        <v>44160</v>
      </c>
      <c r="O425" s="421" t="s">
        <v>1250</v>
      </c>
    </row>
    <row r="426" spans="1:15">
      <c r="A426" s="586">
        <f>ROW()</f>
        <v>426</v>
      </c>
      <c r="C426" s="150"/>
      <c r="G426" s="159"/>
      <c r="H426" s="159"/>
      <c r="I426" s="159"/>
      <c r="J426" s="159"/>
      <c r="K426" s="159"/>
      <c r="L426" s="159"/>
      <c r="M426" s="159"/>
      <c r="O426" s="421"/>
    </row>
    <row r="427" spans="1:15">
      <c r="A427" s="586">
        <f>ROW()</f>
        <v>427</v>
      </c>
      <c r="B427" s="37" t="s">
        <v>531</v>
      </c>
      <c r="C427" s="150"/>
      <c r="G427" s="159"/>
      <c r="H427" s="159"/>
      <c r="I427" s="159"/>
      <c r="J427" s="159"/>
      <c r="K427" s="159"/>
      <c r="L427" s="159"/>
      <c r="M427" s="159"/>
      <c r="O427" s="421"/>
    </row>
    <row r="428" spans="1:15">
      <c r="A428" s="586">
        <f>ROW()</f>
        <v>428</v>
      </c>
      <c r="B428" s="37" t="s">
        <v>532</v>
      </c>
      <c r="C428" s="150"/>
      <c r="G428" s="827"/>
      <c r="H428" s="827"/>
      <c r="I428" s="827"/>
      <c r="J428" s="827"/>
      <c r="K428" s="827"/>
      <c r="L428" s="827"/>
      <c r="M428" s="827"/>
      <c r="O428" s="421"/>
    </row>
    <row r="429" spans="1:15">
      <c r="A429" s="586">
        <f>ROW()</f>
        <v>429</v>
      </c>
      <c r="B429" s="37" t="s">
        <v>530</v>
      </c>
      <c r="C429" s="155"/>
      <c r="G429" s="701">
        <f>$C$429*G428</f>
        <v>0</v>
      </c>
      <c r="H429" s="701">
        <f>$C$429*H428</f>
        <v>0</v>
      </c>
      <c r="I429" s="701">
        <f>$C$429*I428</f>
        <v>0</v>
      </c>
      <c r="J429" s="701">
        <f>I429*' Enrol &amp; Rev'!$C$67</f>
        <v>0</v>
      </c>
      <c r="K429" s="701">
        <f>J429*' Enrol &amp; Rev'!$C$67</f>
        <v>0</v>
      </c>
      <c r="L429" s="701">
        <f>K429*' Enrol &amp; Rev'!$C$67</f>
        <v>0</v>
      </c>
      <c r="M429" s="701">
        <f>L429*' Enrol &amp; Rev'!$C$67</f>
        <v>0</v>
      </c>
      <c r="O429" s="421"/>
    </row>
    <row r="430" spans="1:15">
      <c r="A430" s="586">
        <f>ROW()</f>
        <v>430</v>
      </c>
      <c r="C430" s="150"/>
      <c r="G430" s="159"/>
      <c r="H430" s="159"/>
      <c r="I430" s="159"/>
      <c r="J430" s="159"/>
      <c r="K430" s="159"/>
      <c r="L430" s="159"/>
      <c r="M430" s="159"/>
      <c r="O430" s="421"/>
    </row>
    <row r="431" spans="1:15">
      <c r="A431" s="586">
        <f>ROW()</f>
        <v>431</v>
      </c>
      <c r="B431" s="37" t="s">
        <v>531</v>
      </c>
      <c r="C431" s="150"/>
      <c r="G431" s="159"/>
      <c r="H431" s="159"/>
      <c r="I431" s="159"/>
      <c r="J431" s="159"/>
      <c r="K431" s="159"/>
      <c r="L431" s="159"/>
      <c r="M431" s="159"/>
      <c r="O431" s="421"/>
    </row>
    <row r="432" spans="1:15">
      <c r="A432" s="586">
        <f>ROW()</f>
        <v>432</v>
      </c>
      <c r="B432" s="37" t="s">
        <v>532</v>
      </c>
      <c r="C432" s="150"/>
      <c r="G432" s="827"/>
      <c r="H432" s="827"/>
      <c r="I432" s="827"/>
      <c r="J432" s="827"/>
      <c r="K432" s="827"/>
      <c r="L432" s="827"/>
      <c r="M432" s="827"/>
      <c r="O432" s="421" t="s">
        <v>1329</v>
      </c>
    </row>
    <row r="433" spans="1:15">
      <c r="A433" s="586">
        <f>ROW()</f>
        <v>433</v>
      </c>
      <c r="B433" s="37" t="s">
        <v>530</v>
      </c>
      <c r="C433" s="155"/>
      <c r="G433" s="701">
        <f t="shared" ref="G433:M433" si="102">$C$433*G432</f>
        <v>0</v>
      </c>
      <c r="H433" s="701">
        <f t="shared" si="102"/>
        <v>0</v>
      </c>
      <c r="I433" s="701">
        <f t="shared" si="102"/>
        <v>0</v>
      </c>
      <c r="J433" s="701">
        <f t="shared" si="102"/>
        <v>0</v>
      </c>
      <c r="K433" s="701">
        <f t="shared" si="102"/>
        <v>0</v>
      </c>
      <c r="L433" s="701">
        <f t="shared" si="102"/>
        <v>0</v>
      </c>
      <c r="M433" s="701">
        <f t="shared" si="102"/>
        <v>0</v>
      </c>
      <c r="O433" s="421" t="s">
        <v>1250</v>
      </c>
    </row>
    <row r="434" spans="1:15">
      <c r="A434" s="586">
        <f>ROW()</f>
        <v>434</v>
      </c>
      <c r="C434" s="150"/>
      <c r="G434" s="159"/>
      <c r="H434" s="159"/>
      <c r="I434" s="159"/>
      <c r="J434" s="159"/>
      <c r="K434" s="159"/>
      <c r="L434" s="159"/>
      <c r="M434" s="159"/>
      <c r="O434" s="421"/>
    </row>
    <row r="435" spans="1:15">
      <c r="A435" s="586">
        <f>ROW()</f>
        <v>435</v>
      </c>
      <c r="B435" s="37" t="s">
        <v>531</v>
      </c>
      <c r="C435" s="150"/>
      <c r="G435" s="159"/>
      <c r="H435" s="159"/>
      <c r="I435" s="159"/>
      <c r="J435" s="159"/>
      <c r="K435" s="159"/>
      <c r="L435" s="159"/>
      <c r="M435" s="159"/>
      <c r="O435" s="421"/>
    </row>
    <row r="436" spans="1:15">
      <c r="A436" s="586">
        <f>ROW()</f>
        <v>436</v>
      </c>
      <c r="B436" s="37" t="s">
        <v>532</v>
      </c>
      <c r="C436" s="150"/>
      <c r="G436" s="827">
        <v>0</v>
      </c>
      <c r="H436" s="827">
        <v>0</v>
      </c>
      <c r="I436" s="827">
        <v>0</v>
      </c>
      <c r="J436" s="827">
        <v>0</v>
      </c>
      <c r="K436" s="827">
        <v>0</v>
      </c>
      <c r="L436" s="827">
        <v>0</v>
      </c>
      <c r="M436" s="827">
        <v>0</v>
      </c>
      <c r="O436" s="421"/>
    </row>
    <row r="437" spans="1:15">
      <c r="A437" s="586">
        <f>ROW()</f>
        <v>437</v>
      </c>
      <c r="B437" s="37" t="s">
        <v>530</v>
      </c>
      <c r="C437" s="155">
        <v>0</v>
      </c>
      <c r="G437" s="701">
        <f t="shared" ref="G437:M437" si="103">$C$437*G436</f>
        <v>0</v>
      </c>
      <c r="H437" s="701">
        <f t="shared" si="103"/>
        <v>0</v>
      </c>
      <c r="I437" s="701">
        <f t="shared" si="103"/>
        <v>0</v>
      </c>
      <c r="J437" s="701">
        <f t="shared" si="103"/>
        <v>0</v>
      </c>
      <c r="K437" s="701">
        <f t="shared" si="103"/>
        <v>0</v>
      </c>
      <c r="L437" s="701">
        <f t="shared" si="103"/>
        <v>0</v>
      </c>
      <c r="M437" s="701">
        <f t="shared" si="103"/>
        <v>0</v>
      </c>
      <c r="O437" s="421"/>
    </row>
    <row r="438" spans="1:15" ht="15.75" thickBot="1">
      <c r="A438" s="586">
        <f>ROW()</f>
        <v>438</v>
      </c>
      <c r="C438" s="150"/>
      <c r="G438" s="159"/>
      <c r="H438" s="159"/>
      <c r="I438" s="159"/>
      <c r="J438" s="159"/>
      <c r="K438" s="159"/>
      <c r="L438" s="159"/>
      <c r="M438" s="159"/>
      <c r="O438" s="421"/>
    </row>
    <row r="439" spans="1:15" ht="15.75" thickBot="1">
      <c r="A439" s="586">
        <f>ROW()</f>
        <v>439</v>
      </c>
      <c r="B439" s="1187" t="s">
        <v>533</v>
      </c>
      <c r="C439" s="1188">
        <f>SUM(G439:M439)</f>
        <v>573196.80000000005</v>
      </c>
      <c r="D439" s="1222"/>
      <c r="E439" s="1222"/>
      <c r="F439" s="1222"/>
      <c r="G439" s="1188">
        <f t="shared" ref="G439:M439" si="104">G437+G433+G429+G425+G421</f>
        <v>0</v>
      </c>
      <c r="H439" s="1188">
        <f t="shared" si="104"/>
        <v>22080</v>
      </c>
      <c r="I439" s="1188">
        <f t="shared" si="104"/>
        <v>64179.199999999997</v>
      </c>
      <c r="J439" s="1188">
        <f t="shared" si="104"/>
        <v>114227.20000000001</v>
      </c>
      <c r="K439" s="1188">
        <f t="shared" si="104"/>
        <v>124236.8</v>
      </c>
      <c r="L439" s="1188">
        <f t="shared" si="104"/>
        <v>124236.8</v>
      </c>
      <c r="M439" s="1188">
        <f t="shared" si="104"/>
        <v>124236.8</v>
      </c>
      <c r="O439" s="421"/>
    </row>
    <row r="440" spans="1:15">
      <c r="A440" s="586">
        <f>ROW()</f>
        <v>440</v>
      </c>
      <c r="B440" s="35"/>
      <c r="C440" s="153"/>
      <c r="D440" s="35"/>
      <c r="E440" s="35"/>
      <c r="F440" s="35"/>
      <c r="G440" s="616"/>
      <c r="H440" s="616"/>
      <c r="I440" s="616"/>
      <c r="J440" s="616"/>
      <c r="K440" s="616"/>
      <c r="L440" s="616"/>
      <c r="M440" s="616"/>
      <c r="O440" s="421"/>
    </row>
    <row r="441" spans="1:15">
      <c r="A441" s="586">
        <f>ROW()</f>
        <v>441</v>
      </c>
      <c r="B441" s="1150" t="s">
        <v>534</v>
      </c>
      <c r="C441" s="212"/>
      <c r="D441" s="147"/>
      <c r="E441" s="147"/>
      <c r="F441" s="147"/>
      <c r="G441" s="838">
        <f t="shared" ref="G441:M441" si="105">SUM(G420,G424,G428,G432,G436)</f>
        <v>0</v>
      </c>
      <c r="H441" s="838">
        <f>SUM(H420,H424,H428,H432,H436)</f>
        <v>0.5</v>
      </c>
      <c r="I441" s="838">
        <f t="shared" si="105"/>
        <v>1.8</v>
      </c>
      <c r="J441" s="838">
        <f t="shared" si="105"/>
        <v>3.8000000000000003</v>
      </c>
      <c r="K441" s="838">
        <f t="shared" si="105"/>
        <v>4.2</v>
      </c>
      <c r="L441" s="838">
        <f t="shared" si="105"/>
        <v>4.2</v>
      </c>
      <c r="M441" s="838">
        <f t="shared" si="105"/>
        <v>4.2</v>
      </c>
      <c r="O441" s="421"/>
    </row>
    <row r="442" spans="1:15" ht="15.75" thickBot="1">
      <c r="A442" s="586">
        <f>ROW()</f>
        <v>442</v>
      </c>
      <c r="B442" s="35"/>
      <c r="C442" s="153"/>
      <c r="D442" s="35"/>
      <c r="E442" s="35"/>
      <c r="F442" s="35"/>
      <c r="G442" s="616"/>
      <c r="H442" s="616"/>
      <c r="I442" s="616"/>
      <c r="J442" s="616"/>
      <c r="K442" s="616"/>
      <c r="L442" s="616"/>
      <c r="M442" s="616"/>
      <c r="O442" s="421"/>
    </row>
    <row r="443" spans="1:15" ht="15.75" thickBot="1">
      <c r="A443" s="586">
        <f>ROW()</f>
        <v>443</v>
      </c>
      <c r="B443" s="1187" t="s">
        <v>535</v>
      </c>
      <c r="C443" s="1188">
        <f>SUM(G443:M443)</f>
        <v>13968</v>
      </c>
      <c r="D443" s="1189"/>
      <c r="E443" s="1189"/>
      <c r="F443" s="1189"/>
      <c r="G443" s="1188">
        <f t="shared" ref="G443:M443" si="106">G21*$C$61*12</f>
        <v>0</v>
      </c>
      <c r="H443" s="1188">
        <f t="shared" si="106"/>
        <v>1056</v>
      </c>
      <c r="I443" s="1188">
        <f t="shared" si="106"/>
        <v>2160</v>
      </c>
      <c r="J443" s="1188">
        <f t="shared" si="106"/>
        <v>2688</v>
      </c>
      <c r="K443" s="1188">
        <f t="shared" si="106"/>
        <v>2688</v>
      </c>
      <c r="L443" s="1188">
        <f t="shared" si="106"/>
        <v>2688</v>
      </c>
      <c r="M443" s="1188">
        <f t="shared" si="106"/>
        <v>2688</v>
      </c>
      <c r="O443" s="421"/>
    </row>
    <row r="444" spans="1:15" ht="15.75" thickBot="1">
      <c r="A444" s="586">
        <f>ROW()</f>
        <v>444</v>
      </c>
      <c r="O444" s="421"/>
    </row>
    <row r="445" spans="1:15" ht="15.75" thickBot="1">
      <c r="A445" s="586">
        <f>ROW()</f>
        <v>445</v>
      </c>
      <c r="B445" s="543" t="s">
        <v>536</v>
      </c>
      <c r="C445" s="544">
        <f>SUM(G445:M445)</f>
        <v>10264184.133049617</v>
      </c>
      <c r="D445" s="545"/>
      <c r="E445" s="545"/>
      <c r="F445" s="545"/>
      <c r="G445" s="544">
        <f>Staff!G389+Staff!G414+Staff!G439+Staff!G443</f>
        <v>0</v>
      </c>
      <c r="H445" s="544">
        <f>Staff!H389+Staff!H414+Staff!H439+Staff!H443</f>
        <v>845966.07304347819</v>
      </c>
      <c r="I445" s="544">
        <f>Staff!I389+Staff!I414+Staff!I439+Staff!I443</f>
        <v>1560991.1215434782</v>
      </c>
      <c r="J445" s="544">
        <f>Staff!J389+Staff!J414+Staff!J439+Staff!J443</f>
        <v>1954915.0490932174</v>
      </c>
      <c r="K445" s="544">
        <f>Staff!K389+Staff!K414+Staff!K439+Staff!K443</f>
        <v>1966172.6320884975</v>
      </c>
      <c r="L445" s="544">
        <f>Staff!L389+Staff!L414+Staff!L439+Staff!L443</f>
        <v>1967433.0949137302</v>
      </c>
      <c r="M445" s="544">
        <f>Staff!M389+Staff!M414+Staff!M439+Staff!M443</f>
        <v>1968706.1623672154</v>
      </c>
      <c r="O445" s="421"/>
    </row>
  </sheetData>
  <phoneticPr fontId="167" type="noConversion"/>
  <conditionalFormatting sqref="D1">
    <cfRule type="expression" dxfId="39" priority="10" stopIfTrue="1">
      <formula>MOD(ROW(),2)=0</formula>
    </cfRule>
  </conditionalFormatting>
  <conditionalFormatting sqref="G15:M21">
    <cfRule type="cellIs" dxfId="38" priority="12" stopIfTrue="1" operator="equal">
      <formula>0</formula>
    </cfRule>
  </conditionalFormatting>
  <conditionalFormatting sqref="G23:M23">
    <cfRule type="cellIs" dxfId="37" priority="39" stopIfTrue="1" operator="equal">
      <formula>0</formula>
    </cfRule>
  </conditionalFormatting>
  <conditionalFormatting sqref="G25:M25">
    <cfRule type="cellIs" dxfId="36" priority="38" stopIfTrue="1" operator="equal">
      <formula>0</formula>
    </cfRule>
  </conditionalFormatting>
  <conditionalFormatting sqref="G28:M30">
    <cfRule type="cellIs" dxfId="35" priority="35" stopIfTrue="1" operator="equal">
      <formula>0</formula>
    </cfRule>
  </conditionalFormatting>
  <conditionalFormatting sqref="G32:M35">
    <cfRule type="cellIs" dxfId="34" priority="11" stopIfTrue="1" operator="equal">
      <formula>0</formula>
    </cfRule>
  </conditionalFormatting>
  <conditionalFormatting sqref="G37:M42">
    <cfRule type="cellIs" dxfId="33" priority="34" stopIfTrue="1" operator="equal">
      <formula>0</formula>
    </cfRule>
  </conditionalFormatting>
  <conditionalFormatting sqref="G81:M81">
    <cfRule type="cellIs" dxfId="32" priority="28" stopIfTrue="1" operator="equal">
      <formula>0</formula>
    </cfRule>
  </conditionalFormatting>
  <conditionalFormatting sqref="G89:M89">
    <cfRule type="cellIs" dxfId="31" priority="29" stopIfTrue="1" operator="equal">
      <formula>0</formula>
    </cfRule>
  </conditionalFormatting>
  <conditionalFormatting sqref="G101:M101">
    <cfRule type="cellIs" dxfId="30" priority="30" stopIfTrue="1" operator="equal">
      <formula>0</formula>
    </cfRule>
  </conditionalFormatting>
  <conditionalFormatting sqref="G113:M113">
    <cfRule type="cellIs" dxfId="29" priority="31" stopIfTrue="1" operator="equal">
      <formula>0</formula>
    </cfRule>
  </conditionalFormatting>
  <conditionalFormatting sqref="G125:M125">
    <cfRule type="cellIs" dxfId="28" priority="32" stopIfTrue="1" operator="equal">
      <formula>0</formula>
    </cfRule>
  </conditionalFormatting>
  <conditionalFormatting sqref="G127:M128">
    <cfRule type="cellIs" dxfId="27" priority="33" stopIfTrue="1" operator="equal">
      <formula>0</formula>
    </cfRule>
  </conditionalFormatting>
  <hyperlinks>
    <hyperlink ref="D1" location="HypLink1" display="HypLink1" xr:uid="{F704437E-DC3D-4C4E-8D8C-65242210DB0E}"/>
  </hyperlinks>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3" max="1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pageSetUpPr fitToPage="1"/>
  </sheetPr>
  <dimension ref="A1:Z98"/>
  <sheetViews>
    <sheetView zoomScale="90" zoomScaleNormal="90" workbookViewId="0">
      <selection activeCell="G24" sqref="G24"/>
    </sheetView>
  </sheetViews>
  <sheetFormatPr defaultColWidth="8.85546875" defaultRowHeight="15" outlineLevelRow="1"/>
  <cols>
    <col min="1" max="1" width="6.28515625" style="37" customWidth="1"/>
    <col min="2" max="2" width="40.42578125" style="37" customWidth="1"/>
    <col min="3" max="3" width="19.140625" style="37" customWidth="1"/>
    <col min="4" max="4" width="11.42578125" style="37" customWidth="1"/>
    <col min="5" max="5" width="17.7109375" style="37" customWidth="1"/>
    <col min="6" max="6" width="15.140625" style="37" bestFit="1" customWidth="1"/>
    <col min="7" max="10" width="16" style="37" bestFit="1" customWidth="1"/>
    <col min="11" max="11" width="13.85546875" style="37" bestFit="1" customWidth="1"/>
    <col min="12" max="12" width="15.7109375" style="37" bestFit="1" customWidth="1"/>
    <col min="13" max="13" width="7.28515625" style="37" customWidth="1"/>
    <col min="14" max="14" width="59.7109375" style="37" customWidth="1"/>
    <col min="15" max="15" width="8.85546875" style="37"/>
    <col min="16" max="16" width="9.42578125" style="37" customWidth="1"/>
    <col min="17" max="16384" width="8.85546875" style="37"/>
  </cols>
  <sheetData>
    <row r="1" spans="1:26" ht="15.75">
      <c r="A1" s="131" t="s">
        <v>98</v>
      </c>
      <c r="B1" s="394"/>
      <c r="D1" s="508" t="s">
        <v>2</v>
      </c>
      <c r="G1" s="201" t="s">
        <v>649</v>
      </c>
      <c r="H1" s="201"/>
      <c r="I1" s="201"/>
      <c r="J1" s="71"/>
      <c r="K1" s="71"/>
      <c r="Z1" s="7"/>
    </row>
    <row r="2" spans="1:26" ht="15.75">
      <c r="A2" s="42" t="str">
        <f>SchoolName</f>
        <v>Rooted School Clark County</v>
      </c>
      <c r="B2" s="43"/>
      <c r="G2" s="1691" t="str">
        <f>+Cover!C19</f>
        <v>Nevada Prep - 2525 Emerson Avenue, Las Vegas, NV 89121 (shared space arrangement)</v>
      </c>
      <c r="H2" s="1691"/>
      <c r="I2" s="1691"/>
      <c r="J2" s="1691"/>
      <c r="K2" s="1691"/>
      <c r="Z2" s="7"/>
    </row>
    <row r="3" spans="1:26">
      <c r="A3" s="44" t="s">
        <v>1</v>
      </c>
      <c r="G3" s="1692">
        <f>+Cover!C20</f>
        <v>0</v>
      </c>
      <c r="H3" s="1692"/>
      <c r="I3" s="1692"/>
      <c r="J3" s="1692"/>
      <c r="K3" s="1692"/>
      <c r="Z3" s="7"/>
    </row>
    <row r="4" spans="1:26">
      <c r="A4" s="34" t="str">
        <f ca="1">CELL("filename")</f>
        <v>C:\Users\CRaymond\Char. School Bus Mgt Dropbox\Collin Raymond\Growth Team\Growth 2.0\Growth &amp; Data\Client Projects\Rooted LV\[Rooted School-SPCSA-Operating Budget-V10 (1) - Rev9.xlsx]Summary</v>
      </c>
      <c r="Z4" s="7"/>
    </row>
    <row r="5" spans="1:26" ht="15.75" thickBot="1">
      <c r="Z5" s="7"/>
    </row>
    <row r="6" spans="1:26" s="35" customFormat="1" ht="14.25" outlineLevel="1">
      <c r="B6" s="927" t="s">
        <v>650</v>
      </c>
      <c r="C6" s="929"/>
      <c r="D6" s="930"/>
      <c r="F6" s="887" t="str">
        <f>' Enrol &amp; Rev'!G9</f>
        <v>SY 0/Incu</v>
      </c>
      <c r="G6" s="877">
        <f>' Enrol &amp; Rev'!H9</f>
        <v>1</v>
      </c>
      <c r="H6" s="877">
        <f>' Enrol &amp; Rev'!I9</f>
        <v>2</v>
      </c>
      <c r="I6" s="877">
        <f>' Enrol &amp; Rev'!J9</f>
        <v>3</v>
      </c>
      <c r="J6" s="877">
        <f>' Enrol &amp; Rev'!K9</f>
        <v>4</v>
      </c>
      <c r="K6" s="877">
        <f>' Enrol &amp; Rev'!L9</f>
        <v>5</v>
      </c>
      <c r="L6" s="1514">
        <f>' Enrol &amp; Rev'!M9</f>
        <v>6</v>
      </c>
      <c r="N6" s="201" t="s">
        <v>83</v>
      </c>
      <c r="Z6" s="7"/>
    </row>
    <row r="7" spans="1:26" ht="15.75" outlineLevel="1" thickBot="1">
      <c r="B7" s="928" t="s">
        <v>651</v>
      </c>
      <c r="C7" s="233" t="s">
        <v>652</v>
      </c>
      <c r="D7" s="931"/>
      <c r="F7" s="878">
        <f>+G7-1</f>
        <v>2024</v>
      </c>
      <c r="G7" s="879">
        <f>' Enrol &amp; Rev'!H10</f>
        <v>2025</v>
      </c>
      <c r="H7" s="879">
        <f>' Enrol &amp; Rev'!I10</f>
        <v>2026</v>
      </c>
      <c r="I7" s="879">
        <f>' Enrol &amp; Rev'!J10</f>
        <v>2027</v>
      </c>
      <c r="J7" s="879">
        <f>' Enrol &amp; Rev'!K10</f>
        <v>2028</v>
      </c>
      <c r="K7" s="879">
        <f>' Enrol &amp; Rev'!L10</f>
        <v>2029</v>
      </c>
      <c r="L7" s="880">
        <f>' Enrol &amp; Rev'!M10</f>
        <v>2030</v>
      </c>
      <c r="M7" s="46"/>
      <c r="N7" s="566"/>
    </row>
    <row r="8" spans="1:26" outlineLevel="1">
      <c r="C8" s="35"/>
      <c r="F8" s="881">
        <f>+G8-1</f>
        <v>2025</v>
      </c>
      <c r="G8" s="882">
        <f>' Enrol &amp; Rev'!H11</f>
        <v>2026</v>
      </c>
      <c r="H8" s="882">
        <f>' Enrol &amp; Rev'!I11</f>
        <v>2027</v>
      </c>
      <c r="I8" s="882">
        <f>' Enrol &amp; Rev'!J11</f>
        <v>2028</v>
      </c>
      <c r="J8" s="882">
        <f>' Enrol &amp; Rev'!K11</f>
        <v>2029</v>
      </c>
      <c r="K8" s="882">
        <f>' Enrol &amp; Rev'!L11</f>
        <v>2030</v>
      </c>
      <c r="L8" s="883">
        <f>' Enrol &amp; Rev'!M11</f>
        <v>2031</v>
      </c>
      <c r="M8" s="46"/>
      <c r="N8" s="421"/>
    </row>
    <row r="9" spans="1:26" outlineLevel="1">
      <c r="A9" s="424">
        <f>ROW()</f>
        <v>9</v>
      </c>
      <c r="B9" s="306" t="s">
        <v>653</v>
      </c>
      <c r="C9" s="307"/>
      <c r="D9" s="307"/>
      <c r="E9" s="71"/>
      <c r="F9" s="1510" t="s">
        <v>421</v>
      </c>
      <c r="G9" s="785">
        <f>' Enrol &amp; Rev'!H34</f>
        <v>150</v>
      </c>
      <c r="H9" s="785">
        <f>' Enrol &amp; Rev'!I34</f>
        <v>270</v>
      </c>
      <c r="I9" s="785">
        <f>' Enrol &amp; Rev'!J34</f>
        <v>315</v>
      </c>
      <c r="J9" s="785">
        <f>' Enrol &amp; Rev'!K34</f>
        <v>360</v>
      </c>
      <c r="K9" s="785">
        <f>' Enrol &amp; Rev'!L34</f>
        <v>360</v>
      </c>
      <c r="L9" s="1532">
        <f>' Enrol &amp; Rev'!M34</f>
        <v>360</v>
      </c>
      <c r="M9" s="46"/>
      <c r="N9" s="421"/>
    </row>
    <row r="10" spans="1:26" outlineLevel="1">
      <c r="A10" s="424">
        <f>ROW()</f>
        <v>10</v>
      </c>
      <c r="B10" s="37" t="s">
        <v>654</v>
      </c>
      <c r="C10" s="35"/>
      <c r="G10" s="619">
        <f>IFERROR(+G11/' Enrol &amp; Rev'!H34,0)</f>
        <v>132.16666666666666</v>
      </c>
      <c r="H10" s="619">
        <f>IFERROR(+H11/' Enrol &amp; Rev'!I34,0)</f>
        <v>85.18518518518519</v>
      </c>
      <c r="I10" s="619">
        <f>IFERROR(+I11/' Enrol &amp; Rev'!J34,0)</f>
        <v>82.539682539682545</v>
      </c>
      <c r="J10" s="619">
        <f>IFERROR(+J11/' Enrol &amp; Rev'!K34,0)</f>
        <v>82.447222222222223</v>
      </c>
      <c r="K10" s="619">
        <f>IFERROR(+K11/' Enrol &amp; Rev'!L34,0)</f>
        <v>82.447222222222223</v>
      </c>
      <c r="L10" s="619">
        <f>IFERROR(+L11/' Enrol &amp; Rev'!M34,0)</f>
        <v>82.447222222222223</v>
      </c>
      <c r="M10" s="46"/>
      <c r="N10" s="421"/>
    </row>
    <row r="11" spans="1:26" outlineLevel="1">
      <c r="A11" s="424">
        <f>ROW()</f>
        <v>11</v>
      </c>
      <c r="B11" s="37" t="s">
        <v>655</v>
      </c>
      <c r="F11" s="620"/>
      <c r="G11" s="620">
        <v>19825</v>
      </c>
      <c r="H11" s="620">
        <v>23000</v>
      </c>
      <c r="I11" s="620">
        <v>26000</v>
      </c>
      <c r="J11" s="620">
        <v>29681</v>
      </c>
      <c r="K11" s="620">
        <v>29681</v>
      </c>
      <c r="L11" s="620">
        <v>29681</v>
      </c>
      <c r="M11" s="46"/>
      <c r="N11" s="421"/>
    </row>
    <row r="12" spans="1:26" outlineLevel="1">
      <c r="A12" s="424">
        <f>ROW()</f>
        <v>12</v>
      </c>
      <c r="B12" s="37" t="s">
        <v>656</v>
      </c>
      <c r="F12" s="1207"/>
      <c r="G12" s="1207">
        <v>1.5</v>
      </c>
      <c r="H12" s="1207">
        <v>1.5</v>
      </c>
      <c r="I12" s="1207">
        <v>1.5</v>
      </c>
      <c r="J12" s="1207">
        <v>1.5</v>
      </c>
      <c r="K12" s="1207">
        <v>1.5</v>
      </c>
      <c r="L12" s="1207">
        <v>1.5</v>
      </c>
      <c r="M12" s="46"/>
      <c r="N12" s="421" t="s">
        <v>1369</v>
      </c>
    </row>
    <row r="13" spans="1:26" outlineLevel="1">
      <c r="A13" s="424">
        <f>ROW()</f>
        <v>13</v>
      </c>
      <c r="B13" s="37" t="s">
        <v>657</v>
      </c>
      <c r="F13" s="622">
        <f>+F12*12</f>
        <v>0</v>
      </c>
      <c r="G13" s="622">
        <f>+G12*12</f>
        <v>18</v>
      </c>
      <c r="H13" s="622">
        <f t="shared" ref="H13:L15" si="0">+H12*12</f>
        <v>18</v>
      </c>
      <c r="I13" s="622">
        <f t="shared" si="0"/>
        <v>18</v>
      </c>
      <c r="J13" s="622">
        <f t="shared" si="0"/>
        <v>18</v>
      </c>
      <c r="K13" s="622">
        <f t="shared" si="0"/>
        <v>18</v>
      </c>
      <c r="L13" s="622">
        <f t="shared" si="0"/>
        <v>18</v>
      </c>
      <c r="M13" s="46"/>
      <c r="N13" s="421"/>
    </row>
    <row r="14" spans="1:26" outlineLevel="1">
      <c r="A14" s="424">
        <f>ROW()</f>
        <v>14</v>
      </c>
      <c r="B14" s="37" t="s">
        <v>658</v>
      </c>
      <c r="C14" s="36"/>
      <c r="F14" s="621"/>
      <c r="G14" s="621">
        <f>G13/12</f>
        <v>1.5</v>
      </c>
      <c r="H14" s="621">
        <f t="shared" ref="H14:L14" si="1">H13/12</f>
        <v>1.5</v>
      </c>
      <c r="I14" s="621">
        <f t="shared" si="1"/>
        <v>1.5</v>
      </c>
      <c r="J14" s="621">
        <f t="shared" si="1"/>
        <v>1.5</v>
      </c>
      <c r="K14" s="621">
        <f t="shared" si="1"/>
        <v>1.5</v>
      </c>
      <c r="L14" s="621">
        <f t="shared" si="1"/>
        <v>1.5</v>
      </c>
      <c r="M14" s="46"/>
      <c r="N14" s="421"/>
    </row>
    <row r="15" spans="1:26" outlineLevel="1">
      <c r="A15" s="424">
        <f>ROW()</f>
        <v>15</v>
      </c>
      <c r="B15" s="37" t="s">
        <v>659</v>
      </c>
      <c r="C15" s="36"/>
      <c r="F15" s="622">
        <f>+F14*12</f>
        <v>0</v>
      </c>
      <c r="G15" s="622">
        <f>+G14*12</f>
        <v>18</v>
      </c>
      <c r="H15" s="622">
        <f t="shared" si="0"/>
        <v>18</v>
      </c>
      <c r="I15" s="622">
        <f t="shared" si="0"/>
        <v>18</v>
      </c>
      <c r="J15" s="622">
        <f t="shared" si="0"/>
        <v>18</v>
      </c>
      <c r="K15" s="622">
        <f t="shared" si="0"/>
        <v>18</v>
      </c>
      <c r="L15" s="622">
        <f t="shared" si="0"/>
        <v>18</v>
      </c>
      <c r="M15" s="46"/>
      <c r="N15" s="421"/>
    </row>
    <row r="16" spans="1:26" outlineLevel="1">
      <c r="A16" s="424">
        <f>ROW()</f>
        <v>16</v>
      </c>
      <c r="F16" s="622"/>
      <c r="G16" s="622"/>
      <c r="H16" s="622"/>
      <c r="I16" s="622"/>
      <c r="J16" s="622"/>
      <c r="K16" s="622"/>
      <c r="L16" s="622"/>
      <c r="M16" s="46"/>
      <c r="N16" s="421"/>
    </row>
    <row r="17" spans="1:14" outlineLevel="1">
      <c r="A17" s="424">
        <f>ROW()</f>
        <v>17</v>
      </c>
      <c r="B17" s="48" t="s">
        <v>660</v>
      </c>
      <c r="F17" s="1208"/>
      <c r="G17" s="1208"/>
      <c r="H17" s="623"/>
      <c r="I17" s="623"/>
      <c r="J17" s="623"/>
      <c r="K17" s="623"/>
      <c r="L17" s="623"/>
      <c r="M17" s="46"/>
      <c r="N17" s="421"/>
    </row>
    <row r="18" spans="1:14" outlineLevel="1">
      <c r="A18" s="424">
        <f>ROW()</f>
        <v>18</v>
      </c>
      <c r="B18" s="48" t="s">
        <v>661</v>
      </c>
      <c r="F18" s="624">
        <f t="shared" ref="F18:L18" si="2">+F19/12</f>
        <v>0</v>
      </c>
      <c r="G18" s="624">
        <f t="shared" si="2"/>
        <v>1.5</v>
      </c>
      <c r="H18" s="624">
        <f t="shared" si="2"/>
        <v>1.5</v>
      </c>
      <c r="I18" s="624">
        <f t="shared" si="2"/>
        <v>1.5</v>
      </c>
      <c r="J18" s="624">
        <f t="shared" si="2"/>
        <v>1.5</v>
      </c>
      <c r="K18" s="624">
        <f t="shared" si="2"/>
        <v>1.5</v>
      </c>
      <c r="L18" s="624">
        <f t="shared" si="2"/>
        <v>1.5</v>
      </c>
      <c r="M18" s="46"/>
      <c r="N18" s="421"/>
    </row>
    <row r="19" spans="1:14" outlineLevel="1">
      <c r="A19" s="424">
        <f>ROW()</f>
        <v>19</v>
      </c>
      <c r="B19" s="48" t="s">
        <v>662</v>
      </c>
      <c r="F19" s="622">
        <f>+F15*(1+F17)</f>
        <v>0</v>
      </c>
      <c r="G19" s="622">
        <f>+G15*(1+G17)</f>
        <v>18</v>
      </c>
      <c r="H19" s="622">
        <f>+G19*(1+H17)</f>
        <v>18</v>
      </c>
      <c r="I19" s="622">
        <f>+H19*(1+I17)</f>
        <v>18</v>
      </c>
      <c r="J19" s="622">
        <f>+I19*(1+J17)</f>
        <v>18</v>
      </c>
      <c r="K19" s="622">
        <f>+J19*(1+K17)</f>
        <v>18</v>
      </c>
      <c r="L19" s="622">
        <f>+K19*(1+L17)</f>
        <v>18</v>
      </c>
      <c r="M19" s="46"/>
      <c r="N19" s="421"/>
    </row>
    <row r="20" spans="1:14" outlineLevel="1">
      <c r="A20" s="424">
        <f>ROW()</f>
        <v>20</v>
      </c>
      <c r="B20" s="35"/>
      <c r="G20" s="611"/>
      <c r="H20" s="611"/>
      <c r="I20" s="611"/>
      <c r="J20" s="159"/>
      <c r="K20" s="159"/>
      <c r="L20" s="611"/>
      <c r="M20" s="46"/>
      <c r="N20" s="421"/>
    </row>
    <row r="21" spans="1:14" outlineLevel="1">
      <c r="A21" s="424">
        <f>ROW()</f>
        <v>21</v>
      </c>
      <c r="B21" s="1136" t="s">
        <v>663</v>
      </c>
      <c r="C21" s="188" t="s">
        <v>664</v>
      </c>
      <c r="D21" s="144"/>
      <c r="E21" s="427">
        <f t="shared" ref="E21:E35" si="3">SUM(F21:L21)</f>
        <v>3488090</v>
      </c>
      <c r="F21" s="1209">
        <f>F11*(F19)</f>
        <v>0</v>
      </c>
      <c r="G21" s="1631">
        <v>400000</v>
      </c>
      <c r="H21" s="1631">
        <v>555222</v>
      </c>
      <c r="I21" s="1632">
        <v>581661</v>
      </c>
      <c r="J21" s="1632">
        <v>645115</v>
      </c>
      <c r="K21" s="1632">
        <v>650402</v>
      </c>
      <c r="L21" s="1632">
        <v>655690</v>
      </c>
      <c r="M21" s="46"/>
      <c r="N21" s="421" t="s">
        <v>1416</v>
      </c>
    </row>
    <row r="22" spans="1:14" outlineLevel="1">
      <c r="A22" s="424">
        <f>ROW()</f>
        <v>22</v>
      </c>
      <c r="B22" s="49"/>
      <c r="C22" s="36"/>
      <c r="E22" s="787"/>
      <c r="F22" s="787"/>
      <c r="G22" s="150"/>
      <c r="H22" s="159"/>
      <c r="I22" s="159"/>
      <c r="J22" s="159"/>
      <c r="K22" s="159"/>
      <c r="L22" s="159"/>
      <c r="M22" s="46"/>
      <c r="N22" s="421"/>
    </row>
    <row r="23" spans="1:14" outlineLevel="1">
      <c r="A23" s="424">
        <f>ROW()</f>
        <v>23</v>
      </c>
      <c r="B23" s="37" t="s">
        <v>665</v>
      </c>
      <c r="C23" s="1008">
        <v>0.75</v>
      </c>
      <c r="D23" s="103" t="s">
        <v>666</v>
      </c>
      <c r="E23" s="183">
        <f t="shared" si="3"/>
        <v>118401</v>
      </c>
      <c r="F23" s="350"/>
      <c r="G23" s="794">
        <f>G$11*$C23</f>
        <v>14868.75</v>
      </c>
      <c r="H23" s="794">
        <f t="shared" ref="H23:L23" si="4">H$11*$C23</f>
        <v>17250</v>
      </c>
      <c r="I23" s="794">
        <f t="shared" si="4"/>
        <v>19500</v>
      </c>
      <c r="J23" s="794">
        <f t="shared" si="4"/>
        <v>22260.75</v>
      </c>
      <c r="K23" s="794">
        <f t="shared" si="4"/>
        <v>22260.75</v>
      </c>
      <c r="L23" s="794">
        <f t="shared" si="4"/>
        <v>22260.75</v>
      </c>
      <c r="M23" s="46"/>
      <c r="N23" s="421" t="s">
        <v>1368</v>
      </c>
    </row>
    <row r="24" spans="1:14" outlineLevel="1">
      <c r="A24" s="424">
        <f>ROW()</f>
        <v>24</v>
      </c>
      <c r="B24" s="37" t="s">
        <v>667</v>
      </c>
      <c r="C24" s="1009">
        <v>2</v>
      </c>
      <c r="D24" s="103" t="s">
        <v>666</v>
      </c>
      <c r="E24" s="183">
        <f t="shared" si="3"/>
        <v>315736</v>
      </c>
      <c r="F24" s="350">
        <v>0</v>
      </c>
      <c r="G24" s="795">
        <f t="shared" ref="G24:L24" si="5">G11*$C$24</f>
        <v>39650</v>
      </c>
      <c r="H24" s="795">
        <f t="shared" si="5"/>
        <v>46000</v>
      </c>
      <c r="I24" s="795">
        <f t="shared" si="5"/>
        <v>52000</v>
      </c>
      <c r="J24" s="795">
        <f t="shared" si="5"/>
        <v>59362</v>
      </c>
      <c r="K24" s="795">
        <f t="shared" si="5"/>
        <v>59362</v>
      </c>
      <c r="L24" s="795">
        <f t="shared" si="5"/>
        <v>59362</v>
      </c>
      <c r="M24" s="50"/>
      <c r="N24" s="421" t="s">
        <v>1368</v>
      </c>
    </row>
    <row r="25" spans="1:14" outlineLevel="1">
      <c r="A25" s="424">
        <f>ROW()</f>
        <v>25</v>
      </c>
      <c r="B25" s="37" t="s">
        <v>668</v>
      </c>
      <c r="C25" s="1008">
        <v>0.5</v>
      </c>
      <c r="D25" s="103" t="s">
        <v>666</v>
      </c>
      <c r="E25" s="183">
        <f t="shared" si="3"/>
        <v>78934</v>
      </c>
      <c r="F25" s="350"/>
      <c r="G25" s="795">
        <f t="shared" ref="G25:L25" si="6">G11*$C25</f>
        <v>9912.5</v>
      </c>
      <c r="H25" s="795">
        <f t="shared" si="6"/>
        <v>11500</v>
      </c>
      <c r="I25" s="795">
        <f t="shared" si="6"/>
        <v>13000</v>
      </c>
      <c r="J25" s="795">
        <f t="shared" si="6"/>
        <v>14840.5</v>
      </c>
      <c r="K25" s="795">
        <f t="shared" si="6"/>
        <v>14840.5</v>
      </c>
      <c r="L25" s="795">
        <f t="shared" si="6"/>
        <v>14840.5</v>
      </c>
      <c r="M25" s="46"/>
      <c r="N25" s="421" t="s">
        <v>1368</v>
      </c>
    </row>
    <row r="26" spans="1:14" outlineLevel="1">
      <c r="A26" s="424">
        <f>ROW()</f>
        <v>26</v>
      </c>
      <c r="B26" s="37" t="s">
        <v>669</v>
      </c>
      <c r="C26" s="1008"/>
      <c r="D26" s="103" t="s">
        <v>670</v>
      </c>
      <c r="E26" s="183">
        <f t="shared" si="3"/>
        <v>0</v>
      </c>
      <c r="F26" s="350"/>
      <c r="G26" s="795">
        <f t="shared" ref="G26" si="7">+C26</f>
        <v>0</v>
      </c>
      <c r="H26" s="795">
        <f t="shared" ref="H26:L27" si="8">+G26</f>
        <v>0</v>
      </c>
      <c r="I26" s="795">
        <f t="shared" si="8"/>
        <v>0</v>
      </c>
      <c r="J26" s="795">
        <f t="shared" si="8"/>
        <v>0</v>
      </c>
      <c r="K26" s="795">
        <f t="shared" si="8"/>
        <v>0</v>
      </c>
      <c r="L26" s="795">
        <f t="shared" si="8"/>
        <v>0</v>
      </c>
      <c r="M26" s="46"/>
      <c r="N26" s="421"/>
    </row>
    <row r="27" spans="1:14" outlineLevel="1">
      <c r="A27" s="424">
        <f>ROW()</f>
        <v>27</v>
      </c>
      <c r="B27" s="37" t="s">
        <v>671</v>
      </c>
      <c r="C27" s="1008"/>
      <c r="D27" s="103" t="s">
        <v>670</v>
      </c>
      <c r="E27" s="183">
        <f t="shared" si="3"/>
        <v>0</v>
      </c>
      <c r="F27" s="350"/>
      <c r="G27" s="795">
        <f t="shared" ref="G27" si="9">+C27</f>
        <v>0</v>
      </c>
      <c r="H27" s="795">
        <f t="shared" si="8"/>
        <v>0</v>
      </c>
      <c r="I27" s="795">
        <f t="shared" si="8"/>
        <v>0</v>
      </c>
      <c r="J27" s="795">
        <f t="shared" si="8"/>
        <v>0</v>
      </c>
      <c r="K27" s="795">
        <f t="shared" si="8"/>
        <v>0</v>
      </c>
      <c r="L27" s="795">
        <f t="shared" si="8"/>
        <v>0</v>
      </c>
      <c r="M27" s="46"/>
      <c r="N27" s="421"/>
    </row>
    <row r="28" spans="1:14" outlineLevel="1">
      <c r="A28" s="424">
        <f>ROW()</f>
        <v>28</v>
      </c>
      <c r="B28" s="37" t="s">
        <v>672</v>
      </c>
      <c r="C28" s="1008"/>
      <c r="D28" s="103" t="s">
        <v>666</v>
      </c>
      <c r="E28" s="183">
        <f t="shared" ref="E28" si="10">SUM(F28:L28)</f>
        <v>0</v>
      </c>
      <c r="F28" s="350"/>
      <c r="G28" s="795">
        <f>G$11*$C28</f>
        <v>0</v>
      </c>
      <c r="H28" s="795">
        <f t="shared" ref="G28:L30" si="11">H$11*$C28</f>
        <v>0</v>
      </c>
      <c r="I28" s="795">
        <f t="shared" si="11"/>
        <v>0</v>
      </c>
      <c r="J28" s="795">
        <f t="shared" si="11"/>
        <v>0</v>
      </c>
      <c r="K28" s="795">
        <f t="shared" si="11"/>
        <v>0</v>
      </c>
      <c r="L28" s="795">
        <f t="shared" si="11"/>
        <v>0</v>
      </c>
      <c r="M28" s="46"/>
      <c r="N28" s="421"/>
    </row>
    <row r="29" spans="1:14" outlineLevel="1">
      <c r="A29" s="424">
        <f>ROW()</f>
        <v>29</v>
      </c>
      <c r="B29" s="37" t="s">
        <v>673</v>
      </c>
      <c r="C29" s="1008">
        <v>0.2</v>
      </c>
      <c r="D29" s="103" t="s">
        <v>666</v>
      </c>
      <c r="E29" s="183">
        <f t="shared" ref="E29" si="12">SUM(F29:L29)</f>
        <v>31573.600000000002</v>
      </c>
      <c r="F29" s="350"/>
      <c r="G29" s="795">
        <f t="shared" si="11"/>
        <v>3965</v>
      </c>
      <c r="H29" s="795">
        <f t="shared" si="11"/>
        <v>4600</v>
      </c>
      <c r="I29" s="795">
        <f t="shared" si="11"/>
        <v>5200</v>
      </c>
      <c r="J29" s="795">
        <f t="shared" si="11"/>
        <v>5936.2000000000007</v>
      </c>
      <c r="K29" s="795">
        <f t="shared" si="11"/>
        <v>5936.2000000000007</v>
      </c>
      <c r="L29" s="795">
        <f t="shared" si="11"/>
        <v>5936.2000000000007</v>
      </c>
      <c r="M29" s="46"/>
      <c r="N29" s="421" t="s">
        <v>1368</v>
      </c>
    </row>
    <row r="30" spans="1:14" outlineLevel="1">
      <c r="A30" s="424">
        <f>ROW()</f>
        <v>30</v>
      </c>
      <c r="B30" s="37" t="s">
        <v>674</v>
      </c>
      <c r="C30" s="1008"/>
      <c r="D30" s="103" t="s">
        <v>666</v>
      </c>
      <c r="E30" s="183">
        <f t="shared" ref="E30" si="13">SUM(F30:L30)</f>
        <v>0</v>
      </c>
      <c r="F30" s="788"/>
      <c r="G30" s="796">
        <f>G$11*$C30</f>
        <v>0</v>
      </c>
      <c r="H30" s="796">
        <f t="shared" si="11"/>
        <v>0</v>
      </c>
      <c r="I30" s="796">
        <f t="shared" si="11"/>
        <v>0</v>
      </c>
      <c r="J30" s="796">
        <f t="shared" si="11"/>
        <v>0</v>
      </c>
      <c r="K30" s="796">
        <f t="shared" si="11"/>
        <v>0</v>
      </c>
      <c r="L30" s="796">
        <f t="shared" si="11"/>
        <v>0</v>
      </c>
      <c r="M30" s="46"/>
      <c r="N30" s="421"/>
    </row>
    <row r="31" spans="1:14" outlineLevel="1">
      <c r="A31" s="424">
        <f>ROW()</f>
        <v>31</v>
      </c>
      <c r="B31" s="144" t="s">
        <v>675</v>
      </c>
      <c r="C31" s="789">
        <v>0</v>
      </c>
      <c r="D31" s="790" t="s">
        <v>676</v>
      </c>
      <c r="E31" s="791">
        <f t="shared" si="3"/>
        <v>544644.6</v>
      </c>
      <c r="F31" s="792"/>
      <c r="G31" s="786">
        <f>SUM(G23:G30)*((1+$C$31)^G6)</f>
        <v>68396.25</v>
      </c>
      <c r="H31" s="853">
        <f t="shared" ref="H31:L31" si="14">SUM(H23:H30)*((1+$C$31)^H6)</f>
        <v>79350</v>
      </c>
      <c r="I31" s="853">
        <f t="shared" si="14"/>
        <v>89700</v>
      </c>
      <c r="J31" s="853">
        <f t="shared" si="14"/>
        <v>102399.45</v>
      </c>
      <c r="K31" s="853">
        <f t="shared" si="14"/>
        <v>102399.45</v>
      </c>
      <c r="L31" s="853">
        <f t="shared" si="14"/>
        <v>102399.45</v>
      </c>
      <c r="M31" s="46"/>
      <c r="N31" s="421"/>
    </row>
    <row r="32" spans="1:14" outlineLevel="1">
      <c r="A32" s="424">
        <f>ROW()</f>
        <v>32</v>
      </c>
      <c r="B32" s="37" t="s">
        <v>677</v>
      </c>
      <c r="C32" s="1008">
        <v>10000</v>
      </c>
      <c r="D32" s="37" t="s">
        <v>678</v>
      </c>
      <c r="E32" s="183">
        <f t="shared" si="3"/>
        <v>10000</v>
      </c>
      <c r="F32" s="350">
        <v>10000</v>
      </c>
      <c r="G32" s="350"/>
      <c r="H32" s="795"/>
      <c r="I32" s="795"/>
      <c r="J32" s="795"/>
      <c r="K32" s="795"/>
      <c r="L32" s="795"/>
      <c r="M32" s="46"/>
      <c r="N32" s="421"/>
    </row>
    <row r="33" spans="1:14" outlineLevel="1">
      <c r="A33" s="424">
        <f>ROW()</f>
        <v>33</v>
      </c>
      <c r="B33" s="111" t="s">
        <v>679</v>
      </c>
      <c r="C33" s="615"/>
      <c r="E33" s="183">
        <f t="shared" si="3"/>
        <v>0</v>
      </c>
      <c r="F33" s="350">
        <v>0</v>
      </c>
      <c r="G33" s="350">
        <v>0</v>
      </c>
      <c r="H33" s="795"/>
      <c r="I33" s="795"/>
      <c r="J33" s="795"/>
      <c r="K33" s="795"/>
      <c r="L33" s="795"/>
      <c r="M33" s="46"/>
      <c r="N33" s="421"/>
    </row>
    <row r="34" spans="1:14" outlineLevel="1">
      <c r="A34" s="424">
        <f>ROW()</f>
        <v>34</v>
      </c>
      <c r="B34" s="111" t="s">
        <v>680</v>
      </c>
      <c r="E34" s="183">
        <f t="shared" si="3"/>
        <v>0</v>
      </c>
      <c r="F34" s="351">
        <f>F33/15</f>
        <v>0</v>
      </c>
      <c r="G34" s="351">
        <f t="shared" ref="G34:L34" si="15">F34+(G33/15)</f>
        <v>0</v>
      </c>
      <c r="H34" s="352">
        <f t="shared" si="15"/>
        <v>0</v>
      </c>
      <c r="I34" s="352">
        <f t="shared" si="15"/>
        <v>0</v>
      </c>
      <c r="J34" s="352">
        <f t="shared" si="15"/>
        <v>0</v>
      </c>
      <c r="K34" s="352">
        <f t="shared" si="15"/>
        <v>0</v>
      </c>
      <c r="L34" s="352">
        <f t="shared" si="15"/>
        <v>0</v>
      </c>
      <c r="M34" s="46"/>
      <c r="N34" s="421"/>
    </row>
    <row r="35" spans="1:14" outlineLevel="1">
      <c r="A35" s="424">
        <f>ROW()</f>
        <v>35</v>
      </c>
      <c r="B35" s="147" t="s">
        <v>681</v>
      </c>
      <c r="C35" s="144"/>
      <c r="D35" s="144"/>
      <c r="E35" s="793">
        <f t="shared" si="3"/>
        <v>4042734.6000000006</v>
      </c>
      <c r="F35" s="1533">
        <f t="shared" ref="F35" si="16">SUM(F21,F31,F32,F33)</f>
        <v>10000</v>
      </c>
      <c r="G35" s="1533">
        <f>SUM(G21,G31,G32,G33)</f>
        <v>468396.25</v>
      </c>
      <c r="H35" s="1533">
        <f t="shared" ref="H35:L35" si="17">SUM(H21,H31,H32,H33)</f>
        <v>634572</v>
      </c>
      <c r="I35" s="1533">
        <f t="shared" si="17"/>
        <v>671361</v>
      </c>
      <c r="J35" s="1533">
        <f t="shared" si="17"/>
        <v>747514.45</v>
      </c>
      <c r="K35" s="1533">
        <f t="shared" si="17"/>
        <v>752801.45</v>
      </c>
      <c r="L35" s="1533">
        <f t="shared" si="17"/>
        <v>758089.45</v>
      </c>
      <c r="M35" s="46"/>
      <c r="N35" s="421"/>
    </row>
    <row r="36" spans="1:14" outlineLevel="1">
      <c r="A36" s="424">
        <f>ROW()</f>
        <v>36</v>
      </c>
      <c r="B36" s="35" t="s">
        <v>682</v>
      </c>
      <c r="E36" s="35"/>
      <c r="F36" s="899">
        <f t="shared" ref="F36" si="18">SUM(F21,F31)+F34</f>
        <v>0</v>
      </c>
      <c r="G36" s="899">
        <f>SUM(G21,G31)+G34</f>
        <v>468396.25</v>
      </c>
      <c r="H36" s="899">
        <f t="shared" ref="H36:L36" si="19">SUM(H21,H31)+H34</f>
        <v>634572</v>
      </c>
      <c r="I36" s="899">
        <f t="shared" si="19"/>
        <v>671361</v>
      </c>
      <c r="J36" s="899">
        <f t="shared" si="19"/>
        <v>747514.45</v>
      </c>
      <c r="K36" s="899">
        <f t="shared" si="19"/>
        <v>752801.45</v>
      </c>
      <c r="L36" s="899">
        <f t="shared" si="19"/>
        <v>758089.45</v>
      </c>
      <c r="M36" s="46"/>
      <c r="N36" s="421"/>
    </row>
    <row r="37" spans="1:14" s="35" customFormat="1" outlineLevel="1">
      <c r="A37" s="424">
        <f>ROW()</f>
        <v>37</v>
      </c>
      <c r="B37" s="220" t="s">
        <v>683</v>
      </c>
      <c r="F37" s="150">
        <f>+F36-F35</f>
        <v>-10000</v>
      </c>
      <c r="G37" s="150">
        <f>+G36-G35</f>
        <v>0</v>
      </c>
      <c r="H37" s="150">
        <f t="shared" ref="H37:L37" si="20">+H36-H35</f>
        <v>0</v>
      </c>
      <c r="I37" s="150">
        <f t="shared" si="20"/>
        <v>0</v>
      </c>
      <c r="J37" s="150">
        <f t="shared" si="20"/>
        <v>0</v>
      </c>
      <c r="K37" s="150">
        <f t="shared" si="20"/>
        <v>0</v>
      </c>
      <c r="L37" s="150">
        <f t="shared" si="20"/>
        <v>0</v>
      </c>
      <c r="M37" s="52"/>
      <c r="N37" s="421"/>
    </row>
    <row r="38" spans="1:14" s="35" customFormat="1" outlineLevel="1">
      <c r="A38" s="424">
        <f>ROW()</f>
        <v>38</v>
      </c>
      <c r="F38" s="150"/>
      <c r="G38" s="150"/>
      <c r="H38" s="150"/>
      <c r="I38" s="150"/>
      <c r="J38" s="150"/>
      <c r="K38" s="150"/>
      <c r="L38" s="150"/>
      <c r="M38" s="52"/>
      <c r="N38" s="421"/>
    </row>
    <row r="39" spans="1:14" s="35" customFormat="1" outlineLevel="1">
      <c r="A39" s="424">
        <f>ROW()</f>
        <v>39</v>
      </c>
      <c r="B39" s="562" t="s">
        <v>684</v>
      </c>
      <c r="C39" s="37"/>
      <c r="D39" s="37"/>
      <c r="E39" s="37"/>
      <c r="F39" s="37"/>
      <c r="G39" s="62">
        <f t="shared" ref="G39:L39" si="21">+G21/12</f>
        <v>33333.333333333336</v>
      </c>
      <c r="H39" s="62">
        <f t="shared" si="21"/>
        <v>46268.5</v>
      </c>
      <c r="I39" s="62">
        <f t="shared" si="21"/>
        <v>48471.75</v>
      </c>
      <c r="J39" s="62">
        <f t="shared" si="21"/>
        <v>53759.583333333336</v>
      </c>
      <c r="K39" s="62">
        <f t="shared" si="21"/>
        <v>54200.166666666664</v>
      </c>
      <c r="L39" s="62">
        <f t="shared" si="21"/>
        <v>54640.833333333336</v>
      </c>
      <c r="M39" s="52"/>
      <c r="N39" s="421"/>
    </row>
    <row r="40" spans="1:14" s="35" customFormat="1" outlineLevel="1">
      <c r="A40" s="424">
        <f>ROW()</f>
        <v>40</v>
      </c>
      <c r="B40" s="49" t="s">
        <v>685</v>
      </c>
      <c r="C40" s="37"/>
      <c r="D40" s="37"/>
      <c r="E40" s="37"/>
      <c r="F40" s="37"/>
      <c r="G40" s="56">
        <f t="shared" ref="G40:L42" si="22">+G23/12</f>
        <v>1239.0625</v>
      </c>
      <c r="H40" s="56">
        <f t="shared" si="22"/>
        <v>1437.5</v>
      </c>
      <c r="I40" s="56">
        <f t="shared" si="22"/>
        <v>1625</v>
      </c>
      <c r="J40" s="56">
        <f t="shared" si="22"/>
        <v>1855.0625</v>
      </c>
      <c r="K40" s="56">
        <f t="shared" si="22"/>
        <v>1855.0625</v>
      </c>
      <c r="L40" s="56">
        <f t="shared" si="22"/>
        <v>1855.0625</v>
      </c>
      <c r="M40" s="52"/>
      <c r="N40" s="421"/>
    </row>
    <row r="41" spans="1:14" s="35" customFormat="1" outlineLevel="1">
      <c r="A41" s="424">
        <f>ROW()</f>
        <v>41</v>
      </c>
      <c r="B41" s="49" t="s">
        <v>686</v>
      </c>
      <c r="C41" s="37"/>
      <c r="D41" s="37"/>
      <c r="E41" s="37"/>
      <c r="F41" s="37"/>
      <c r="G41" s="56">
        <f t="shared" si="22"/>
        <v>3304.1666666666665</v>
      </c>
      <c r="H41" s="56">
        <f t="shared" si="22"/>
        <v>3833.3333333333335</v>
      </c>
      <c r="I41" s="56">
        <f t="shared" si="22"/>
        <v>4333.333333333333</v>
      </c>
      <c r="J41" s="56">
        <f t="shared" si="22"/>
        <v>4946.833333333333</v>
      </c>
      <c r="K41" s="56">
        <f t="shared" si="22"/>
        <v>4946.833333333333</v>
      </c>
      <c r="L41" s="56">
        <f t="shared" si="22"/>
        <v>4946.833333333333</v>
      </c>
      <c r="M41" s="52"/>
      <c r="N41" s="421"/>
    </row>
    <row r="42" spans="1:14" s="35" customFormat="1" outlineLevel="1">
      <c r="A42" s="424">
        <f>ROW()</f>
        <v>42</v>
      </c>
      <c r="B42" s="49" t="s">
        <v>687</v>
      </c>
      <c r="C42" s="37"/>
      <c r="D42" s="37"/>
      <c r="E42" s="37"/>
      <c r="F42" s="37"/>
      <c r="G42" s="56">
        <f t="shared" si="22"/>
        <v>826.04166666666663</v>
      </c>
      <c r="H42" s="56">
        <f t="shared" si="22"/>
        <v>958.33333333333337</v>
      </c>
      <c r="I42" s="56">
        <f t="shared" si="22"/>
        <v>1083.3333333333333</v>
      </c>
      <c r="J42" s="56">
        <f t="shared" si="22"/>
        <v>1236.7083333333333</v>
      </c>
      <c r="K42" s="56">
        <f t="shared" si="22"/>
        <v>1236.7083333333333</v>
      </c>
      <c r="L42" s="56">
        <f t="shared" si="22"/>
        <v>1236.7083333333333</v>
      </c>
      <c r="M42" s="52"/>
      <c r="N42" s="421"/>
    </row>
    <row r="43" spans="1:14" s="35" customFormat="1" outlineLevel="1">
      <c r="A43" s="424">
        <f>ROW()</f>
        <v>43</v>
      </c>
      <c r="B43" s="49" t="s">
        <v>669</v>
      </c>
      <c r="C43" s="37"/>
      <c r="D43" s="37"/>
      <c r="E43" s="37"/>
      <c r="F43" s="37"/>
      <c r="G43" s="56">
        <f t="shared" ref="G43:L43" si="23">+G27/12</f>
        <v>0</v>
      </c>
      <c r="H43" s="56">
        <f t="shared" si="23"/>
        <v>0</v>
      </c>
      <c r="I43" s="56">
        <f t="shared" si="23"/>
        <v>0</v>
      </c>
      <c r="J43" s="56">
        <f t="shared" si="23"/>
        <v>0</v>
      </c>
      <c r="K43" s="56">
        <f t="shared" si="23"/>
        <v>0</v>
      </c>
      <c r="L43" s="56">
        <f t="shared" si="23"/>
        <v>0</v>
      </c>
      <c r="M43" s="52"/>
      <c r="N43" s="421"/>
    </row>
    <row r="44" spans="1:14" s="35" customFormat="1" outlineLevel="1">
      <c r="A44" s="424">
        <f>ROW()</f>
        <v>44</v>
      </c>
      <c r="M44" s="52"/>
      <c r="N44" s="421"/>
    </row>
    <row r="45" spans="1:14" s="35" customFormat="1" outlineLevel="1">
      <c r="A45" s="424">
        <f>ROW()</f>
        <v>45</v>
      </c>
      <c r="B45" s="37" t="s">
        <v>688</v>
      </c>
      <c r="C45" s="35" t="s">
        <v>689</v>
      </c>
      <c r="G45" s="53"/>
      <c r="H45" s="53"/>
      <c r="I45" s="53"/>
      <c r="J45" s="53"/>
      <c r="K45" s="53"/>
      <c r="L45" s="53"/>
      <c r="M45" s="52"/>
      <c r="N45" s="421"/>
    </row>
    <row r="46" spans="1:14" s="35" customFormat="1" outlineLevel="1">
      <c r="A46" s="424">
        <f>ROW()</f>
        <v>46</v>
      </c>
      <c r="B46" s="35" t="s">
        <v>690</v>
      </c>
      <c r="G46" s="53"/>
      <c r="H46" s="53"/>
      <c r="I46" s="53"/>
      <c r="J46" s="53"/>
      <c r="K46" s="53"/>
      <c r="L46" s="53"/>
      <c r="M46" s="52"/>
      <c r="N46" s="421"/>
    </row>
    <row r="47" spans="1:14" s="35" customFormat="1" outlineLevel="1">
      <c r="A47" s="424">
        <f>ROW()</f>
        <v>47</v>
      </c>
      <c r="G47" s="53"/>
      <c r="H47" s="53"/>
      <c r="I47" s="53"/>
      <c r="J47" s="53"/>
      <c r="K47" s="53"/>
      <c r="L47" s="53"/>
      <c r="M47" s="52"/>
      <c r="N47" s="421"/>
    </row>
    <row r="48" spans="1:14" ht="15" customHeight="1" outlineLevel="1">
      <c r="A48" s="424">
        <f>ROW()</f>
        <v>48</v>
      </c>
      <c r="B48" s="306" t="s">
        <v>691</v>
      </c>
      <c r="C48" s="308"/>
      <c r="D48" s="307"/>
      <c r="E48" s="35"/>
      <c r="G48" s="54"/>
      <c r="H48" s="36"/>
      <c r="I48" s="36"/>
      <c r="J48" s="36"/>
      <c r="K48" s="36"/>
      <c r="L48" s="36"/>
      <c r="M48" s="46"/>
      <c r="N48" s="421"/>
    </row>
    <row r="49" spans="1:14" ht="15" customHeight="1" outlineLevel="1">
      <c r="A49" s="424">
        <f>ROW()</f>
        <v>49</v>
      </c>
      <c r="B49" s="37" t="s">
        <v>692</v>
      </c>
      <c r="C49" s="1013">
        <v>2.5</v>
      </c>
      <c r="E49" s="37" t="s">
        <v>693</v>
      </c>
      <c r="G49" s="1010">
        <v>0</v>
      </c>
      <c r="H49" s="37" t="s">
        <v>694</v>
      </c>
      <c r="M49" s="46"/>
      <c r="N49" s="421"/>
    </row>
    <row r="50" spans="1:14" ht="15" customHeight="1" outlineLevel="1">
      <c r="A50" s="424">
        <f>ROW()</f>
        <v>50</v>
      </c>
      <c r="B50" s="37" t="s">
        <v>695</v>
      </c>
      <c r="C50" s="1008">
        <v>0</v>
      </c>
      <c r="D50" s="37" t="s">
        <v>664</v>
      </c>
      <c r="E50" s="37" t="s">
        <v>696</v>
      </c>
      <c r="G50" s="38">
        <f>C54*(1-G49)</f>
        <v>0</v>
      </c>
      <c r="I50" s="55"/>
      <c r="J50" s="55"/>
      <c r="K50" s="55"/>
      <c r="L50" s="55"/>
      <c r="M50" s="46"/>
      <c r="N50" s="421"/>
    </row>
    <row r="51" spans="1:14" ht="15" customHeight="1" outlineLevel="1">
      <c r="A51" s="424">
        <f>ROW()</f>
        <v>51</v>
      </c>
      <c r="B51" s="37" t="s">
        <v>697</v>
      </c>
      <c r="C51" s="51">
        <f>C49*C50</f>
        <v>0</v>
      </c>
      <c r="E51" s="37" t="s">
        <v>698</v>
      </c>
      <c r="G51" s="1012">
        <v>0</v>
      </c>
      <c r="H51" s="47"/>
      <c r="M51" s="46"/>
      <c r="N51" s="421"/>
    </row>
    <row r="52" spans="1:14" ht="15" customHeight="1" outlineLevel="1">
      <c r="A52" s="424">
        <f>ROW()</f>
        <v>52</v>
      </c>
      <c r="B52" s="37" t="s">
        <v>699</v>
      </c>
      <c r="C52" s="1008">
        <v>0</v>
      </c>
      <c r="D52" s="37" t="s">
        <v>664</v>
      </c>
      <c r="E52" s="37" t="s">
        <v>700</v>
      </c>
      <c r="G52" s="1012">
        <v>0</v>
      </c>
      <c r="H52" s="47"/>
      <c r="M52" s="46"/>
      <c r="N52" s="421"/>
    </row>
    <row r="53" spans="1:14" ht="15" customHeight="1" outlineLevel="1">
      <c r="A53" s="424">
        <f>ROW()</f>
        <v>53</v>
      </c>
      <c r="B53" s="37" t="s">
        <v>701</v>
      </c>
      <c r="C53" s="125">
        <f>C49*C52</f>
        <v>0</v>
      </c>
      <c r="E53" s="37" t="s">
        <v>702</v>
      </c>
      <c r="G53" s="1011">
        <v>0</v>
      </c>
      <c r="M53" s="46"/>
      <c r="N53" s="421"/>
    </row>
    <row r="54" spans="1:14" ht="15" customHeight="1" outlineLevel="1">
      <c r="A54" s="424">
        <f>ROW()</f>
        <v>54</v>
      </c>
      <c r="B54" s="35" t="s">
        <v>703</v>
      </c>
      <c r="C54" s="38">
        <f>C51+C53</f>
        <v>0</v>
      </c>
      <c r="M54" s="46"/>
      <c r="N54" s="421"/>
    </row>
    <row r="55" spans="1:14" ht="15" customHeight="1" outlineLevel="1">
      <c r="A55" s="424">
        <f>ROW()</f>
        <v>55</v>
      </c>
      <c r="B55" s="37" t="s">
        <v>704</v>
      </c>
      <c r="D55" s="1014">
        <f>IFERROR(-PMT(G53/12,G51*12,G50,0,1),0)</f>
        <v>0</v>
      </c>
      <c r="H55" s="47"/>
      <c r="I55" s="47"/>
      <c r="J55" s="47"/>
      <c r="K55" s="47"/>
      <c r="L55" s="47"/>
      <c r="M55" s="46"/>
      <c r="N55" s="421"/>
    </row>
    <row r="56" spans="1:14" ht="15" customHeight="1" outlineLevel="1">
      <c r="A56" s="424">
        <f>ROW()</f>
        <v>56</v>
      </c>
      <c r="B56" s="37" t="s">
        <v>705</v>
      </c>
      <c r="D56" s="38">
        <f>D55*12</f>
        <v>0</v>
      </c>
      <c r="E56" s="39"/>
      <c r="F56" s="39"/>
      <c r="G56" s="311">
        <f>+D56</f>
        <v>0</v>
      </c>
      <c r="H56" s="311">
        <f>IF(H7-$G$7&lt;$G$51,$D$56,0)</f>
        <v>0</v>
      </c>
      <c r="I56" s="311">
        <f>IF(I7-$G$7&lt;$G$51,$D$56,0)</f>
        <v>0</v>
      </c>
      <c r="J56" s="311">
        <f>IF(J7-$G$7&lt;$G$51,$D$56,0)</f>
        <v>0</v>
      </c>
      <c r="K56" s="311">
        <f>IF(K7-$G$7&lt;$G$51,$D$56,0)</f>
        <v>0</v>
      </c>
      <c r="L56" s="311">
        <f>IF(L7-$G$7&lt;$G$51,$D$56,0)</f>
        <v>0</v>
      </c>
      <c r="M56" s="46"/>
      <c r="N56" s="421"/>
    </row>
    <row r="57" spans="1:14" ht="15" customHeight="1" outlineLevel="1">
      <c r="A57" s="424">
        <f>ROW()</f>
        <v>57</v>
      </c>
      <c r="B57" s="37" t="s">
        <v>706</v>
      </c>
      <c r="D57" s="38">
        <f>IFERROR((-PV(0.02,G51,0,((D56*G51)-G50),0))/G51,0)</f>
        <v>0</v>
      </c>
      <c r="E57" s="39"/>
      <c r="F57" s="39"/>
      <c r="G57" s="313">
        <f>$D$57</f>
        <v>0</v>
      </c>
      <c r="H57" s="312">
        <f>IF(H7-$G$7&lt;$G$51,$D$57,0)</f>
        <v>0</v>
      </c>
      <c r="I57" s="312">
        <f>IF(I7-$G$7&lt;$G$51,$D$57,0)</f>
        <v>0</v>
      </c>
      <c r="J57" s="312">
        <f>IF(J7-$G$7&lt;$G$51,$D$57,0)</f>
        <v>0</v>
      </c>
      <c r="K57" s="312">
        <f>IF(K7-$G$7&lt;$G$51,$D$57,0)</f>
        <v>0</v>
      </c>
      <c r="L57" s="312">
        <f>IF(L7-$G$7&lt;$G$51,$D$57,0)</f>
        <v>0</v>
      </c>
      <c r="M57" s="46"/>
      <c r="N57" s="421"/>
    </row>
    <row r="58" spans="1:14" ht="15" customHeight="1" outlineLevel="1">
      <c r="A58" s="424">
        <f>ROW()</f>
        <v>58</v>
      </c>
      <c r="B58" s="37" t="s">
        <v>707</v>
      </c>
      <c r="G58" s="56"/>
      <c r="H58" s="57"/>
      <c r="I58" s="57"/>
      <c r="J58" s="57"/>
      <c r="K58" s="57"/>
      <c r="L58" s="57"/>
      <c r="M58" s="46"/>
      <c r="N58" s="421"/>
    </row>
    <row r="59" spans="1:14" ht="15" customHeight="1" outlineLevel="1">
      <c r="A59" s="424">
        <f>ROW()</f>
        <v>59</v>
      </c>
      <c r="B59" s="37" t="s">
        <v>708</v>
      </c>
      <c r="C59" s="1008">
        <v>0</v>
      </c>
      <c r="D59" s="37" t="s">
        <v>664</v>
      </c>
      <c r="G59" s="159">
        <f t="shared" ref="G59:L59" si="24">$C$59*$C$49</f>
        <v>0</v>
      </c>
      <c r="H59" s="159">
        <f t="shared" si="24"/>
        <v>0</v>
      </c>
      <c r="I59" s="159">
        <f t="shared" si="24"/>
        <v>0</v>
      </c>
      <c r="J59" s="159">
        <f t="shared" si="24"/>
        <v>0</v>
      </c>
      <c r="K59" s="159">
        <f t="shared" si="24"/>
        <v>0</v>
      </c>
      <c r="L59" s="159">
        <f t="shared" si="24"/>
        <v>0</v>
      </c>
      <c r="M59" s="46"/>
      <c r="N59" s="421"/>
    </row>
    <row r="60" spans="1:14" ht="15" customHeight="1" outlineLevel="1">
      <c r="A60" s="424">
        <f>ROW()</f>
        <v>60</v>
      </c>
      <c r="B60" s="37" t="s">
        <v>397</v>
      </c>
      <c r="C60" s="1008">
        <v>0</v>
      </c>
      <c r="D60" s="37" t="s">
        <v>664</v>
      </c>
      <c r="G60" s="159">
        <f t="shared" ref="G60:L60" si="25">$C$60*$C$49</f>
        <v>0</v>
      </c>
      <c r="H60" s="159">
        <f t="shared" si="25"/>
        <v>0</v>
      </c>
      <c r="I60" s="159">
        <f t="shared" si="25"/>
        <v>0</v>
      </c>
      <c r="J60" s="159">
        <f t="shared" si="25"/>
        <v>0</v>
      </c>
      <c r="K60" s="159">
        <f t="shared" si="25"/>
        <v>0</v>
      </c>
      <c r="L60" s="159">
        <f t="shared" si="25"/>
        <v>0</v>
      </c>
      <c r="M60" s="46"/>
      <c r="N60" s="421"/>
    </row>
    <row r="61" spans="1:14" ht="15" customHeight="1" outlineLevel="1">
      <c r="A61" s="424">
        <f>ROW()</f>
        <v>61</v>
      </c>
      <c r="B61" s="37" t="s">
        <v>673</v>
      </c>
      <c r="C61" s="1008">
        <v>0</v>
      </c>
      <c r="D61" s="37" t="s">
        <v>664</v>
      </c>
      <c r="G61" s="159">
        <f t="shared" ref="G61:L61" si="26">$C$61*$C$49</f>
        <v>0</v>
      </c>
      <c r="H61" s="159">
        <f t="shared" si="26"/>
        <v>0</v>
      </c>
      <c r="I61" s="159">
        <f t="shared" si="26"/>
        <v>0</v>
      </c>
      <c r="J61" s="159">
        <f t="shared" si="26"/>
        <v>0</v>
      </c>
      <c r="K61" s="159">
        <f t="shared" si="26"/>
        <v>0</v>
      </c>
      <c r="L61" s="159">
        <f t="shared" si="26"/>
        <v>0</v>
      </c>
      <c r="M61" s="46"/>
      <c r="N61" s="421"/>
    </row>
    <row r="62" spans="1:14" ht="15" customHeight="1" outlineLevel="1">
      <c r="A62" s="424">
        <f>ROW()</f>
        <v>62</v>
      </c>
      <c r="B62" s="37" t="s">
        <v>669</v>
      </c>
      <c r="C62" s="1008">
        <v>0</v>
      </c>
      <c r="D62" s="37" t="s">
        <v>439</v>
      </c>
      <c r="G62" s="159">
        <f t="shared" ref="G62:L62" si="27">$C$62</f>
        <v>0</v>
      </c>
      <c r="H62" s="159">
        <f t="shared" si="27"/>
        <v>0</v>
      </c>
      <c r="I62" s="159">
        <f t="shared" si="27"/>
        <v>0</v>
      </c>
      <c r="J62" s="159">
        <f t="shared" si="27"/>
        <v>0</v>
      </c>
      <c r="K62" s="159">
        <f t="shared" si="27"/>
        <v>0</v>
      </c>
      <c r="L62" s="159">
        <f t="shared" si="27"/>
        <v>0</v>
      </c>
      <c r="M62" s="46"/>
      <c r="N62" s="421"/>
    </row>
    <row r="63" spans="1:14" ht="15" customHeight="1" outlineLevel="1">
      <c r="A63" s="424">
        <f>ROW()</f>
        <v>63</v>
      </c>
      <c r="B63" s="37" t="s">
        <v>709</v>
      </c>
      <c r="G63" s="159">
        <f>C51*G49</f>
        <v>0</v>
      </c>
      <c r="H63" s="159"/>
      <c r="I63" s="159"/>
      <c r="J63" s="159"/>
      <c r="K63" s="159"/>
      <c r="L63" s="159"/>
      <c r="M63" s="46"/>
      <c r="N63" s="421"/>
    </row>
    <row r="64" spans="1:14" ht="15" customHeight="1" outlineLevel="1">
      <c r="A64" s="424">
        <f>ROW()</f>
        <v>64</v>
      </c>
      <c r="B64" s="37" t="s">
        <v>710</v>
      </c>
      <c r="G64" s="159"/>
      <c r="H64" s="159"/>
      <c r="I64" s="159"/>
      <c r="J64" s="159"/>
      <c r="K64" s="159"/>
      <c r="L64" s="159"/>
      <c r="M64" s="46"/>
      <c r="N64" s="421"/>
    </row>
    <row r="65" spans="1:14" ht="15" customHeight="1" outlineLevel="1">
      <c r="A65" s="424">
        <f>ROW()</f>
        <v>65</v>
      </c>
      <c r="B65" s="147" t="s">
        <v>711</v>
      </c>
      <c r="C65" s="147"/>
      <c r="D65" s="147"/>
      <c r="E65" s="147"/>
      <c r="F65" s="1534"/>
      <c r="G65" s="773">
        <f t="shared" ref="G65:L65" si="28">SUM(G56:G64)-G57</f>
        <v>0</v>
      </c>
      <c r="H65" s="773">
        <f t="shared" si="28"/>
        <v>0</v>
      </c>
      <c r="I65" s="773">
        <f t="shared" si="28"/>
        <v>0</v>
      </c>
      <c r="J65" s="773">
        <f t="shared" si="28"/>
        <v>0</v>
      </c>
      <c r="K65" s="773">
        <f t="shared" si="28"/>
        <v>0</v>
      </c>
      <c r="L65" s="773">
        <f t="shared" si="28"/>
        <v>0</v>
      </c>
      <c r="M65" s="46"/>
      <c r="N65" s="421"/>
    </row>
    <row r="66" spans="1:14" ht="15" customHeight="1" outlineLevel="1">
      <c r="A66" s="424">
        <f>ROW()</f>
        <v>66</v>
      </c>
      <c r="B66" s="35" t="s">
        <v>712</v>
      </c>
      <c r="C66" s="35"/>
      <c r="D66" s="35"/>
      <c r="E66" s="35"/>
      <c r="F66" s="184"/>
      <c r="G66" s="616">
        <f t="shared" ref="G66:L66" si="29">(($C$51+$C$53)/50)+G59+G60+G61+G62</f>
        <v>0</v>
      </c>
      <c r="H66" s="616">
        <f t="shared" si="29"/>
        <v>0</v>
      </c>
      <c r="I66" s="616">
        <f t="shared" si="29"/>
        <v>0</v>
      </c>
      <c r="J66" s="616">
        <f t="shared" si="29"/>
        <v>0</v>
      </c>
      <c r="K66" s="616">
        <f t="shared" si="29"/>
        <v>0</v>
      </c>
      <c r="L66" s="616">
        <f t="shared" si="29"/>
        <v>0</v>
      </c>
      <c r="M66" s="46"/>
      <c r="N66" s="421"/>
    </row>
    <row r="67" spans="1:14" outlineLevel="1">
      <c r="A67" s="424">
        <f>ROW()</f>
        <v>67</v>
      </c>
      <c r="G67" s="611"/>
      <c r="H67" s="617"/>
      <c r="I67" s="617"/>
      <c r="J67" s="617"/>
      <c r="K67" s="617"/>
      <c r="L67" s="617"/>
      <c r="M67" s="46"/>
      <c r="N67" s="421"/>
    </row>
    <row r="68" spans="1:14" outlineLevel="1">
      <c r="A68" s="424">
        <f>ROW()</f>
        <v>68</v>
      </c>
      <c r="B68" s="633" t="s">
        <v>713</v>
      </c>
      <c r="C68" s="634"/>
      <c r="D68" s="634"/>
      <c r="E68" s="635">
        <f>SUM(F68:L68)</f>
        <v>4042734.6000000006</v>
      </c>
      <c r="F68" s="636">
        <f t="shared" ref="F68:L69" si="30">IF($C$7="Lease",F35,F65)</f>
        <v>10000</v>
      </c>
      <c r="G68" s="636">
        <f t="shared" si="30"/>
        <v>468396.25</v>
      </c>
      <c r="H68" s="636">
        <f t="shared" si="30"/>
        <v>634572</v>
      </c>
      <c r="I68" s="636">
        <f t="shared" si="30"/>
        <v>671361</v>
      </c>
      <c r="J68" s="636">
        <f t="shared" si="30"/>
        <v>747514.45</v>
      </c>
      <c r="K68" s="636">
        <f t="shared" si="30"/>
        <v>752801.45</v>
      </c>
      <c r="L68" s="636">
        <f t="shared" si="30"/>
        <v>758089.45</v>
      </c>
      <c r="M68" s="46"/>
      <c r="N68" s="421"/>
    </row>
    <row r="69" spans="1:14" outlineLevel="1">
      <c r="A69" s="424">
        <f>ROW()</f>
        <v>69</v>
      </c>
      <c r="B69" s="628" t="s">
        <v>714</v>
      </c>
      <c r="C69" s="629"/>
      <c r="D69" s="629"/>
      <c r="E69" s="630">
        <f>SUM(F69:L69)</f>
        <v>4032734.6000000006</v>
      </c>
      <c r="F69" s="632">
        <f t="shared" si="30"/>
        <v>0</v>
      </c>
      <c r="G69" s="632">
        <f t="shared" si="30"/>
        <v>468396.25</v>
      </c>
      <c r="H69" s="631">
        <f t="shared" si="30"/>
        <v>634572</v>
      </c>
      <c r="I69" s="631">
        <f t="shared" si="30"/>
        <v>671361</v>
      </c>
      <c r="J69" s="631">
        <f t="shared" si="30"/>
        <v>747514.45</v>
      </c>
      <c r="K69" s="631">
        <f t="shared" si="30"/>
        <v>752801.45</v>
      </c>
      <c r="L69" s="631">
        <f t="shared" si="30"/>
        <v>758089.45</v>
      </c>
      <c r="M69" s="46"/>
      <c r="N69" s="421"/>
    </row>
    <row r="70" spans="1:14">
      <c r="A70" s="424">
        <f>ROW()</f>
        <v>70</v>
      </c>
      <c r="B70" s="633" t="str">
        <f>IF(C7="Lease",$B$36,B69)</f>
        <v>Total lease book expense (shown on Summary tab)</v>
      </c>
      <c r="C70" s="634"/>
      <c r="D70" s="634"/>
      <c r="E70" s="888">
        <f>SUM(F70:L70)</f>
        <v>4032734.6000000006</v>
      </c>
      <c r="F70" s="636">
        <f t="shared" ref="F70:L70" si="31">IF($C$7="Lease",F36,F66)</f>
        <v>0</v>
      </c>
      <c r="G70" s="636">
        <f t="shared" si="31"/>
        <v>468396.25</v>
      </c>
      <c r="H70" s="636">
        <f t="shared" si="31"/>
        <v>634572</v>
      </c>
      <c r="I70" s="636">
        <f t="shared" si="31"/>
        <v>671361</v>
      </c>
      <c r="J70" s="636">
        <f t="shared" si="31"/>
        <v>747514.45</v>
      </c>
      <c r="K70" s="636">
        <f t="shared" si="31"/>
        <v>752801.45</v>
      </c>
      <c r="L70" s="636">
        <f t="shared" si="31"/>
        <v>758089.45</v>
      </c>
      <c r="M70" s="46"/>
      <c r="N70" s="421"/>
    </row>
    <row r="71" spans="1:14">
      <c r="A71" s="424">
        <f>ROW()</f>
        <v>71</v>
      </c>
      <c r="B71" s="37" t="s">
        <v>715</v>
      </c>
      <c r="E71" s="611"/>
      <c r="F71" s="618">
        <f t="shared" ref="F71:L71" si="32">+F70-F68</f>
        <v>-10000</v>
      </c>
      <c r="G71" s="618">
        <f t="shared" si="32"/>
        <v>0</v>
      </c>
      <c r="H71" s="618">
        <f t="shared" si="32"/>
        <v>0</v>
      </c>
      <c r="I71" s="618">
        <f t="shared" si="32"/>
        <v>0</v>
      </c>
      <c r="J71" s="618">
        <f t="shared" si="32"/>
        <v>0</v>
      </c>
      <c r="K71" s="618">
        <f t="shared" si="32"/>
        <v>0</v>
      </c>
      <c r="L71" s="618">
        <f t="shared" si="32"/>
        <v>0</v>
      </c>
      <c r="N71" s="421"/>
    </row>
    <row r="72" spans="1:14">
      <c r="A72" s="424">
        <f>ROW()</f>
        <v>72</v>
      </c>
      <c r="F72" s="216"/>
      <c r="G72" s="216"/>
      <c r="H72" s="216"/>
      <c r="I72" s="216"/>
      <c r="J72" s="216"/>
      <c r="K72" s="216"/>
      <c r="L72" s="216"/>
      <c r="N72" s="421"/>
    </row>
    <row r="73" spans="1:14">
      <c r="A73" s="424">
        <f>ROW()</f>
        <v>73</v>
      </c>
      <c r="F73" s="64" t="str">
        <f>Levers!C6</f>
        <v>SY 0/Incu</v>
      </c>
      <c r="G73" s="626">
        <f>Levers!D6</f>
        <v>1</v>
      </c>
      <c r="H73" s="626">
        <f>Levers!E6</f>
        <v>2</v>
      </c>
      <c r="I73" s="626">
        <f>Levers!F6</f>
        <v>3</v>
      </c>
      <c r="J73" s="626">
        <f>Levers!G6</f>
        <v>4</v>
      </c>
      <c r="K73" s="626">
        <f>Levers!H6</f>
        <v>5</v>
      </c>
      <c r="L73" s="626">
        <f>Levers!I6</f>
        <v>6</v>
      </c>
      <c r="N73" s="421"/>
    </row>
    <row r="74" spans="1:14" ht="15.75">
      <c r="A74" s="424">
        <f>ROW()</f>
        <v>74</v>
      </c>
      <c r="F74" s="889">
        <f>Levers!C7</f>
        <v>2024</v>
      </c>
      <c r="G74" s="890">
        <f>Levers!D7</f>
        <v>2025</v>
      </c>
      <c r="H74" s="891">
        <f>Levers!E7</f>
        <v>2026</v>
      </c>
      <c r="I74" s="891">
        <f>Levers!F7</f>
        <v>2027</v>
      </c>
      <c r="J74" s="891">
        <f>Levers!G7</f>
        <v>2028</v>
      </c>
      <c r="K74" s="891">
        <f>Levers!H7</f>
        <v>2029</v>
      </c>
      <c r="L74" s="892">
        <f>Levers!I7</f>
        <v>2030</v>
      </c>
      <c r="N74" s="421"/>
    </row>
    <row r="75" spans="1:14" ht="15.75">
      <c r="A75" s="424">
        <f>ROW()</f>
        <v>75</v>
      </c>
      <c r="B75" s="366"/>
      <c r="E75" s="625" t="str">
        <f>Levers!B8</f>
        <v>Totals</v>
      </c>
      <c r="F75" s="893">
        <f>Levers!C8</f>
        <v>2025</v>
      </c>
      <c r="G75" s="894">
        <f>Levers!D8</f>
        <v>2026</v>
      </c>
      <c r="H75" s="895">
        <f>Levers!E8</f>
        <v>2027</v>
      </c>
      <c r="I75" s="895">
        <f>Levers!F8</f>
        <v>2028</v>
      </c>
      <c r="J75" s="895">
        <f>Levers!G8</f>
        <v>2029</v>
      </c>
      <c r="K75" s="895">
        <f>Levers!H8</f>
        <v>2030</v>
      </c>
      <c r="L75" s="896">
        <f>Levers!I8</f>
        <v>2031</v>
      </c>
      <c r="N75" s="421"/>
    </row>
    <row r="76" spans="1:14" ht="15.75">
      <c r="A76" s="424">
        <f>ROW()</f>
        <v>76</v>
      </c>
      <c r="B76" s="588" t="str">
        <f>Levers!A9</f>
        <v>Total Enrollment</v>
      </c>
      <c r="E76" s="897">
        <f>Levers!B9</f>
        <v>1815</v>
      </c>
      <c r="F76" s="898" t="str">
        <f>Levers!C9</f>
        <v xml:space="preserve"> </v>
      </c>
      <c r="G76" s="897">
        <f>Levers!D9</f>
        <v>150</v>
      </c>
      <c r="H76" s="897">
        <f>Levers!E9</f>
        <v>270</v>
      </c>
      <c r="I76" s="897">
        <f>Levers!F9</f>
        <v>315</v>
      </c>
      <c r="J76" s="897">
        <f>Levers!G9</f>
        <v>360</v>
      </c>
      <c r="K76" s="897">
        <f>Levers!H9</f>
        <v>360</v>
      </c>
      <c r="L76" s="897">
        <f>Levers!I9</f>
        <v>360</v>
      </c>
      <c r="N76" s="421"/>
    </row>
    <row r="77" spans="1:14" ht="15.75">
      <c r="A77" s="424">
        <f>ROW()</f>
        <v>77</v>
      </c>
      <c r="B77" s="589" t="str">
        <f>Levers!A10</f>
        <v>Total Revenue</v>
      </c>
      <c r="E77" s="572">
        <f>Levers!B10</f>
        <v>21716403.811012462</v>
      </c>
      <c r="F77" s="572">
        <f>Levers!C10</f>
        <v>0</v>
      </c>
      <c r="G77" s="572">
        <f>Levers!D10</f>
        <v>1856281.5000000002</v>
      </c>
      <c r="H77" s="572">
        <f>Levers!E10</f>
        <v>3111294.1187126245</v>
      </c>
      <c r="I77" s="572">
        <f>Levers!F10</f>
        <v>3750620.1479327255</v>
      </c>
      <c r="J77" s="572">
        <f>Levers!G10</f>
        <v>4294595.9065465126</v>
      </c>
      <c r="K77" s="572">
        <f>Levers!H10</f>
        <v>4351806.0689102998</v>
      </c>
      <c r="L77" s="572">
        <f>Levers!I10</f>
        <v>4351806.0689102998</v>
      </c>
      <c r="N77" s="421"/>
    </row>
    <row r="78" spans="1:14" ht="15.75">
      <c r="A78" s="424">
        <f>ROW()</f>
        <v>78</v>
      </c>
      <c r="B78" s="589" t="str">
        <f>Levers!A11</f>
        <v>Rev per student</v>
      </c>
      <c r="E78" s="572">
        <f>Levers!B11</f>
        <v>11964.960777417335</v>
      </c>
      <c r="F78" s="572"/>
      <c r="G78" s="572">
        <f>Levers!D11</f>
        <v>12375.210000000001</v>
      </c>
      <c r="H78" s="572">
        <f>Levers!E11</f>
        <v>11523.311550787499</v>
      </c>
      <c r="I78" s="572">
        <f>Levers!F11</f>
        <v>11906.730628357858</v>
      </c>
      <c r="J78" s="572">
        <f>Levers!G11</f>
        <v>11929.433073740312</v>
      </c>
      <c r="K78" s="572">
        <f>Levers!H11</f>
        <v>12088.350191417499</v>
      </c>
      <c r="L78" s="572">
        <f>Levers!I11</f>
        <v>12088.350191417499</v>
      </c>
      <c r="N78" s="421"/>
    </row>
    <row r="79" spans="1:14" ht="15.75">
      <c r="A79" s="424">
        <f>ROW()</f>
        <v>79</v>
      </c>
      <c r="B79" s="589" t="str">
        <f>Levers!A20</f>
        <v>Total Facilities</v>
      </c>
      <c r="E79" s="572">
        <f>Levers!B20</f>
        <v>4032734.6000000006</v>
      </c>
      <c r="F79" s="572">
        <f>Levers!C20</f>
        <v>0</v>
      </c>
      <c r="G79" s="572">
        <f>Levers!D20</f>
        <v>468396.25</v>
      </c>
      <c r="H79" s="572">
        <f>Levers!E20</f>
        <v>634572</v>
      </c>
      <c r="I79" s="572">
        <f>Levers!F20</f>
        <v>671361</v>
      </c>
      <c r="J79" s="572">
        <f>Levers!G20</f>
        <v>747514.45</v>
      </c>
      <c r="K79" s="572">
        <f>Levers!H20</f>
        <v>752801.45</v>
      </c>
      <c r="L79" s="572">
        <f>Levers!I20</f>
        <v>758089.45</v>
      </c>
      <c r="N79" s="421"/>
    </row>
    <row r="80" spans="1:14" ht="15.75">
      <c r="A80" s="424">
        <f>ROW()</f>
        <v>80</v>
      </c>
      <c r="B80" s="589" t="str">
        <f>Levers!A21</f>
        <v>Facilities per Student</v>
      </c>
      <c r="E80" s="572">
        <f>Levers!B21</f>
        <v>2221.8923415977965</v>
      </c>
      <c r="F80" s="572"/>
      <c r="G80" s="572">
        <f>Levers!D21</f>
        <v>3122.6416666666669</v>
      </c>
      <c r="H80" s="572">
        <f>Levers!E21</f>
        <v>2350.2666666666669</v>
      </c>
      <c r="I80" s="572">
        <f>Levers!F21</f>
        <v>2131.304761904762</v>
      </c>
      <c r="J80" s="572">
        <f>Levers!G21</f>
        <v>2076.4290277777777</v>
      </c>
      <c r="K80" s="572">
        <f>Levers!H21</f>
        <v>2091.1151388888889</v>
      </c>
      <c r="L80" s="572">
        <f>Levers!I21</f>
        <v>2105.8040277777777</v>
      </c>
      <c r="N80" s="421"/>
    </row>
    <row r="81" spans="1:14" ht="15.75">
      <c r="A81" s="424">
        <f>ROW()</f>
        <v>81</v>
      </c>
      <c r="B81" s="589" t="str">
        <f>Levers!A22</f>
        <v>Net Surplus after Facilities</v>
      </c>
      <c r="E81" s="572">
        <f>Levers!B22</f>
        <v>17683669.21101246</v>
      </c>
      <c r="F81" s="572">
        <f>Levers!C22</f>
        <v>0</v>
      </c>
      <c r="G81" s="572">
        <f>Levers!D22</f>
        <v>1387885.2500000002</v>
      </c>
      <c r="H81" s="572">
        <f>Levers!E22</f>
        <v>2476722.1187126245</v>
      </c>
      <c r="I81" s="572">
        <f>Levers!F22</f>
        <v>3079259.1479327255</v>
      </c>
      <c r="J81" s="572">
        <f>Levers!G22</f>
        <v>3547081.4565465124</v>
      </c>
      <c r="K81" s="572">
        <f>Levers!H22</f>
        <v>3599004.6189102996</v>
      </c>
      <c r="L81" s="572">
        <f>Levers!I22</f>
        <v>3593716.6189102996</v>
      </c>
      <c r="N81" s="421"/>
    </row>
    <row r="82" spans="1:14">
      <c r="A82" s="424">
        <f>ROW()</f>
        <v>82</v>
      </c>
      <c r="B82" s="37" t="str">
        <f>Levers!A23</f>
        <v>Net Surplus after Facilities per Student</v>
      </c>
      <c r="E82" s="573">
        <f>Levers!B23</f>
        <v>9743.0684358195376</v>
      </c>
      <c r="F82" s="573"/>
      <c r="G82" s="573">
        <f>Levers!D23</f>
        <v>9252.5683333333345</v>
      </c>
      <c r="H82" s="573">
        <f>Levers!E23</f>
        <v>9173.0448841208308</v>
      </c>
      <c r="I82" s="573">
        <f>Levers!F23</f>
        <v>9775.4258664530971</v>
      </c>
      <c r="J82" s="573">
        <f>Levers!G23</f>
        <v>9853.0040459625343</v>
      </c>
      <c r="K82" s="573">
        <f>Levers!H23</f>
        <v>9997.2350525286092</v>
      </c>
      <c r="L82" s="573">
        <f>Levers!I23</f>
        <v>9982.5461636397213</v>
      </c>
      <c r="N82" s="421"/>
    </row>
    <row r="83" spans="1:14">
      <c r="A83" s="424">
        <f>ROW()</f>
        <v>83</v>
      </c>
      <c r="B83" s="37" t="s">
        <v>432</v>
      </c>
      <c r="E83" s="573">
        <f>Levers!B38</f>
        <v>2425480.4064105442</v>
      </c>
      <c r="F83" s="573">
        <f>Levers!C38</f>
        <v>0</v>
      </c>
      <c r="G83" s="573">
        <f>Levers!D38</f>
        <v>889.17695652204566</v>
      </c>
      <c r="H83" s="573">
        <f>Levers!E38</f>
        <v>163300.2371691463</v>
      </c>
      <c r="I83" s="573">
        <f>Levers!F38</f>
        <v>197438.91103950809</v>
      </c>
      <c r="J83" s="573">
        <f>Levers!G38</f>
        <v>640784.01102401537</v>
      </c>
      <c r="K83" s="573">
        <f>Levers!H38</f>
        <v>714920.11615954957</v>
      </c>
      <c r="L83" s="573">
        <f>Levers!I38</f>
        <v>708147.95406180387</v>
      </c>
      <c r="N83" s="421"/>
    </row>
    <row r="84" spans="1:14">
      <c r="A84" s="424">
        <f>ROW()</f>
        <v>84</v>
      </c>
      <c r="B84" s="48" t="s">
        <v>433</v>
      </c>
      <c r="E84" s="573">
        <f>Levers!B39</f>
        <v>1336.3528409975449</v>
      </c>
      <c r="F84" s="573"/>
      <c r="G84" s="573">
        <f>Levers!D39</f>
        <v>5.9278463768136378</v>
      </c>
      <c r="H84" s="573">
        <f>Levers!E39</f>
        <v>604.81569321906034</v>
      </c>
      <c r="I84" s="573">
        <f>Levers!F39</f>
        <v>626.79019377621614</v>
      </c>
      <c r="J84" s="573">
        <f>Levers!G39</f>
        <v>1779.9555861778206</v>
      </c>
      <c r="K84" s="573">
        <f>Levers!H39</f>
        <v>1985.8892115543044</v>
      </c>
      <c r="L84" s="573">
        <f>Levers!I39</f>
        <v>1967.0776501716775</v>
      </c>
      <c r="N84" s="421"/>
    </row>
    <row r="85" spans="1:14">
      <c r="A85" s="424">
        <f>ROW()</f>
        <v>85</v>
      </c>
      <c r="N85" s="421"/>
    </row>
    <row r="86" spans="1:14">
      <c r="A86" s="424">
        <f>ROW()</f>
        <v>86</v>
      </c>
      <c r="B86" s="71" t="s">
        <v>716</v>
      </c>
      <c r="C86" s="71"/>
      <c r="D86" s="71"/>
      <c r="E86" s="71"/>
      <c r="F86" s="71" t="s">
        <v>538</v>
      </c>
      <c r="G86" s="627" t="s">
        <v>717</v>
      </c>
      <c r="H86" s="627" t="s">
        <v>718</v>
      </c>
      <c r="I86" s="627" t="s">
        <v>719</v>
      </c>
      <c r="J86" s="627" t="s">
        <v>720</v>
      </c>
      <c r="K86" s="627" t="s">
        <v>721</v>
      </c>
      <c r="L86" s="627" t="s">
        <v>722</v>
      </c>
      <c r="N86" s="421"/>
    </row>
    <row r="87" spans="1:14">
      <c r="A87" s="424">
        <f>ROW()</f>
        <v>87</v>
      </c>
      <c r="B87" s="37" t="s">
        <v>723</v>
      </c>
      <c r="G87" s="56">
        <f t="shared" ref="G87:L87" si="33">IF($C$7="lease",G11,$C$49)</f>
        <v>19825</v>
      </c>
      <c r="H87" s="56">
        <f t="shared" si="33"/>
        <v>23000</v>
      </c>
      <c r="I87" s="56">
        <f t="shared" si="33"/>
        <v>26000</v>
      </c>
      <c r="J87" s="56">
        <f t="shared" si="33"/>
        <v>29681</v>
      </c>
      <c r="K87" s="56">
        <f t="shared" si="33"/>
        <v>29681</v>
      </c>
      <c r="L87" s="56">
        <f t="shared" si="33"/>
        <v>29681</v>
      </c>
      <c r="N87" s="421"/>
    </row>
    <row r="88" spans="1:14">
      <c r="A88" s="424">
        <f>ROW()</f>
        <v>88</v>
      </c>
      <c r="B88" s="12" t="s">
        <v>395</v>
      </c>
      <c r="G88" s="56">
        <f t="shared" ref="G88:L88" si="34">IF($C$7="lease",G21,G56)</f>
        <v>400000</v>
      </c>
      <c r="H88" s="56">
        <f t="shared" si="34"/>
        <v>555222</v>
      </c>
      <c r="I88" s="56">
        <f t="shared" si="34"/>
        <v>581661</v>
      </c>
      <c r="J88" s="56">
        <f t="shared" si="34"/>
        <v>645115</v>
      </c>
      <c r="K88" s="56">
        <f t="shared" si="34"/>
        <v>650402</v>
      </c>
      <c r="L88" s="56">
        <f t="shared" si="34"/>
        <v>655690</v>
      </c>
      <c r="N88" s="421"/>
    </row>
    <row r="89" spans="1:14">
      <c r="A89" s="424">
        <f>ROW()</f>
        <v>89</v>
      </c>
      <c r="B89" s="12" t="s">
        <v>396</v>
      </c>
      <c r="G89" s="56">
        <f t="shared" ref="G89:L91" si="35">IF($C$7="lease",G23,G59)</f>
        <v>14868.75</v>
      </c>
      <c r="H89" s="56">
        <f t="shared" si="35"/>
        <v>17250</v>
      </c>
      <c r="I89" s="56">
        <f t="shared" si="35"/>
        <v>19500</v>
      </c>
      <c r="J89" s="56">
        <f t="shared" si="35"/>
        <v>22260.75</v>
      </c>
      <c r="K89" s="56">
        <f t="shared" si="35"/>
        <v>22260.75</v>
      </c>
      <c r="L89" s="56">
        <f t="shared" si="35"/>
        <v>22260.75</v>
      </c>
      <c r="N89" s="421"/>
    </row>
    <row r="90" spans="1:14">
      <c r="A90" s="424">
        <f>ROW()</f>
        <v>90</v>
      </c>
      <c r="B90" s="12" t="s">
        <v>397</v>
      </c>
      <c r="G90" s="56">
        <f t="shared" si="35"/>
        <v>39650</v>
      </c>
      <c r="H90" s="56">
        <f t="shared" si="35"/>
        <v>46000</v>
      </c>
      <c r="I90" s="56">
        <f t="shared" si="35"/>
        <v>52000</v>
      </c>
      <c r="J90" s="56">
        <f t="shared" si="35"/>
        <v>59362</v>
      </c>
      <c r="K90" s="56">
        <f t="shared" si="35"/>
        <v>59362</v>
      </c>
      <c r="L90" s="56">
        <f t="shared" si="35"/>
        <v>59362</v>
      </c>
      <c r="N90" s="421"/>
    </row>
    <row r="91" spans="1:14">
      <c r="A91" s="424">
        <f>ROW()</f>
        <v>91</v>
      </c>
      <c r="B91" s="135" t="s">
        <v>398</v>
      </c>
      <c r="G91" s="56">
        <f t="shared" si="35"/>
        <v>9912.5</v>
      </c>
      <c r="H91" s="56">
        <f t="shared" si="35"/>
        <v>11500</v>
      </c>
      <c r="I91" s="56">
        <f t="shared" si="35"/>
        <v>13000</v>
      </c>
      <c r="J91" s="56">
        <f t="shared" si="35"/>
        <v>14840.5</v>
      </c>
      <c r="K91" s="56">
        <f t="shared" si="35"/>
        <v>14840.5</v>
      </c>
      <c r="L91" s="56">
        <f t="shared" si="35"/>
        <v>14840.5</v>
      </c>
      <c r="N91" s="421"/>
    </row>
    <row r="92" spans="1:14">
      <c r="A92" s="424">
        <f>ROW()</f>
        <v>92</v>
      </c>
      <c r="B92" s="135" t="s">
        <v>399</v>
      </c>
      <c r="G92" s="56">
        <f t="shared" ref="G92:L92" si="36">IF($C$7="lease",G27,G62)</f>
        <v>0</v>
      </c>
      <c r="H92" s="56">
        <f t="shared" si="36"/>
        <v>0</v>
      </c>
      <c r="I92" s="56">
        <f t="shared" si="36"/>
        <v>0</v>
      </c>
      <c r="J92" s="56">
        <f t="shared" si="36"/>
        <v>0</v>
      </c>
      <c r="K92" s="56">
        <f t="shared" si="36"/>
        <v>0</v>
      </c>
      <c r="L92" s="56">
        <f t="shared" si="36"/>
        <v>0</v>
      </c>
      <c r="N92" s="421"/>
    </row>
    <row r="93" spans="1:14">
      <c r="A93" s="424">
        <f>ROW()</f>
        <v>93</v>
      </c>
      <c r="B93" s="135" t="s">
        <v>400</v>
      </c>
      <c r="G93" s="56">
        <f t="shared" ref="G93:L93" si="37">IF($C$7="lease",G33,0)</f>
        <v>0</v>
      </c>
      <c r="H93" s="56">
        <f t="shared" si="37"/>
        <v>0</v>
      </c>
      <c r="I93" s="56">
        <f t="shared" si="37"/>
        <v>0</v>
      </c>
      <c r="J93" s="56">
        <f t="shared" si="37"/>
        <v>0</v>
      </c>
      <c r="K93" s="56">
        <f t="shared" si="37"/>
        <v>0</v>
      </c>
      <c r="L93" s="56">
        <f t="shared" si="37"/>
        <v>0</v>
      </c>
      <c r="N93" s="421"/>
    </row>
    <row r="94" spans="1:14">
      <c r="A94" s="424">
        <f>ROW()</f>
        <v>94</v>
      </c>
      <c r="B94" s="135" t="s">
        <v>366</v>
      </c>
      <c r="G94" s="56">
        <f t="shared" ref="G94:L94" si="38">IF($C$7="lease",G32,0)</f>
        <v>0</v>
      </c>
      <c r="H94" s="56">
        <f t="shared" si="38"/>
        <v>0</v>
      </c>
      <c r="I94" s="56">
        <f t="shared" si="38"/>
        <v>0</v>
      </c>
      <c r="J94" s="56">
        <f t="shared" si="38"/>
        <v>0</v>
      </c>
      <c r="K94" s="56">
        <f t="shared" si="38"/>
        <v>0</v>
      </c>
      <c r="L94" s="56">
        <f t="shared" si="38"/>
        <v>0</v>
      </c>
      <c r="N94" s="421"/>
    </row>
    <row r="95" spans="1:14">
      <c r="A95" s="424"/>
      <c r="B95" s="135"/>
      <c r="N95" s="421"/>
    </row>
    <row r="97" spans="13:13">
      <c r="M97"/>
    </row>
    <row r="98" spans="13:13">
      <c r="M98" s="2"/>
    </row>
  </sheetData>
  <mergeCells count="2">
    <mergeCell ref="G2:K2"/>
    <mergeCell ref="G3:K3"/>
  </mergeCells>
  <conditionalFormatting sqref="D1">
    <cfRule type="expression" dxfId="26" priority="3" stopIfTrue="1">
      <formula>MOD(ROW(),2)=0</formula>
    </cfRule>
  </conditionalFormatting>
  <conditionalFormatting sqref="F65:F66">
    <cfRule type="cellIs" dxfId="25" priority="8" stopIfTrue="1" operator="equal">
      <formula>0</formula>
    </cfRule>
  </conditionalFormatting>
  <conditionalFormatting sqref="G51">
    <cfRule type="expression" dxfId="24"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23" priority="2" stopIfTrue="1" operator="equal">
      <formula>0</formula>
    </cfRule>
  </conditionalFormatting>
  <hyperlinks>
    <hyperlink ref="D1" location="HypLink1" display="HypLink1" xr:uid="{BFB53349-EB52-4EAC-873C-1948591BA618}"/>
  </hyperlinks>
  <pageMargins left="0.25" right="0.25" top="0.5" bottom="0.45" header="0.25" footer="0.25"/>
  <pageSetup scale="54" fitToWidth="2" orientation="landscape" r:id="rId1"/>
  <headerFooter>
    <oddHeader xml:space="preserve">&amp;L &amp;C &amp;R </oddHeader>
    <oddFooter>&amp;L&amp;7&amp;D  at &amp;T Mike 702.486.8879&amp;C&amp;7&amp;F  &amp;A&amp;R&amp;7Page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Z64"/>
  <sheetViews>
    <sheetView zoomScale="90" zoomScaleNormal="90" workbookViewId="0">
      <selection activeCell="J29" sqref="J29"/>
    </sheetView>
  </sheetViews>
  <sheetFormatPr defaultColWidth="8.85546875" defaultRowHeight="15"/>
  <cols>
    <col min="1" max="1" width="7" style="37" customWidth="1"/>
    <col min="2" max="2" width="32.7109375" style="37" customWidth="1"/>
    <col min="3" max="3" width="15.5703125" style="37" customWidth="1"/>
    <col min="4" max="4" width="17.140625" style="37" customWidth="1"/>
    <col min="5" max="5" width="2.140625" style="37" customWidth="1"/>
    <col min="6" max="6" width="12.28515625" style="37" customWidth="1"/>
    <col min="7" max="12" width="13.7109375" style="37" customWidth="1"/>
    <col min="13" max="13" width="4.7109375" style="37" customWidth="1"/>
    <col min="14" max="14" width="76.5703125" style="37" customWidth="1"/>
    <col min="15" max="15" width="11.5703125" style="37" bestFit="1" customWidth="1"/>
    <col min="16" max="16" width="8.85546875" style="37"/>
    <col min="17" max="17" width="17.28515625" style="37" customWidth="1"/>
    <col min="18" max="16384" width="8.85546875" style="37"/>
  </cols>
  <sheetData>
    <row r="1" spans="1:26" ht="33.6" customHeight="1">
      <c r="A1" s="1694" t="s">
        <v>724</v>
      </c>
      <c r="B1" s="1694"/>
      <c r="D1" s="508" t="s">
        <v>2</v>
      </c>
      <c r="F1" s="103"/>
      <c r="K1" s="815"/>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75">
      <c r="A2" s="133" t="str">
        <f>SchoolName</f>
        <v>Rooted School Clark County</v>
      </c>
      <c r="B2" s="134"/>
      <c r="C2" s="35"/>
      <c r="F2" s="1693"/>
      <c r="G2" s="1693"/>
      <c r="H2" s="1693"/>
      <c r="I2" s="1693"/>
      <c r="J2" s="1693"/>
      <c r="K2" s="1693"/>
      <c r="L2" s="1693"/>
    </row>
    <row r="3" spans="1:26">
      <c r="A3" s="44" t="s">
        <v>62</v>
      </c>
      <c r="F3" s="1693"/>
      <c r="G3" s="1693"/>
      <c r="H3" s="1693"/>
      <c r="I3" s="1693"/>
      <c r="J3" s="1693"/>
      <c r="K3" s="1693"/>
      <c r="L3" s="1693"/>
    </row>
    <row r="4" spans="1:26">
      <c r="A4" s="45" t="s">
        <v>63</v>
      </c>
      <c r="F4" s="1693"/>
      <c r="G4" s="1693"/>
      <c r="H4" s="1693"/>
      <c r="I4" s="1693"/>
      <c r="J4" s="1693"/>
      <c r="K4" s="1693"/>
      <c r="L4" s="1693"/>
    </row>
    <row r="5" spans="1:26">
      <c r="A5" s="34" t="str">
        <f ca="1">CELL("filename")</f>
        <v>C:\Users\CRaymond\Char. School Bus Mgt Dropbox\Collin Raymond\Growth Team\Growth 2.0\Growth &amp; Data\Client Projects\Rooted LV\[Rooted School-SPCSA-Operating Budget-V10 (1) - Rev9.xlsx]Summary</v>
      </c>
    </row>
    <row r="6" spans="1:26">
      <c r="F6" s="904" t="str">
        <f>' Enrol &amp; Rev'!G9</f>
        <v>SY 0/Incu</v>
      </c>
      <c r="G6" s="905">
        <f>' Enrol &amp; Rev'!H9</f>
        <v>1</v>
      </c>
      <c r="H6" s="905">
        <f>' Enrol &amp; Rev'!I9</f>
        <v>2</v>
      </c>
      <c r="I6" s="905">
        <f>' Enrol &amp; Rev'!J9</f>
        <v>3</v>
      </c>
      <c r="J6" s="905">
        <f>' Enrol &amp; Rev'!K9</f>
        <v>4</v>
      </c>
      <c r="K6" s="905">
        <f>' Enrol &amp; Rev'!L9</f>
        <v>5</v>
      </c>
      <c r="L6" s="906">
        <f>' Enrol &amp; Rev'!M9</f>
        <v>6</v>
      </c>
      <c r="M6" s="46"/>
      <c r="N6" s="46"/>
    </row>
    <row r="7" spans="1:26">
      <c r="F7" s="907">
        <f>' Enrol &amp; Rev'!G10</f>
        <v>2024</v>
      </c>
      <c r="G7" s="907">
        <f>' Enrol &amp; Rev'!H10</f>
        <v>2025</v>
      </c>
      <c r="H7" s="908">
        <f>' Enrol &amp; Rev'!I10</f>
        <v>2026</v>
      </c>
      <c r="I7" s="908">
        <f>' Enrol &amp; Rev'!J10</f>
        <v>2027</v>
      </c>
      <c r="J7" s="908">
        <f>' Enrol &amp; Rev'!K10</f>
        <v>2028</v>
      </c>
      <c r="K7" s="908">
        <f>' Enrol &amp; Rev'!L10</f>
        <v>2029</v>
      </c>
      <c r="L7" s="909">
        <f>' Enrol &amp; Rev'!M10</f>
        <v>2030</v>
      </c>
      <c r="M7" s="46"/>
      <c r="N7" s="46"/>
    </row>
    <row r="8" spans="1:26">
      <c r="F8" s="901">
        <f>' Enrol &amp; Rev'!G11</f>
        <v>2025</v>
      </c>
      <c r="G8" s="901">
        <f>' Enrol &amp; Rev'!H11</f>
        <v>2026</v>
      </c>
      <c r="H8" s="902">
        <f>' Enrol &amp; Rev'!I11</f>
        <v>2027</v>
      </c>
      <c r="I8" s="902">
        <f>' Enrol &amp; Rev'!J11</f>
        <v>2028</v>
      </c>
      <c r="J8" s="902">
        <f>' Enrol &amp; Rev'!K11</f>
        <v>2029</v>
      </c>
      <c r="K8" s="902">
        <f>' Enrol &amp; Rev'!L11</f>
        <v>2030</v>
      </c>
      <c r="L8" s="903">
        <f>' Enrol &amp; Rev'!M11</f>
        <v>2031</v>
      </c>
      <c r="M8" s="46"/>
      <c r="N8" s="46"/>
    </row>
    <row r="9" spans="1:26">
      <c r="M9" s="46"/>
      <c r="N9" s="46"/>
    </row>
    <row r="10" spans="1:26">
      <c r="A10" s="424">
        <f>ROW()</f>
        <v>10</v>
      </c>
      <c r="B10" s="35" t="s">
        <v>435</v>
      </c>
      <c r="G10" s="36"/>
      <c r="H10" s="36"/>
      <c r="I10" s="36"/>
      <c r="J10" s="36"/>
      <c r="K10" s="36"/>
      <c r="L10" s="36"/>
      <c r="M10" s="46"/>
      <c r="N10" s="201" t="s">
        <v>725</v>
      </c>
    </row>
    <row r="11" spans="1:26">
      <c r="A11" s="424">
        <f>ROW()</f>
        <v>11</v>
      </c>
      <c r="B11" s="37" t="s">
        <v>726</v>
      </c>
      <c r="G11" s="57">
        <f>' Enrol &amp; Rev'!H34</f>
        <v>150</v>
      </c>
      <c r="H11" s="57">
        <f>' Enrol &amp; Rev'!I34</f>
        <v>270</v>
      </c>
      <c r="I11" s="57">
        <f>' Enrol &amp; Rev'!J34</f>
        <v>315</v>
      </c>
      <c r="J11" s="57">
        <f>' Enrol &amp; Rev'!K34</f>
        <v>360</v>
      </c>
      <c r="K11" s="57">
        <f>' Enrol &amp; Rev'!L34</f>
        <v>360</v>
      </c>
      <c r="L11" s="57">
        <f>' Enrol &amp; Rev'!M34</f>
        <v>360</v>
      </c>
      <c r="M11" s="59"/>
      <c r="N11" s="566"/>
    </row>
    <row r="12" spans="1:26">
      <c r="A12" s="424">
        <f>ROW()</f>
        <v>12</v>
      </c>
      <c r="B12" s="37" t="s">
        <v>727</v>
      </c>
      <c r="G12" s="383">
        <f>+Staff!H21</f>
        <v>11</v>
      </c>
      <c r="H12" s="383">
        <f>+Staff!I21</f>
        <v>22.5</v>
      </c>
      <c r="I12" s="383">
        <f>+Staff!J21</f>
        <v>28</v>
      </c>
      <c r="J12" s="383">
        <f>+Staff!K21</f>
        <v>28</v>
      </c>
      <c r="K12" s="383">
        <f>+Staff!L21</f>
        <v>28</v>
      </c>
      <c r="L12" s="383">
        <f>+Staff!M21</f>
        <v>28</v>
      </c>
      <c r="M12" s="59"/>
      <c r="N12" s="566"/>
    </row>
    <row r="13" spans="1:26">
      <c r="A13" s="424">
        <f>ROW()</f>
        <v>13</v>
      </c>
      <c r="M13" s="46"/>
      <c r="N13" s="421"/>
    </row>
    <row r="14" spans="1:26">
      <c r="A14" s="424">
        <f>ROW()</f>
        <v>14</v>
      </c>
      <c r="B14" s="37" t="s">
        <v>728</v>
      </c>
      <c r="C14" s="60"/>
      <c r="F14" s="397"/>
      <c r="G14" s="847">
        <v>0</v>
      </c>
      <c r="H14" s="847">
        <v>0</v>
      </c>
      <c r="I14" s="847">
        <v>0</v>
      </c>
      <c r="J14" s="847">
        <v>0</v>
      </c>
      <c r="K14" s="847">
        <v>0</v>
      </c>
      <c r="L14" s="847">
        <v>0</v>
      </c>
      <c r="M14" s="46"/>
      <c r="N14" s="421"/>
    </row>
    <row r="15" spans="1:26">
      <c r="A15" s="424">
        <f>ROW()</f>
        <v>15</v>
      </c>
      <c r="B15" s="37" t="s">
        <v>729</v>
      </c>
      <c r="C15" s="60"/>
      <c r="F15" s="847"/>
      <c r="G15" s="1649">
        <v>5375</v>
      </c>
      <c r="H15" s="1649">
        <v>5375</v>
      </c>
      <c r="I15" s="1649">
        <f>H15+(H15*0.03)</f>
        <v>5536.25</v>
      </c>
      <c r="J15" s="1649">
        <f t="shared" ref="J15:L15" si="0">I15+(I15*0.03)</f>
        <v>5702.3374999999996</v>
      </c>
      <c r="K15" s="1649">
        <f t="shared" si="0"/>
        <v>5873.4076249999998</v>
      </c>
      <c r="L15" s="1649">
        <f t="shared" si="0"/>
        <v>6049.6098537500002</v>
      </c>
      <c r="M15" s="46"/>
      <c r="N15" s="421" t="s">
        <v>1370</v>
      </c>
    </row>
    <row r="16" spans="1:26">
      <c r="A16" s="424">
        <f>ROW()</f>
        <v>16</v>
      </c>
      <c r="B16" s="37" t="s">
        <v>730</v>
      </c>
      <c r="C16" s="1008">
        <v>7</v>
      </c>
      <c r="D16" s="37" t="s">
        <v>302</v>
      </c>
      <c r="F16" s="848">
        <f t="shared" ref="F16" si="1">$C$16*F11</f>
        <v>0</v>
      </c>
      <c r="G16" s="848">
        <f t="shared" ref="G16:L16" si="2">$C$16*G11</f>
        <v>1050</v>
      </c>
      <c r="H16" s="848">
        <f t="shared" si="2"/>
        <v>1890</v>
      </c>
      <c r="I16" s="848">
        <f t="shared" si="2"/>
        <v>2205</v>
      </c>
      <c r="J16" s="848">
        <f t="shared" si="2"/>
        <v>2520</v>
      </c>
      <c r="K16" s="848">
        <f t="shared" si="2"/>
        <v>2520</v>
      </c>
      <c r="L16" s="848">
        <f t="shared" si="2"/>
        <v>2520</v>
      </c>
      <c r="M16" s="46"/>
      <c r="N16" s="421"/>
    </row>
    <row r="17" spans="1:14">
      <c r="A17" s="424">
        <f>ROW()</f>
        <v>17</v>
      </c>
      <c r="B17" s="37" t="s">
        <v>731</v>
      </c>
      <c r="C17" s="1008">
        <v>659</v>
      </c>
      <c r="D17" s="37" t="s">
        <v>732</v>
      </c>
      <c r="F17" s="1622">
        <v>0</v>
      </c>
      <c r="G17" s="1664">
        <f>C17*Staff!H21</f>
        <v>7249</v>
      </c>
      <c r="H17" s="1664">
        <f>$C$17*(Staff!I21-Staff!H21)</f>
        <v>7578.5</v>
      </c>
      <c r="I17" s="1664">
        <f>$C$17*(Staff!J21-Staff!I21)</f>
        <v>3624.5</v>
      </c>
      <c r="J17" s="1664">
        <f>$C$17*(Staff!K21-Staff!J21)</f>
        <v>0</v>
      </c>
      <c r="K17" s="1664">
        <f>$C$17*(Staff!L21-Staff!K21)</f>
        <v>0</v>
      </c>
      <c r="L17" s="1664">
        <f>$C$17*(Staff!M21-Staff!L21)</f>
        <v>0</v>
      </c>
      <c r="M17" s="1665"/>
      <c r="N17" s="1666" t="s">
        <v>1417</v>
      </c>
    </row>
    <row r="18" spans="1:14">
      <c r="A18" s="424">
        <f>ROW()</f>
        <v>18</v>
      </c>
      <c r="B18" s="37" t="s">
        <v>733</v>
      </c>
      <c r="C18" s="1008">
        <v>0</v>
      </c>
      <c r="F18" s="397"/>
      <c r="G18" s="1667"/>
      <c r="H18" s="1667"/>
      <c r="I18" s="1667"/>
      <c r="J18" s="1667">
        <f>G17</f>
        <v>7249</v>
      </c>
      <c r="K18" s="1667">
        <f t="shared" ref="K18:L18" si="3">H17</f>
        <v>7578.5</v>
      </c>
      <c r="L18" s="1667">
        <f t="shared" si="3"/>
        <v>3624.5</v>
      </c>
      <c r="M18" s="1665"/>
      <c r="N18" s="1666" t="s">
        <v>1308</v>
      </c>
    </row>
    <row r="19" spans="1:14">
      <c r="A19" s="424">
        <f>ROW()</f>
        <v>19</v>
      </c>
      <c r="B19" s="37" t="s">
        <v>734</v>
      </c>
      <c r="C19" s="1008">
        <v>250</v>
      </c>
      <c r="F19" s="397"/>
      <c r="G19" s="1667">
        <f>$C$19*(G11)</f>
        <v>37500</v>
      </c>
      <c r="H19" s="1667">
        <f>IF($C$19*(H11-G11)&gt;0,$C$19*(H11-G11),0)</f>
        <v>30000</v>
      </c>
      <c r="I19" s="1667">
        <f t="shared" ref="I19:J19" si="4">IF($C$19*(I11-H11)&gt;0,$C$19*(I11-H11),0)</f>
        <v>11250</v>
      </c>
      <c r="J19" s="1667">
        <f t="shared" si="4"/>
        <v>11250</v>
      </c>
      <c r="K19" s="1667">
        <f t="shared" ref="K19:L19" si="5">IF($C$19*(K11-J11)&gt;0,$C$19*(K11-J11),0)</f>
        <v>0</v>
      </c>
      <c r="L19" s="1667">
        <f t="shared" si="5"/>
        <v>0</v>
      </c>
      <c r="M19" s="1665"/>
      <c r="N19" s="1666"/>
    </row>
    <row r="20" spans="1:14">
      <c r="A20" s="424">
        <f>ROW()</f>
        <v>20</v>
      </c>
      <c r="B20" s="37" t="s">
        <v>735</v>
      </c>
      <c r="C20" s="1008">
        <v>0</v>
      </c>
      <c r="F20" s="397"/>
      <c r="G20" s="1667"/>
      <c r="H20" s="1667">
        <f>G19*0.1</f>
        <v>3750</v>
      </c>
      <c r="I20" s="1667">
        <f t="shared" ref="I20:J20" si="6">H19*0.1</f>
        <v>3000</v>
      </c>
      <c r="J20" s="1667">
        <f t="shared" si="6"/>
        <v>1125</v>
      </c>
      <c r="K20" s="1667">
        <f>J19/2</f>
        <v>5625</v>
      </c>
      <c r="L20" s="1667">
        <f>K20</f>
        <v>5625</v>
      </c>
      <c r="M20" s="1665"/>
      <c r="N20" s="1666" t="s">
        <v>1345</v>
      </c>
    </row>
    <row r="21" spans="1:14">
      <c r="A21" s="424">
        <f>ROW()</f>
        <v>21</v>
      </c>
      <c r="B21" s="37" t="s">
        <v>736</v>
      </c>
      <c r="C21" s="1008">
        <v>0</v>
      </c>
      <c r="F21" s="397"/>
      <c r="G21" s="1667"/>
      <c r="H21" s="1667"/>
      <c r="I21" s="1667"/>
      <c r="J21" s="1667"/>
      <c r="K21" s="1667"/>
      <c r="L21" s="1667"/>
      <c r="M21" s="1665"/>
      <c r="N21" s="1666"/>
    </row>
    <row r="22" spans="1:14">
      <c r="A22" s="424">
        <f>ROW()</f>
        <v>22</v>
      </c>
      <c r="B22" s="37" t="s">
        <v>737</v>
      </c>
      <c r="C22" s="1008">
        <v>0</v>
      </c>
      <c r="D22" s="37" t="s">
        <v>738</v>
      </c>
      <c r="F22" s="397"/>
      <c r="G22" s="1667">
        <f>IF($C$22*(Staff!H21-Staff!G21)&gt;0,$C$22*(Staff!H21-Staff!G21),0)</f>
        <v>0</v>
      </c>
      <c r="H22" s="1667">
        <f>IF($C$22*(Staff!I21-Staff!H21)&gt;0,$C$22*(Staff!I21-Staff!H21),0)</f>
        <v>0</v>
      </c>
      <c r="I22" s="1667">
        <f>IF($C$22*(Staff!J21-Staff!I21)&gt;0,$C$22*(Staff!J21-Staff!I21),0)</f>
        <v>0</v>
      </c>
      <c r="J22" s="1667">
        <f>IF($C$22*(Staff!K21-Staff!J21)&gt;0,$C$22*(Staff!K21-Staff!J21),0)</f>
        <v>0</v>
      </c>
      <c r="K22" s="1667">
        <f>IF($C$22*(Staff!L21-Staff!K21)&gt;0,$C$22*(Staff!L21-Staff!K21),0)</f>
        <v>0</v>
      </c>
      <c r="L22" s="1667">
        <f>IF($C$22*(Staff!M21-Staff!L21)&gt;0,$C$22*(Staff!M21-Staff!L21),0)</f>
        <v>0</v>
      </c>
      <c r="M22" s="1665"/>
      <c r="N22" s="1666"/>
    </row>
    <row r="23" spans="1:14">
      <c r="A23" s="424">
        <f>ROW()</f>
        <v>23</v>
      </c>
      <c r="B23" s="37" t="s">
        <v>739</v>
      </c>
      <c r="C23" s="1008">
        <v>0</v>
      </c>
      <c r="D23" s="37" t="s">
        <v>582</v>
      </c>
      <c r="F23" s="397"/>
      <c r="G23" s="1667">
        <f>($C$23*12)*Staff!H21</f>
        <v>0</v>
      </c>
      <c r="H23" s="1667">
        <f>($C$23*12)*Staff!I21</f>
        <v>0</v>
      </c>
      <c r="I23" s="1667">
        <f>($C$23*12)*Staff!J21</f>
        <v>0</v>
      </c>
      <c r="J23" s="1667">
        <f>($C$23*12)*Staff!K21</f>
        <v>0</v>
      </c>
      <c r="K23" s="1667">
        <f>($C$23*12)*Staff!L21</f>
        <v>0</v>
      </c>
      <c r="L23" s="1667">
        <f>($C$23*12)*Staff!M21</f>
        <v>0</v>
      </c>
      <c r="M23" s="1665"/>
      <c r="N23" s="1666"/>
    </row>
    <row r="24" spans="1:14">
      <c r="A24" s="424">
        <f>ROW()</f>
        <v>24</v>
      </c>
      <c r="B24" s="37" t="s">
        <v>740</v>
      </c>
      <c r="C24" s="596"/>
      <c r="F24" s="397"/>
      <c r="G24" s="1667"/>
      <c r="H24" s="1667"/>
      <c r="I24" s="1667"/>
      <c r="J24" s="1667"/>
      <c r="K24" s="1667"/>
      <c r="L24" s="1667"/>
      <c r="M24" s="1665"/>
      <c r="N24" s="1666"/>
    </row>
    <row r="25" spans="1:14">
      <c r="A25" s="424">
        <f>ROW()</f>
        <v>25</v>
      </c>
      <c r="B25" s="37" t="s">
        <v>741</v>
      </c>
      <c r="C25" s="596"/>
      <c r="F25" s="397"/>
      <c r="G25" s="1667">
        <v>3894</v>
      </c>
      <c r="H25" s="1667"/>
      <c r="I25" s="1667"/>
      <c r="J25" s="1667"/>
      <c r="K25" s="1667"/>
      <c r="L25" s="1667"/>
      <c r="M25" s="1665"/>
      <c r="N25" s="1666" t="s">
        <v>1411</v>
      </c>
    </row>
    <row r="26" spans="1:14">
      <c r="A26" s="424">
        <f>ROW()</f>
        <v>26</v>
      </c>
      <c r="B26" s="37" t="s">
        <v>742</v>
      </c>
      <c r="C26" s="1008">
        <v>500</v>
      </c>
      <c r="D26" s="37" t="s">
        <v>743</v>
      </c>
      <c r="F26" s="397"/>
      <c r="G26" s="1664">
        <v>4074</v>
      </c>
      <c r="H26" s="1664">
        <v>2537</v>
      </c>
      <c r="I26" s="1664">
        <v>3037</v>
      </c>
      <c r="J26" s="1664">
        <f>$C$26*(' Enrol &amp; Rev'!K17-' Enrol &amp; Rev'!J17)</f>
        <v>900.00000000000034</v>
      </c>
      <c r="K26" s="1667">
        <f>$C$26*(' Enrol &amp; Rev'!L17-' Enrol &amp; Rev'!K17)</f>
        <v>0</v>
      </c>
      <c r="L26" s="1667">
        <f>$C$26*(' Enrol &amp; Rev'!M17-' Enrol &amp; Rev'!L17)</f>
        <v>0</v>
      </c>
      <c r="M26" s="1665"/>
      <c r="N26" s="1666" t="s">
        <v>1309</v>
      </c>
    </row>
    <row r="27" spans="1:14">
      <c r="A27" s="424">
        <f>ROW()</f>
        <v>27</v>
      </c>
      <c r="B27" s="37" t="s">
        <v>744</v>
      </c>
      <c r="C27" s="1008">
        <v>0</v>
      </c>
      <c r="D27" s="37" t="s">
        <v>302</v>
      </c>
      <c r="F27" s="397"/>
      <c r="G27" s="1667">
        <f t="shared" ref="G27:L27" si="7">$C$27*G11</f>
        <v>0</v>
      </c>
      <c r="H27" s="1667">
        <f t="shared" si="7"/>
        <v>0</v>
      </c>
      <c r="I27" s="1667">
        <f t="shared" si="7"/>
        <v>0</v>
      </c>
      <c r="J27" s="1667">
        <f t="shared" si="7"/>
        <v>0</v>
      </c>
      <c r="K27" s="1667">
        <f t="shared" si="7"/>
        <v>0</v>
      </c>
      <c r="L27" s="1667">
        <f t="shared" si="7"/>
        <v>0</v>
      </c>
      <c r="M27" s="1665"/>
      <c r="N27" s="1666" t="s">
        <v>1310</v>
      </c>
    </row>
    <row r="28" spans="1:14">
      <c r="A28" s="424">
        <f>ROW()</f>
        <v>28</v>
      </c>
      <c r="B28" s="37" t="s">
        <v>745</v>
      </c>
      <c r="C28" s="1008">
        <v>400</v>
      </c>
      <c r="D28" s="37" t="s">
        <v>582</v>
      </c>
      <c r="F28" s="397"/>
      <c r="G28" s="1667">
        <f>$C$28*12</f>
        <v>4800</v>
      </c>
      <c r="H28" s="1667">
        <f t="shared" ref="H28" si="8">$C$28*12</f>
        <v>4800</v>
      </c>
      <c r="I28" s="1667">
        <f>H28+(H28*0.03)</f>
        <v>4944</v>
      </c>
      <c r="J28" s="1667">
        <f t="shared" ref="J28:L28" si="9">I28+(I28*0.03)</f>
        <v>5092.32</v>
      </c>
      <c r="K28" s="1667">
        <f t="shared" si="9"/>
        <v>5245.0895999999993</v>
      </c>
      <c r="L28" s="1667">
        <f t="shared" si="9"/>
        <v>5402.4422879999993</v>
      </c>
      <c r="M28" s="1665"/>
      <c r="N28" s="1666"/>
    </row>
    <row r="29" spans="1:14">
      <c r="A29" s="424">
        <f>ROW()</f>
        <v>29</v>
      </c>
      <c r="B29" s="37" t="s">
        <v>746</v>
      </c>
      <c r="C29" s="1008">
        <v>800</v>
      </c>
      <c r="D29" s="37" t="s">
        <v>582</v>
      </c>
      <c r="F29" s="397"/>
      <c r="G29" s="1667">
        <f t="shared" ref="G29:H29" si="10">$C$29*12</f>
        <v>9600</v>
      </c>
      <c r="H29" s="1667">
        <f t="shared" si="10"/>
        <v>9600</v>
      </c>
      <c r="I29" s="1667">
        <f>H29+(H29*0.03)</f>
        <v>9888</v>
      </c>
      <c r="J29" s="1667">
        <f t="shared" ref="J29:L29" si="11">I29+(I29*0.03)</f>
        <v>10184.64</v>
      </c>
      <c r="K29" s="1667">
        <f t="shared" si="11"/>
        <v>10490.179199999999</v>
      </c>
      <c r="L29" s="1667">
        <f t="shared" si="11"/>
        <v>10804.884575999999</v>
      </c>
      <c r="M29" s="1665"/>
      <c r="N29" s="1666" t="s">
        <v>1371</v>
      </c>
    </row>
    <row r="30" spans="1:14" ht="30">
      <c r="A30" s="424">
        <f>ROW()</f>
        <v>30</v>
      </c>
      <c r="B30" s="48" t="s">
        <v>747</v>
      </c>
      <c r="C30" s="596"/>
      <c r="F30" s="397"/>
      <c r="G30" s="1668">
        <v>0</v>
      </c>
      <c r="H30" s="1668">
        <v>0</v>
      </c>
      <c r="I30" s="1668">
        <v>0</v>
      </c>
      <c r="J30" s="1668">
        <v>0</v>
      </c>
      <c r="K30" s="1668">
        <v>0</v>
      </c>
      <c r="L30" s="1668">
        <v>0</v>
      </c>
      <c r="M30" s="1665"/>
      <c r="N30" s="1666"/>
    </row>
    <row r="31" spans="1:14">
      <c r="A31" s="424">
        <f>ROW()</f>
        <v>31</v>
      </c>
      <c r="B31" s="37" t="s">
        <v>748</v>
      </c>
      <c r="C31" s="1008">
        <v>0</v>
      </c>
      <c r="D31" s="37" t="s">
        <v>749</v>
      </c>
      <c r="F31" s="397"/>
      <c r="G31" s="1668">
        <v>0</v>
      </c>
      <c r="H31" s="1668">
        <v>0</v>
      </c>
      <c r="I31" s="1668">
        <v>0</v>
      </c>
      <c r="J31" s="1668">
        <v>0</v>
      </c>
      <c r="K31" s="1668">
        <v>0</v>
      </c>
      <c r="L31" s="1668">
        <v>0</v>
      </c>
      <c r="M31" s="1665"/>
      <c r="N31" s="1666"/>
    </row>
    <row r="32" spans="1:14">
      <c r="A32" s="424">
        <f>ROW()</f>
        <v>32</v>
      </c>
      <c r="B32" s="37" t="s">
        <v>750</v>
      </c>
      <c r="C32" s="1008">
        <v>0</v>
      </c>
      <c r="D32" s="37" t="s">
        <v>582</v>
      </c>
      <c r="F32" s="397"/>
      <c r="G32" s="1667">
        <f t="shared" ref="G32:L32" si="12">$C$32*12</f>
        <v>0</v>
      </c>
      <c r="H32" s="1667">
        <f t="shared" si="12"/>
        <v>0</v>
      </c>
      <c r="I32" s="1667">
        <f t="shared" si="12"/>
        <v>0</v>
      </c>
      <c r="J32" s="1667">
        <f t="shared" si="12"/>
        <v>0</v>
      </c>
      <c r="K32" s="1667">
        <f t="shared" si="12"/>
        <v>0</v>
      </c>
      <c r="L32" s="1667">
        <f t="shared" si="12"/>
        <v>0</v>
      </c>
      <c r="M32" s="1665"/>
      <c r="N32" s="1666"/>
    </row>
    <row r="33" spans="1:14">
      <c r="A33" s="424">
        <f>ROW()</f>
        <v>33</v>
      </c>
      <c r="B33" s="37" t="s">
        <v>751</v>
      </c>
      <c r="C33" s="1008">
        <v>0</v>
      </c>
      <c r="D33" s="37" t="s">
        <v>599</v>
      </c>
      <c r="F33" s="397"/>
      <c r="G33" s="1667">
        <f>IF($C$33*(Staff!H21-Staff!G21)&gt;0,$C$33*(Staff!H21-Staff!G21),0)</f>
        <v>0</v>
      </c>
      <c r="H33" s="1667">
        <f>IF($C$33*(Staff!I21-Staff!H21)&gt;0,$C$33*(Staff!I21-Staff!H21),0)</f>
        <v>0</v>
      </c>
      <c r="I33" s="1667">
        <f>IF($C$33*(Staff!J21-Staff!I21)&gt;0,$C$33*(Staff!J21-Staff!I21),0)</f>
        <v>0</v>
      </c>
      <c r="J33" s="1667">
        <f>IF($C$33*(Staff!K21-Staff!J21)&gt;0,$C$33*(Staff!K21-Staff!J21),0)</f>
        <v>0</v>
      </c>
      <c r="K33" s="1667">
        <f>IF($C$33*(Staff!L21-Staff!K21)&gt;0,$C$33*(Staff!L21-Staff!K21),0)</f>
        <v>0</v>
      </c>
      <c r="L33" s="1667">
        <f>IF($C$33*(Staff!M21-Staff!L21)&gt;0,$C$33*(Staff!M21-Staff!L21),0)</f>
        <v>0</v>
      </c>
      <c r="M33" s="1665"/>
      <c r="N33" s="1666"/>
    </row>
    <row r="34" spans="1:14">
      <c r="A34" s="424">
        <f>ROW()</f>
        <v>34</v>
      </c>
      <c r="B34" s="37" t="s">
        <v>752</v>
      </c>
      <c r="C34" s="1008">
        <v>36</v>
      </c>
      <c r="D34" s="37" t="s">
        <v>557</v>
      </c>
      <c r="F34" s="397"/>
      <c r="G34" s="1667">
        <f>$C$34*Staff!H21</f>
        <v>396</v>
      </c>
      <c r="H34" s="1667">
        <f>$C$34*Staff!I21</f>
        <v>810</v>
      </c>
      <c r="I34" s="1667">
        <f>$C$34*Staff!J21</f>
        <v>1008</v>
      </c>
      <c r="J34" s="1667">
        <f>$C$34*Staff!K21</f>
        <v>1008</v>
      </c>
      <c r="K34" s="1667">
        <f>$C$34*Staff!L21</f>
        <v>1008</v>
      </c>
      <c r="L34" s="1667">
        <f>$C$34*Staff!M21</f>
        <v>1008</v>
      </c>
      <c r="M34" s="1665"/>
      <c r="N34" s="1666" t="s">
        <v>1311</v>
      </c>
    </row>
    <row r="35" spans="1:14">
      <c r="A35" s="424">
        <f>ROW()</f>
        <v>35</v>
      </c>
      <c r="B35" s="37" t="s">
        <v>753</v>
      </c>
      <c r="C35" s="1008">
        <v>1000</v>
      </c>
      <c r="D35" s="37" t="s">
        <v>599</v>
      </c>
      <c r="F35" s="397"/>
      <c r="G35" s="1664">
        <f>C35*2</f>
        <v>2000</v>
      </c>
      <c r="H35" s="1664">
        <v>3730</v>
      </c>
      <c r="I35" s="1664">
        <v>4556</v>
      </c>
      <c r="J35" s="1664">
        <v>4556</v>
      </c>
      <c r="K35" s="1667"/>
      <c r="L35" s="1667">
        <f>IF($C$35*(Staff!M21-Staff!L21)&gt;0,$C$35*(Staff!M21-Staff!L21),0)</f>
        <v>0</v>
      </c>
      <c r="M35" s="1665"/>
      <c r="N35" s="1666" t="s">
        <v>1435</v>
      </c>
    </row>
    <row r="36" spans="1:14">
      <c r="A36" s="424">
        <f>ROW()</f>
        <v>36</v>
      </c>
      <c r="B36" s="37" t="s">
        <v>754</v>
      </c>
      <c r="C36" s="1008">
        <v>250</v>
      </c>
      <c r="D36" s="37" t="s">
        <v>584</v>
      </c>
      <c r="F36" s="397"/>
      <c r="G36" s="1664">
        <f>C36*25</f>
        <v>6250</v>
      </c>
      <c r="H36" s="1664">
        <f>$C$36*(H11-G11)</f>
        <v>30000</v>
      </c>
      <c r="I36" s="1664">
        <f t="shared" ref="I36:L36" si="13">$C$36*(I11-H11)</f>
        <v>11250</v>
      </c>
      <c r="J36" s="1664">
        <f t="shared" si="13"/>
        <v>11250</v>
      </c>
      <c r="K36" s="1664">
        <f t="shared" si="13"/>
        <v>0</v>
      </c>
      <c r="L36" s="1664">
        <f t="shared" si="13"/>
        <v>0</v>
      </c>
      <c r="M36" s="1665"/>
      <c r="N36" s="1666" t="s">
        <v>1434</v>
      </c>
    </row>
    <row r="37" spans="1:14" ht="15.75" thickBot="1">
      <c r="A37" s="424">
        <f>ROW()</f>
        <v>37</v>
      </c>
      <c r="G37" s="61"/>
      <c r="H37" s="61"/>
      <c r="I37" s="61"/>
      <c r="J37" s="61"/>
      <c r="K37" s="61"/>
      <c r="L37" s="61"/>
      <c r="M37" s="46"/>
      <c r="N37" s="421"/>
    </row>
    <row r="38" spans="1:14" ht="30" thickBot="1">
      <c r="A38" s="424">
        <f>ROW()</f>
        <v>38</v>
      </c>
      <c r="B38" s="916" t="s">
        <v>755</v>
      </c>
      <c r="C38" s="917">
        <f>SUM(G38:L38)</f>
        <v>376769.16064274998</v>
      </c>
      <c r="D38" s="918"/>
      <c r="E38" s="918"/>
      <c r="F38" s="919">
        <f t="shared" ref="F38:L38" si="14">SUM(F15:F37)</f>
        <v>0</v>
      </c>
      <c r="G38" s="919">
        <f t="shared" si="14"/>
        <v>82188</v>
      </c>
      <c r="H38" s="919">
        <f t="shared" si="14"/>
        <v>100070.5</v>
      </c>
      <c r="I38" s="919">
        <f t="shared" si="14"/>
        <v>60298.75</v>
      </c>
      <c r="J38" s="919">
        <f t="shared" si="14"/>
        <v>60837.297500000001</v>
      </c>
      <c r="K38" s="919">
        <f t="shared" si="14"/>
        <v>38340.176424999998</v>
      </c>
      <c r="L38" s="919">
        <f t="shared" si="14"/>
        <v>35034.436717749995</v>
      </c>
      <c r="M38" s="46"/>
      <c r="N38" s="421"/>
    </row>
    <row r="39" spans="1:14">
      <c r="A39" s="424">
        <f>ROW()</f>
        <v>39</v>
      </c>
      <c r="B39" s="88"/>
      <c r="N39" s="421"/>
    </row>
    <row r="40" spans="1:14">
      <c r="A40" s="424">
        <f>ROW()</f>
        <v>40</v>
      </c>
      <c r="B40" s="220" t="s">
        <v>756</v>
      </c>
      <c r="N40" s="421"/>
    </row>
    <row r="41" spans="1:14">
      <c r="A41" s="424">
        <f>ROW()</f>
        <v>41</v>
      </c>
      <c r="B41" s="421"/>
      <c r="C41" s="423"/>
      <c r="D41" s="423"/>
      <c r="E41" s="423"/>
      <c r="F41" s="423"/>
      <c r="G41" s="423"/>
      <c r="H41" s="423"/>
      <c r="I41" s="423"/>
      <c r="J41" s="423"/>
      <c r="K41" s="423"/>
      <c r="L41" s="423"/>
      <c r="N41" s="421"/>
    </row>
    <row r="42" spans="1:14">
      <c r="A42" s="424">
        <f>ROW()</f>
        <v>42</v>
      </c>
      <c r="B42" s="421"/>
      <c r="C42" s="423"/>
      <c r="D42" s="423"/>
      <c r="E42" s="423"/>
      <c r="F42" s="423"/>
      <c r="G42" s="423"/>
      <c r="H42" s="423"/>
      <c r="I42" s="423"/>
      <c r="J42" s="423"/>
      <c r="K42" s="423"/>
      <c r="L42" s="423"/>
      <c r="N42" s="421"/>
    </row>
    <row r="43" spans="1:14">
      <c r="A43" s="424">
        <f>ROW()</f>
        <v>43</v>
      </c>
      <c r="B43" s="421"/>
      <c r="C43" s="423"/>
      <c r="D43" s="423"/>
      <c r="E43" s="423"/>
      <c r="F43" s="423"/>
      <c r="G43" s="423"/>
      <c r="H43" s="423"/>
      <c r="I43" s="423"/>
      <c r="J43" s="423"/>
      <c r="K43" s="423"/>
      <c r="L43" s="423"/>
      <c r="N43" s="421"/>
    </row>
    <row r="44" spans="1:14">
      <c r="A44" s="424">
        <f>ROW()</f>
        <v>44</v>
      </c>
      <c r="B44" s="421"/>
      <c r="C44" s="423"/>
      <c r="D44" s="423"/>
      <c r="E44" s="423"/>
      <c r="F44" s="423"/>
      <c r="G44" s="423"/>
      <c r="H44" s="423"/>
      <c r="I44" s="423"/>
      <c r="J44" s="423"/>
      <c r="K44" s="423"/>
      <c r="L44" s="423"/>
      <c r="N44" s="421"/>
    </row>
    <row r="45" spans="1:14">
      <c r="A45" s="424">
        <f>ROW()</f>
        <v>45</v>
      </c>
      <c r="B45" s="421"/>
      <c r="C45" s="423"/>
      <c r="D45" s="423"/>
      <c r="E45" s="423"/>
      <c r="F45" s="423"/>
      <c r="G45" s="423"/>
      <c r="H45" s="423"/>
      <c r="I45" s="423"/>
      <c r="J45" s="423"/>
      <c r="K45" s="423"/>
      <c r="L45" s="423"/>
      <c r="N45" s="421"/>
    </row>
    <row r="46" spans="1:14">
      <c r="A46" s="424">
        <f>ROW()</f>
        <v>46</v>
      </c>
      <c r="B46" s="421"/>
      <c r="C46" s="423"/>
      <c r="D46" s="423"/>
      <c r="E46" s="423"/>
      <c r="F46" s="423"/>
      <c r="G46" s="423"/>
      <c r="H46" s="423"/>
      <c r="I46" s="423"/>
      <c r="J46" s="423"/>
      <c r="K46" s="423"/>
      <c r="L46" s="423"/>
      <c r="N46" s="421"/>
    </row>
    <row r="47" spans="1:14">
      <c r="A47" s="424">
        <f>ROW()</f>
        <v>47</v>
      </c>
      <c r="B47" s="421"/>
      <c r="C47" s="423"/>
      <c r="D47" s="423"/>
      <c r="E47" s="423"/>
      <c r="F47" s="423"/>
      <c r="G47" s="423"/>
      <c r="H47" s="423"/>
      <c r="I47" s="423"/>
      <c r="J47" s="423"/>
      <c r="K47" s="423"/>
      <c r="L47" s="423"/>
      <c r="N47" s="421"/>
    </row>
    <row r="48" spans="1:14">
      <c r="A48" s="424">
        <f>ROW()</f>
        <v>48</v>
      </c>
      <c r="B48" s="421"/>
      <c r="C48" s="423"/>
      <c r="D48" s="423"/>
      <c r="E48" s="423"/>
      <c r="F48" s="423"/>
      <c r="G48" s="423"/>
      <c r="H48" s="423"/>
      <c r="I48" s="423"/>
      <c r="J48" s="423"/>
      <c r="K48" s="423"/>
      <c r="L48" s="423"/>
      <c r="N48" s="421"/>
    </row>
    <row r="49" spans="1:14">
      <c r="A49" s="424">
        <f>ROW()</f>
        <v>49</v>
      </c>
      <c r="B49" s="421"/>
      <c r="C49" s="423"/>
      <c r="D49" s="423"/>
      <c r="E49" s="423"/>
      <c r="F49" s="423"/>
      <c r="G49" s="423"/>
      <c r="H49" s="423"/>
      <c r="I49" s="423"/>
      <c r="J49" s="423"/>
      <c r="K49" s="423"/>
      <c r="L49" s="423"/>
      <c r="N49" s="421"/>
    </row>
    <row r="50" spans="1:14">
      <c r="A50" s="424">
        <f>ROW()</f>
        <v>50</v>
      </c>
      <c r="B50" s="421"/>
      <c r="C50" s="423"/>
      <c r="D50" s="423"/>
      <c r="E50" s="423"/>
      <c r="F50" s="423"/>
      <c r="G50" s="423"/>
      <c r="H50" s="423"/>
      <c r="I50" s="423"/>
      <c r="J50" s="423"/>
      <c r="K50" s="423"/>
      <c r="L50" s="423"/>
      <c r="N50" s="421"/>
    </row>
    <row r="51" spans="1:14">
      <c r="A51" s="424">
        <f>ROW()</f>
        <v>51</v>
      </c>
      <c r="N51" s="421"/>
    </row>
    <row r="52" spans="1:14">
      <c r="A52" s="424">
        <f>ROW()</f>
        <v>52</v>
      </c>
      <c r="N52" s="421"/>
    </row>
    <row r="53" spans="1:14">
      <c r="A53" s="424">
        <f>ROW()</f>
        <v>53</v>
      </c>
      <c r="F53" s="904" t="str">
        <f t="shared" ref="F53:L55" si="15">F6</f>
        <v>SY 0/Incu</v>
      </c>
      <c r="G53" s="905">
        <f t="shared" si="15"/>
        <v>1</v>
      </c>
      <c r="H53" s="905">
        <f t="shared" si="15"/>
        <v>2</v>
      </c>
      <c r="I53" s="905">
        <f t="shared" si="15"/>
        <v>3</v>
      </c>
      <c r="J53" s="905">
        <f t="shared" si="15"/>
        <v>4</v>
      </c>
      <c r="K53" s="905">
        <f t="shared" si="15"/>
        <v>5</v>
      </c>
      <c r="L53" s="906">
        <f t="shared" si="15"/>
        <v>6</v>
      </c>
      <c r="N53" s="421"/>
    </row>
    <row r="54" spans="1:14">
      <c r="A54" s="424">
        <f>ROW()</f>
        <v>54</v>
      </c>
      <c r="F54" s="907">
        <f t="shared" si="15"/>
        <v>2024</v>
      </c>
      <c r="G54" s="907">
        <f t="shared" si="15"/>
        <v>2025</v>
      </c>
      <c r="H54" s="908">
        <f t="shared" si="15"/>
        <v>2026</v>
      </c>
      <c r="I54" s="908">
        <f t="shared" si="15"/>
        <v>2027</v>
      </c>
      <c r="J54" s="908">
        <f t="shared" si="15"/>
        <v>2028</v>
      </c>
      <c r="K54" s="908">
        <f t="shared" si="15"/>
        <v>2029</v>
      </c>
      <c r="L54" s="909">
        <f t="shared" si="15"/>
        <v>2030</v>
      </c>
      <c r="N54" s="421"/>
    </row>
    <row r="55" spans="1:14">
      <c r="A55" s="424">
        <f>ROW()</f>
        <v>55</v>
      </c>
      <c r="D55" s="37" t="s">
        <v>123</v>
      </c>
      <c r="F55" s="901">
        <f t="shared" si="15"/>
        <v>2025</v>
      </c>
      <c r="G55" s="901">
        <f t="shared" si="15"/>
        <v>2026</v>
      </c>
      <c r="H55" s="902">
        <f t="shared" si="15"/>
        <v>2027</v>
      </c>
      <c r="I55" s="902">
        <f t="shared" si="15"/>
        <v>2028</v>
      </c>
      <c r="J55" s="902">
        <f t="shared" si="15"/>
        <v>2029</v>
      </c>
      <c r="K55" s="902">
        <f t="shared" si="15"/>
        <v>2030</v>
      </c>
      <c r="L55" s="903">
        <f t="shared" si="15"/>
        <v>2031</v>
      </c>
      <c r="N55" s="421"/>
    </row>
    <row r="56" spans="1:14">
      <c r="A56" s="424">
        <f>ROW()</f>
        <v>56</v>
      </c>
      <c r="C56" s="37" t="s">
        <v>757</v>
      </c>
      <c r="D56" s="496">
        <f>Levers!B9</f>
        <v>1815</v>
      </c>
      <c r="E56" s="496"/>
      <c r="F56" s="496"/>
      <c r="G56" s="497">
        <f>Levers!D9</f>
        <v>150</v>
      </c>
      <c r="H56" s="497">
        <f>Levers!E9</f>
        <v>270</v>
      </c>
      <c r="I56" s="497">
        <f>Levers!F9</f>
        <v>315</v>
      </c>
      <c r="J56" s="497">
        <f>Levers!G9</f>
        <v>360</v>
      </c>
      <c r="K56" s="497">
        <f>Levers!H9</f>
        <v>360</v>
      </c>
      <c r="L56" s="497">
        <f>Levers!I9</f>
        <v>360</v>
      </c>
      <c r="N56" s="421"/>
    </row>
    <row r="57" spans="1:14">
      <c r="A57" s="424">
        <f>ROW()</f>
        <v>57</v>
      </c>
      <c r="C57" s="37" t="s">
        <v>422</v>
      </c>
      <c r="D57" s="590">
        <f>Levers!B10</f>
        <v>21716403.811012462</v>
      </c>
      <c r="E57" s="590"/>
      <c r="F57" s="590">
        <f>Levers!C10</f>
        <v>0</v>
      </c>
      <c r="G57" s="591">
        <f>Levers!D10</f>
        <v>1856281.5000000002</v>
      </c>
      <c r="H57" s="591">
        <f>Levers!E10</f>
        <v>3111294.1187126245</v>
      </c>
      <c r="I57" s="591">
        <f>Levers!F10</f>
        <v>3750620.1479327255</v>
      </c>
      <c r="J57" s="591">
        <f>Levers!G10</f>
        <v>4294595.9065465126</v>
      </c>
      <c r="K57" s="591">
        <f>Levers!H10</f>
        <v>4351806.0689102998</v>
      </c>
      <c r="L57" s="591">
        <f>Levers!I10</f>
        <v>4351806.0689102998</v>
      </c>
      <c r="N57" s="421"/>
    </row>
    <row r="58" spans="1:14">
      <c r="A58" s="424">
        <f>ROW()</f>
        <v>58</v>
      </c>
      <c r="C58" s="37" t="s">
        <v>758</v>
      </c>
      <c r="D58" s="590">
        <f>Levers!B11</f>
        <v>11964.960777417335</v>
      </c>
      <c r="E58" s="590"/>
      <c r="F58" s="592"/>
      <c r="G58" s="593">
        <f>Levers!D11</f>
        <v>12375.210000000001</v>
      </c>
      <c r="H58" s="593">
        <f>Levers!E11</f>
        <v>11523.311550787499</v>
      </c>
      <c r="I58" s="593">
        <f>Levers!F11</f>
        <v>11906.730628357858</v>
      </c>
      <c r="J58" s="593">
        <f>Levers!G11</f>
        <v>11929.433073740312</v>
      </c>
      <c r="K58" s="593">
        <f>Levers!H11</f>
        <v>12088.350191417499</v>
      </c>
      <c r="L58" s="593">
        <f>Levers!I11</f>
        <v>12088.350191417499</v>
      </c>
      <c r="N58" s="421"/>
    </row>
    <row r="59" spans="1:14">
      <c r="A59" s="424">
        <f>ROW()</f>
        <v>59</v>
      </c>
      <c r="C59" s="37" t="s">
        <v>759</v>
      </c>
      <c r="D59" s="590">
        <f>Levers!B24</f>
        <v>376769.16064274998</v>
      </c>
      <c r="E59" s="590"/>
      <c r="F59" s="592">
        <f>Levers!C24</f>
        <v>0</v>
      </c>
      <c r="G59" s="593">
        <f>Levers!D24</f>
        <v>82188</v>
      </c>
      <c r="H59" s="593">
        <f>Levers!E24</f>
        <v>100070.5</v>
      </c>
      <c r="I59" s="593">
        <f>Levers!F24</f>
        <v>60298.75</v>
      </c>
      <c r="J59" s="593">
        <f>Levers!G24</f>
        <v>60837.297500000001</v>
      </c>
      <c r="K59" s="593">
        <f>Levers!H24</f>
        <v>38340.176424999998</v>
      </c>
      <c r="L59" s="593">
        <f>Levers!I24</f>
        <v>35034.436717749995</v>
      </c>
      <c r="N59" s="421"/>
    </row>
    <row r="60" spans="1:14">
      <c r="A60" s="424">
        <f>ROW()</f>
        <v>60</v>
      </c>
      <c r="C60" s="37" t="s">
        <v>760</v>
      </c>
      <c r="D60" s="590">
        <f>Levers!B25</f>
        <v>207.586314403719</v>
      </c>
      <c r="E60" s="590"/>
      <c r="F60" s="592"/>
      <c r="G60" s="593">
        <f>Levers!D25</f>
        <v>547.91999999999996</v>
      </c>
      <c r="H60" s="593">
        <f>Levers!E25</f>
        <v>370.6314814814815</v>
      </c>
      <c r="I60" s="593">
        <f>Levers!F25</f>
        <v>191.42460317460316</v>
      </c>
      <c r="J60" s="593">
        <f>Levers!G25</f>
        <v>168.99249305555557</v>
      </c>
      <c r="K60" s="593">
        <f>Levers!H25</f>
        <v>106.50049006944444</v>
      </c>
      <c r="L60" s="593">
        <f>Levers!I25</f>
        <v>97.317879771527771</v>
      </c>
      <c r="N60" s="421"/>
    </row>
    <row r="61" spans="1:14" ht="29.25" customHeight="1">
      <c r="A61" s="424">
        <f>ROW()</f>
        <v>61</v>
      </c>
      <c r="C61" s="48" t="s">
        <v>761</v>
      </c>
      <c r="D61" s="590">
        <f>Levers!B26</f>
        <v>21339634.650369711</v>
      </c>
      <c r="E61" s="590"/>
      <c r="F61" s="592">
        <f>Levers!C26</f>
        <v>0</v>
      </c>
      <c r="G61" s="593">
        <f>Levers!D26</f>
        <v>1774093.5000000002</v>
      </c>
      <c r="H61" s="593">
        <f>Levers!E26</f>
        <v>3011223.6187126245</v>
      </c>
      <c r="I61" s="593">
        <f>Levers!F26</f>
        <v>3690321.3979327255</v>
      </c>
      <c r="J61" s="593">
        <f>Levers!G26</f>
        <v>4233758.6090465123</v>
      </c>
      <c r="K61" s="593">
        <f>Levers!H26</f>
        <v>4313465.8924853001</v>
      </c>
      <c r="L61" s="593">
        <f>Levers!I26</f>
        <v>4316771.6321925502</v>
      </c>
      <c r="N61" s="421"/>
    </row>
    <row r="62" spans="1:14" ht="29.25" customHeight="1">
      <c r="A62" s="424">
        <f>ROW()</f>
        <v>62</v>
      </c>
      <c r="C62" s="48" t="s">
        <v>762</v>
      </c>
      <c r="D62" s="590">
        <f>Levers!B27</f>
        <v>11757.374463013615</v>
      </c>
      <c r="E62" s="590"/>
      <c r="F62" s="592"/>
      <c r="G62" s="593">
        <f>Levers!D27</f>
        <v>11827.29</v>
      </c>
      <c r="H62" s="593">
        <f>Levers!E27</f>
        <v>11152.680069306018</v>
      </c>
      <c r="I62" s="593">
        <f>Levers!F27</f>
        <v>11715.306025183256</v>
      </c>
      <c r="J62" s="593">
        <f>Levers!G27</f>
        <v>11760.440580684757</v>
      </c>
      <c r="K62" s="593">
        <f>Levers!H27</f>
        <v>11981.849701348056</v>
      </c>
      <c r="L62" s="593">
        <f>Levers!I27</f>
        <v>11991.032311645973</v>
      </c>
      <c r="N62" s="421"/>
    </row>
    <row r="63" spans="1:14">
      <c r="A63" s="424">
        <f>ROW()</f>
        <v>63</v>
      </c>
      <c r="C63" s="37" t="s">
        <v>432</v>
      </c>
      <c r="D63" s="590">
        <f>Levers!B38</f>
        <v>2425480.4064105442</v>
      </c>
      <c r="E63" s="62"/>
      <c r="F63" s="592">
        <f>Levers!C38</f>
        <v>0</v>
      </c>
      <c r="G63" s="593">
        <f>Levers!D38</f>
        <v>889.17695652204566</v>
      </c>
      <c r="H63" s="593">
        <f>Levers!E38</f>
        <v>163300.2371691463</v>
      </c>
      <c r="I63" s="593">
        <f>Levers!F38</f>
        <v>197438.91103950809</v>
      </c>
      <c r="J63" s="593">
        <f>Levers!G38</f>
        <v>640784.01102401537</v>
      </c>
      <c r="K63" s="593">
        <f>Levers!H38</f>
        <v>714920.11615954957</v>
      </c>
      <c r="L63" s="593">
        <f>Levers!I38</f>
        <v>708147.95406180387</v>
      </c>
      <c r="N63" s="421"/>
    </row>
    <row r="64" spans="1:14" ht="30.75" customHeight="1">
      <c r="A64" s="424">
        <f>ROW()</f>
        <v>64</v>
      </c>
      <c r="C64" s="48" t="s">
        <v>433</v>
      </c>
      <c r="D64" s="590">
        <f>Levers!B39</f>
        <v>1336.3528409975449</v>
      </c>
      <c r="E64" s="62"/>
      <c r="F64" s="592">
        <f>Levers!C39</f>
        <v>0</v>
      </c>
      <c r="G64" s="593">
        <f>Levers!D39</f>
        <v>5.9278463768136378</v>
      </c>
      <c r="H64" s="593">
        <f>Levers!E39</f>
        <v>604.81569321906034</v>
      </c>
      <c r="I64" s="593">
        <f>Levers!F39</f>
        <v>626.79019377621614</v>
      </c>
      <c r="J64" s="593">
        <f>Levers!G39</f>
        <v>1779.9555861778206</v>
      </c>
      <c r="K64" s="593">
        <f>Levers!H39</f>
        <v>1985.8892115543044</v>
      </c>
      <c r="L64" s="593">
        <f>Levers!I39</f>
        <v>1967.0776501716775</v>
      </c>
      <c r="N64" s="421"/>
    </row>
  </sheetData>
  <mergeCells count="4">
    <mergeCell ref="F2:L2"/>
    <mergeCell ref="F3:L3"/>
    <mergeCell ref="F4:L4"/>
    <mergeCell ref="A1:B1"/>
  </mergeCells>
  <phoneticPr fontId="7" type="noConversion"/>
  <conditionalFormatting sqref="D1">
    <cfRule type="expression" dxfId="22" priority="3" stopIfTrue="1">
      <formula>MOD(ROW(),2)=0</formula>
    </cfRule>
  </conditionalFormatting>
  <conditionalFormatting sqref="O1:Z1">
    <cfRule type="cellIs" dxfId="21" priority="2" stopIfTrue="1" operator="equal">
      <formula>0</formula>
    </cfRule>
  </conditionalFormatting>
  <hyperlinks>
    <hyperlink ref="D1" location="HypLink1" display="HypLink1" xr:uid="{FE5E3821-D6F5-4A01-A4E3-53BCFCDA4265}"/>
  </hyperlinks>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AM99"/>
  <sheetViews>
    <sheetView workbookViewId="0">
      <selection activeCell="N12" sqref="N12"/>
    </sheetView>
  </sheetViews>
  <sheetFormatPr defaultColWidth="8.85546875" defaultRowHeight="15"/>
  <cols>
    <col min="1" max="1" width="5.42578125" style="37" customWidth="1"/>
    <col min="2" max="2" width="57.42578125" style="37" customWidth="1"/>
    <col min="3" max="3" width="12.28515625" style="37" customWidth="1"/>
    <col min="4" max="4" width="8.7109375" style="37" customWidth="1"/>
    <col min="5" max="5" width="11.28515625" style="37" customWidth="1"/>
    <col min="6" max="6" width="12.85546875" style="37" customWidth="1"/>
    <col min="7" max="7" width="12.85546875" style="37" bestFit="1" customWidth="1"/>
    <col min="8" max="8" width="12.42578125" style="37" bestFit="1" customWidth="1"/>
    <col min="9" max="12" width="12.85546875" style="37" bestFit="1" customWidth="1"/>
    <col min="13" max="13" width="4.7109375" style="37" customWidth="1"/>
    <col min="14" max="14" width="56.7109375" style="37" customWidth="1"/>
    <col min="15" max="16384" width="8.85546875" style="37"/>
  </cols>
  <sheetData>
    <row r="1" spans="1:39" ht="15.75">
      <c r="A1" s="131" t="s">
        <v>763</v>
      </c>
      <c r="B1" s="132"/>
      <c r="C1" s="508" t="s">
        <v>2</v>
      </c>
      <c r="D1" s="220" t="s">
        <v>764</v>
      </c>
      <c r="K1" s="41"/>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75">
      <c r="A2" s="274" t="str">
        <f>SchoolName</f>
        <v>Rooted School Clark County</v>
      </c>
      <c r="B2" s="275"/>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c r="A3" s="44" t="s">
        <v>62</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c r="A4" s="45" t="s">
        <v>63</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c r="A5" s="34" t="str">
        <f ca="1">CELL("filename")</f>
        <v>C:\Users\CRaymond\Char. School Bus Mgt Dropbox\Collin Raymond\Growth Team\Growth 2.0\Growth &amp; Data\Client Projects\Rooted LV\[Rooted School-SPCSA-Operating Budget-V10 (1) - Rev9.xlsx]Summary</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c r="F6" s="35" t="s">
        <v>765</v>
      </c>
      <c r="G6" s="220" t="s">
        <v>766</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75">
      <c r="B7" s="920" t="s">
        <v>767</v>
      </c>
      <c r="C7" s="921" t="s">
        <v>768</v>
      </c>
      <c r="D7" s="922" t="s">
        <v>769</v>
      </c>
      <c r="E7" s="923" t="s">
        <v>251</v>
      </c>
      <c r="F7" s="910">
        <v>0</v>
      </c>
      <c r="G7" s="911">
        <v>1</v>
      </c>
      <c r="H7" s="911">
        <f>+G7+1</f>
        <v>2</v>
      </c>
      <c r="I7" s="911">
        <f>+H7+1</f>
        <v>3</v>
      </c>
      <c r="J7" s="911">
        <f>+I7+1</f>
        <v>4</v>
      </c>
      <c r="K7" s="911">
        <f>+J7+1</f>
        <v>5</v>
      </c>
      <c r="L7" s="912">
        <f>+K7+1</f>
        <v>6</v>
      </c>
      <c r="N7" s="201" t="s">
        <v>83</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s="35" customFormat="1" ht="15.75">
      <c r="B8" s="924" t="s">
        <v>770</v>
      </c>
      <c r="C8" s="925" t="s">
        <v>771</v>
      </c>
      <c r="D8" s="922" t="s">
        <v>772</v>
      </c>
      <c r="E8" s="926" t="s">
        <v>773</v>
      </c>
      <c r="F8" s="1079">
        <f>' Enrol &amp; Rev'!G11</f>
        <v>2025</v>
      </c>
      <c r="G8" s="913">
        <f>' Enrol &amp; Rev'!H11</f>
        <v>2026</v>
      </c>
      <c r="H8" s="914">
        <f>' Enrol &amp; Rev'!I11</f>
        <v>2027</v>
      </c>
      <c r="I8" s="914">
        <f>' Enrol &amp; Rev'!J11</f>
        <v>2028</v>
      </c>
      <c r="J8" s="914">
        <f>' Enrol &amp; Rev'!K11</f>
        <v>2029</v>
      </c>
      <c r="K8" s="914">
        <f>' Enrol &amp; Rev'!L11</f>
        <v>2030</v>
      </c>
      <c r="L8" s="915">
        <f>' Enrol &amp; Rev'!M11</f>
        <v>2031</v>
      </c>
      <c r="N8" s="566"/>
      <c r="Y8" s="7" cm="1">
        <f t="array" aca="1" ref="Y8" ca="1">CELL("protect",A8)</f>
        <v>1</v>
      </c>
      <c r="Z8" s="7" cm="1">
        <f t="array" aca="1" ref="Z8" ca="1">CELL("protect",B8)</f>
        <v>1</v>
      </c>
      <c r="AA8" s="7" cm="1">
        <f t="array" aca="1" ref="AA8" ca="1">CELL("protect",C8)</f>
        <v>1</v>
      </c>
      <c r="AB8" s="7" cm="1">
        <f t="array" aca="1" ref="AB8" ca="1">CELL("protect",D8)</f>
        <v>1</v>
      </c>
      <c r="AC8" s="7" cm="1">
        <f t="array" aca="1" ref="AC8" ca="1">CELL("protect",E8)</f>
        <v>1</v>
      </c>
      <c r="AD8" s="7" cm="1">
        <f t="array" aca="1" ref="AD8" ca="1">CELL("protect",F8)</f>
        <v>1</v>
      </c>
      <c r="AE8" s="7" cm="1">
        <f t="array" aca="1" ref="AE8" ca="1">CELL("protect",G8)</f>
        <v>1</v>
      </c>
      <c r="AF8" s="7" cm="1">
        <f t="array" aca="1" ref="AF8" ca="1">CELL("protect",H8)</f>
        <v>1</v>
      </c>
      <c r="AG8" s="7" cm="1">
        <f t="array" aca="1" ref="AG8" ca="1">CELL("protect",I8)</f>
        <v>1</v>
      </c>
      <c r="AH8" s="7" cm="1">
        <f t="array" aca="1" ref="AH8" ca="1">CELL("protect",J8)</f>
        <v>1</v>
      </c>
      <c r="AI8" s="7" cm="1">
        <f t="array" aca="1" ref="AI8" ca="1">CELL("protect",K8)</f>
        <v>1</v>
      </c>
      <c r="AJ8" s="7" cm="1">
        <f t="array" aca="1" ref="AJ8" ca="1">CELL("protect",L8)</f>
        <v>1</v>
      </c>
      <c r="AK8" s="7"/>
      <c r="AL8" s="7"/>
      <c r="AM8" s="7"/>
    </row>
    <row r="9" spans="1:39">
      <c r="A9" s="149"/>
      <c r="B9" s="491"/>
      <c r="C9" s="492"/>
      <c r="D9" s="492"/>
      <c r="E9" s="62"/>
      <c r="F9" s="1074"/>
      <c r="G9" s="1074"/>
      <c r="H9" s="495"/>
      <c r="I9" s="495"/>
      <c r="J9" s="495"/>
      <c r="K9" s="495"/>
      <c r="L9" s="495"/>
      <c r="N9" s="421"/>
      <c r="Y9" s="7" cm="1">
        <f t="array" aca="1" ref="Y9" ca="1">CELL("protect",A9)</f>
        <v>1</v>
      </c>
      <c r="Z9" s="7" cm="1">
        <f t="array" aca="1" ref="Z9" ca="1">CELL("protect",B9)</f>
        <v>0</v>
      </c>
      <c r="AA9" s="7" cm="1">
        <f t="array" aca="1" ref="AA9" ca="1">CELL("protect",C9)</f>
        <v>0</v>
      </c>
      <c r="AB9" s="7" cm="1">
        <f t="array" aca="1" ref="AB9" ca="1">CELL("protect",D9)</f>
        <v>0</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c r="A10" s="149">
        <f>ROW()</f>
        <v>10</v>
      </c>
      <c r="B10" s="574" t="s">
        <v>774</v>
      </c>
      <c r="C10" s="575"/>
      <c r="D10" s="490"/>
      <c r="E10" s="56"/>
      <c r="F10" s="1105"/>
      <c r="G10" s="1105"/>
      <c r="H10" s="1106"/>
      <c r="I10" s="1106"/>
      <c r="J10" s="1106"/>
      <c r="K10" s="1106"/>
      <c r="L10" s="1106"/>
      <c r="N10" s="421" t="s">
        <v>775</v>
      </c>
      <c r="Y10" s="7" cm="1">
        <f t="array" aca="1" ref="Y10" ca="1">CELL("protect",A10)</f>
        <v>1</v>
      </c>
      <c r="Z10" s="7" cm="1">
        <f t="array" aca="1" ref="Z10" ca="1">CELL("protect",B10)</f>
        <v>1</v>
      </c>
      <c r="AA10" s="7" cm="1">
        <f t="array" aca="1" ref="AA10" ca="1">CELL("protect",C10)</f>
        <v>1</v>
      </c>
      <c r="AB10" s="7" cm="1">
        <f t="array" aca="1" ref="AB10" ca="1">CELL("protect",D10)</f>
        <v>0</v>
      </c>
      <c r="AC10" s="7" cm="1">
        <f t="array" aca="1" ref="AC10" ca="1">CELL("protect",E10)</f>
        <v>1</v>
      </c>
      <c r="AD10" s="7" cm="1">
        <f t="array" aca="1" ref="AD10" ca="1">CELL("protect",F10)</f>
        <v>0</v>
      </c>
      <c r="AE10" s="7" cm="1">
        <f t="array" aca="1" ref="AE10" ca="1">CELL("protect",G10)</f>
        <v>0</v>
      </c>
      <c r="AF10" s="7" cm="1">
        <f t="array" aca="1" ref="AF10" ca="1">CELL("protect",H10)</f>
        <v>0</v>
      </c>
      <c r="AG10" s="7" cm="1">
        <f t="array" aca="1" ref="AG10" ca="1">CELL("protect",I10)</f>
        <v>0</v>
      </c>
      <c r="AH10" s="7" cm="1">
        <f t="array" aca="1" ref="AH10" ca="1">CELL("protect",J10)</f>
        <v>0</v>
      </c>
      <c r="AI10" s="7" cm="1">
        <f t="array" aca="1" ref="AI10" ca="1">CELL("protect",K10)</f>
        <v>0</v>
      </c>
      <c r="AJ10" s="7" cm="1">
        <f t="array" aca="1" ref="AJ10" ca="1">CELL("protect",L10)</f>
        <v>0</v>
      </c>
      <c r="AK10" s="7"/>
      <c r="AL10" s="7"/>
      <c r="AM10" s="7"/>
    </row>
    <row r="11" spans="1:39">
      <c r="A11" s="149">
        <f>ROW()</f>
        <v>11</v>
      </c>
      <c r="B11" s="576" t="s">
        <v>776</v>
      </c>
      <c r="C11" s="637">
        <v>0</v>
      </c>
      <c r="D11" s="638">
        <v>0</v>
      </c>
      <c r="E11" s="1072">
        <f t="shared" ref="E11:E47" si="0">SUM(F11:L11)</f>
        <v>0</v>
      </c>
      <c r="F11" s="1128">
        <v>0</v>
      </c>
      <c r="G11" s="1107">
        <f t="shared" ref="G11:G46" si="1">+$D11</f>
        <v>0</v>
      </c>
      <c r="H11" s="1057">
        <f t="shared" ref="H11:L19" si="2">+$D11</f>
        <v>0</v>
      </c>
      <c r="I11" s="1057">
        <f t="shared" si="2"/>
        <v>0</v>
      </c>
      <c r="J11" s="1057">
        <f t="shared" si="2"/>
        <v>0</v>
      </c>
      <c r="K11" s="1057">
        <f t="shared" si="2"/>
        <v>0</v>
      </c>
      <c r="L11" s="1057">
        <f t="shared" si="2"/>
        <v>0</v>
      </c>
      <c r="N11" s="421"/>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ht="45">
      <c r="A12" s="1110">
        <f>ROW()</f>
        <v>12</v>
      </c>
      <c r="B12" s="577" t="s">
        <v>777</v>
      </c>
      <c r="C12" s="578">
        <v>1000000</v>
      </c>
      <c r="D12" s="326"/>
      <c r="E12" s="1071">
        <f t="shared" si="0"/>
        <v>56546.839208550598</v>
      </c>
      <c r="F12" s="1129">
        <v>0</v>
      </c>
      <c r="G12" s="1075">
        <v>8742</v>
      </c>
      <c r="H12" s="563">
        <f>G12+(G12*0.03)</f>
        <v>9004.26</v>
      </c>
      <c r="I12" s="563">
        <f t="shared" ref="I12:L12" si="3">H12+(H12*0.03)</f>
        <v>9274.3878000000004</v>
      </c>
      <c r="J12" s="563">
        <f t="shared" si="3"/>
        <v>9552.6194340000002</v>
      </c>
      <c r="K12" s="563">
        <f t="shared" si="3"/>
        <v>9839.1980170200004</v>
      </c>
      <c r="L12" s="563">
        <f t="shared" si="3"/>
        <v>10134.373957530601</v>
      </c>
      <c r="N12" s="421" t="s">
        <v>1216</v>
      </c>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1</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c r="A13" s="149">
        <f>ROW()</f>
        <v>13</v>
      </c>
      <c r="B13" s="579" t="s">
        <v>778</v>
      </c>
      <c r="C13" s="314">
        <v>3000000</v>
      </c>
      <c r="D13" s="326"/>
      <c r="E13" s="1071">
        <f t="shared" si="0"/>
        <v>0</v>
      </c>
      <c r="F13" s="1129">
        <v>0</v>
      </c>
      <c r="G13" s="1075">
        <v>0</v>
      </c>
      <c r="H13" s="563">
        <f t="shared" si="2"/>
        <v>0</v>
      </c>
      <c r="I13" s="563">
        <f t="shared" si="2"/>
        <v>0</v>
      </c>
      <c r="J13" s="563">
        <f t="shared" si="2"/>
        <v>0</v>
      </c>
      <c r="K13" s="563">
        <f t="shared" si="2"/>
        <v>0</v>
      </c>
      <c r="L13" s="563">
        <f t="shared" si="2"/>
        <v>0</v>
      </c>
      <c r="N13" s="421"/>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1</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c r="A14" s="149">
        <f>ROW()</f>
        <v>14</v>
      </c>
      <c r="B14" s="579" t="s">
        <v>779</v>
      </c>
      <c r="C14" s="314">
        <v>1000000</v>
      </c>
      <c r="D14" s="326"/>
      <c r="E14" s="1071">
        <f t="shared" si="0"/>
        <v>0</v>
      </c>
      <c r="F14" s="1129">
        <v>0</v>
      </c>
      <c r="G14" s="1075">
        <v>0</v>
      </c>
      <c r="H14" s="563">
        <f t="shared" si="2"/>
        <v>0</v>
      </c>
      <c r="I14" s="563">
        <f t="shared" si="2"/>
        <v>0</v>
      </c>
      <c r="J14" s="563">
        <f t="shared" si="2"/>
        <v>0</v>
      </c>
      <c r="K14" s="563">
        <f t="shared" si="2"/>
        <v>0</v>
      </c>
      <c r="L14" s="563">
        <f t="shared" si="2"/>
        <v>0</v>
      </c>
      <c r="N14" s="421"/>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1</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c r="A15" s="149">
        <f>ROW()</f>
        <v>15</v>
      </c>
      <c r="B15" s="579" t="s">
        <v>780</v>
      </c>
      <c r="C15" s="314">
        <v>1000000</v>
      </c>
      <c r="D15" s="326"/>
      <c r="E15" s="1071">
        <f t="shared" si="0"/>
        <v>23139.190660000004</v>
      </c>
      <c r="F15" s="1129">
        <v>0</v>
      </c>
      <c r="G15" s="1075">
        <v>1300</v>
      </c>
      <c r="H15" s="563">
        <v>2520</v>
      </c>
      <c r="I15" s="563">
        <v>3780</v>
      </c>
      <c r="J15" s="563">
        <f t="shared" ref="J15" si="4">I15*1.33</f>
        <v>5027.4000000000005</v>
      </c>
      <c r="K15" s="563">
        <f t="shared" ref="K15:L15" si="5">J15*1.03</f>
        <v>5178.2220000000007</v>
      </c>
      <c r="L15" s="563">
        <f t="shared" si="5"/>
        <v>5333.5686600000008</v>
      </c>
      <c r="N15" s="421" t="s">
        <v>1216</v>
      </c>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1</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c r="A16" s="149">
        <f>ROW()</f>
        <v>16</v>
      </c>
      <c r="B16" s="580" t="s">
        <v>781</v>
      </c>
      <c r="C16" s="314">
        <v>1000000</v>
      </c>
      <c r="D16" s="326"/>
      <c r="E16" s="1071">
        <f t="shared" si="0"/>
        <v>0</v>
      </c>
      <c r="F16" s="1129">
        <v>0</v>
      </c>
      <c r="G16" s="1075"/>
      <c r="H16" s="563"/>
      <c r="I16" s="563"/>
      <c r="J16" s="563"/>
      <c r="K16" s="563"/>
      <c r="L16" s="563"/>
      <c r="N16" s="421"/>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1</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ht="32.25" customHeight="1">
      <c r="A17" s="1110">
        <f>ROW()</f>
        <v>17</v>
      </c>
      <c r="B17" s="577" t="s">
        <v>782</v>
      </c>
      <c r="C17" s="314">
        <v>1000000</v>
      </c>
      <c r="D17" s="326">
        <v>0</v>
      </c>
      <c r="E17" s="1071">
        <f t="shared" si="0"/>
        <v>0</v>
      </c>
      <c r="F17" s="1129">
        <v>0</v>
      </c>
      <c r="G17" s="1075"/>
      <c r="H17" s="1075"/>
      <c r="I17" s="1075"/>
      <c r="J17" s="1075"/>
      <c r="K17" s="1075"/>
      <c r="L17" s="1075"/>
      <c r="N17" s="421"/>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1</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c r="A18" s="149">
        <f>ROW()</f>
        <v>18</v>
      </c>
      <c r="B18" s="579" t="s">
        <v>783</v>
      </c>
      <c r="C18" s="314">
        <v>1000000</v>
      </c>
      <c r="D18" s="326">
        <v>0</v>
      </c>
      <c r="E18" s="1071">
        <f t="shared" si="0"/>
        <v>0</v>
      </c>
      <c r="F18" s="1129">
        <v>0</v>
      </c>
      <c r="G18" s="1075">
        <f t="shared" si="1"/>
        <v>0</v>
      </c>
      <c r="H18" s="563">
        <f t="shared" si="2"/>
        <v>0</v>
      </c>
      <c r="I18" s="563">
        <f t="shared" si="2"/>
        <v>0</v>
      </c>
      <c r="J18" s="563">
        <f t="shared" si="2"/>
        <v>0</v>
      </c>
      <c r="K18" s="563">
        <f t="shared" si="2"/>
        <v>0</v>
      </c>
      <c r="L18" s="563">
        <f t="shared" si="2"/>
        <v>0</v>
      </c>
      <c r="N18" s="421"/>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1</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c r="A19" s="149">
        <f>ROW()</f>
        <v>19</v>
      </c>
      <c r="B19" s="579" t="s">
        <v>784</v>
      </c>
      <c r="C19" s="314">
        <v>1000000</v>
      </c>
      <c r="D19" s="326">
        <v>0</v>
      </c>
      <c r="E19" s="1071">
        <f t="shared" si="0"/>
        <v>0</v>
      </c>
      <c r="F19" s="1129">
        <v>0</v>
      </c>
      <c r="G19" s="1075">
        <f t="shared" si="1"/>
        <v>0</v>
      </c>
      <c r="H19" s="563">
        <f t="shared" si="2"/>
        <v>0</v>
      </c>
      <c r="I19" s="563">
        <f t="shared" si="2"/>
        <v>0</v>
      </c>
      <c r="J19" s="563">
        <f t="shared" si="2"/>
        <v>0</v>
      </c>
      <c r="K19" s="563">
        <f t="shared" si="2"/>
        <v>0</v>
      </c>
      <c r="L19" s="563">
        <f t="shared" si="2"/>
        <v>0</v>
      </c>
      <c r="N19" s="421"/>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1</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c r="A20" s="149">
        <f>ROW()</f>
        <v>20</v>
      </c>
      <c r="B20" s="498"/>
      <c r="C20" s="493"/>
      <c r="D20" s="493"/>
      <c r="E20" s="1071"/>
      <c r="F20" s="1130"/>
      <c r="G20" s="1076"/>
      <c r="H20" s="640"/>
      <c r="I20" s="640"/>
      <c r="J20" s="640"/>
      <c r="K20" s="640"/>
      <c r="L20" s="640"/>
      <c r="N20" s="421"/>
      <c r="Y20" s="7" cm="1">
        <f t="array" aca="1" ref="Y20" ca="1">CELL("protect",A20)</f>
        <v>1</v>
      </c>
      <c r="Z20" s="7" cm="1">
        <f t="array" aca="1" ref="Z20" ca="1">CELL("protect",B20)</f>
        <v>0</v>
      </c>
      <c r="AA20" s="7" cm="1">
        <f t="array" aca="1" ref="AA20" ca="1">CELL("protect",C20)</f>
        <v>0</v>
      </c>
      <c r="AB20" s="7" cm="1">
        <f t="array" aca="1" ref="AB20" ca="1">CELL("protect",D20)</f>
        <v>0</v>
      </c>
      <c r="AC20" s="7" cm="1">
        <f t="array" aca="1" ref="AC20" ca="1">CELL("protect",E20)</f>
        <v>1</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c r="A21" s="149">
        <f>ROW()</f>
        <v>21</v>
      </c>
      <c r="B21" s="574" t="s">
        <v>785</v>
      </c>
      <c r="C21" s="1125"/>
      <c r="D21" s="1125"/>
      <c r="E21" s="1070"/>
      <c r="F21" s="1131"/>
      <c r="G21" s="1101"/>
      <c r="H21" s="1102"/>
      <c r="I21" s="1102"/>
      <c r="J21" s="1102"/>
      <c r="K21" s="1102"/>
      <c r="L21" s="1102"/>
      <c r="N21" s="421"/>
      <c r="Y21" s="7"/>
      <c r="Z21" s="7"/>
      <c r="AA21" s="7"/>
      <c r="AB21" s="7"/>
      <c r="AC21" s="7"/>
      <c r="AD21" s="7"/>
      <c r="AE21" s="7"/>
      <c r="AF21" s="7"/>
      <c r="AG21" s="7"/>
      <c r="AH21" s="7"/>
      <c r="AI21" s="7"/>
      <c r="AJ21" s="7"/>
      <c r="AK21" s="7"/>
      <c r="AL21" s="7"/>
      <c r="AM21" s="7"/>
    </row>
    <row r="22" spans="1:39">
      <c r="A22" s="149">
        <f>ROW()</f>
        <v>22</v>
      </c>
      <c r="B22" s="1126" t="s">
        <v>786</v>
      </c>
      <c r="C22" s="314" t="s">
        <v>787</v>
      </c>
      <c r="D22" s="326"/>
      <c r="E22" s="1134">
        <f t="shared" ref="E22" si="6">SUM(F22:L22)</f>
        <v>30000</v>
      </c>
      <c r="F22" s="1129">
        <v>0</v>
      </c>
      <c r="G22" s="1075">
        <v>5000</v>
      </c>
      <c r="H22" s="1075">
        <v>5000</v>
      </c>
      <c r="I22" s="1075">
        <v>5000</v>
      </c>
      <c r="J22" s="1075">
        <v>5000</v>
      </c>
      <c r="K22" s="1075">
        <v>5000</v>
      </c>
      <c r="L22" s="1075">
        <v>5000</v>
      </c>
      <c r="N22" s="421" t="s">
        <v>1217</v>
      </c>
      <c r="Y22" s="7"/>
      <c r="Z22" s="7"/>
      <c r="AA22" s="7"/>
      <c r="AB22" s="7"/>
      <c r="AC22" s="7"/>
      <c r="AD22" s="7"/>
      <c r="AE22" s="7"/>
      <c r="AF22" s="7"/>
      <c r="AG22" s="7"/>
      <c r="AH22" s="7"/>
      <c r="AI22" s="7"/>
      <c r="AJ22" s="7"/>
      <c r="AK22" s="7"/>
      <c r="AL22" s="7"/>
      <c r="AM22" s="7"/>
    </row>
    <row r="23" spans="1:39">
      <c r="A23" s="149">
        <f>ROW()</f>
        <v>23</v>
      </c>
      <c r="B23" s="1126" t="s">
        <v>788</v>
      </c>
      <c r="C23" s="1125"/>
      <c r="D23" s="1125"/>
      <c r="E23" s="1070"/>
      <c r="F23" s="1131"/>
      <c r="G23" s="1101"/>
      <c r="H23" s="1102"/>
      <c r="I23" s="1102"/>
      <c r="J23" s="1102"/>
      <c r="K23" s="1102"/>
      <c r="L23" s="1102"/>
      <c r="N23" s="421"/>
      <c r="Y23" s="7"/>
      <c r="Z23" s="7"/>
      <c r="AA23" s="7"/>
      <c r="AB23" s="7"/>
      <c r="AC23" s="7"/>
      <c r="AD23" s="7"/>
      <c r="AE23" s="7"/>
      <c r="AF23" s="7"/>
      <c r="AG23" s="7"/>
      <c r="AH23" s="7"/>
      <c r="AI23" s="7"/>
      <c r="AJ23" s="7"/>
      <c r="AK23" s="7"/>
      <c r="AL23" s="7"/>
      <c r="AM23" s="7"/>
    </row>
    <row r="24" spans="1:39">
      <c r="A24" s="149">
        <f>ROW()</f>
        <v>24</v>
      </c>
      <c r="B24" s="1124"/>
      <c r="C24" s="1125"/>
      <c r="D24" s="1125"/>
      <c r="E24" s="1070"/>
      <c r="F24" s="1131"/>
      <c r="G24" s="1101"/>
      <c r="H24" s="1102"/>
      <c r="I24" s="1102"/>
      <c r="J24" s="1102"/>
      <c r="K24" s="1102"/>
      <c r="L24" s="1102"/>
      <c r="N24" s="421"/>
      <c r="Y24" s="7"/>
      <c r="Z24" s="7"/>
      <c r="AA24" s="7"/>
      <c r="AB24" s="7"/>
      <c r="AC24" s="7"/>
      <c r="AD24" s="7"/>
      <c r="AE24" s="7"/>
      <c r="AF24" s="7"/>
      <c r="AG24" s="7"/>
      <c r="AH24" s="7"/>
      <c r="AI24" s="7"/>
      <c r="AJ24" s="7"/>
      <c r="AK24" s="7"/>
      <c r="AL24" s="7"/>
      <c r="AM24" s="7"/>
    </row>
    <row r="25" spans="1:39">
      <c r="A25" s="149">
        <f>ROW()</f>
        <v>25</v>
      </c>
      <c r="B25" s="494" t="s">
        <v>789</v>
      </c>
      <c r="C25" s="490"/>
      <c r="D25" s="490"/>
      <c r="E25" s="1070"/>
      <c r="F25" s="1131"/>
      <c r="G25" s="1101"/>
      <c r="H25" s="1102"/>
      <c r="I25" s="1102"/>
      <c r="J25" s="1102"/>
      <c r="K25" s="1102"/>
      <c r="L25" s="1102"/>
      <c r="N25" s="421"/>
      <c r="Y25" s="7" cm="1">
        <f t="array" aca="1" ref="Y25" ca="1">CELL("protect",A25)</f>
        <v>1</v>
      </c>
      <c r="Z25" s="7" cm="1">
        <f t="array" aca="1" ref="Z25" ca="1">CELL("protect",B25)</f>
        <v>0</v>
      </c>
      <c r="AA25" s="7" cm="1">
        <f t="array" aca="1" ref="AA25" ca="1">CELL("protect",C25)</f>
        <v>0</v>
      </c>
      <c r="AB25" s="7" cm="1">
        <f t="array" aca="1" ref="AB25" ca="1">CELL("protect",D25)</f>
        <v>0</v>
      </c>
      <c r="AC25" s="7" cm="1">
        <f t="array" aca="1" ref="AC25" ca="1">CELL("protect",E25)</f>
        <v>1</v>
      </c>
      <c r="AD25" s="7" cm="1">
        <f t="array" aca="1" ref="AD25" ca="1">CELL("protect",F25)</f>
        <v>0</v>
      </c>
      <c r="AE25" s="7" cm="1">
        <f t="array" aca="1" ref="AE25" ca="1">CELL("protect",G25)</f>
        <v>0</v>
      </c>
      <c r="AF25" s="7" cm="1">
        <f t="array" aca="1" ref="AF25" ca="1">CELL("protect",H25)</f>
        <v>0</v>
      </c>
      <c r="AG25" s="7" cm="1">
        <f t="array" aca="1" ref="AG25" ca="1">CELL("protect",I25)</f>
        <v>0</v>
      </c>
      <c r="AH25" s="7" cm="1">
        <f t="array" aca="1" ref="AH25" ca="1">CELL("protect",J25)</f>
        <v>0</v>
      </c>
      <c r="AI25" s="7" cm="1">
        <f t="array" aca="1" ref="AI25" ca="1">CELL("protect",K25)</f>
        <v>0</v>
      </c>
      <c r="AJ25" s="7" cm="1">
        <f t="array" aca="1" ref="AJ25" ca="1">CELL("protect",L25)</f>
        <v>0</v>
      </c>
      <c r="AK25" s="7"/>
      <c r="AL25" s="7"/>
      <c r="AM25" s="7"/>
    </row>
    <row r="26" spans="1:39">
      <c r="A26" s="149">
        <f>ROW()</f>
        <v>26</v>
      </c>
      <c r="B26" s="324" t="s">
        <v>790</v>
      </c>
      <c r="C26" s="489"/>
      <c r="D26" s="489"/>
      <c r="E26" s="1073">
        <f t="shared" si="0"/>
        <v>8468.0763999999999</v>
      </c>
      <c r="F26" s="1132">
        <v>0</v>
      </c>
      <c r="G26" s="1103">
        <v>1200</v>
      </c>
      <c r="H26" s="1104">
        <v>1135</v>
      </c>
      <c r="I26" s="1104">
        <v>1200</v>
      </c>
      <c r="J26" s="1104">
        <f>I26*1.33</f>
        <v>1596</v>
      </c>
      <c r="K26" s="1104">
        <f>J26*1.03</f>
        <v>1643.88</v>
      </c>
      <c r="L26" s="1104">
        <f>K26*1.03</f>
        <v>1693.1964000000003</v>
      </c>
      <c r="N26" s="421" t="s">
        <v>1216</v>
      </c>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c r="A27" s="149">
        <f>ROW()</f>
        <v>27</v>
      </c>
      <c r="B27" s="327" t="s">
        <v>791</v>
      </c>
      <c r="C27" s="326">
        <v>0</v>
      </c>
      <c r="D27" s="326"/>
      <c r="E27" s="1071">
        <f t="shared" si="0"/>
        <v>0</v>
      </c>
      <c r="F27" s="1129">
        <v>0</v>
      </c>
      <c r="G27" s="1075"/>
      <c r="H27" s="563"/>
      <c r="I27" s="563"/>
      <c r="J27" s="563"/>
      <c r="K27" s="563"/>
      <c r="L27" s="563"/>
      <c r="N27" s="421" t="s">
        <v>1421</v>
      </c>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1</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c r="A28" s="149">
        <f>ROW()</f>
        <v>28</v>
      </c>
      <c r="B28" s="1508" t="s">
        <v>792</v>
      </c>
      <c r="C28" s="326">
        <v>0</v>
      </c>
      <c r="D28" s="326"/>
      <c r="E28" s="1071">
        <f t="shared" si="0"/>
        <v>8923.6878260000012</v>
      </c>
      <c r="F28" s="1129">
        <v>0</v>
      </c>
      <c r="G28" s="1075">
        <v>500</v>
      </c>
      <c r="H28" s="563">
        <v>972</v>
      </c>
      <c r="I28" s="563">
        <v>1458</v>
      </c>
      <c r="J28" s="563">
        <f t="shared" ref="J28:J29" si="7">I28*1.33</f>
        <v>1939.14</v>
      </c>
      <c r="K28" s="563">
        <f>J28*1.03</f>
        <v>1997.3142000000003</v>
      </c>
      <c r="L28" s="563">
        <f>K28*1.03</f>
        <v>2057.2336260000002</v>
      </c>
      <c r="N28" s="421" t="s">
        <v>1216</v>
      </c>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1</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c r="A29" s="149">
        <f>ROW()</f>
        <v>29</v>
      </c>
      <c r="B29" s="1508" t="s">
        <v>1215</v>
      </c>
      <c r="C29" s="326">
        <v>0</v>
      </c>
      <c r="D29" s="326"/>
      <c r="E29" s="1071">
        <f t="shared" si="0"/>
        <v>3808.2209250000001</v>
      </c>
      <c r="F29" s="1129">
        <v>0</v>
      </c>
      <c r="G29" s="1075">
        <v>600</v>
      </c>
      <c r="H29" s="563">
        <v>525</v>
      </c>
      <c r="I29" s="563">
        <v>525</v>
      </c>
      <c r="J29" s="563">
        <f t="shared" si="7"/>
        <v>698.25</v>
      </c>
      <c r="K29" s="563">
        <f t="shared" ref="K29" si="8">J29*1.03</f>
        <v>719.19749999999999</v>
      </c>
      <c r="L29" s="563">
        <f t="shared" ref="L29" si="9">K29*1.03</f>
        <v>740.77342499999997</v>
      </c>
      <c r="N29" s="421" t="s">
        <v>1216</v>
      </c>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1</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c r="A30" s="149">
        <f>ROW()</f>
        <v>30</v>
      </c>
      <c r="B30" s="1508"/>
      <c r="C30" s="326">
        <v>0</v>
      </c>
      <c r="D30" s="326"/>
      <c r="E30" s="1071">
        <f t="shared" si="0"/>
        <v>0</v>
      </c>
      <c r="F30" s="1129">
        <v>0</v>
      </c>
      <c r="G30" s="1075">
        <f t="shared" si="1"/>
        <v>0</v>
      </c>
      <c r="H30" s="563">
        <f t="shared" ref="H30:L37" si="10">+$D30</f>
        <v>0</v>
      </c>
      <c r="I30" s="563">
        <f t="shared" si="10"/>
        <v>0</v>
      </c>
      <c r="J30" s="563">
        <f t="shared" si="10"/>
        <v>0</v>
      </c>
      <c r="K30" s="563">
        <f t="shared" si="10"/>
        <v>0</v>
      </c>
      <c r="L30" s="563">
        <f t="shared" si="10"/>
        <v>0</v>
      </c>
      <c r="N30" s="421"/>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1</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c r="A31" s="149">
        <f>ROW()</f>
        <v>31</v>
      </c>
      <c r="B31" s="1508"/>
      <c r="C31" s="326">
        <v>0</v>
      </c>
      <c r="D31" s="326"/>
      <c r="E31" s="1071">
        <f t="shared" si="0"/>
        <v>0</v>
      </c>
      <c r="F31" s="1129">
        <v>0</v>
      </c>
      <c r="G31" s="1075">
        <f t="shared" si="1"/>
        <v>0</v>
      </c>
      <c r="H31" s="563">
        <f t="shared" si="10"/>
        <v>0</v>
      </c>
      <c r="I31" s="563">
        <f t="shared" si="10"/>
        <v>0</v>
      </c>
      <c r="J31" s="563">
        <f t="shared" si="10"/>
        <v>0</v>
      </c>
      <c r="K31" s="563">
        <f t="shared" si="10"/>
        <v>0</v>
      </c>
      <c r="L31" s="563">
        <f t="shared" si="10"/>
        <v>0</v>
      </c>
      <c r="N31" s="421"/>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1</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c r="A32" s="149">
        <f>ROW()</f>
        <v>32</v>
      </c>
      <c r="B32" s="1508"/>
      <c r="C32" s="326">
        <v>0</v>
      </c>
      <c r="D32" s="326">
        <v>0</v>
      </c>
      <c r="E32" s="1071">
        <f t="shared" si="0"/>
        <v>0</v>
      </c>
      <c r="F32" s="1129">
        <v>0</v>
      </c>
      <c r="G32" s="1075">
        <f t="shared" si="1"/>
        <v>0</v>
      </c>
      <c r="H32" s="563">
        <f t="shared" si="10"/>
        <v>0</v>
      </c>
      <c r="I32" s="563">
        <f t="shared" si="10"/>
        <v>0</v>
      </c>
      <c r="J32" s="563">
        <f t="shared" si="10"/>
        <v>0</v>
      </c>
      <c r="K32" s="563">
        <f t="shared" si="10"/>
        <v>0</v>
      </c>
      <c r="L32" s="563">
        <f t="shared" si="10"/>
        <v>0</v>
      </c>
      <c r="N32" s="421"/>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1</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c r="A33" s="149">
        <f>ROW()</f>
        <v>33</v>
      </c>
      <c r="B33" s="1508"/>
      <c r="C33" s="326">
        <v>0</v>
      </c>
      <c r="D33" s="326">
        <v>0</v>
      </c>
      <c r="E33" s="1071">
        <f t="shared" si="0"/>
        <v>0</v>
      </c>
      <c r="F33" s="1129">
        <v>0</v>
      </c>
      <c r="G33" s="1075">
        <f t="shared" si="1"/>
        <v>0</v>
      </c>
      <c r="H33" s="563">
        <f t="shared" si="10"/>
        <v>0</v>
      </c>
      <c r="I33" s="563">
        <f t="shared" si="10"/>
        <v>0</v>
      </c>
      <c r="J33" s="563">
        <f t="shared" si="10"/>
        <v>0</v>
      </c>
      <c r="K33" s="563">
        <f t="shared" si="10"/>
        <v>0</v>
      </c>
      <c r="L33" s="563">
        <f t="shared" si="10"/>
        <v>0</v>
      </c>
      <c r="N33" s="421"/>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1</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c r="A34" s="149">
        <f>ROW()</f>
        <v>34</v>
      </c>
      <c r="B34" s="1508"/>
      <c r="C34" s="326">
        <v>0</v>
      </c>
      <c r="D34" s="326"/>
      <c r="E34" s="1071">
        <f t="shared" si="0"/>
        <v>0</v>
      </c>
      <c r="F34" s="1129">
        <v>0</v>
      </c>
      <c r="G34" s="1075"/>
      <c r="H34" s="563"/>
      <c r="I34" s="563"/>
      <c r="J34" s="563"/>
      <c r="K34" s="563"/>
      <c r="L34" s="563"/>
      <c r="N34" s="421"/>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1</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c r="A35" s="149">
        <f>ROW()</f>
        <v>35</v>
      </c>
      <c r="B35" s="404"/>
      <c r="C35" s="326">
        <v>0</v>
      </c>
      <c r="D35" s="326">
        <v>0</v>
      </c>
      <c r="E35" s="1071">
        <f t="shared" si="0"/>
        <v>0</v>
      </c>
      <c r="F35" s="1129">
        <v>0</v>
      </c>
      <c r="G35" s="1075">
        <f t="shared" si="1"/>
        <v>0</v>
      </c>
      <c r="H35" s="563">
        <f t="shared" si="10"/>
        <v>0</v>
      </c>
      <c r="I35" s="563">
        <f t="shared" si="10"/>
        <v>0</v>
      </c>
      <c r="J35" s="563">
        <f t="shared" si="10"/>
        <v>0</v>
      </c>
      <c r="K35" s="563">
        <f t="shared" si="10"/>
        <v>0</v>
      </c>
      <c r="L35" s="563">
        <f t="shared" si="10"/>
        <v>0</v>
      </c>
      <c r="N35" s="421"/>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1</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c r="A36" s="149">
        <f>ROW()</f>
        <v>36</v>
      </c>
      <c r="B36" s="404"/>
      <c r="C36" s="326">
        <v>0</v>
      </c>
      <c r="D36" s="326">
        <v>0</v>
      </c>
      <c r="E36" s="1071">
        <f t="shared" si="0"/>
        <v>0</v>
      </c>
      <c r="F36" s="1129">
        <v>0</v>
      </c>
      <c r="G36" s="1075">
        <f t="shared" si="1"/>
        <v>0</v>
      </c>
      <c r="H36" s="563">
        <f t="shared" si="10"/>
        <v>0</v>
      </c>
      <c r="I36" s="563">
        <f t="shared" si="10"/>
        <v>0</v>
      </c>
      <c r="J36" s="563">
        <f t="shared" si="10"/>
        <v>0</v>
      </c>
      <c r="K36" s="563">
        <f t="shared" si="10"/>
        <v>0</v>
      </c>
      <c r="L36" s="563">
        <f t="shared" si="10"/>
        <v>0</v>
      </c>
      <c r="N36" s="421"/>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1</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c r="A37" s="149">
        <f>ROW()</f>
        <v>37</v>
      </c>
      <c r="B37" s="1508"/>
      <c r="C37" s="326">
        <v>0</v>
      </c>
      <c r="D37" s="326">
        <v>0</v>
      </c>
      <c r="E37" s="1071">
        <f t="shared" si="0"/>
        <v>0</v>
      </c>
      <c r="F37" s="1129">
        <v>0</v>
      </c>
      <c r="G37" s="1075">
        <f t="shared" si="1"/>
        <v>0</v>
      </c>
      <c r="H37" s="563">
        <f t="shared" si="10"/>
        <v>0</v>
      </c>
      <c r="I37" s="563">
        <f t="shared" si="10"/>
        <v>0</v>
      </c>
      <c r="J37" s="563">
        <f t="shared" si="10"/>
        <v>0</v>
      </c>
      <c r="K37" s="563">
        <f t="shared" si="10"/>
        <v>0</v>
      </c>
      <c r="L37" s="563">
        <f t="shared" si="10"/>
        <v>0</v>
      </c>
      <c r="N37" s="421"/>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1</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c r="A38" s="149">
        <f>ROW()</f>
        <v>38</v>
      </c>
      <c r="B38" s="1508"/>
      <c r="C38" s="326">
        <v>0</v>
      </c>
      <c r="D38" s="326"/>
      <c r="E38" s="1071">
        <f t="shared" si="0"/>
        <v>0</v>
      </c>
      <c r="F38" s="1129">
        <v>0</v>
      </c>
      <c r="G38" s="1075"/>
      <c r="H38" s="563"/>
      <c r="I38" s="563"/>
      <c r="J38" s="563"/>
      <c r="K38" s="563"/>
      <c r="L38" s="563"/>
      <c r="N38" s="421"/>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1</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c r="A39" s="149">
        <f>ROW()</f>
        <v>39</v>
      </c>
      <c r="B39" s="1508"/>
      <c r="C39" s="326"/>
      <c r="D39" s="326"/>
      <c r="E39" s="1071">
        <f t="shared" si="0"/>
        <v>0</v>
      </c>
      <c r="F39" s="1129">
        <v>0</v>
      </c>
      <c r="G39" s="1075"/>
      <c r="H39" s="563"/>
      <c r="I39" s="563"/>
      <c r="J39" s="563"/>
      <c r="K39" s="563"/>
      <c r="L39" s="563"/>
      <c r="N39" s="421"/>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1</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c r="A40" s="149">
        <f>ROW()</f>
        <v>40</v>
      </c>
      <c r="B40" s="1508"/>
      <c r="C40" s="328"/>
      <c r="D40" s="328"/>
      <c r="E40" s="1071">
        <f t="shared" si="0"/>
        <v>0</v>
      </c>
      <c r="F40" s="1129">
        <v>0</v>
      </c>
      <c r="G40" s="1075">
        <f t="shared" si="1"/>
        <v>0</v>
      </c>
      <c r="H40" s="563">
        <f t="shared" ref="H40:L46" si="11">+$D40</f>
        <v>0</v>
      </c>
      <c r="I40" s="563">
        <f t="shared" si="11"/>
        <v>0</v>
      </c>
      <c r="J40" s="563">
        <f t="shared" si="11"/>
        <v>0</v>
      </c>
      <c r="K40" s="563">
        <f t="shared" si="11"/>
        <v>0</v>
      </c>
      <c r="L40" s="563">
        <f t="shared" si="11"/>
        <v>0</v>
      </c>
      <c r="N40" s="421"/>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1</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c r="A41" s="149">
        <f>ROW()</f>
        <v>41</v>
      </c>
      <c r="B41" s="1508"/>
      <c r="C41" s="328"/>
      <c r="D41" s="328"/>
      <c r="E41" s="1071">
        <f t="shared" si="0"/>
        <v>0</v>
      </c>
      <c r="F41" s="1129">
        <v>0</v>
      </c>
      <c r="G41" s="1075">
        <f t="shared" si="1"/>
        <v>0</v>
      </c>
      <c r="H41" s="563">
        <f t="shared" si="11"/>
        <v>0</v>
      </c>
      <c r="I41" s="563">
        <f t="shared" si="11"/>
        <v>0</v>
      </c>
      <c r="J41" s="563">
        <f t="shared" si="11"/>
        <v>0</v>
      </c>
      <c r="K41" s="563">
        <f t="shared" si="11"/>
        <v>0</v>
      </c>
      <c r="L41" s="563">
        <f t="shared" si="11"/>
        <v>0</v>
      </c>
      <c r="N41" s="421"/>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1</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c r="A42" s="149">
        <f>ROW()</f>
        <v>42</v>
      </c>
      <c r="B42" s="1508"/>
      <c r="C42" s="328"/>
      <c r="D42" s="328"/>
      <c r="E42" s="1071">
        <f t="shared" si="0"/>
        <v>0</v>
      </c>
      <c r="F42" s="1129">
        <v>0</v>
      </c>
      <c r="G42" s="1075">
        <f t="shared" si="1"/>
        <v>0</v>
      </c>
      <c r="H42" s="563">
        <f t="shared" si="11"/>
        <v>0</v>
      </c>
      <c r="I42" s="563">
        <f t="shared" si="11"/>
        <v>0</v>
      </c>
      <c r="J42" s="563">
        <f t="shared" si="11"/>
        <v>0</v>
      </c>
      <c r="K42" s="563">
        <f t="shared" si="11"/>
        <v>0</v>
      </c>
      <c r="L42" s="563">
        <f t="shared" si="11"/>
        <v>0</v>
      </c>
      <c r="N42" s="421"/>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1</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c r="A43" s="149">
        <f>ROW()</f>
        <v>43</v>
      </c>
      <c r="B43" s="1508"/>
      <c r="C43" s="328"/>
      <c r="D43" s="328"/>
      <c r="E43" s="1071">
        <f t="shared" si="0"/>
        <v>0</v>
      </c>
      <c r="F43" s="1129">
        <v>0</v>
      </c>
      <c r="G43" s="1075">
        <f t="shared" si="1"/>
        <v>0</v>
      </c>
      <c r="H43" s="563">
        <f t="shared" si="11"/>
        <v>0</v>
      </c>
      <c r="I43" s="563">
        <f t="shared" si="11"/>
        <v>0</v>
      </c>
      <c r="J43" s="563">
        <f t="shared" si="11"/>
        <v>0</v>
      </c>
      <c r="K43" s="563">
        <f t="shared" si="11"/>
        <v>0</v>
      </c>
      <c r="L43" s="563">
        <f t="shared" si="11"/>
        <v>0</v>
      </c>
      <c r="N43" s="421"/>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1</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c r="A44" s="149">
        <f>ROW()</f>
        <v>44</v>
      </c>
      <c r="B44" s="1508"/>
      <c r="C44" s="328"/>
      <c r="D44" s="328"/>
      <c r="E44" s="1071">
        <f t="shared" si="0"/>
        <v>0</v>
      </c>
      <c r="F44" s="1129">
        <v>0</v>
      </c>
      <c r="G44" s="1075">
        <f t="shared" si="1"/>
        <v>0</v>
      </c>
      <c r="H44" s="563">
        <f t="shared" si="11"/>
        <v>0</v>
      </c>
      <c r="I44" s="563">
        <f t="shared" si="11"/>
        <v>0</v>
      </c>
      <c r="J44" s="563">
        <f t="shared" si="11"/>
        <v>0</v>
      </c>
      <c r="K44" s="563">
        <f t="shared" si="11"/>
        <v>0</v>
      </c>
      <c r="L44" s="563">
        <f t="shared" si="11"/>
        <v>0</v>
      </c>
      <c r="N44" s="421"/>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1</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c r="A45" s="149">
        <f>ROW()</f>
        <v>45</v>
      </c>
      <c r="B45" s="1508"/>
      <c r="C45" s="328"/>
      <c r="D45" s="328"/>
      <c r="E45" s="1071">
        <f t="shared" si="0"/>
        <v>0</v>
      </c>
      <c r="F45" s="1129">
        <v>0</v>
      </c>
      <c r="G45" s="1075">
        <f t="shared" si="1"/>
        <v>0</v>
      </c>
      <c r="H45" s="563">
        <f t="shared" si="11"/>
        <v>0</v>
      </c>
      <c r="I45" s="563">
        <f t="shared" si="11"/>
        <v>0</v>
      </c>
      <c r="J45" s="563">
        <f t="shared" si="11"/>
        <v>0</v>
      </c>
      <c r="K45" s="563">
        <f t="shared" si="11"/>
        <v>0</v>
      </c>
      <c r="L45" s="563">
        <f t="shared" si="11"/>
        <v>0</v>
      </c>
      <c r="N45" s="421"/>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1</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c r="A46" s="149">
        <f>ROW()</f>
        <v>46</v>
      </c>
      <c r="B46" s="1508"/>
      <c r="C46" s="328"/>
      <c r="D46" s="328"/>
      <c r="E46" s="1071">
        <f t="shared" si="0"/>
        <v>0</v>
      </c>
      <c r="F46" s="1129">
        <v>0</v>
      </c>
      <c r="G46" s="1075">
        <f t="shared" si="1"/>
        <v>0</v>
      </c>
      <c r="H46" s="563">
        <f t="shared" si="11"/>
        <v>0</v>
      </c>
      <c r="I46" s="563">
        <f t="shared" si="11"/>
        <v>0</v>
      </c>
      <c r="J46" s="563">
        <f t="shared" si="11"/>
        <v>0</v>
      </c>
      <c r="K46" s="563">
        <f t="shared" si="11"/>
        <v>0</v>
      </c>
      <c r="L46" s="563">
        <f t="shared" si="11"/>
        <v>0</v>
      </c>
      <c r="N46" s="421"/>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1</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c r="A47" s="149">
        <f>ROW()</f>
        <v>47</v>
      </c>
      <c r="B47" s="1509"/>
      <c r="C47" s="328">
        <v>0</v>
      </c>
      <c r="D47" s="328">
        <v>0</v>
      </c>
      <c r="E47" s="56">
        <f t="shared" si="0"/>
        <v>0</v>
      </c>
      <c r="F47" s="1133">
        <v>0</v>
      </c>
      <c r="G47" s="1077">
        <f t="shared" ref="G47:L47" si="12">+$D47</f>
        <v>0</v>
      </c>
      <c r="H47" s="564">
        <f t="shared" si="12"/>
        <v>0</v>
      </c>
      <c r="I47" s="564">
        <f t="shared" si="12"/>
        <v>0</v>
      </c>
      <c r="J47" s="564">
        <f t="shared" si="12"/>
        <v>0</v>
      </c>
      <c r="K47" s="564">
        <f t="shared" si="12"/>
        <v>0</v>
      </c>
      <c r="L47" s="564">
        <f t="shared" si="12"/>
        <v>0</v>
      </c>
      <c r="N47" s="421"/>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1</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c r="A48" s="149">
        <f>ROW()</f>
        <v>48</v>
      </c>
      <c r="B48" s="434" t="s">
        <v>793</v>
      </c>
      <c r="C48" s="435"/>
      <c r="D48" s="435"/>
      <c r="E48" s="436"/>
      <c r="F48" s="1078">
        <f t="shared" ref="F48:L48" si="13">SUM(F9:F47)</f>
        <v>0</v>
      </c>
      <c r="G48" s="1078">
        <f t="shared" si="13"/>
        <v>17342</v>
      </c>
      <c r="H48" s="437">
        <f t="shared" si="13"/>
        <v>19156.260000000002</v>
      </c>
      <c r="I48" s="437">
        <f t="shared" si="13"/>
        <v>21237.3878</v>
      </c>
      <c r="J48" s="437">
        <f t="shared" si="13"/>
        <v>23813.409434000001</v>
      </c>
      <c r="K48" s="437">
        <f t="shared" si="13"/>
        <v>24377.811717020002</v>
      </c>
      <c r="L48" s="437">
        <f t="shared" si="13"/>
        <v>24959.146068530601</v>
      </c>
      <c r="N48" s="421"/>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1</v>
      </c>
      <c r="AD48" s="7" cm="1">
        <f t="array" aca="1" ref="AD48" ca="1">CELL("protect",F48)</f>
        <v>1</v>
      </c>
      <c r="AE48" s="7" cm="1">
        <f t="array" aca="1" ref="AE48" ca="1">CELL("protect",G48)</f>
        <v>1</v>
      </c>
      <c r="AF48" s="7" cm="1">
        <f t="array" aca="1" ref="AF48" ca="1">CELL("protect",H48)</f>
        <v>1</v>
      </c>
      <c r="AG48" s="7" cm="1">
        <f t="array" aca="1" ref="AG48" ca="1">CELL("protect",I48)</f>
        <v>1</v>
      </c>
      <c r="AH48" s="7" cm="1">
        <f t="array" aca="1" ref="AH48" ca="1">CELL("protect",J48)</f>
        <v>1</v>
      </c>
      <c r="AI48" s="7" cm="1">
        <f t="array" aca="1" ref="AI48" ca="1">CELL("protect",K48)</f>
        <v>1</v>
      </c>
      <c r="AJ48" s="7" cm="1">
        <f t="array" aca="1" ref="AJ48" ca="1">CELL("protect",L48)</f>
        <v>1</v>
      </c>
      <c r="AK48" s="7"/>
      <c r="AL48" s="7"/>
      <c r="AM48" s="7"/>
    </row>
    <row r="49" spans="1:39">
      <c r="A49" s="149">
        <f>ROW()</f>
        <v>49</v>
      </c>
      <c r="B49" s="432" t="s">
        <v>794</v>
      </c>
      <c r="C49" s="431"/>
      <c r="D49" s="1108"/>
      <c r="E49" s="1109"/>
      <c r="F49" s="433">
        <f t="shared" ref="F49:L49" si="14">+F48*((1+$D$49)^F7-1)</f>
        <v>0</v>
      </c>
      <c r="G49" s="433">
        <f t="shared" si="14"/>
        <v>0</v>
      </c>
      <c r="H49" s="313">
        <f t="shared" si="14"/>
        <v>0</v>
      </c>
      <c r="I49" s="313">
        <f t="shared" si="14"/>
        <v>0</v>
      </c>
      <c r="J49" s="313">
        <f t="shared" si="14"/>
        <v>0</v>
      </c>
      <c r="K49" s="313">
        <f t="shared" si="14"/>
        <v>0</v>
      </c>
      <c r="L49" s="313">
        <f t="shared" si="14"/>
        <v>0</v>
      </c>
      <c r="N49" s="421"/>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ht="15.75">
      <c r="A50" s="149"/>
      <c r="D50" s="1480">
        <f>SUM(D9:D47)</f>
        <v>0</v>
      </c>
      <c r="E50" s="309">
        <f>SUM(E9:E47)</f>
        <v>130886.0150195506</v>
      </c>
      <c r="F50" s="309">
        <f>SUM(F9:F47)</f>
        <v>0</v>
      </c>
      <c r="G50" s="309">
        <f t="shared" ref="G50:L50" si="15">SUM(G9:G47)+G49</f>
        <v>17342</v>
      </c>
      <c r="H50" s="309">
        <f t="shared" si="15"/>
        <v>19156.260000000002</v>
      </c>
      <c r="I50" s="309">
        <f t="shared" si="15"/>
        <v>21237.3878</v>
      </c>
      <c r="J50" s="309">
        <f t="shared" si="15"/>
        <v>23813.409434000001</v>
      </c>
      <c r="K50" s="309">
        <f t="shared" si="15"/>
        <v>24377.811717020002</v>
      </c>
      <c r="L50" s="309">
        <f t="shared" si="15"/>
        <v>24959.146068530601</v>
      </c>
      <c r="N50" s="421"/>
      <c r="Y50" s="7" cm="1">
        <f t="array" aca="1" ref="Y50" ca="1">CELL("protect",A50)</f>
        <v>1</v>
      </c>
      <c r="Z50" s="7" cm="1">
        <f t="array" aca="1" ref="Z50" ca="1">CELL("protect",B50)</f>
        <v>1</v>
      </c>
      <c r="AA50" s="7" cm="1">
        <f t="array" aca="1" ref="AA50" ca="1">CELL("protect",C50)</f>
        <v>1</v>
      </c>
      <c r="AB50" s="7" cm="1">
        <f t="array" aca="1" ref="AB50" ca="1">CELL("protect",D50)</f>
        <v>1</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c r="A51" s="149">
        <f t="shared" ref="A51:A72" si="16">ROW()-9</f>
        <v>42</v>
      </c>
      <c r="B51" s="220" t="s">
        <v>795</v>
      </c>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c r="A52" s="149">
        <f t="shared" si="16"/>
        <v>43</v>
      </c>
      <c r="B52" s="220" t="s">
        <v>796</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c r="A53" s="149">
        <f t="shared" si="16"/>
        <v>44</v>
      </c>
      <c r="B53" s="220" t="s">
        <v>797</v>
      </c>
      <c r="G53" s="430"/>
      <c r="H53" s="430"/>
      <c r="I53" s="430"/>
      <c r="J53" s="430"/>
      <c r="K53" s="430"/>
      <c r="L53" s="430"/>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c r="A54" s="149">
        <f t="shared" si="16"/>
        <v>45</v>
      </c>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c r="A55" s="149">
        <f t="shared" si="16"/>
        <v>46</v>
      </c>
    </row>
    <row r="56" spans="1:39">
      <c r="A56" s="149">
        <f t="shared" si="16"/>
        <v>47</v>
      </c>
    </row>
    <row r="57" spans="1:39">
      <c r="A57" s="149">
        <f t="shared" si="16"/>
        <v>48</v>
      </c>
    </row>
    <row r="58" spans="1:39">
      <c r="A58" s="149">
        <f t="shared" si="16"/>
        <v>49</v>
      </c>
    </row>
    <row r="59" spans="1:39">
      <c r="A59" s="149">
        <f t="shared" si="16"/>
        <v>50</v>
      </c>
    </row>
    <row r="60" spans="1:39">
      <c r="A60" s="149">
        <f t="shared" si="16"/>
        <v>51</v>
      </c>
    </row>
    <row r="61" spans="1:39">
      <c r="A61" s="149">
        <f t="shared" si="16"/>
        <v>52</v>
      </c>
    </row>
    <row r="62" spans="1:39">
      <c r="A62" s="149">
        <f t="shared" si="16"/>
        <v>53</v>
      </c>
    </row>
    <row r="63" spans="1:39">
      <c r="A63" s="149">
        <f t="shared" si="16"/>
        <v>54</v>
      </c>
    </row>
    <row r="64" spans="1:39">
      <c r="A64" s="149">
        <f t="shared" si="16"/>
        <v>55</v>
      </c>
    </row>
    <row r="65" spans="1:1">
      <c r="A65" s="149">
        <f t="shared" si="16"/>
        <v>56</v>
      </c>
    </row>
    <row r="66" spans="1:1">
      <c r="A66" s="149">
        <f t="shared" si="16"/>
        <v>57</v>
      </c>
    </row>
    <row r="67" spans="1:1">
      <c r="A67" s="149">
        <f t="shared" si="16"/>
        <v>58</v>
      </c>
    </row>
    <row r="68" spans="1:1">
      <c r="A68" s="149">
        <f t="shared" si="16"/>
        <v>59</v>
      </c>
    </row>
    <row r="69" spans="1:1">
      <c r="A69" s="149">
        <f t="shared" si="16"/>
        <v>60</v>
      </c>
    </row>
    <row r="70" spans="1:1">
      <c r="A70" s="149">
        <f t="shared" si="16"/>
        <v>61</v>
      </c>
    </row>
    <row r="71" spans="1:1">
      <c r="A71" s="149">
        <f t="shared" si="16"/>
        <v>62</v>
      </c>
    </row>
    <row r="72" spans="1:1">
      <c r="A72" s="149">
        <f t="shared" si="16"/>
        <v>63</v>
      </c>
    </row>
    <row r="73" spans="1:1">
      <c r="A73" s="149">
        <f t="shared" ref="A73:A99" si="17">ROW()-9</f>
        <v>64</v>
      </c>
    </row>
    <row r="74" spans="1:1">
      <c r="A74" s="149">
        <f t="shared" si="17"/>
        <v>65</v>
      </c>
    </row>
    <row r="75" spans="1:1">
      <c r="A75" s="149">
        <f t="shared" si="17"/>
        <v>66</v>
      </c>
    </row>
    <row r="76" spans="1:1">
      <c r="A76" s="149">
        <f t="shared" si="17"/>
        <v>67</v>
      </c>
    </row>
    <row r="77" spans="1:1">
      <c r="A77" s="149">
        <f t="shared" si="17"/>
        <v>68</v>
      </c>
    </row>
    <row r="78" spans="1:1">
      <c r="A78" s="149">
        <f t="shared" si="17"/>
        <v>69</v>
      </c>
    </row>
    <row r="79" spans="1:1">
      <c r="A79" s="149">
        <f t="shared" si="17"/>
        <v>70</v>
      </c>
    </row>
    <row r="80" spans="1:1">
      <c r="A80" s="149">
        <f t="shared" si="17"/>
        <v>71</v>
      </c>
    </row>
    <row r="81" spans="1:1">
      <c r="A81" s="149">
        <f t="shared" si="17"/>
        <v>72</v>
      </c>
    </row>
    <row r="82" spans="1:1">
      <c r="A82" s="149">
        <f t="shared" si="17"/>
        <v>73</v>
      </c>
    </row>
    <row r="83" spans="1:1">
      <c r="A83" s="149">
        <f t="shared" si="17"/>
        <v>74</v>
      </c>
    </row>
    <row r="84" spans="1:1">
      <c r="A84" s="149">
        <f t="shared" si="17"/>
        <v>75</v>
      </c>
    </row>
    <row r="85" spans="1:1">
      <c r="A85" s="149">
        <f t="shared" si="17"/>
        <v>76</v>
      </c>
    </row>
    <row r="86" spans="1:1">
      <c r="A86" s="149">
        <f t="shared" si="17"/>
        <v>77</v>
      </c>
    </row>
    <row r="87" spans="1:1">
      <c r="A87" s="149">
        <f t="shared" si="17"/>
        <v>78</v>
      </c>
    </row>
    <row r="88" spans="1:1">
      <c r="A88" s="149">
        <f t="shared" si="17"/>
        <v>79</v>
      </c>
    </row>
    <row r="89" spans="1:1">
      <c r="A89" s="149">
        <f t="shared" si="17"/>
        <v>80</v>
      </c>
    </row>
    <row r="90" spans="1:1">
      <c r="A90" s="149">
        <f t="shared" si="17"/>
        <v>81</v>
      </c>
    </row>
    <row r="91" spans="1:1">
      <c r="A91" s="149">
        <f t="shared" si="17"/>
        <v>82</v>
      </c>
    </row>
    <row r="92" spans="1:1">
      <c r="A92" s="149">
        <f t="shared" si="17"/>
        <v>83</v>
      </c>
    </row>
    <row r="93" spans="1:1">
      <c r="A93" s="149">
        <f t="shared" si="17"/>
        <v>84</v>
      </c>
    </row>
    <row r="94" spans="1:1">
      <c r="A94" s="149">
        <f t="shared" si="17"/>
        <v>85</v>
      </c>
    </row>
    <row r="95" spans="1:1">
      <c r="A95" s="149">
        <f t="shared" si="17"/>
        <v>86</v>
      </c>
    </row>
    <row r="96" spans="1:1">
      <c r="A96" s="149">
        <f t="shared" si="17"/>
        <v>87</v>
      </c>
    </row>
    <row r="97" spans="1:1">
      <c r="A97" s="149">
        <f t="shared" si="17"/>
        <v>88</v>
      </c>
    </row>
    <row r="98" spans="1:1">
      <c r="A98" s="149">
        <f t="shared" si="17"/>
        <v>89</v>
      </c>
    </row>
    <row r="99" spans="1:1">
      <c r="A99" s="149">
        <f t="shared" si="17"/>
        <v>90</v>
      </c>
    </row>
  </sheetData>
  <conditionalFormatting sqref="C1">
    <cfRule type="expression" dxfId="20" priority="4" stopIfTrue="1">
      <formula>MOD(ROW(),2)=0</formula>
    </cfRule>
  </conditionalFormatting>
  <conditionalFormatting sqref="Y1:AM54">
    <cfRule type="cellIs" dxfId="19" priority="3" stopIfTrue="1" operator="equal">
      <formula>0</formula>
    </cfRule>
  </conditionalFormatting>
  <hyperlinks>
    <hyperlink ref="C1" location="HypLink1" display="HypLink1" xr:uid="{AC32C744-B1F5-4D26-8E2F-8A9254C786B3}"/>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P47"/>
  <sheetViews>
    <sheetView topLeftCell="A16" workbookViewId="0">
      <selection activeCell="P36" sqref="P36"/>
    </sheetView>
  </sheetViews>
  <sheetFormatPr defaultColWidth="8.85546875" defaultRowHeight="15"/>
  <cols>
    <col min="1" max="1" width="6.7109375" style="37" bestFit="1" customWidth="1"/>
    <col min="2" max="2" width="29.28515625" style="37" customWidth="1"/>
    <col min="3" max="3" width="12.5703125" style="37" customWidth="1"/>
    <col min="4" max="4" width="9.42578125" style="37" customWidth="1"/>
    <col min="5" max="5" width="7.28515625" style="37" customWidth="1"/>
    <col min="6" max="6" width="10.42578125" style="37" customWidth="1"/>
    <col min="7" max="7" width="11" style="37" customWidth="1"/>
    <col min="8" max="14" width="14.7109375" style="37" customWidth="1"/>
    <col min="15" max="15" width="3.42578125" style="37" customWidth="1"/>
    <col min="16" max="16" width="76.5703125" style="37" customWidth="1"/>
    <col min="17" max="18" width="10.5703125" style="37" bestFit="1" customWidth="1"/>
    <col min="19" max="19" width="20.140625" style="37" customWidth="1"/>
    <col min="20" max="16384" width="8.85546875" style="37"/>
  </cols>
  <sheetData>
    <row r="1" spans="1:16" ht="43.9" customHeight="1">
      <c r="A1" s="1697" t="s">
        <v>798</v>
      </c>
      <c r="B1" s="1698"/>
      <c r="E1" s="73"/>
      <c r="F1" s="330"/>
      <c r="G1" s="508" t="s">
        <v>2</v>
      </c>
    </row>
    <row r="2" spans="1:16" ht="15.75">
      <c r="A2" s="1696" t="str">
        <f>SchoolName</f>
        <v>Rooted School Clark County</v>
      </c>
      <c r="B2" s="1696"/>
      <c r="E2" s="73"/>
      <c r="F2" s="36"/>
    </row>
    <row r="3" spans="1:16">
      <c r="A3" s="44" t="s">
        <v>62</v>
      </c>
    </row>
    <row r="4" spans="1:16">
      <c r="A4" s="45" t="s">
        <v>63</v>
      </c>
    </row>
    <row r="5" spans="1:16">
      <c r="A5" s="34" t="str">
        <f ca="1">CELL("filename")</f>
        <v>C:\Users\CRaymond\Char. School Bus Mgt Dropbox\Collin Raymond\Growth Team\Growth 2.0\Growth &amp; Data\Client Projects\Rooted LV\[Rooted School-SPCSA-Operating Budget-V10 (1) - Rev9.xlsx]Summary</v>
      </c>
    </row>
    <row r="7" spans="1:16">
      <c r="A7" s="72"/>
      <c r="B7" s="35"/>
    </row>
    <row r="8" spans="1:16">
      <c r="A8" s="72"/>
      <c r="B8" s="35"/>
    </row>
    <row r="9" spans="1:16">
      <c r="A9" s="72"/>
      <c r="B9" s="35"/>
    </row>
    <row r="10" spans="1:16">
      <c r="A10" s="72"/>
      <c r="H10" s="1112"/>
      <c r="I10" s="1112" t="s">
        <v>799</v>
      </c>
      <c r="J10" s="1113"/>
      <c r="K10" s="1113"/>
      <c r="L10" s="1113"/>
      <c r="M10" s="1113"/>
      <c r="N10" s="1114"/>
      <c r="P10" s="201" t="s">
        <v>83</v>
      </c>
    </row>
    <row r="11" spans="1:16">
      <c r="A11" s="72"/>
      <c r="H11" s="887" t="s">
        <v>800</v>
      </c>
      <c r="I11" s="887" t="s">
        <v>717</v>
      </c>
      <c r="J11" s="1115" t="s">
        <v>718</v>
      </c>
      <c r="K11" s="1115" t="s">
        <v>719</v>
      </c>
      <c r="L11" s="1115" t="s">
        <v>720</v>
      </c>
      <c r="M11" s="1115" t="s">
        <v>721</v>
      </c>
      <c r="N11" s="1116" t="s">
        <v>722</v>
      </c>
      <c r="P11" s="566"/>
    </row>
    <row r="12" spans="1:16" ht="15.75">
      <c r="A12" s="586"/>
      <c r="F12" s="74"/>
      <c r="G12" s="74"/>
      <c r="H12" s="1117">
        <f>+I12-1</f>
        <v>2021</v>
      </c>
      <c r="I12" s="1118">
        <f>Cover!E11</f>
        <v>2022</v>
      </c>
      <c r="J12" s="1119">
        <f>+I13</f>
        <v>2023</v>
      </c>
      <c r="K12" s="1119">
        <f>+J13</f>
        <v>2024</v>
      </c>
      <c r="L12" s="1119">
        <f>+K13</f>
        <v>2025</v>
      </c>
      <c r="M12" s="1119">
        <f>+L13</f>
        <v>2026</v>
      </c>
      <c r="N12" s="1120">
        <f>+M13</f>
        <v>2027</v>
      </c>
      <c r="P12" s="421"/>
    </row>
    <row r="13" spans="1:16" ht="15.75">
      <c r="A13" s="586"/>
      <c r="F13" s="75"/>
      <c r="G13" s="75"/>
      <c r="H13" s="932">
        <f>+I13-1</f>
        <v>2022</v>
      </c>
      <c r="I13" s="932">
        <f t="shared" ref="I13:N13" si="0">+I12+1</f>
        <v>2023</v>
      </c>
      <c r="J13" s="933">
        <f t="shared" si="0"/>
        <v>2024</v>
      </c>
      <c r="K13" s="933">
        <f t="shared" si="0"/>
        <v>2025</v>
      </c>
      <c r="L13" s="933">
        <f t="shared" si="0"/>
        <v>2026</v>
      </c>
      <c r="M13" s="933">
        <f t="shared" si="0"/>
        <v>2027</v>
      </c>
      <c r="N13" s="934">
        <f t="shared" si="0"/>
        <v>2028</v>
      </c>
      <c r="P13" s="421"/>
    </row>
    <row r="14" spans="1:16" ht="18.75">
      <c r="A14" s="586">
        <f>ROW()</f>
        <v>14</v>
      </c>
      <c r="B14" s="935" t="s">
        <v>216</v>
      </c>
      <c r="C14" s="936"/>
      <c r="D14" s="875"/>
      <c r="E14" s="875"/>
      <c r="F14" s="937"/>
      <c r="G14" s="937"/>
      <c r="H14" s="318"/>
      <c r="I14" s="319"/>
      <c r="J14" s="319"/>
      <c r="K14" s="319"/>
      <c r="L14" s="319"/>
      <c r="M14" s="319"/>
      <c r="N14" s="319"/>
      <c r="P14" s="421"/>
    </row>
    <row r="15" spans="1:16">
      <c r="A15" s="586">
        <f>ROW()</f>
        <v>15</v>
      </c>
      <c r="B15" s="875" t="s">
        <v>217</v>
      </c>
      <c r="C15" s="938"/>
      <c r="D15" s="875"/>
      <c r="E15" s="875"/>
      <c r="F15" s="875"/>
      <c r="G15" s="875"/>
      <c r="H15" s="1111">
        <v>0</v>
      </c>
      <c r="I15" s="600">
        <f t="shared" ref="I15:N15" si="1">COUNTIF(I18:I30,"&gt;0")</f>
        <v>3</v>
      </c>
      <c r="J15" s="600">
        <f t="shared" si="1"/>
        <v>4</v>
      </c>
      <c r="K15" s="600">
        <f t="shared" si="1"/>
        <v>4</v>
      </c>
      <c r="L15" s="600">
        <f t="shared" si="1"/>
        <v>4</v>
      </c>
      <c r="M15" s="600">
        <f t="shared" si="1"/>
        <v>4</v>
      </c>
      <c r="N15" s="600">
        <f t="shared" si="1"/>
        <v>4</v>
      </c>
      <c r="P15" s="421"/>
    </row>
    <row r="16" spans="1:16">
      <c r="A16" s="586">
        <f>ROW()</f>
        <v>16</v>
      </c>
      <c r="B16" s="70" t="s">
        <v>218</v>
      </c>
      <c r="C16" s="939"/>
      <c r="D16" s="70"/>
      <c r="E16" s="70"/>
      <c r="F16" s="70"/>
      <c r="G16" s="70"/>
      <c r="H16" s="1052">
        <v>0</v>
      </c>
      <c r="I16" s="600">
        <f>+' Enrol &amp; Rev'!H17</f>
        <v>6</v>
      </c>
      <c r="J16" s="600">
        <f>+' Enrol &amp; Rev'!I17</f>
        <v>10.8</v>
      </c>
      <c r="K16" s="600">
        <f>+' Enrol &amp; Rev'!J17</f>
        <v>12.6</v>
      </c>
      <c r="L16" s="600">
        <f>+' Enrol &amp; Rev'!K17</f>
        <v>14.4</v>
      </c>
      <c r="M16" s="600">
        <f>+' Enrol &amp; Rev'!L17</f>
        <v>14.4</v>
      </c>
      <c r="N16" s="600">
        <f>+' Enrol &amp; Rev'!M17</f>
        <v>14.4</v>
      </c>
      <c r="P16" s="421"/>
    </row>
    <row r="17" spans="1:16">
      <c r="A17" s="586">
        <f>ROW()</f>
        <v>17</v>
      </c>
      <c r="B17" s="46"/>
      <c r="C17" s="1535"/>
      <c r="D17" s="380"/>
      <c r="E17" s="380"/>
      <c r="F17" s="329"/>
      <c r="G17" s="329"/>
      <c r="H17" s="329"/>
      <c r="I17" s="329"/>
      <c r="J17" s="329"/>
      <c r="K17" s="329"/>
      <c r="L17" s="329"/>
      <c r="M17" s="329"/>
      <c r="N17" s="329"/>
      <c r="P17" s="421"/>
    </row>
    <row r="18" spans="1:16">
      <c r="A18" s="586">
        <f>ROW()</f>
        <v>18</v>
      </c>
      <c r="B18" s="166" t="s">
        <v>219</v>
      </c>
      <c r="C18" s="76"/>
      <c r="D18" s="46"/>
      <c r="E18" s="46"/>
      <c r="H18" s="1049"/>
      <c r="I18" s="735">
        <f>+Market!E14</f>
        <v>0</v>
      </c>
      <c r="J18" s="735">
        <f>+Market!F14</f>
        <v>0</v>
      </c>
      <c r="K18" s="735">
        <f>+Market!G14</f>
        <v>0</v>
      </c>
      <c r="L18" s="735">
        <f>+Market!H14</f>
        <v>0</v>
      </c>
      <c r="M18" s="735">
        <f>+Market!I14</f>
        <v>0</v>
      </c>
      <c r="N18" s="735">
        <f>+Market!J14</f>
        <v>0</v>
      </c>
      <c r="P18" s="421"/>
    </row>
    <row r="19" spans="1:16">
      <c r="A19" s="586">
        <f>ROW()</f>
        <v>19</v>
      </c>
      <c r="B19" s="78" t="s">
        <v>220</v>
      </c>
      <c r="C19" s="79"/>
      <c r="D19" s="78"/>
      <c r="E19" s="78"/>
      <c r="F19" s="80"/>
      <c r="G19" s="80"/>
      <c r="H19" s="1050"/>
      <c r="I19" s="734">
        <f>+Market!E15</f>
        <v>0</v>
      </c>
      <c r="J19" s="734">
        <f>+Market!F15</f>
        <v>0</v>
      </c>
      <c r="K19" s="734">
        <f>+Market!G15</f>
        <v>0</v>
      </c>
      <c r="L19" s="734">
        <f>+Market!H15</f>
        <v>0</v>
      </c>
      <c r="M19" s="734">
        <f>+Market!I15</f>
        <v>0</v>
      </c>
      <c r="N19" s="734">
        <f>+Market!J15</f>
        <v>0</v>
      </c>
      <c r="P19" s="421"/>
    </row>
    <row r="20" spans="1:16">
      <c r="A20" s="586">
        <f>ROW()</f>
        <v>20</v>
      </c>
      <c r="B20" s="78" t="s">
        <v>221</v>
      </c>
      <c r="C20" s="79"/>
      <c r="D20" s="78"/>
      <c r="E20" s="78"/>
      <c r="F20" s="80"/>
      <c r="G20" s="80"/>
      <c r="H20" s="1050"/>
      <c r="I20" s="734">
        <f>+Market!E16</f>
        <v>0</v>
      </c>
      <c r="J20" s="734">
        <f>+Market!F16</f>
        <v>0</v>
      </c>
      <c r="K20" s="734">
        <f>+Market!G16</f>
        <v>0</v>
      </c>
      <c r="L20" s="734">
        <f>+Market!H16</f>
        <v>0</v>
      </c>
      <c r="M20" s="734">
        <f>+Market!I16</f>
        <v>0</v>
      </c>
      <c r="N20" s="734">
        <f>+Market!J16</f>
        <v>0</v>
      </c>
      <c r="P20" s="421"/>
    </row>
    <row r="21" spans="1:16">
      <c r="A21" s="586">
        <f>ROW()</f>
        <v>21</v>
      </c>
      <c r="B21" s="78" t="s">
        <v>222</v>
      </c>
      <c r="C21" s="79"/>
      <c r="D21" s="78"/>
      <c r="E21" s="78"/>
      <c r="F21" s="80"/>
      <c r="G21" s="80"/>
      <c r="H21" s="1050"/>
      <c r="I21" s="734">
        <f>+Market!E17</f>
        <v>0</v>
      </c>
      <c r="J21" s="734">
        <f>+Market!F17</f>
        <v>0</v>
      </c>
      <c r="K21" s="734">
        <f>+Market!G17</f>
        <v>0</v>
      </c>
      <c r="L21" s="734">
        <f>+Market!H17</f>
        <v>0</v>
      </c>
      <c r="M21" s="734">
        <f>+Market!I17</f>
        <v>0</v>
      </c>
      <c r="N21" s="734">
        <f>+Market!J17</f>
        <v>0</v>
      </c>
      <c r="P21" s="421"/>
    </row>
    <row r="22" spans="1:16">
      <c r="A22" s="586">
        <f>ROW()</f>
        <v>22</v>
      </c>
      <c r="B22" s="78" t="s">
        <v>223</v>
      </c>
      <c r="C22" s="79"/>
      <c r="D22" s="78"/>
      <c r="E22" s="78"/>
      <c r="F22" s="80"/>
      <c r="G22" s="80"/>
      <c r="H22" s="1050"/>
      <c r="I22" s="734">
        <f>+Market!E18</f>
        <v>0</v>
      </c>
      <c r="J22" s="734">
        <f>+Market!F18</f>
        <v>0</v>
      </c>
      <c r="K22" s="734">
        <f>+Market!G18</f>
        <v>0</v>
      </c>
      <c r="L22" s="734">
        <f>+Market!H18</f>
        <v>0</v>
      </c>
      <c r="M22" s="734">
        <f>+Market!I18</f>
        <v>0</v>
      </c>
      <c r="N22" s="734">
        <f>+Market!J18</f>
        <v>0</v>
      </c>
      <c r="P22" s="421"/>
    </row>
    <row r="23" spans="1:16">
      <c r="A23" s="586">
        <f>ROW()</f>
        <v>23</v>
      </c>
      <c r="B23" s="78" t="s">
        <v>224</v>
      </c>
      <c r="C23" s="79"/>
      <c r="D23" s="78"/>
      <c r="E23" s="78"/>
      <c r="F23" s="80"/>
      <c r="G23" s="80"/>
      <c r="H23" s="1050"/>
      <c r="I23" s="734">
        <f>+Market!E19</f>
        <v>0</v>
      </c>
      <c r="J23" s="734">
        <f>+Market!F19</f>
        <v>0</v>
      </c>
      <c r="K23" s="734">
        <f>+Market!G19</f>
        <v>0</v>
      </c>
      <c r="L23" s="734">
        <f>+Market!H19</f>
        <v>0</v>
      </c>
      <c r="M23" s="734">
        <f>+Market!I19</f>
        <v>0</v>
      </c>
      <c r="N23" s="734">
        <f>+Market!J19</f>
        <v>0</v>
      </c>
      <c r="P23" s="421"/>
    </row>
    <row r="24" spans="1:16">
      <c r="A24" s="586">
        <f>ROW()</f>
        <v>24</v>
      </c>
      <c r="B24" s="78" t="s">
        <v>225</v>
      </c>
      <c r="C24" s="79"/>
      <c r="D24" s="78"/>
      <c r="E24" s="78"/>
      <c r="F24" s="80"/>
      <c r="G24" s="80"/>
      <c r="H24" s="1050"/>
      <c r="I24" s="734">
        <f>+Market!E20</f>
        <v>0</v>
      </c>
      <c r="J24" s="734">
        <f>+Market!F20</f>
        <v>0</v>
      </c>
      <c r="K24" s="734">
        <f>+Market!G20</f>
        <v>0</v>
      </c>
      <c r="L24" s="734">
        <f>+Market!H20</f>
        <v>0</v>
      </c>
      <c r="M24" s="734">
        <f>+Market!I20</f>
        <v>0</v>
      </c>
      <c r="N24" s="734">
        <f>+Market!J20</f>
        <v>0</v>
      </c>
      <c r="P24" s="421"/>
    </row>
    <row r="25" spans="1:16">
      <c r="A25" s="586">
        <f>ROW()</f>
        <v>25</v>
      </c>
      <c r="B25" s="78" t="s">
        <v>226</v>
      </c>
      <c r="C25" s="79"/>
      <c r="D25" s="78"/>
      <c r="E25" s="78"/>
      <c r="F25" s="80"/>
      <c r="G25" s="80"/>
      <c r="H25" s="1050"/>
      <c r="I25" s="734">
        <f>+Market!E21</f>
        <v>0</v>
      </c>
      <c r="J25" s="734">
        <f>+Market!F21</f>
        <v>0</v>
      </c>
      <c r="K25" s="734">
        <f>+Market!G21</f>
        <v>0</v>
      </c>
      <c r="L25" s="734">
        <f>+Market!H21</f>
        <v>0</v>
      </c>
      <c r="M25" s="734">
        <f>+Market!I21</f>
        <v>0</v>
      </c>
      <c r="N25" s="734">
        <f>+Market!J21</f>
        <v>0</v>
      </c>
      <c r="P25" s="421"/>
    </row>
    <row r="26" spans="1:16">
      <c r="A26" s="586">
        <f>ROW()</f>
        <v>26</v>
      </c>
      <c r="B26" s="78" t="s">
        <v>227</v>
      </c>
      <c r="C26" s="79"/>
      <c r="D26" s="78"/>
      <c r="E26" s="78"/>
      <c r="F26" s="80"/>
      <c r="G26" s="80"/>
      <c r="H26" s="1050"/>
      <c r="I26" s="734">
        <f>+Market!E22</f>
        <v>0</v>
      </c>
      <c r="J26" s="734">
        <f>+Market!F22</f>
        <v>0</v>
      </c>
      <c r="K26" s="734">
        <f>+Market!G22</f>
        <v>0</v>
      </c>
      <c r="L26" s="734">
        <f>+Market!H22</f>
        <v>0</v>
      </c>
      <c r="M26" s="734">
        <f>+Market!I22</f>
        <v>0</v>
      </c>
      <c r="N26" s="734">
        <f>+Market!J22</f>
        <v>0</v>
      </c>
      <c r="P26" s="421"/>
    </row>
    <row r="27" spans="1:16">
      <c r="A27" s="586">
        <f>ROW()</f>
        <v>27</v>
      </c>
      <c r="B27" s="78" t="s">
        <v>228</v>
      </c>
      <c r="C27" s="79"/>
      <c r="D27" s="78"/>
      <c r="E27" s="78"/>
      <c r="F27" s="80"/>
      <c r="G27" s="80"/>
      <c r="H27" s="1050"/>
      <c r="I27" s="734">
        <f>+Market!E23</f>
        <v>75</v>
      </c>
      <c r="J27" s="734">
        <f>+Market!F23</f>
        <v>90</v>
      </c>
      <c r="K27" s="734">
        <f>+Market!G23</f>
        <v>90</v>
      </c>
      <c r="L27" s="734">
        <f>+Market!H23</f>
        <v>90</v>
      </c>
      <c r="M27" s="734">
        <f>+Market!I23</f>
        <v>90</v>
      </c>
      <c r="N27" s="734">
        <f>+Market!J23</f>
        <v>90</v>
      </c>
      <c r="P27" s="421"/>
    </row>
    <row r="28" spans="1:16">
      <c r="A28" s="586">
        <f>ROW()</f>
        <v>28</v>
      </c>
      <c r="B28" s="78" t="s">
        <v>229</v>
      </c>
      <c r="C28" s="79"/>
      <c r="D28" s="78"/>
      <c r="E28" s="78"/>
      <c r="F28" s="80"/>
      <c r="G28" s="80"/>
      <c r="H28" s="1050"/>
      <c r="I28" s="734">
        <f>+Market!E24</f>
        <v>45</v>
      </c>
      <c r="J28" s="734">
        <f>+Market!F24</f>
        <v>90</v>
      </c>
      <c r="K28" s="734">
        <f>+Market!G24</f>
        <v>90</v>
      </c>
      <c r="L28" s="734">
        <f>+Market!H24</f>
        <v>90</v>
      </c>
      <c r="M28" s="734">
        <f>+Market!I24</f>
        <v>90</v>
      </c>
      <c r="N28" s="734">
        <f>+Market!J24</f>
        <v>90</v>
      </c>
      <c r="P28" s="421"/>
    </row>
    <row r="29" spans="1:16">
      <c r="A29" s="586">
        <f>ROW()</f>
        <v>29</v>
      </c>
      <c r="B29" s="78" t="s">
        <v>230</v>
      </c>
      <c r="C29" s="79"/>
      <c r="D29" s="78"/>
      <c r="E29" s="78"/>
      <c r="F29" s="80"/>
      <c r="G29" s="80"/>
      <c r="H29" s="1050"/>
      <c r="I29" s="734">
        <f>+Market!E25</f>
        <v>30</v>
      </c>
      <c r="J29" s="734">
        <f>+Market!F25</f>
        <v>45</v>
      </c>
      <c r="K29" s="734">
        <f>+Market!G25</f>
        <v>90</v>
      </c>
      <c r="L29" s="734">
        <f>+Market!H25</f>
        <v>90</v>
      </c>
      <c r="M29" s="734">
        <f>+Market!I25</f>
        <v>90</v>
      </c>
      <c r="N29" s="734">
        <f>+Market!J25</f>
        <v>90</v>
      </c>
      <c r="P29" s="421"/>
    </row>
    <row r="30" spans="1:16">
      <c r="A30" s="586">
        <f>ROW()</f>
        <v>30</v>
      </c>
      <c r="B30" s="78" t="s">
        <v>231</v>
      </c>
      <c r="C30" s="79"/>
      <c r="D30" s="78"/>
      <c r="E30" s="78"/>
      <c r="F30" s="80"/>
      <c r="G30" s="71"/>
      <c r="H30" s="1051"/>
      <c r="I30" s="736">
        <f>+Market!E26</f>
        <v>0</v>
      </c>
      <c r="J30" s="736">
        <f>+Market!F26</f>
        <v>45</v>
      </c>
      <c r="K30" s="736">
        <f>+Market!G26</f>
        <v>45</v>
      </c>
      <c r="L30" s="736">
        <f>+Market!H26</f>
        <v>90</v>
      </c>
      <c r="M30" s="736">
        <f>+Market!I26</f>
        <v>90</v>
      </c>
      <c r="N30" s="736">
        <f>+Market!J26</f>
        <v>90</v>
      </c>
      <c r="P30" s="421"/>
    </row>
    <row r="31" spans="1:16">
      <c r="A31" s="586">
        <f>ROW()</f>
        <v>31</v>
      </c>
      <c r="B31" s="200" t="s">
        <v>232</v>
      </c>
      <c r="C31" s="1536"/>
      <c r="D31" s="1536"/>
      <c r="E31" s="1536"/>
      <c r="F31" s="1536"/>
      <c r="G31" s="82"/>
      <c r="H31" s="122"/>
      <c r="I31" s="218">
        <f t="shared" ref="I31:N31" si="2">SUM(I18:I30)</f>
        <v>150</v>
      </c>
      <c r="J31" s="218">
        <f t="shared" si="2"/>
        <v>270</v>
      </c>
      <c r="K31" s="218">
        <f t="shared" si="2"/>
        <v>315</v>
      </c>
      <c r="L31" s="218">
        <f t="shared" si="2"/>
        <v>360</v>
      </c>
      <c r="M31" s="218">
        <f t="shared" si="2"/>
        <v>360</v>
      </c>
      <c r="N31" s="218">
        <f t="shared" si="2"/>
        <v>360</v>
      </c>
      <c r="P31" s="421"/>
    </row>
    <row r="32" spans="1:16">
      <c r="A32" s="586">
        <f>ROW()</f>
        <v>32</v>
      </c>
      <c r="B32" s="46" t="s">
        <v>233</v>
      </c>
      <c r="C32" s="46"/>
      <c r="D32" s="46"/>
      <c r="E32" s="46"/>
      <c r="H32" s="219"/>
      <c r="I32" s="143">
        <f>IFERROR(I31/I16,0)</f>
        <v>25</v>
      </c>
      <c r="J32" s="143">
        <f t="shared" ref="J32:N32" si="3">IFERROR(J31/J16,0)</f>
        <v>25</v>
      </c>
      <c r="K32" s="143">
        <f t="shared" si="3"/>
        <v>25</v>
      </c>
      <c r="L32" s="143">
        <f t="shared" si="3"/>
        <v>25</v>
      </c>
      <c r="M32" s="143">
        <f t="shared" si="3"/>
        <v>25</v>
      </c>
      <c r="N32" s="143">
        <f t="shared" si="3"/>
        <v>25</v>
      </c>
      <c r="P32" s="421"/>
    </row>
    <row r="33" spans="1:16">
      <c r="A33" s="586">
        <f>ROW()</f>
        <v>33</v>
      </c>
      <c r="P33" s="421"/>
    </row>
    <row r="34" spans="1:16" ht="18.75">
      <c r="A34" s="586">
        <f>ROW()</f>
        <v>34</v>
      </c>
      <c r="B34" s="1695" t="s">
        <v>801</v>
      </c>
      <c r="C34" s="1695"/>
      <c r="D34" s="1695"/>
      <c r="E34" s="941"/>
      <c r="F34" s="941"/>
      <c r="G34" s="941"/>
      <c r="H34" s="900" t="str">
        <f>+H11</f>
        <v>SY 0</v>
      </c>
      <c r="I34" s="900" t="str">
        <f t="shared" ref="I34:N34" si="4">+I11</f>
        <v>SY 1</v>
      </c>
      <c r="J34" s="900" t="str">
        <f t="shared" si="4"/>
        <v>SY 2</v>
      </c>
      <c r="K34" s="900" t="str">
        <f t="shared" si="4"/>
        <v>SY 3</v>
      </c>
      <c r="L34" s="900" t="str">
        <f t="shared" si="4"/>
        <v>SY 4</v>
      </c>
      <c r="M34" s="900" t="str">
        <f t="shared" si="4"/>
        <v>SY 5</v>
      </c>
      <c r="N34" s="900" t="str">
        <f t="shared" si="4"/>
        <v>SY 6</v>
      </c>
      <c r="P34" s="421"/>
    </row>
    <row r="35" spans="1:16">
      <c r="A35" s="586">
        <f>ROW()</f>
        <v>35</v>
      </c>
      <c r="B35" s="63" t="s">
        <v>802</v>
      </c>
      <c r="C35" s="63" t="s">
        <v>803</v>
      </c>
      <c r="D35" s="63"/>
      <c r="E35" s="63"/>
      <c r="F35" s="63"/>
      <c r="G35" s="942" t="s">
        <v>251</v>
      </c>
      <c r="H35" s="940">
        <f>H13</f>
        <v>2022</v>
      </c>
      <c r="I35" s="940">
        <f t="shared" ref="I35:N35" si="5">I13</f>
        <v>2023</v>
      </c>
      <c r="J35" s="940">
        <f t="shared" si="5"/>
        <v>2024</v>
      </c>
      <c r="K35" s="940">
        <f t="shared" si="5"/>
        <v>2025</v>
      </c>
      <c r="L35" s="940">
        <f t="shared" si="5"/>
        <v>2026</v>
      </c>
      <c r="M35" s="940">
        <f t="shared" si="5"/>
        <v>2027</v>
      </c>
      <c r="N35" s="940">
        <f t="shared" si="5"/>
        <v>2028</v>
      </c>
      <c r="P35" s="421"/>
    </row>
    <row r="36" spans="1:16">
      <c r="A36" s="586">
        <f>ROW()</f>
        <v>36</v>
      </c>
      <c r="B36" s="744" t="s">
        <v>804</v>
      </c>
      <c r="C36" s="744" t="s">
        <v>805</v>
      </c>
      <c r="D36" s="744"/>
      <c r="E36" s="744"/>
      <c r="F36" s="744"/>
      <c r="G36" s="745">
        <f>SUM(H36:N36)</f>
        <v>94400</v>
      </c>
      <c r="H36" s="331">
        <v>0</v>
      </c>
      <c r="I36" s="1623">
        <f>5000+50000+10000</f>
        <v>65000</v>
      </c>
      <c r="J36" s="1623">
        <v>5000</v>
      </c>
      <c r="K36" s="1623">
        <v>5000</v>
      </c>
      <c r="L36" s="1623">
        <v>5000</v>
      </c>
      <c r="M36" s="331">
        <f t="shared" ref="M36:N36" si="6">20*M31</f>
        <v>7200</v>
      </c>
      <c r="N36" s="331">
        <f t="shared" si="6"/>
        <v>7200</v>
      </c>
      <c r="P36" s="421" t="s">
        <v>1336</v>
      </c>
    </row>
    <row r="37" spans="1:16">
      <c r="A37" s="586">
        <f>ROW()</f>
        <v>37</v>
      </c>
      <c r="B37" s="1508"/>
      <c r="C37" s="1508"/>
      <c r="D37" s="1508"/>
      <c r="E37" s="1508"/>
      <c r="F37" s="1508"/>
      <c r="G37" s="314">
        <f t="shared" ref="G37:G43" si="7">SUM(H37:N37)</f>
        <v>0</v>
      </c>
      <c r="H37" s="332">
        <v>0</v>
      </c>
      <c r="I37" s="332">
        <v>0</v>
      </c>
      <c r="J37" s="332">
        <v>0</v>
      </c>
      <c r="K37" s="332">
        <v>0</v>
      </c>
      <c r="L37" s="332">
        <v>0</v>
      </c>
      <c r="M37" s="332">
        <v>0</v>
      </c>
      <c r="N37" s="332">
        <v>0</v>
      </c>
      <c r="P37" s="421"/>
    </row>
    <row r="38" spans="1:16">
      <c r="A38" s="586">
        <f>ROW()</f>
        <v>38</v>
      </c>
      <c r="B38" s="1508"/>
      <c r="C38" s="1508"/>
      <c r="D38" s="1508"/>
      <c r="E38" s="1508"/>
      <c r="F38" s="1508"/>
      <c r="G38" s="314">
        <f t="shared" si="7"/>
        <v>0</v>
      </c>
      <c r="H38" s="332">
        <v>0</v>
      </c>
      <c r="I38" s="332">
        <v>0</v>
      </c>
      <c r="J38" s="332">
        <v>0</v>
      </c>
      <c r="K38" s="332">
        <v>0</v>
      </c>
      <c r="L38" s="332">
        <v>0</v>
      </c>
      <c r="M38" s="332">
        <v>0</v>
      </c>
      <c r="N38" s="332">
        <v>0</v>
      </c>
      <c r="P38" s="421"/>
    </row>
    <row r="39" spans="1:16">
      <c r="A39" s="586">
        <f>ROW()</f>
        <v>39</v>
      </c>
      <c r="B39" s="1508"/>
      <c r="C39" s="1508"/>
      <c r="D39" s="1508"/>
      <c r="E39" s="1508"/>
      <c r="F39" s="1508"/>
      <c r="G39" s="314">
        <f t="shared" si="7"/>
        <v>0</v>
      </c>
      <c r="H39" s="332">
        <v>0</v>
      </c>
      <c r="I39" s="332">
        <v>0</v>
      </c>
      <c r="J39" s="332">
        <v>0</v>
      </c>
      <c r="K39" s="332">
        <v>0</v>
      </c>
      <c r="L39" s="332">
        <v>0</v>
      </c>
      <c r="M39" s="332">
        <v>0</v>
      </c>
      <c r="N39" s="332">
        <v>0</v>
      </c>
      <c r="P39" s="421"/>
    </row>
    <row r="40" spans="1:16">
      <c r="A40" s="586">
        <f>ROW()</f>
        <v>40</v>
      </c>
      <c r="B40" s="1508"/>
      <c r="C40" s="1508"/>
      <c r="D40" s="1508"/>
      <c r="E40" s="1508"/>
      <c r="F40" s="1508"/>
      <c r="G40" s="314">
        <f t="shared" si="7"/>
        <v>0</v>
      </c>
      <c r="H40" s="332">
        <v>0</v>
      </c>
      <c r="I40" s="332">
        <v>0</v>
      </c>
      <c r="J40" s="332">
        <v>0</v>
      </c>
      <c r="K40" s="332">
        <v>0</v>
      </c>
      <c r="L40" s="332">
        <v>0</v>
      </c>
      <c r="M40" s="332">
        <v>0</v>
      </c>
      <c r="N40" s="332">
        <v>0</v>
      </c>
      <c r="P40" s="421"/>
    </row>
    <row r="41" spans="1:16">
      <c r="A41" s="586">
        <f>ROW()</f>
        <v>41</v>
      </c>
      <c r="B41" s="1508"/>
      <c r="C41" s="1508"/>
      <c r="D41" s="1508"/>
      <c r="E41" s="1508"/>
      <c r="F41" s="1508"/>
      <c r="G41" s="314">
        <f t="shared" si="7"/>
        <v>0</v>
      </c>
      <c r="H41" s="332">
        <v>0</v>
      </c>
      <c r="I41" s="332">
        <v>0</v>
      </c>
      <c r="J41" s="332">
        <v>0</v>
      </c>
      <c r="K41" s="332">
        <v>0</v>
      </c>
      <c r="L41" s="332">
        <v>0</v>
      </c>
      <c r="M41" s="332">
        <v>0</v>
      </c>
      <c r="N41" s="332">
        <v>0</v>
      </c>
      <c r="P41" s="421"/>
    </row>
    <row r="42" spans="1:16">
      <c r="A42" s="586">
        <f>ROW()</f>
        <v>42</v>
      </c>
      <c r="B42" s="1508"/>
      <c r="C42" s="1508"/>
      <c r="D42" s="1508"/>
      <c r="E42" s="1508"/>
      <c r="F42" s="1508"/>
      <c r="G42" s="314">
        <f t="shared" si="7"/>
        <v>0</v>
      </c>
      <c r="H42" s="332">
        <v>0</v>
      </c>
      <c r="I42" s="332">
        <v>0</v>
      </c>
      <c r="J42" s="332">
        <v>0</v>
      </c>
      <c r="K42" s="332">
        <v>0</v>
      </c>
      <c r="L42" s="332">
        <v>0</v>
      </c>
      <c r="M42" s="332">
        <v>0</v>
      </c>
      <c r="N42" s="332">
        <v>0</v>
      </c>
      <c r="P42" s="421"/>
    </row>
    <row r="43" spans="1:16">
      <c r="A43" s="586">
        <f>ROW()</f>
        <v>43</v>
      </c>
      <c r="B43" s="742"/>
      <c r="C43" s="742"/>
      <c r="D43" s="742"/>
      <c r="E43" s="742"/>
      <c r="F43" s="742"/>
      <c r="G43" s="743">
        <f t="shared" si="7"/>
        <v>0</v>
      </c>
      <c r="H43" s="333">
        <v>0</v>
      </c>
      <c r="I43" s="333">
        <v>0</v>
      </c>
      <c r="J43" s="333">
        <v>0</v>
      </c>
      <c r="K43" s="333">
        <v>0</v>
      </c>
      <c r="L43" s="333">
        <v>0</v>
      </c>
      <c r="M43" s="333">
        <v>0</v>
      </c>
      <c r="N43" s="333">
        <v>0</v>
      </c>
      <c r="P43" s="421"/>
    </row>
    <row r="44" spans="1:16">
      <c r="A44" s="586">
        <f>ROW()</f>
        <v>44</v>
      </c>
      <c r="B44" s="37" t="s">
        <v>806</v>
      </c>
      <c r="C44" s="739"/>
      <c r="D44" s="739"/>
      <c r="G44" s="740">
        <f>SUM(H44:N44)</f>
        <v>94400</v>
      </c>
      <c r="H44" s="741">
        <f t="shared" ref="H44:N44" si="8">SUM(H36:H43)</f>
        <v>0</v>
      </c>
      <c r="I44" s="741">
        <f t="shared" si="8"/>
        <v>65000</v>
      </c>
      <c r="J44" s="741">
        <f t="shared" si="8"/>
        <v>5000</v>
      </c>
      <c r="K44" s="741">
        <f t="shared" si="8"/>
        <v>5000</v>
      </c>
      <c r="L44" s="741">
        <f t="shared" si="8"/>
        <v>5000</v>
      </c>
      <c r="M44" s="741">
        <f t="shared" si="8"/>
        <v>7200</v>
      </c>
      <c r="N44" s="741">
        <f t="shared" si="8"/>
        <v>7200</v>
      </c>
      <c r="P44" s="421"/>
    </row>
    <row r="45" spans="1:16">
      <c r="G45" s="273">
        <f t="shared" ref="G45:N45" si="9">IFERROR(G44/$G$44,0)</f>
        <v>1</v>
      </c>
      <c r="H45" s="273">
        <f t="shared" si="9"/>
        <v>0</v>
      </c>
      <c r="I45" s="273">
        <f t="shared" si="9"/>
        <v>0.68855932203389836</v>
      </c>
      <c r="J45" s="273">
        <f t="shared" si="9"/>
        <v>5.2966101694915252E-2</v>
      </c>
      <c r="K45" s="273">
        <f t="shared" si="9"/>
        <v>5.2966101694915252E-2</v>
      </c>
      <c r="L45" s="273">
        <f t="shared" si="9"/>
        <v>5.2966101694915252E-2</v>
      </c>
      <c r="M45" s="273">
        <f t="shared" si="9"/>
        <v>7.6271186440677971E-2</v>
      </c>
      <c r="N45" s="273">
        <f t="shared" si="9"/>
        <v>7.6271186440677971E-2</v>
      </c>
      <c r="P45" s="421"/>
    </row>
    <row r="46" spans="1:16">
      <c r="P46" s="421"/>
    </row>
    <row r="47" spans="1:16">
      <c r="P47" s="421"/>
    </row>
  </sheetData>
  <mergeCells count="3">
    <mergeCell ref="B34:D34"/>
    <mergeCell ref="A2:B2"/>
    <mergeCell ref="A1:B1"/>
  </mergeCells>
  <conditionalFormatting sqref="A2:B2">
    <cfRule type="cellIs" dxfId="18" priority="13" stopIfTrue="1" operator="equal">
      <formula>0</formula>
    </cfRule>
  </conditionalFormatting>
  <conditionalFormatting sqref="B18:G30">
    <cfRule type="expression" dxfId="17" priority="10" stopIfTrue="1">
      <formula>MOD(ROW(),2)=0</formula>
    </cfRule>
  </conditionalFormatting>
  <conditionalFormatting sqref="G1">
    <cfRule type="expression" dxfId="16" priority="3" stopIfTrue="1">
      <formula>MOD(ROW(),2)=0</formula>
    </cfRule>
  </conditionalFormatting>
  <conditionalFormatting sqref="H15:N16">
    <cfRule type="cellIs" dxfId="15" priority="12" stopIfTrue="1" operator="equal">
      <formula>0</formula>
    </cfRule>
  </conditionalFormatting>
  <conditionalFormatting sqref="H18:N30">
    <cfRule type="cellIs" dxfId="14" priority="11" stopIfTrue="1" operator="equal">
      <formula>0</formula>
    </cfRule>
  </conditionalFormatting>
  <hyperlinks>
    <hyperlink ref="G1" location="HypLink1" display="HypLink1" xr:uid="{805FECA2-5C0A-46B0-99E2-B0B827F3BE70}"/>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68"/>
  <sheetViews>
    <sheetView workbookViewId="0">
      <selection activeCell="D31" sqref="D31"/>
    </sheetView>
  </sheetViews>
  <sheetFormatPr defaultColWidth="8.85546875" defaultRowHeight="12.75"/>
  <cols>
    <col min="1" max="1" width="4.7109375" style="6" customWidth="1"/>
    <col min="2" max="2" width="30.140625" style="6" customWidth="1"/>
    <col min="3" max="3" width="16.7109375" style="6" customWidth="1"/>
    <col min="4" max="4" width="15.28515625" style="6" bestFit="1" customWidth="1"/>
    <col min="5" max="5" width="13.7109375" style="6" customWidth="1"/>
    <col min="6" max="6" width="3.7109375" style="6" customWidth="1"/>
    <col min="7" max="7" width="35.85546875" style="6" customWidth="1"/>
    <col min="8" max="8" width="3.5703125" style="6" customWidth="1"/>
    <col min="9" max="16384" width="8.85546875" style="6"/>
  </cols>
  <sheetData>
    <row r="1" spans="1:13" ht="18">
      <c r="A1" s="23" t="s">
        <v>807</v>
      </c>
      <c r="B1" s="21"/>
      <c r="C1" s="21"/>
      <c r="E1" s="508" t="s">
        <v>2</v>
      </c>
    </row>
    <row r="2" spans="1:13" ht="15.75">
      <c r="A2" s="28" t="str">
        <f>SchoolName</f>
        <v>Rooted School Clark County</v>
      </c>
      <c r="B2" s="27"/>
      <c r="C2" s="27"/>
    </row>
    <row r="3" spans="1:13">
      <c r="A3" s="10" t="s">
        <v>808</v>
      </c>
    </row>
    <row r="4" spans="1:13">
      <c r="A4" s="9" t="s">
        <v>62</v>
      </c>
      <c r="H4" s="7"/>
      <c r="I4" s="7"/>
      <c r="J4" s="7"/>
      <c r="K4" s="7"/>
      <c r="L4" s="7"/>
      <c r="M4" s="7"/>
    </row>
    <row r="5" spans="1:13">
      <c r="A5" s="8" t="str">
        <f ca="1">CELL("filename")</f>
        <v>C:\Users\CRaymond\Char. School Bus Mgt Dropbox\Collin Raymond\Growth Team\Growth 2.0\Growth &amp; Data\Client Projects\Rooted LV\[Rooted School-SPCSA-Operating Budget-V10 (1) - Rev9.xlsx]Summary</v>
      </c>
      <c r="H5" s="7"/>
      <c r="I5" s="7"/>
      <c r="J5" s="7"/>
      <c r="K5" s="7"/>
      <c r="L5" s="7"/>
      <c r="M5" s="7"/>
    </row>
    <row r="6" spans="1:13">
      <c r="A6" s="7"/>
      <c r="B6" s="7"/>
      <c r="C6" s="7"/>
      <c r="D6" s="7"/>
      <c r="E6" s="7"/>
      <c r="F6" s="7"/>
      <c r="G6" s="7"/>
      <c r="H6" s="7"/>
      <c r="I6" s="7"/>
      <c r="J6" s="7"/>
      <c r="K6" s="7"/>
      <c r="L6" s="7"/>
      <c r="M6" s="7"/>
    </row>
    <row r="7" spans="1:13">
      <c r="A7" s="7"/>
      <c r="B7" s="7"/>
      <c r="C7" s="7"/>
      <c r="D7" s="7"/>
      <c r="E7" s="943">
        <f>+Cover!E11-1</f>
        <v>2021</v>
      </c>
      <c r="F7" s="7"/>
      <c r="G7" s="7"/>
      <c r="H7" s="7"/>
      <c r="I7" s="7"/>
      <c r="J7" s="7"/>
      <c r="K7" s="7"/>
      <c r="L7" s="7"/>
      <c r="M7" s="7"/>
    </row>
    <row r="8" spans="1:13">
      <c r="A8" s="7"/>
      <c r="B8" s="7"/>
      <c r="C8" s="7"/>
      <c r="D8" s="7"/>
      <c r="E8" s="944">
        <f>+E7+1</f>
        <v>2022</v>
      </c>
      <c r="F8" s="7"/>
      <c r="G8" s="7"/>
      <c r="H8" s="7"/>
      <c r="I8" s="7"/>
      <c r="J8" s="7"/>
      <c r="K8" s="7"/>
      <c r="L8" s="7"/>
      <c r="M8" s="7"/>
    </row>
    <row r="9" spans="1:13" ht="14.25" customHeight="1">
      <c r="A9" s="7"/>
      <c r="B9" s="1699" t="s">
        <v>809</v>
      </c>
      <c r="C9" s="1700"/>
      <c r="D9" s="1700"/>
      <c r="E9" s="1701"/>
      <c r="F9" s="7"/>
      <c r="G9" s="201" t="s">
        <v>83</v>
      </c>
      <c r="H9" s="7"/>
      <c r="I9" s="7"/>
      <c r="J9" s="7"/>
      <c r="K9" s="7"/>
      <c r="L9" s="7"/>
      <c r="M9" s="7"/>
    </row>
    <row r="10" spans="1:13" ht="15">
      <c r="A10" s="594">
        <f>ROW()</f>
        <v>10</v>
      </c>
      <c r="B10" s="1702" t="s">
        <v>1312</v>
      </c>
      <c r="C10" s="1702"/>
      <c r="D10" s="1702"/>
      <c r="E10" s="554">
        <f>14200+1500</f>
        <v>15700</v>
      </c>
      <c r="F10" s="15"/>
      <c r="G10" s="421" t="s">
        <v>1321</v>
      </c>
      <c r="H10" s="7"/>
      <c r="I10" s="7"/>
      <c r="J10" s="7"/>
      <c r="K10" s="7"/>
      <c r="L10" s="7"/>
      <c r="M10" s="7"/>
    </row>
    <row r="11" spans="1:13" ht="15">
      <c r="A11" s="594">
        <f>ROW()</f>
        <v>11</v>
      </c>
      <c r="B11" s="1703" t="s">
        <v>1313</v>
      </c>
      <c r="C11" s="1702"/>
      <c r="D11" s="1702"/>
      <c r="E11" s="554">
        <v>6000</v>
      </c>
      <c r="F11" s="15"/>
      <c r="G11" s="421" t="s">
        <v>1348</v>
      </c>
      <c r="H11" s="7"/>
      <c r="I11" s="7"/>
      <c r="J11" s="7"/>
      <c r="K11" s="7"/>
      <c r="L11" s="7"/>
      <c r="M11" s="7"/>
    </row>
    <row r="12" spans="1:13" ht="15">
      <c r="A12" s="594">
        <f>ROW()</f>
        <v>12</v>
      </c>
      <c r="B12" s="1702" t="s">
        <v>810</v>
      </c>
      <c r="C12" s="1702"/>
      <c r="D12" s="1702"/>
      <c r="E12" s="554">
        <v>5000</v>
      </c>
      <c r="F12" s="15"/>
      <c r="G12" s="421" t="s">
        <v>1317</v>
      </c>
      <c r="H12" s="7"/>
      <c r="I12" s="7"/>
      <c r="J12" s="7"/>
      <c r="K12" s="7"/>
      <c r="L12" s="7"/>
      <c r="M12" s="7"/>
    </row>
    <row r="13" spans="1:13" ht="15">
      <c r="A13" s="594">
        <f>ROW()</f>
        <v>13</v>
      </c>
      <c r="B13" s="1702" t="s">
        <v>811</v>
      </c>
      <c r="C13" s="1702"/>
      <c r="D13" s="1702"/>
      <c r="E13" s="554">
        <v>12500</v>
      </c>
      <c r="F13" s="15"/>
      <c r="G13" s="421" t="s">
        <v>1318</v>
      </c>
      <c r="H13" s="7"/>
      <c r="I13" s="7"/>
      <c r="J13" s="7"/>
      <c r="K13" s="7"/>
      <c r="L13" s="7"/>
      <c r="M13" s="7"/>
    </row>
    <row r="14" spans="1:13" ht="15">
      <c r="A14" s="594">
        <f>ROW()</f>
        <v>14</v>
      </c>
      <c r="B14" s="1702" t="s">
        <v>812</v>
      </c>
      <c r="C14" s="1702"/>
      <c r="D14" s="1702"/>
      <c r="E14" s="554">
        <v>3000</v>
      </c>
      <c r="F14" s="15"/>
      <c r="G14" s="421" t="s">
        <v>1349</v>
      </c>
      <c r="H14" s="7"/>
      <c r="I14" s="7"/>
      <c r="J14" s="7"/>
      <c r="K14" s="7"/>
      <c r="L14" s="7"/>
      <c r="M14" s="7"/>
    </row>
    <row r="15" spans="1:13" ht="15">
      <c r="A15" s="594">
        <f>ROW()</f>
        <v>15</v>
      </c>
      <c r="B15" s="1704" t="s">
        <v>1314</v>
      </c>
      <c r="C15" s="1704"/>
      <c r="D15" s="1704"/>
      <c r="E15" s="1624">
        <v>9312</v>
      </c>
      <c r="F15" s="15"/>
      <c r="G15" s="421" t="s">
        <v>1372</v>
      </c>
      <c r="H15" s="7"/>
      <c r="I15" s="7"/>
      <c r="J15" s="7"/>
      <c r="K15" s="7"/>
      <c r="L15" s="7"/>
      <c r="M15" s="7"/>
    </row>
    <row r="16" spans="1:13" ht="15">
      <c r="A16" s="594">
        <f>ROW()</f>
        <v>16</v>
      </c>
      <c r="B16" s="1702"/>
      <c r="C16" s="1702"/>
      <c r="D16" s="1702"/>
      <c r="E16" s="554"/>
      <c r="F16" s="15"/>
      <c r="G16" s="421" t="s">
        <v>1319</v>
      </c>
      <c r="H16" s="7"/>
      <c r="I16" s="7"/>
      <c r="J16" s="7"/>
      <c r="K16" s="7"/>
      <c r="L16" s="7"/>
      <c r="M16" s="7"/>
    </row>
    <row r="17" spans="1:13" ht="15">
      <c r="A17" s="594">
        <f>ROW()</f>
        <v>17</v>
      </c>
      <c r="B17" s="1702" t="s">
        <v>1315</v>
      </c>
      <c r="C17" s="1702"/>
      <c r="D17" s="1702"/>
      <c r="E17" s="554">
        <v>40000</v>
      </c>
      <c r="F17" s="15"/>
      <c r="G17" s="421" t="s">
        <v>1394</v>
      </c>
      <c r="H17" s="7"/>
      <c r="I17" s="7"/>
      <c r="J17" s="7"/>
      <c r="K17" s="7"/>
      <c r="L17" s="7"/>
      <c r="M17" s="7"/>
    </row>
    <row r="18" spans="1:13" ht="15">
      <c r="A18" s="594">
        <f>ROW()</f>
        <v>18</v>
      </c>
      <c r="B18" s="1702" t="s">
        <v>1316</v>
      </c>
      <c r="C18" s="1702"/>
      <c r="D18" s="1702"/>
      <c r="E18" s="554">
        <v>10000</v>
      </c>
      <c r="F18" s="15"/>
      <c r="G18" s="421" t="s">
        <v>1320</v>
      </c>
      <c r="H18" s="7"/>
      <c r="I18" s="7"/>
      <c r="J18" s="7"/>
      <c r="K18" s="7"/>
      <c r="L18" s="7"/>
      <c r="M18" s="7"/>
    </row>
    <row r="19" spans="1:13" ht="15">
      <c r="A19" s="594">
        <f>ROW()</f>
        <v>19</v>
      </c>
      <c r="B19" s="1702"/>
      <c r="C19" s="1702"/>
      <c r="D19" s="1702"/>
      <c r="E19" s="554"/>
      <c r="F19" s="15"/>
      <c r="G19" s="421"/>
      <c r="H19" s="7"/>
      <c r="I19" s="7"/>
      <c r="J19" s="7"/>
      <c r="K19" s="7"/>
      <c r="L19" s="7"/>
      <c r="M19" s="7"/>
    </row>
    <row r="20" spans="1:13" ht="15">
      <c r="A20" s="594">
        <f>ROW()</f>
        <v>20</v>
      </c>
      <c r="B20" s="1702"/>
      <c r="C20" s="1702"/>
      <c r="D20" s="1702"/>
      <c r="E20" s="554"/>
      <c r="F20" s="15"/>
      <c r="G20" s="421"/>
      <c r="H20" s="7"/>
      <c r="I20" s="7"/>
      <c r="J20" s="7"/>
      <c r="K20" s="7"/>
      <c r="L20" s="7"/>
      <c r="M20" s="7"/>
    </row>
    <row r="21" spans="1:13" ht="15">
      <c r="A21" s="594">
        <f>ROW()</f>
        <v>21</v>
      </c>
      <c r="B21" s="1702"/>
      <c r="C21" s="1702"/>
      <c r="D21" s="1702"/>
      <c r="E21" s="554"/>
      <c r="F21" s="15"/>
      <c r="G21" s="421"/>
      <c r="H21" s="7"/>
      <c r="I21" s="7"/>
      <c r="J21" s="7"/>
      <c r="K21" s="7"/>
      <c r="L21" s="7"/>
      <c r="M21" s="7"/>
    </row>
    <row r="22" spans="1:13" ht="15">
      <c r="A22" s="594">
        <f>ROW()</f>
        <v>22</v>
      </c>
      <c r="B22" s="1702"/>
      <c r="C22" s="1702"/>
      <c r="D22" s="1702"/>
      <c r="E22" s="554"/>
      <c r="F22" s="15"/>
      <c r="G22" s="421"/>
      <c r="H22" s="7"/>
      <c r="I22" s="7"/>
      <c r="J22" s="7"/>
      <c r="K22" s="7"/>
      <c r="L22" s="7"/>
      <c r="M22" s="7"/>
    </row>
    <row r="23" spans="1:13" ht="15">
      <c r="A23" s="594">
        <f>ROW()</f>
        <v>23</v>
      </c>
      <c r="B23" s="1702"/>
      <c r="C23" s="1702"/>
      <c r="D23" s="1702"/>
      <c r="E23" s="554"/>
      <c r="F23" s="15"/>
      <c r="G23" s="421"/>
      <c r="H23" s="7"/>
      <c r="I23" s="7"/>
      <c r="J23" s="7"/>
      <c r="K23" s="7"/>
      <c r="L23" s="7"/>
      <c r="M23" s="7"/>
    </row>
    <row r="24" spans="1:13" ht="15">
      <c r="A24" s="594">
        <f>ROW()</f>
        <v>24</v>
      </c>
      <c r="B24" s="1702"/>
      <c r="C24" s="1702"/>
      <c r="D24" s="1702"/>
      <c r="E24" s="554"/>
      <c r="F24" s="15"/>
      <c r="G24" s="421"/>
      <c r="H24" s="7"/>
      <c r="I24" s="7"/>
      <c r="J24" s="7"/>
      <c r="K24" s="7"/>
      <c r="L24" s="7"/>
      <c r="M24" s="7"/>
    </row>
    <row r="25" spans="1:13" ht="15">
      <c r="A25" s="594">
        <f>ROW()</f>
        <v>25</v>
      </c>
      <c r="B25" s="1702"/>
      <c r="C25" s="1702"/>
      <c r="D25" s="1702"/>
      <c r="E25" s="554"/>
      <c r="F25" s="15"/>
      <c r="G25" s="421"/>
      <c r="H25" s="7"/>
      <c r="I25" s="7"/>
      <c r="J25" s="7"/>
      <c r="K25" s="7"/>
      <c r="L25" s="7"/>
      <c r="M25" s="7"/>
    </row>
    <row r="26" spans="1:13" ht="15">
      <c r="A26" s="594">
        <f>ROW()</f>
        <v>26</v>
      </c>
      <c r="B26" s="1702"/>
      <c r="C26" s="1702"/>
      <c r="D26" s="1702"/>
      <c r="E26" s="554"/>
      <c r="F26" s="15"/>
      <c r="G26" s="421"/>
      <c r="H26" s="7"/>
      <c r="I26" s="7"/>
      <c r="J26" s="7"/>
      <c r="K26" s="7"/>
      <c r="L26" s="7"/>
      <c r="M26" s="7"/>
    </row>
    <row r="27" spans="1:13" ht="15">
      <c r="A27" s="594">
        <f>ROW()</f>
        <v>27</v>
      </c>
      <c r="B27" s="1705"/>
      <c r="C27" s="1705"/>
      <c r="D27" s="1705"/>
      <c r="E27" s="554"/>
      <c r="F27" s="15"/>
      <c r="G27" s="421"/>
      <c r="H27" s="7"/>
      <c r="I27" s="7"/>
      <c r="J27" s="7"/>
      <c r="K27" s="7"/>
      <c r="L27" s="7"/>
      <c r="M27" s="7"/>
    </row>
    <row r="28" spans="1:13" ht="15">
      <c r="A28" s="594">
        <f>ROW()</f>
        <v>28</v>
      </c>
      <c r="B28" s="1537" t="s">
        <v>813</v>
      </c>
      <c r="C28" s="1537"/>
      <c r="D28" s="1538"/>
      <c r="E28" s="1539">
        <f>SUM(E10:E27)</f>
        <v>101512</v>
      </c>
      <c r="F28" s="16"/>
      <c r="G28" s="7"/>
      <c r="H28" s="7"/>
      <c r="I28" s="7"/>
      <c r="J28" s="7"/>
      <c r="K28" s="7"/>
      <c r="L28" s="7"/>
      <c r="M28" s="7"/>
    </row>
    <row r="29" spans="1:13" ht="15">
      <c r="A29" s="594">
        <f>ROW()</f>
        <v>29</v>
      </c>
      <c r="B29" s="11" t="s">
        <v>814</v>
      </c>
      <c r="C29" s="18"/>
      <c r="D29" s="18"/>
      <c r="E29" s="18"/>
      <c r="F29" s="18"/>
      <c r="G29" s="7"/>
      <c r="H29" s="7"/>
      <c r="I29" s="7"/>
      <c r="J29" s="7"/>
      <c r="K29" s="7"/>
      <c r="L29" s="7"/>
      <c r="M29" s="7"/>
    </row>
    <row r="30" spans="1:13" ht="15">
      <c r="A30" s="7"/>
      <c r="B30" s="11"/>
      <c r="C30" s="7"/>
      <c r="D30" s="7"/>
      <c r="E30" s="7"/>
      <c r="F30" s="7"/>
      <c r="G30" s="7"/>
      <c r="H30" s="7"/>
      <c r="I30" s="7"/>
      <c r="J30" s="7"/>
      <c r="K30" s="7"/>
      <c r="L30" s="7"/>
      <c r="M30" s="7"/>
    </row>
    <row r="31" spans="1:13" ht="15">
      <c r="A31" s="7"/>
      <c r="B31" s="11"/>
      <c r="C31" s="7"/>
      <c r="D31" s="7"/>
      <c r="E31" s="7"/>
      <c r="F31" s="7"/>
      <c r="G31" s="7"/>
      <c r="H31" s="7"/>
      <c r="I31" s="7"/>
      <c r="J31" s="7"/>
      <c r="K31" s="7"/>
      <c r="L31" s="7"/>
      <c r="M31" s="7"/>
    </row>
    <row r="32" spans="1:13" ht="15">
      <c r="A32" s="7"/>
      <c r="B32" s="11"/>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sheetData>
  <mergeCells count="19">
    <mergeCell ref="B24:D24"/>
    <mergeCell ref="B25:D25"/>
    <mergeCell ref="B26:D26"/>
    <mergeCell ref="B27:D27"/>
    <mergeCell ref="B19:D19"/>
    <mergeCell ref="B20:D20"/>
    <mergeCell ref="B21:D21"/>
    <mergeCell ref="B22:D22"/>
    <mergeCell ref="B23:D23"/>
    <mergeCell ref="B14:D14"/>
    <mergeCell ref="B15:D15"/>
    <mergeCell ref="B16:D16"/>
    <mergeCell ref="B17:D17"/>
    <mergeCell ref="B18:D18"/>
    <mergeCell ref="B9:E9"/>
    <mergeCell ref="B10:D10"/>
    <mergeCell ref="B11:D11"/>
    <mergeCell ref="B12:D12"/>
    <mergeCell ref="B13:D13"/>
  </mergeCells>
  <conditionalFormatting sqref="E1">
    <cfRule type="expression" dxfId="13" priority="1" stopIfTrue="1">
      <formula>MOD(ROW(),2)=0</formula>
    </cfRule>
  </conditionalFormatting>
  <dataValidations count="1">
    <dataValidation allowBlank="1" showInputMessage="1" showErrorMessage="1" prompt="You may change any of the job titles." sqref="B10:B2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M78"/>
  <sheetViews>
    <sheetView showGridLines="0" topLeftCell="A7" zoomScaleNormal="100" workbookViewId="0">
      <selection activeCell="M29" sqref="M29"/>
    </sheetView>
  </sheetViews>
  <sheetFormatPr defaultColWidth="8.85546875" defaultRowHeight="15"/>
  <cols>
    <col min="1" max="1" width="6.7109375" style="37" bestFit="1" customWidth="1"/>
    <col min="2" max="2" width="47.85546875" style="37" customWidth="1"/>
    <col min="3" max="3" width="10.28515625" style="37" customWidth="1"/>
    <col min="4" max="4" width="14.5703125" style="37" customWidth="1"/>
    <col min="5" max="5" width="20.85546875" style="37" customWidth="1"/>
    <col min="6" max="6" width="13.42578125" style="37" customWidth="1"/>
    <col min="7" max="7" width="12.5703125" style="37" customWidth="1"/>
    <col min="8" max="8" width="12.7109375" style="37" customWidth="1"/>
    <col min="9" max="9" width="12" style="37" customWidth="1"/>
    <col min="10" max="10" width="14" style="37" customWidth="1"/>
    <col min="11" max="11" width="14.7109375" style="37" customWidth="1"/>
    <col min="12" max="12" width="3.140625" style="37" customWidth="1"/>
    <col min="13" max="13" width="61.85546875" style="37" customWidth="1"/>
    <col min="14" max="16384" width="8.85546875" style="37"/>
  </cols>
  <sheetData>
    <row r="1" spans="1:13" ht="18">
      <c r="A1" s="142" t="s">
        <v>815</v>
      </c>
      <c r="B1" s="40"/>
      <c r="C1" s="508" t="s">
        <v>2</v>
      </c>
      <c r="D1" s="88" t="s">
        <v>816</v>
      </c>
      <c r="I1" s="35"/>
      <c r="J1" s="35"/>
      <c r="K1" s="35"/>
    </row>
    <row r="2" spans="1:13" ht="15.75">
      <c r="A2" s="133" t="str">
        <f>SchoolName</f>
        <v>Rooted School Clark County</v>
      </c>
      <c r="B2" s="43"/>
      <c r="D2" s="88" t="s">
        <v>817</v>
      </c>
      <c r="I2" s="107"/>
      <c r="J2" s="107"/>
      <c r="K2" s="163"/>
      <c r="L2" s="164"/>
      <c r="M2" s="164"/>
    </row>
    <row r="3" spans="1:13">
      <c r="A3" s="44" t="s">
        <v>62</v>
      </c>
      <c r="D3" s="316" t="s">
        <v>818</v>
      </c>
      <c r="I3" s="111"/>
      <c r="J3" s="111"/>
      <c r="K3" s="163"/>
      <c r="L3" s="164"/>
      <c r="M3" s="164"/>
    </row>
    <row r="4" spans="1:13">
      <c r="A4" s="45" t="s">
        <v>63</v>
      </c>
      <c r="D4" s="88" t="s">
        <v>819</v>
      </c>
      <c r="I4" s="35"/>
      <c r="J4" s="35"/>
      <c r="K4" s="35"/>
    </row>
    <row r="5" spans="1:13">
      <c r="A5" s="34" t="str">
        <f ca="1">CELL("filename")</f>
        <v>C:\Users\CRaymond\Char. School Bus Mgt Dropbox\Collin Raymond\Growth Team\Growth 2.0\Growth &amp; Data\Client Projects\Rooted LV\[Rooted School-SPCSA-Operating Budget-V10 (1) - Rev9.xlsx]Summary</v>
      </c>
      <c r="I5" s="107"/>
      <c r="J5" s="107"/>
      <c r="K5" s="163"/>
      <c r="L5" s="164"/>
      <c r="M5" s="164"/>
    </row>
    <row r="6" spans="1:13">
      <c r="A6" s="72"/>
      <c r="B6" s="35" t="s">
        <v>820</v>
      </c>
      <c r="C6" s="35"/>
    </row>
    <row r="7" spans="1:13">
      <c r="A7" s="72"/>
      <c r="B7" s="35" t="s">
        <v>821</v>
      </c>
      <c r="C7" s="73"/>
      <c r="E7" s="73" t="s">
        <v>822</v>
      </c>
      <c r="F7" s="317"/>
    </row>
    <row r="8" spans="1:13">
      <c r="A8" s="72"/>
      <c r="B8" s="35"/>
      <c r="C8" s="36"/>
      <c r="E8" s="36" t="s">
        <v>250</v>
      </c>
      <c r="F8" s="36"/>
    </row>
    <row r="9" spans="1:13">
      <c r="A9" s="424"/>
      <c r="B9" s="35"/>
      <c r="D9" s="36"/>
      <c r="E9" s="876" t="s">
        <v>800</v>
      </c>
      <c r="F9" s="945" t="s">
        <v>717</v>
      </c>
      <c r="G9" s="945" t="s">
        <v>718</v>
      </c>
      <c r="H9" s="945" t="s">
        <v>719</v>
      </c>
      <c r="I9" s="945" t="s">
        <v>720</v>
      </c>
      <c r="J9" s="945" t="s">
        <v>721</v>
      </c>
      <c r="K9" s="1540" t="s">
        <v>722</v>
      </c>
    </row>
    <row r="10" spans="1:13" ht="15.75">
      <c r="A10" s="424"/>
      <c r="B10" s="35"/>
      <c r="D10" s="353"/>
      <c r="E10" s="946">
        <f>+F10-1</f>
        <v>2024</v>
      </c>
      <c r="F10" s="947">
        <f>' Enrol &amp; Rev'!H10</f>
        <v>2025</v>
      </c>
      <c r="G10" s="948">
        <f>+F11</f>
        <v>2026</v>
      </c>
      <c r="H10" s="948">
        <f>+G11</f>
        <v>2027</v>
      </c>
      <c r="I10" s="948">
        <f>+H11</f>
        <v>2028</v>
      </c>
      <c r="J10" s="948">
        <f>+I11</f>
        <v>2029</v>
      </c>
      <c r="K10" s="949">
        <f>+J11</f>
        <v>2030</v>
      </c>
    </row>
    <row r="11" spans="1:13" ht="15.75">
      <c r="A11" s="424"/>
      <c r="B11" s="35"/>
      <c r="D11" s="366" t="s">
        <v>123</v>
      </c>
      <c r="E11" s="950">
        <f>+F11-1</f>
        <v>2025</v>
      </c>
      <c r="F11" s="951">
        <f t="shared" ref="F11:K11" si="0">+F10+1</f>
        <v>2026</v>
      </c>
      <c r="G11" s="951">
        <f t="shared" si="0"/>
        <v>2027</v>
      </c>
      <c r="H11" s="951">
        <f t="shared" si="0"/>
        <v>2028</v>
      </c>
      <c r="I11" s="951">
        <f t="shared" si="0"/>
        <v>2029</v>
      </c>
      <c r="J11" s="951">
        <f t="shared" si="0"/>
        <v>2030</v>
      </c>
      <c r="K11" s="952">
        <f t="shared" si="0"/>
        <v>2031</v>
      </c>
      <c r="M11" s="201" t="s">
        <v>83</v>
      </c>
    </row>
    <row r="12" spans="1:13" ht="15.75">
      <c r="A12" s="424">
        <f>ROW()</f>
        <v>12</v>
      </c>
      <c r="B12" s="979" t="s">
        <v>421</v>
      </c>
      <c r="C12" s="980"/>
      <c r="D12" s="981"/>
      <c r="E12" s="704"/>
      <c r="F12" s="807">
        <f>Market!E27</f>
        <v>150</v>
      </c>
      <c r="G12" s="807">
        <f>Market!F27</f>
        <v>270</v>
      </c>
      <c r="H12" s="807">
        <f>Market!G27</f>
        <v>315</v>
      </c>
      <c r="I12" s="807">
        <f>Market!H27</f>
        <v>360</v>
      </c>
      <c r="J12" s="807">
        <f>Market!I27</f>
        <v>360</v>
      </c>
      <c r="K12" s="807">
        <f>Market!J27</f>
        <v>360</v>
      </c>
      <c r="M12" s="566"/>
    </row>
    <row r="13" spans="1:13" ht="15.75">
      <c r="A13" s="1121">
        <f>ROW()</f>
        <v>13</v>
      </c>
      <c r="B13" s="634" t="s">
        <v>422</v>
      </c>
      <c r="C13" s="764"/>
      <c r="D13" s="808">
        <f>SUM(E13:K13)</f>
        <v>21716403.811012462</v>
      </c>
      <c r="E13" s="765"/>
      <c r="F13" s="810">
        <f>+' Enrol &amp; Rev'!H109</f>
        <v>1856281.5000000002</v>
      </c>
      <c r="G13" s="810">
        <f>+' Enrol &amp; Rev'!I109</f>
        <v>3111294.1187126245</v>
      </c>
      <c r="H13" s="810">
        <f>+' Enrol &amp; Rev'!J109</f>
        <v>3750620.1479327255</v>
      </c>
      <c r="I13" s="810">
        <f>+' Enrol &amp; Rev'!K109</f>
        <v>4294595.9065465126</v>
      </c>
      <c r="J13" s="810">
        <f>+' Enrol &amp; Rev'!L109</f>
        <v>4351806.0689102998</v>
      </c>
      <c r="K13" s="810">
        <f>+' Enrol &amp; Rev'!M109</f>
        <v>4351806.0689102998</v>
      </c>
      <c r="M13" s="421"/>
    </row>
    <row r="14" spans="1:13" ht="15.75">
      <c r="A14" s="1121">
        <f>ROW()</f>
        <v>14</v>
      </c>
      <c r="B14" s="80" t="s">
        <v>823</v>
      </c>
      <c r="C14" s="754"/>
      <c r="D14" s="809">
        <f>SUM(E14:K14)</f>
        <v>19141256.404601917</v>
      </c>
      <c r="E14" s="811">
        <f>SUM(Summary!F40:F44,Summary!F36:F38)</f>
        <v>421428</v>
      </c>
      <c r="F14" s="812">
        <f>SUM(Summary!G40:G44,Summary!G36:G38)</f>
        <v>1812107.3230434782</v>
      </c>
      <c r="G14" s="812">
        <f>SUM(Summary!H40:H44,Summary!H36:H38)</f>
        <v>2880853.881543478</v>
      </c>
      <c r="H14" s="812">
        <f>SUM(Summary!I40:I44,Summary!I36:I38)</f>
        <v>3418191.2368932171</v>
      </c>
      <c r="I14" s="812">
        <f>SUM(Summary!J40:J44,Summary!J36:J38)</f>
        <v>3545251.8955224976</v>
      </c>
      <c r="J14" s="812">
        <f>SUM(Summary!K40:K44,Summary!K36:K38)</f>
        <v>3528325.9527507499</v>
      </c>
      <c r="K14" s="812">
        <f>SUM(Summary!L40:L44,Summary!L36:L38)</f>
        <v>3535098.1148484964</v>
      </c>
      <c r="M14" s="421"/>
    </row>
    <row r="15" spans="1:13" ht="15.75">
      <c r="A15" s="1121">
        <f>ROW()</f>
        <v>15</v>
      </c>
      <c r="B15" s="813" t="s">
        <v>824</v>
      </c>
      <c r="C15" s="754"/>
      <c r="D15" s="1151" t="s">
        <v>1323</v>
      </c>
      <c r="E15" s="811"/>
      <c r="F15" s="812"/>
      <c r="G15" s="812"/>
      <c r="H15" s="812"/>
      <c r="I15" s="812"/>
      <c r="J15" s="812"/>
      <c r="K15" s="812"/>
      <c r="M15" s="421"/>
    </row>
    <row r="16" spans="1:13" ht="15.75">
      <c r="A16" s="1121">
        <f>ROW()</f>
        <v>16</v>
      </c>
      <c r="B16" s="813" t="s">
        <v>825</v>
      </c>
      <c r="C16" s="80"/>
      <c r="D16" s="755"/>
      <c r="E16" s="755"/>
      <c r="F16" s="546"/>
      <c r="G16" s="756"/>
      <c r="H16" s="756"/>
      <c r="I16" s="756"/>
      <c r="J16" s="756"/>
      <c r="K16" s="756"/>
      <c r="M16" s="421"/>
    </row>
    <row r="17" spans="1:13" ht="15.75">
      <c r="A17" s="1121">
        <f>ROW()</f>
        <v>17</v>
      </c>
      <c r="B17" s="1147" t="s">
        <v>826</v>
      </c>
      <c r="D17" s="1050"/>
      <c r="E17" s="1148"/>
      <c r="F17" s="114"/>
      <c r="G17" s="778"/>
      <c r="H17" s="778"/>
      <c r="I17" s="778"/>
      <c r="J17" s="778"/>
      <c r="K17" s="778"/>
      <c r="M17" s="421"/>
    </row>
    <row r="18" spans="1:13" ht="15.75">
      <c r="A18" s="1121">
        <f>ROW()</f>
        <v>18</v>
      </c>
      <c r="B18" s="1147" t="s">
        <v>1193</v>
      </c>
      <c r="D18" s="1050"/>
      <c r="E18" s="1148"/>
      <c r="F18" s="114"/>
      <c r="G18" s="778"/>
      <c r="H18" s="778"/>
      <c r="I18" s="778"/>
      <c r="J18" s="778"/>
      <c r="K18" s="778"/>
      <c r="M18" s="421"/>
    </row>
    <row r="19" spans="1:13" ht="15.75">
      <c r="A19" s="1121">
        <f>ROW()</f>
        <v>19</v>
      </c>
      <c r="B19" s="1147" t="s">
        <v>1194</v>
      </c>
      <c r="D19" s="1050"/>
      <c r="E19" s="1553" t="s">
        <v>1196</v>
      </c>
      <c r="F19" s="114"/>
      <c r="G19" s="778"/>
      <c r="H19" s="778"/>
      <c r="I19" s="778"/>
      <c r="J19" s="778"/>
      <c r="K19" s="778"/>
      <c r="M19" s="421"/>
    </row>
    <row r="20" spans="1:13" ht="15.75">
      <c r="A20" s="1121">
        <f>ROW()</f>
        <v>20</v>
      </c>
      <c r="B20" s="1147" t="s">
        <v>827</v>
      </c>
      <c r="D20" s="1050"/>
      <c r="E20" s="1148"/>
      <c r="F20" s="114"/>
      <c r="G20" s="778"/>
      <c r="H20" s="778"/>
      <c r="I20" s="778"/>
      <c r="J20" s="778"/>
      <c r="K20" s="778"/>
      <c r="M20" s="421"/>
    </row>
    <row r="21" spans="1:13" ht="15.75">
      <c r="A21" s="1121">
        <f>ROW()</f>
        <v>21</v>
      </c>
      <c r="B21" s="1147" t="s">
        <v>1195</v>
      </c>
      <c r="D21" s="1050" t="s">
        <v>952</v>
      </c>
      <c r="E21" s="1148"/>
      <c r="F21" s="114"/>
      <c r="G21" s="778"/>
      <c r="H21" s="778"/>
      <c r="I21" s="778"/>
      <c r="J21" s="778"/>
      <c r="K21" s="778"/>
      <c r="M21" s="421"/>
    </row>
    <row r="22" spans="1:13" ht="15.75">
      <c r="A22" s="1121">
        <f>ROW()</f>
        <v>22</v>
      </c>
      <c r="B22" s="1147"/>
      <c r="D22" s="322"/>
      <c r="E22" s="1148"/>
      <c r="F22" s="114"/>
      <c r="G22" s="778"/>
      <c r="H22" s="778"/>
      <c r="I22" s="778"/>
      <c r="J22" s="778"/>
      <c r="K22" s="778"/>
      <c r="M22" s="421"/>
    </row>
    <row r="23" spans="1:13">
      <c r="A23" s="1121">
        <f>ROW()</f>
        <v>23</v>
      </c>
      <c r="B23" s="571" t="s">
        <v>828</v>
      </c>
      <c r="C23" s="753"/>
      <c r="D23" s="395"/>
      <c r="E23" s="757"/>
      <c r="F23" s="757"/>
      <c r="G23" s="757"/>
      <c r="H23" s="757"/>
      <c r="I23" s="757"/>
      <c r="J23" s="757"/>
      <c r="K23" s="757"/>
      <c r="M23" s="421"/>
    </row>
    <row r="24" spans="1:13">
      <c r="A24" s="1121">
        <f>ROW()</f>
        <v>24</v>
      </c>
      <c r="B24" s="1603" t="s">
        <v>1373</v>
      </c>
      <c r="C24" s="1054"/>
      <c r="D24" s="1058"/>
      <c r="E24" s="759"/>
      <c r="F24" s="759"/>
      <c r="G24" s="759"/>
      <c r="H24" s="759"/>
      <c r="I24" s="759"/>
      <c r="J24" s="759"/>
      <c r="K24" s="759"/>
      <c r="M24" s="421"/>
    </row>
    <row r="25" spans="1:13">
      <c r="A25" s="1121">
        <f>ROW()</f>
        <v>25</v>
      </c>
      <c r="B25" s="1053" t="s">
        <v>1392</v>
      </c>
      <c r="C25" s="1054">
        <v>0.03</v>
      </c>
      <c r="D25" s="1058">
        <f>SUM(E25:K25)</f>
        <v>651492.11433037382</v>
      </c>
      <c r="E25" s="759">
        <f>$C$36*E2</f>
        <v>0</v>
      </c>
      <c r="F25" s="759">
        <f>$C$25*F13</f>
        <v>55688.445000000007</v>
      </c>
      <c r="G25" s="759">
        <f t="shared" ref="G25:K25" si="1">$C$25*G13</f>
        <v>93338.823561378726</v>
      </c>
      <c r="H25" s="759">
        <f t="shared" si="1"/>
        <v>112518.60443798176</v>
      </c>
      <c r="I25" s="759">
        <f t="shared" si="1"/>
        <v>128837.87719639538</v>
      </c>
      <c r="J25" s="759">
        <f t="shared" si="1"/>
        <v>130554.18206730898</v>
      </c>
      <c r="K25" s="759">
        <f t="shared" si="1"/>
        <v>130554.18206730898</v>
      </c>
      <c r="M25" s="421"/>
    </row>
    <row r="26" spans="1:13">
      <c r="A26" s="1121">
        <f>ROW()</f>
        <v>26</v>
      </c>
      <c r="B26" s="1625" t="s">
        <v>1327</v>
      </c>
      <c r="C26" s="1626"/>
      <c r="D26" s="1627">
        <f>SUM(E26:K26)</f>
        <v>63000</v>
      </c>
      <c r="E26" s="1628">
        <f>10500*6</f>
        <v>63000</v>
      </c>
      <c r="F26" s="760">
        <v>0</v>
      </c>
      <c r="G26" s="760">
        <v>0</v>
      </c>
      <c r="H26" s="760">
        <v>0</v>
      </c>
      <c r="I26" s="760">
        <v>0</v>
      </c>
      <c r="J26" s="760">
        <v>0</v>
      </c>
      <c r="K26" s="760">
        <v>0</v>
      </c>
      <c r="M26" s="421"/>
    </row>
    <row r="27" spans="1:13">
      <c r="A27" s="1121">
        <f>ROW()</f>
        <v>27</v>
      </c>
      <c r="B27" s="1053"/>
      <c r="C27" s="1054"/>
      <c r="D27" s="762">
        <f>SUM(E27:K27)</f>
        <v>0</v>
      </c>
      <c r="E27" s="759"/>
      <c r="F27" s="759">
        <v>0</v>
      </c>
      <c r="G27" s="759">
        <v>0</v>
      </c>
      <c r="H27" s="759">
        <v>0</v>
      </c>
      <c r="I27" s="759">
        <v>0</v>
      </c>
      <c r="J27" s="759">
        <v>0</v>
      </c>
      <c r="K27" s="759">
        <v>0</v>
      </c>
      <c r="M27" s="421"/>
    </row>
    <row r="28" spans="1:13">
      <c r="A28" s="1121">
        <f>ROW()</f>
        <v>28</v>
      </c>
      <c r="B28" s="1053"/>
      <c r="C28" s="1054">
        <v>0</v>
      </c>
      <c r="D28" s="762">
        <f>SUM(E28:K28)</f>
        <v>0</v>
      </c>
      <c r="E28" s="759">
        <v>0</v>
      </c>
      <c r="F28" s="759">
        <v>0</v>
      </c>
      <c r="G28" s="759">
        <v>0</v>
      </c>
      <c r="H28" s="759">
        <v>0</v>
      </c>
      <c r="I28" s="759">
        <v>0</v>
      </c>
      <c r="J28" s="759">
        <v>0</v>
      </c>
      <c r="K28" s="759">
        <v>0</v>
      </c>
      <c r="M28" s="421"/>
    </row>
    <row r="29" spans="1:13">
      <c r="A29" s="1121">
        <f>ROW()</f>
        <v>29</v>
      </c>
      <c r="B29" s="1603" t="s">
        <v>1393</v>
      </c>
      <c r="C29" s="639"/>
      <c r="D29" s="762"/>
      <c r="E29" s="759">
        <v>0</v>
      </c>
      <c r="F29" s="1641">
        <v>0</v>
      </c>
      <c r="G29" s="1641">
        <v>0</v>
      </c>
      <c r="H29" s="1641">
        <v>0</v>
      </c>
      <c r="I29" s="1641">
        <v>0</v>
      </c>
      <c r="J29" s="1641">
        <v>0</v>
      </c>
      <c r="K29" s="1641">
        <v>0</v>
      </c>
      <c r="M29" s="421" t="s">
        <v>1414</v>
      </c>
    </row>
    <row r="30" spans="1:13">
      <c r="A30" s="1121">
        <f>ROW()</f>
        <v>30</v>
      </c>
      <c r="B30" s="1053"/>
      <c r="C30" s="1054"/>
      <c r="D30" s="762">
        <f>SUM(E30:K30)</f>
        <v>0</v>
      </c>
      <c r="E30" s="759">
        <v>0</v>
      </c>
      <c r="F30" s="759">
        <v>0</v>
      </c>
      <c r="G30" s="759">
        <v>0</v>
      </c>
      <c r="H30" s="759">
        <v>0</v>
      </c>
      <c r="I30" s="759">
        <v>0</v>
      </c>
      <c r="J30" s="759">
        <v>0</v>
      </c>
      <c r="K30" s="759">
        <v>0</v>
      </c>
      <c r="M30" s="421"/>
    </row>
    <row r="31" spans="1:13">
      <c r="A31" s="1121">
        <f>ROW()</f>
        <v>31</v>
      </c>
      <c r="B31" s="1053"/>
      <c r="C31" s="1054"/>
      <c r="D31" s="762">
        <f>SUM(E31:K31)</f>
        <v>0</v>
      </c>
      <c r="E31" s="759">
        <v>0</v>
      </c>
      <c r="F31" s="759">
        <v>0</v>
      </c>
      <c r="G31" s="759">
        <v>0</v>
      </c>
      <c r="H31" s="759">
        <v>0</v>
      </c>
      <c r="I31" s="759">
        <v>0</v>
      </c>
      <c r="J31" s="759">
        <v>0</v>
      </c>
      <c r="K31" s="759">
        <v>0</v>
      </c>
      <c r="M31" s="421"/>
    </row>
    <row r="32" spans="1:13">
      <c r="A32" s="1121">
        <f>ROW()</f>
        <v>32</v>
      </c>
      <c r="B32" s="1053"/>
      <c r="C32" s="1054"/>
      <c r="D32" s="762"/>
      <c r="E32" s="759">
        <v>0</v>
      </c>
      <c r="F32" s="759">
        <v>0</v>
      </c>
      <c r="G32" s="759">
        <v>0</v>
      </c>
      <c r="H32" s="759">
        <v>0</v>
      </c>
      <c r="I32" s="759">
        <v>0</v>
      </c>
      <c r="J32" s="759">
        <v>0</v>
      </c>
      <c r="K32" s="759">
        <v>0</v>
      </c>
      <c r="M32" s="421"/>
    </row>
    <row r="33" spans="1:13">
      <c r="A33" s="1121">
        <f>ROW()</f>
        <v>33</v>
      </c>
      <c r="B33" s="1053"/>
      <c r="C33" s="1054">
        <v>0</v>
      </c>
      <c r="D33" s="762">
        <f>SUM(E33:K33)</f>
        <v>0</v>
      </c>
      <c r="E33" s="759">
        <v>0</v>
      </c>
      <c r="F33" s="759">
        <v>0</v>
      </c>
      <c r="G33" s="759">
        <v>0</v>
      </c>
      <c r="H33" s="759">
        <v>0</v>
      </c>
      <c r="I33" s="759">
        <v>0</v>
      </c>
      <c r="J33" s="759">
        <v>0</v>
      </c>
      <c r="K33" s="759">
        <v>0</v>
      </c>
      <c r="M33" s="421"/>
    </row>
    <row r="34" spans="1:13">
      <c r="A34" s="1121">
        <f>ROW()</f>
        <v>34</v>
      </c>
      <c r="B34" s="1053"/>
      <c r="C34" s="1054">
        <v>0</v>
      </c>
      <c r="D34" s="762">
        <f>SUM(E34:K34)</f>
        <v>0</v>
      </c>
      <c r="E34" s="759">
        <v>0</v>
      </c>
      <c r="F34" s="759">
        <v>0</v>
      </c>
      <c r="G34" s="759">
        <v>0</v>
      </c>
      <c r="H34" s="759">
        <v>0</v>
      </c>
      <c r="I34" s="759">
        <v>0</v>
      </c>
      <c r="J34" s="759">
        <v>0</v>
      </c>
      <c r="K34" s="759">
        <v>0</v>
      </c>
      <c r="M34" s="421"/>
    </row>
    <row r="35" spans="1:13">
      <c r="A35" s="1121">
        <f>ROW()</f>
        <v>35</v>
      </c>
      <c r="B35" s="1053"/>
      <c r="C35" s="1054"/>
      <c r="D35" s="762"/>
      <c r="E35" s="759">
        <v>0</v>
      </c>
      <c r="F35" s="759">
        <v>0</v>
      </c>
      <c r="G35" s="759">
        <v>0</v>
      </c>
      <c r="H35" s="759">
        <v>0</v>
      </c>
      <c r="I35" s="759">
        <v>0</v>
      </c>
      <c r="J35" s="759">
        <v>0</v>
      </c>
      <c r="K35" s="759">
        <v>0</v>
      </c>
      <c r="M35" s="421"/>
    </row>
    <row r="36" spans="1:13">
      <c r="A36" s="1121">
        <f>ROW()</f>
        <v>36</v>
      </c>
      <c r="B36" s="1053"/>
      <c r="C36" s="1054"/>
      <c r="D36" s="762"/>
      <c r="E36" s="759">
        <f>$C$36*E13</f>
        <v>0</v>
      </c>
      <c r="F36" s="759">
        <f t="shared" ref="F36:K36" si="2">$C$36*F13</f>
        <v>0</v>
      </c>
      <c r="G36" s="759">
        <f t="shared" si="2"/>
        <v>0</v>
      </c>
      <c r="H36" s="759">
        <f t="shared" si="2"/>
        <v>0</v>
      </c>
      <c r="I36" s="759">
        <f t="shared" si="2"/>
        <v>0</v>
      </c>
      <c r="J36" s="759">
        <f t="shared" si="2"/>
        <v>0</v>
      </c>
      <c r="K36" s="759">
        <f t="shared" si="2"/>
        <v>0</v>
      </c>
      <c r="M36" s="421"/>
    </row>
    <row r="37" spans="1:13">
      <c r="A37" s="1121">
        <f>ROW()</f>
        <v>37</v>
      </c>
      <c r="B37" s="1055"/>
      <c r="C37" s="1056"/>
      <c r="D37" s="763">
        <f>SUM(E37:K37)</f>
        <v>0</v>
      </c>
      <c r="E37" s="760"/>
      <c r="F37" s="760">
        <v>0</v>
      </c>
      <c r="G37" s="760">
        <v>0</v>
      </c>
      <c r="H37" s="760">
        <v>0</v>
      </c>
      <c r="I37" s="760">
        <v>0</v>
      </c>
      <c r="J37" s="760">
        <v>0</v>
      </c>
      <c r="K37" s="760">
        <v>0</v>
      </c>
      <c r="M37" s="421"/>
    </row>
    <row r="38" spans="1:13">
      <c r="A38" s="1121">
        <f>ROW()</f>
        <v>38</v>
      </c>
      <c r="B38" s="161"/>
      <c r="C38" s="321"/>
      <c r="D38" s="761">
        <f>SUM(E38:K38)</f>
        <v>714492.11433037394</v>
      </c>
      <c r="E38" s="761">
        <f t="shared" ref="E38:K38" si="3">SUM(E24:E37)</f>
        <v>63000</v>
      </c>
      <c r="F38" s="761">
        <f t="shared" si="3"/>
        <v>55688.445000000007</v>
      </c>
      <c r="G38" s="761">
        <f t="shared" si="3"/>
        <v>93338.823561378726</v>
      </c>
      <c r="H38" s="761">
        <f t="shared" si="3"/>
        <v>112518.60443798176</v>
      </c>
      <c r="I38" s="761">
        <f t="shared" si="3"/>
        <v>128837.87719639538</v>
      </c>
      <c r="J38" s="761">
        <f t="shared" si="3"/>
        <v>130554.18206730898</v>
      </c>
      <c r="K38" s="761">
        <f t="shared" si="3"/>
        <v>130554.18206730898</v>
      </c>
      <c r="M38" s="421"/>
    </row>
    <row r="39" spans="1:13">
      <c r="A39" s="1121">
        <f>ROW()</f>
        <v>39</v>
      </c>
      <c r="B39" s="399" t="s">
        <v>829</v>
      </c>
      <c r="F39" s="321"/>
      <c r="G39" s="320"/>
      <c r="H39" s="322"/>
      <c r="I39" s="61"/>
      <c r="J39" s="61"/>
      <c r="K39" s="61"/>
      <c r="L39" s="162"/>
      <c r="M39" s="421"/>
    </row>
    <row r="40" spans="1:13">
      <c r="A40" s="1121">
        <f>ROW()</f>
        <v>40</v>
      </c>
      <c r="B40" s="399" t="s">
        <v>830</v>
      </c>
      <c r="F40" s="321"/>
      <c r="G40" s="320"/>
      <c r="H40" s="322"/>
      <c r="I40" s="61"/>
      <c r="J40" s="61"/>
      <c r="K40" s="61"/>
      <c r="L40" s="162"/>
      <c r="M40" s="421"/>
    </row>
    <row r="41" spans="1:13">
      <c r="A41" s="1121">
        <f>ROW()</f>
        <v>41</v>
      </c>
      <c r="B41" s="399"/>
      <c r="F41" s="321"/>
      <c r="G41" s="320"/>
      <c r="H41" s="322"/>
      <c r="I41" s="61"/>
      <c r="J41" s="61"/>
      <c r="K41" s="61"/>
      <c r="L41" s="162"/>
      <c r="M41" s="421"/>
    </row>
    <row r="42" spans="1:13">
      <c r="A42" s="1121">
        <f>ROW()</f>
        <v>42</v>
      </c>
      <c r="B42" s="399"/>
      <c r="F42" s="321"/>
      <c r="G42" s="320"/>
      <c r="H42" s="322"/>
      <c r="I42" s="61"/>
      <c r="J42" s="61"/>
      <c r="K42" s="61"/>
      <c r="L42" s="162"/>
      <c r="M42" s="421"/>
    </row>
    <row r="43" spans="1:13">
      <c r="A43" s="1121">
        <f>ROW()</f>
        <v>43</v>
      </c>
      <c r="B43" s="399"/>
      <c r="D43" s="1706" t="s">
        <v>1375</v>
      </c>
      <c r="E43" s="1707"/>
      <c r="F43" s="1708"/>
      <c r="G43" s="320"/>
      <c r="H43" s="1706" t="s">
        <v>1374</v>
      </c>
      <c r="I43" s="1707"/>
      <c r="J43" s="1708"/>
      <c r="K43" s="61"/>
      <c r="L43" s="162"/>
      <c r="M43" s="421"/>
    </row>
    <row r="44" spans="1:13">
      <c r="A44" s="1121">
        <f>ROW()</f>
        <v>44</v>
      </c>
      <c r="B44" s="161"/>
      <c r="D44" s="36" t="s">
        <v>831</v>
      </c>
      <c r="E44" s="400" t="s">
        <v>832</v>
      </c>
      <c r="F44" s="36" t="s">
        <v>772</v>
      </c>
      <c r="G44" s="320"/>
      <c r="H44" s="36" t="s">
        <v>831</v>
      </c>
      <c r="I44" s="400" t="s">
        <v>832</v>
      </c>
      <c r="J44" s="36" t="s">
        <v>772</v>
      </c>
      <c r="K44" s="61"/>
      <c r="L44" s="162"/>
      <c r="M44" s="421"/>
    </row>
    <row r="45" spans="1:13">
      <c r="A45" s="1121">
        <f>ROW()</f>
        <v>45</v>
      </c>
      <c r="B45" s="161"/>
      <c r="D45" s="36" t="s">
        <v>833</v>
      </c>
      <c r="E45" s="36" t="s">
        <v>834</v>
      </c>
      <c r="F45" s="36" t="s">
        <v>835</v>
      </c>
      <c r="G45" s="320"/>
      <c r="H45" s="36" t="s">
        <v>833</v>
      </c>
      <c r="I45" s="36" t="s">
        <v>834</v>
      </c>
      <c r="J45" s="36" t="s">
        <v>835</v>
      </c>
      <c r="K45" s="61"/>
      <c r="L45" s="162"/>
      <c r="M45" s="421"/>
    </row>
    <row r="46" spans="1:13" ht="15.75">
      <c r="A46" s="1121">
        <f>ROW()</f>
        <v>46</v>
      </c>
      <c r="B46" s="401" t="s">
        <v>836</v>
      </c>
      <c r="C46" s="71"/>
      <c r="D46" s="64" t="s">
        <v>837</v>
      </c>
      <c r="E46" s="64" t="s">
        <v>837</v>
      </c>
      <c r="F46" s="64" t="s">
        <v>837</v>
      </c>
      <c r="G46" s="320"/>
      <c r="H46" s="64" t="s">
        <v>837</v>
      </c>
      <c r="I46" s="64" t="s">
        <v>837</v>
      </c>
      <c r="J46" s="64" t="s">
        <v>837</v>
      </c>
      <c r="K46" s="61"/>
      <c r="L46" s="162"/>
      <c r="M46" s="421"/>
    </row>
    <row r="47" spans="1:13" ht="30">
      <c r="A47" s="1121">
        <f>ROW()</f>
        <v>47</v>
      </c>
      <c r="B47" s="402" t="s">
        <v>838</v>
      </c>
      <c r="C47" s="46"/>
      <c r="D47" s="1589" t="s">
        <v>1322</v>
      </c>
      <c r="E47" s="1589" t="s">
        <v>1322</v>
      </c>
      <c r="F47" s="1589" t="s">
        <v>1322</v>
      </c>
      <c r="G47" s="320"/>
      <c r="H47" s="1589" t="s">
        <v>1323</v>
      </c>
      <c r="I47" s="1589" t="s">
        <v>1323</v>
      </c>
      <c r="J47" s="1589" t="s">
        <v>1322</v>
      </c>
      <c r="K47" s="61"/>
      <c r="L47" s="61"/>
      <c r="M47" s="421"/>
    </row>
    <row r="48" spans="1:13">
      <c r="A48" s="1121">
        <f>ROW()</f>
        <v>48</v>
      </c>
      <c r="B48" s="402" t="s">
        <v>839</v>
      </c>
      <c r="C48" s="46"/>
      <c r="D48" s="1589" t="s">
        <v>1322</v>
      </c>
      <c r="E48" s="1589" t="s">
        <v>1322</v>
      </c>
      <c r="F48" s="1589" t="s">
        <v>1322</v>
      </c>
      <c r="G48" s="320"/>
      <c r="H48" s="1589" t="s">
        <v>1323</v>
      </c>
      <c r="I48" s="1589" t="s">
        <v>1323</v>
      </c>
      <c r="J48" s="1589" t="s">
        <v>1322</v>
      </c>
      <c r="K48" s="61"/>
      <c r="L48" s="61"/>
      <c r="M48" s="421"/>
    </row>
    <row r="49" spans="1:13">
      <c r="A49" s="1121">
        <f>ROW()</f>
        <v>49</v>
      </c>
      <c r="B49" s="78" t="s">
        <v>840</v>
      </c>
      <c r="C49" s="78"/>
      <c r="D49" s="1589" t="s">
        <v>1322</v>
      </c>
      <c r="E49" s="1589" t="s">
        <v>1322</v>
      </c>
      <c r="F49" s="1589" t="s">
        <v>1322</v>
      </c>
      <c r="G49" s="320"/>
      <c r="H49" s="1589" t="s">
        <v>1322</v>
      </c>
      <c r="I49" s="1589" t="s">
        <v>1322</v>
      </c>
      <c r="J49" s="1589" t="s">
        <v>1322</v>
      </c>
      <c r="K49" s="61"/>
      <c r="L49" s="61"/>
      <c r="M49" s="421"/>
    </row>
    <row r="50" spans="1:13">
      <c r="A50" s="1121">
        <f>ROW()</f>
        <v>50</v>
      </c>
      <c r="B50" s="78" t="s">
        <v>841</v>
      </c>
      <c r="C50" s="78"/>
      <c r="D50" s="1590" t="s">
        <v>1322</v>
      </c>
      <c r="E50" s="1590" t="s">
        <v>1322</v>
      </c>
      <c r="F50" s="1590" t="s">
        <v>1322</v>
      </c>
      <c r="G50" s="320"/>
      <c r="H50" s="1589" t="s">
        <v>1322</v>
      </c>
      <c r="I50" s="1589" t="s">
        <v>1322</v>
      </c>
      <c r="J50" s="1589" t="s">
        <v>1322</v>
      </c>
      <c r="K50" s="61"/>
      <c r="L50" s="61"/>
      <c r="M50" s="421"/>
    </row>
    <row r="51" spans="1:13">
      <c r="A51" s="1121">
        <f>ROW()</f>
        <v>51</v>
      </c>
      <c r="B51" s="78" t="s">
        <v>842</v>
      </c>
      <c r="C51" s="78"/>
      <c r="D51" s="1590" t="s">
        <v>1322</v>
      </c>
      <c r="E51" s="1590" t="s">
        <v>1323</v>
      </c>
      <c r="F51" s="1590" t="s">
        <v>1322</v>
      </c>
      <c r="G51" s="320"/>
      <c r="H51" s="1589" t="s">
        <v>1322</v>
      </c>
      <c r="I51" s="1589" t="s">
        <v>1322</v>
      </c>
      <c r="J51" s="1589" t="s">
        <v>1322</v>
      </c>
      <c r="K51" s="61"/>
      <c r="L51" s="61"/>
      <c r="M51" s="421"/>
    </row>
    <row r="52" spans="1:13">
      <c r="A52" s="1121">
        <f>ROW()</f>
        <v>52</v>
      </c>
      <c r="B52" s="78" t="s">
        <v>843</v>
      </c>
      <c r="C52" s="78"/>
      <c r="D52" s="1590" t="s">
        <v>1322</v>
      </c>
      <c r="E52" s="1590" t="s">
        <v>1322</v>
      </c>
      <c r="F52" s="1590" t="s">
        <v>1322</v>
      </c>
      <c r="G52" s="320"/>
      <c r="H52" s="1589" t="s">
        <v>1322</v>
      </c>
      <c r="I52" s="1589" t="s">
        <v>1322</v>
      </c>
      <c r="J52" s="1589" t="s">
        <v>1322</v>
      </c>
      <c r="K52" s="61"/>
      <c r="L52" s="61"/>
      <c r="M52" s="421"/>
    </row>
    <row r="53" spans="1:13">
      <c r="A53" s="1121">
        <f>ROW()</f>
        <v>53</v>
      </c>
      <c r="B53" s="78" t="s">
        <v>844</v>
      </c>
      <c r="C53" s="78"/>
      <c r="D53" s="1590" t="s">
        <v>1323</v>
      </c>
      <c r="E53" s="1590" t="s">
        <v>1323</v>
      </c>
      <c r="F53" s="1590" t="s">
        <v>1322</v>
      </c>
      <c r="G53" s="320"/>
      <c r="H53" s="1589" t="s">
        <v>1323</v>
      </c>
      <c r="I53" s="1589" t="s">
        <v>1323</v>
      </c>
      <c r="J53" s="1589" t="s">
        <v>1322</v>
      </c>
      <c r="K53" s="61"/>
      <c r="L53" s="61"/>
      <c r="M53" s="421"/>
    </row>
    <row r="54" spans="1:13">
      <c r="A54" s="1121">
        <f>ROW()</f>
        <v>54</v>
      </c>
      <c r="B54" s="78" t="s">
        <v>845</v>
      </c>
      <c r="C54" s="78"/>
      <c r="D54" s="1590" t="s">
        <v>1322</v>
      </c>
      <c r="E54" s="1590" t="s">
        <v>1322</v>
      </c>
      <c r="F54" s="1591" t="s">
        <v>1322</v>
      </c>
      <c r="G54" s="320"/>
      <c r="H54" s="1589" t="s">
        <v>1322</v>
      </c>
      <c r="I54" s="1589" t="s">
        <v>1322</v>
      </c>
      <c r="J54" s="1589" t="s">
        <v>1322</v>
      </c>
      <c r="K54" s="61"/>
      <c r="L54" s="61"/>
      <c r="M54" s="421"/>
    </row>
    <row r="55" spans="1:13">
      <c r="A55" s="1121">
        <f>ROW()</f>
        <v>55</v>
      </c>
      <c r="B55" s="78" t="s">
        <v>846</v>
      </c>
      <c r="C55" s="78"/>
      <c r="D55" s="1590" t="s">
        <v>1323</v>
      </c>
      <c r="E55" s="1590" t="s">
        <v>1323</v>
      </c>
      <c r="F55" s="1591" t="s">
        <v>1322</v>
      </c>
      <c r="G55" s="320"/>
      <c r="H55" s="1589" t="s">
        <v>1322</v>
      </c>
      <c r="I55" s="1589" t="s">
        <v>1322</v>
      </c>
      <c r="J55" s="1589" t="s">
        <v>1322</v>
      </c>
      <c r="K55" s="61"/>
      <c r="L55" s="61"/>
      <c r="M55" s="421"/>
    </row>
    <row r="56" spans="1:13">
      <c r="A56" s="1121">
        <f>ROW()</f>
        <v>56</v>
      </c>
      <c r="B56" s="78" t="s">
        <v>847</v>
      </c>
      <c r="C56" s="78"/>
      <c r="D56" s="1590" t="s">
        <v>1323</v>
      </c>
      <c r="E56" s="1590" t="s">
        <v>1323</v>
      </c>
      <c r="F56" s="1591" t="s">
        <v>1322</v>
      </c>
      <c r="G56" s="320"/>
      <c r="H56" s="1589" t="s">
        <v>1322</v>
      </c>
      <c r="I56" s="1589" t="s">
        <v>1322</v>
      </c>
      <c r="J56" s="1589" t="s">
        <v>1322</v>
      </c>
      <c r="K56" s="61"/>
      <c r="L56" s="61"/>
      <c r="M56" s="421"/>
    </row>
    <row r="57" spans="1:13">
      <c r="A57" s="1121">
        <f>ROW()</f>
        <v>57</v>
      </c>
      <c r="B57" s="78" t="s">
        <v>848</v>
      </c>
      <c r="C57" s="78"/>
      <c r="D57" s="1590" t="s">
        <v>1323</v>
      </c>
      <c r="E57" s="1590" t="s">
        <v>1323</v>
      </c>
      <c r="F57" s="1591" t="s">
        <v>1322</v>
      </c>
      <c r="G57" s="320"/>
      <c r="H57" s="1589" t="s">
        <v>1322</v>
      </c>
      <c r="I57" s="1589" t="s">
        <v>1322</v>
      </c>
      <c r="J57" s="1589" t="s">
        <v>1322</v>
      </c>
      <c r="K57" s="61"/>
      <c r="L57" s="61"/>
      <c r="M57" s="421"/>
    </row>
    <row r="58" spans="1:13">
      <c r="A58" s="1121">
        <f>ROW()</f>
        <v>58</v>
      </c>
      <c r="B58" s="78" t="s">
        <v>849</v>
      </c>
      <c r="C58" s="78"/>
      <c r="D58" s="1590" t="s">
        <v>1322</v>
      </c>
      <c r="E58" s="1590" t="s">
        <v>1322</v>
      </c>
      <c r="F58" s="1591" t="s">
        <v>1322</v>
      </c>
      <c r="G58" s="320"/>
      <c r="H58" s="1589" t="s">
        <v>1322</v>
      </c>
      <c r="I58" s="1589" t="s">
        <v>1322</v>
      </c>
      <c r="J58" s="1589" t="s">
        <v>1322</v>
      </c>
      <c r="K58" s="61"/>
      <c r="L58" s="61"/>
      <c r="M58" s="421"/>
    </row>
    <row r="59" spans="1:13">
      <c r="A59" s="1121">
        <f>ROW()</f>
        <v>59</v>
      </c>
      <c r="B59" s="78" t="s">
        <v>850</v>
      </c>
      <c r="C59" s="78"/>
      <c r="D59" s="1590" t="s">
        <v>1322</v>
      </c>
      <c r="E59" s="1590" t="s">
        <v>1322</v>
      </c>
      <c r="F59" s="1591" t="s">
        <v>1322</v>
      </c>
      <c r="G59" s="320"/>
      <c r="H59" s="1589" t="s">
        <v>1323</v>
      </c>
      <c r="I59" s="1589" t="s">
        <v>1323</v>
      </c>
      <c r="J59" s="1589" t="s">
        <v>1322</v>
      </c>
      <c r="K59" s="61"/>
      <c r="L59" s="61"/>
      <c r="M59" s="421"/>
    </row>
    <row r="60" spans="1:13">
      <c r="A60" s="1121">
        <f>ROW()</f>
        <v>60</v>
      </c>
      <c r="B60" s="78" t="s">
        <v>851</v>
      </c>
      <c r="C60" s="78"/>
      <c r="D60" s="1590" t="s">
        <v>1322</v>
      </c>
      <c r="E60" s="1590" t="s">
        <v>1322</v>
      </c>
      <c r="F60" s="1591" t="s">
        <v>1322</v>
      </c>
      <c r="G60" s="320"/>
      <c r="H60" s="1589" t="s">
        <v>1322</v>
      </c>
      <c r="I60" s="1589" t="s">
        <v>1322</v>
      </c>
      <c r="J60" s="1589" t="s">
        <v>1322</v>
      </c>
      <c r="K60" s="61"/>
      <c r="L60" s="61"/>
      <c r="M60" s="421"/>
    </row>
    <row r="61" spans="1:13">
      <c r="A61" s="1121">
        <f>ROW()</f>
        <v>61</v>
      </c>
      <c r="B61" s="78" t="s">
        <v>852</v>
      </c>
      <c r="C61" s="78"/>
      <c r="D61" s="1590" t="s">
        <v>1322</v>
      </c>
      <c r="E61" s="1590" t="s">
        <v>1322</v>
      </c>
      <c r="F61" s="1591" t="s">
        <v>1322</v>
      </c>
      <c r="G61" s="320"/>
      <c r="H61" s="1589" t="s">
        <v>1322</v>
      </c>
      <c r="I61" s="1589" t="s">
        <v>1322</v>
      </c>
      <c r="J61" s="1589" t="s">
        <v>1322</v>
      </c>
      <c r="K61" s="61"/>
      <c r="L61" s="61"/>
      <c r="M61" s="421"/>
    </row>
    <row r="62" spans="1:13">
      <c r="A62" s="1121">
        <f>ROW()</f>
        <v>62</v>
      </c>
      <c r="B62" s="78" t="s">
        <v>853</v>
      </c>
      <c r="C62" s="78"/>
      <c r="D62" s="1590" t="s">
        <v>1322</v>
      </c>
      <c r="E62" s="1590" t="s">
        <v>1322</v>
      </c>
      <c r="F62" s="1591" t="s">
        <v>1322</v>
      </c>
      <c r="G62" s="320"/>
      <c r="H62" s="1589" t="s">
        <v>1322</v>
      </c>
      <c r="I62" s="1589" t="s">
        <v>1322</v>
      </c>
      <c r="J62" s="1589" t="s">
        <v>1322</v>
      </c>
      <c r="K62" s="61"/>
      <c r="L62" s="61"/>
      <c r="M62" s="421"/>
    </row>
    <row r="63" spans="1:13">
      <c r="A63" s="1121">
        <f>ROW()</f>
        <v>63</v>
      </c>
      <c r="B63" s="78" t="s">
        <v>854</v>
      </c>
      <c r="C63" s="78"/>
      <c r="D63" s="1590" t="s">
        <v>1322</v>
      </c>
      <c r="E63" s="1590" t="s">
        <v>1322</v>
      </c>
      <c r="F63" s="1591" t="s">
        <v>1322</v>
      </c>
      <c r="G63" s="320"/>
      <c r="H63" s="1589" t="s">
        <v>1322</v>
      </c>
      <c r="I63" s="1589" t="s">
        <v>1322</v>
      </c>
      <c r="J63" s="1589" t="s">
        <v>1322</v>
      </c>
      <c r="K63" s="61"/>
      <c r="L63" s="61"/>
      <c r="M63" s="421"/>
    </row>
    <row r="64" spans="1:13">
      <c r="A64" s="1121">
        <f>ROW()</f>
        <v>64</v>
      </c>
      <c r="B64" s="78" t="s">
        <v>855</v>
      </c>
      <c r="C64" s="78"/>
      <c r="D64" s="1590" t="s">
        <v>1323</v>
      </c>
      <c r="E64" s="1590" t="s">
        <v>1323</v>
      </c>
      <c r="F64" s="1591" t="s">
        <v>1322</v>
      </c>
      <c r="G64" s="320"/>
      <c r="H64" s="1589" t="s">
        <v>1323</v>
      </c>
      <c r="I64" s="1589" t="s">
        <v>1323</v>
      </c>
      <c r="J64" s="1589" t="s">
        <v>1322</v>
      </c>
      <c r="K64" s="61"/>
      <c r="L64" s="61"/>
      <c r="M64" s="421"/>
    </row>
    <row r="65" spans="1:13">
      <c r="A65" s="1121">
        <f>ROW()</f>
        <v>65</v>
      </c>
      <c r="B65" s="78" t="s">
        <v>856</v>
      </c>
      <c r="C65" s="78"/>
      <c r="D65" s="1590" t="s">
        <v>1322</v>
      </c>
      <c r="E65" s="1590" t="s">
        <v>1322</v>
      </c>
      <c r="F65" s="1591" t="s">
        <v>1322</v>
      </c>
      <c r="G65" s="320"/>
      <c r="H65" s="1589" t="s">
        <v>1322</v>
      </c>
      <c r="I65" s="1589" t="s">
        <v>1322</v>
      </c>
      <c r="J65" s="1589" t="s">
        <v>1322</v>
      </c>
      <c r="K65" s="61"/>
      <c r="L65" s="61"/>
      <c r="M65" s="421"/>
    </row>
    <row r="66" spans="1:13">
      <c r="A66" s="1121">
        <f>ROW()</f>
        <v>66</v>
      </c>
      <c r="B66" s="78" t="s">
        <v>857</v>
      </c>
      <c r="C66" s="78"/>
      <c r="D66" s="1590" t="s">
        <v>1323</v>
      </c>
      <c r="E66" s="1590" t="s">
        <v>1323</v>
      </c>
      <c r="F66" s="1591" t="s">
        <v>1322</v>
      </c>
      <c r="G66" s="320"/>
      <c r="H66" s="1589" t="s">
        <v>1322</v>
      </c>
      <c r="I66" s="1589" t="s">
        <v>1322</v>
      </c>
      <c r="J66" s="1589" t="s">
        <v>1322</v>
      </c>
      <c r="K66" s="61"/>
      <c r="L66" s="61"/>
      <c r="M66" s="421"/>
    </row>
    <row r="67" spans="1:13">
      <c r="A67" s="1121">
        <f>ROW()</f>
        <v>67</v>
      </c>
      <c r="B67" s="78" t="s">
        <v>858</v>
      </c>
      <c r="C67" s="78"/>
      <c r="D67" s="1590" t="s">
        <v>1322</v>
      </c>
      <c r="E67" s="1590" t="s">
        <v>1322</v>
      </c>
      <c r="F67" s="1591" t="s">
        <v>1322</v>
      </c>
      <c r="G67" s="320"/>
      <c r="H67" s="1589" t="s">
        <v>1322</v>
      </c>
      <c r="I67" s="1589" t="s">
        <v>1322</v>
      </c>
      <c r="J67" s="1589" t="s">
        <v>1322</v>
      </c>
      <c r="K67" s="61"/>
      <c r="L67" s="61"/>
      <c r="M67" s="421"/>
    </row>
    <row r="68" spans="1:13">
      <c r="A68" s="1121">
        <f>ROW()</f>
        <v>68</v>
      </c>
      <c r="B68" s="78" t="s">
        <v>859</v>
      </c>
      <c r="C68" s="78"/>
      <c r="D68" s="1590" t="s">
        <v>1322</v>
      </c>
      <c r="E68" s="1590" t="s">
        <v>1322</v>
      </c>
      <c r="F68" s="1591" t="s">
        <v>1322</v>
      </c>
      <c r="G68" s="320"/>
      <c r="H68" s="1589" t="s">
        <v>1322</v>
      </c>
      <c r="I68" s="1589" t="s">
        <v>1322</v>
      </c>
      <c r="J68" s="1589" t="s">
        <v>1322</v>
      </c>
      <c r="K68" s="61"/>
      <c r="L68" s="61"/>
      <c r="M68" s="421"/>
    </row>
    <row r="69" spans="1:13">
      <c r="A69" s="1121">
        <f>ROW()</f>
        <v>69</v>
      </c>
      <c r="B69" s="78" t="s">
        <v>860</v>
      </c>
      <c r="C69" s="78"/>
      <c r="D69" s="1590" t="s">
        <v>1322</v>
      </c>
      <c r="E69" s="1590" t="s">
        <v>1322</v>
      </c>
      <c r="F69" s="1591" t="s">
        <v>1322</v>
      </c>
      <c r="G69" s="320"/>
      <c r="H69" s="1589" t="s">
        <v>1322</v>
      </c>
      <c r="I69" s="1589" t="s">
        <v>1322</v>
      </c>
      <c r="J69" s="1589" t="s">
        <v>1322</v>
      </c>
      <c r="K69" s="61"/>
      <c r="L69" s="61"/>
      <c r="M69" s="421"/>
    </row>
    <row r="70" spans="1:13">
      <c r="A70" s="1121">
        <f>ROW()</f>
        <v>70</v>
      </c>
      <c r="B70" s="78" t="s">
        <v>861</v>
      </c>
      <c r="C70" s="78"/>
      <c r="D70" s="1590" t="s">
        <v>1322</v>
      </c>
      <c r="E70" s="1590" t="s">
        <v>1322</v>
      </c>
      <c r="F70" s="1591" t="s">
        <v>1322</v>
      </c>
      <c r="G70" s="320"/>
      <c r="H70" s="1589" t="s">
        <v>1322</v>
      </c>
      <c r="I70" s="1589" t="s">
        <v>1322</v>
      </c>
      <c r="J70" s="1589" t="s">
        <v>1322</v>
      </c>
      <c r="K70" s="61"/>
      <c r="L70" s="61"/>
      <c r="M70" s="421"/>
    </row>
    <row r="71" spans="1:13">
      <c r="A71" s="1121">
        <f>ROW()</f>
        <v>71</v>
      </c>
      <c r="B71" s="78" t="s">
        <v>140</v>
      </c>
      <c r="C71" s="78"/>
      <c r="D71" s="1590" t="s">
        <v>1322</v>
      </c>
      <c r="E71" s="1590" t="s">
        <v>1322</v>
      </c>
      <c r="F71" s="1591" t="s">
        <v>1322</v>
      </c>
      <c r="G71" s="320"/>
      <c r="H71" s="1589" t="s">
        <v>1322</v>
      </c>
      <c r="I71" s="1589" t="s">
        <v>1322</v>
      </c>
      <c r="J71" s="1589" t="s">
        <v>1322</v>
      </c>
      <c r="K71" s="61"/>
      <c r="L71" s="61"/>
      <c r="M71" s="421"/>
    </row>
    <row r="72" spans="1:13">
      <c r="A72" s="1121">
        <f>ROW()</f>
        <v>72</v>
      </c>
      <c r="B72" s="1595" t="s">
        <v>1324</v>
      </c>
      <c r="C72" s="1508"/>
      <c r="D72" s="1590" t="s">
        <v>1323</v>
      </c>
      <c r="E72" s="1590" t="s">
        <v>1323</v>
      </c>
      <c r="F72" s="1592" t="s">
        <v>1322</v>
      </c>
      <c r="G72" s="320"/>
      <c r="H72" s="1589" t="s">
        <v>1322</v>
      </c>
      <c r="I72" s="1589" t="s">
        <v>1322</v>
      </c>
      <c r="J72" s="1589" t="s">
        <v>1322</v>
      </c>
      <c r="K72" s="61"/>
      <c r="L72" s="61"/>
      <c r="M72" s="421"/>
    </row>
    <row r="73" spans="1:13">
      <c r="A73" s="1121">
        <f>ROW()</f>
        <v>73</v>
      </c>
      <c r="B73" s="1596" t="s">
        <v>1325</v>
      </c>
      <c r="C73" s="1508"/>
      <c r="D73" s="1590" t="s">
        <v>1323</v>
      </c>
      <c r="E73" s="1590" t="s">
        <v>1323</v>
      </c>
      <c r="F73" s="1592" t="s">
        <v>1322</v>
      </c>
      <c r="G73" s="320"/>
      <c r="H73" s="1589" t="s">
        <v>1322</v>
      </c>
      <c r="I73" s="1589" t="s">
        <v>1322</v>
      </c>
      <c r="J73" s="1589" t="s">
        <v>1322</v>
      </c>
      <c r="K73" s="61"/>
      <c r="L73" s="61"/>
      <c r="M73" s="421"/>
    </row>
    <row r="74" spans="1:13" ht="15.75" thickBot="1">
      <c r="A74" s="1121">
        <f>ROW()</f>
        <v>74</v>
      </c>
      <c r="B74" s="1597" t="s">
        <v>1326</v>
      </c>
      <c r="C74" s="1508"/>
      <c r="D74" s="1593" t="s">
        <v>1323</v>
      </c>
      <c r="E74" s="1593" t="s">
        <v>1323</v>
      </c>
      <c r="F74" s="1594" t="s">
        <v>1322</v>
      </c>
      <c r="G74" s="320"/>
      <c r="H74" s="1589" t="s">
        <v>1322</v>
      </c>
      <c r="I74" s="1589" t="s">
        <v>1322</v>
      </c>
      <c r="J74" s="1589" t="s">
        <v>1322</v>
      </c>
      <c r="K74" s="61"/>
      <c r="L74" s="61"/>
      <c r="M74" s="421"/>
    </row>
    <row r="75" spans="1:13">
      <c r="A75" s="1121">
        <f>ROW()</f>
        <v>75</v>
      </c>
      <c r="B75" s="200" t="s">
        <v>862</v>
      </c>
      <c r="C75" s="166"/>
      <c r="D75" s="1536"/>
      <c r="E75" s="1536"/>
      <c r="F75" s="1536"/>
      <c r="M75" s="421"/>
    </row>
    <row r="76" spans="1:13">
      <c r="A76" s="1121">
        <f>ROW()</f>
        <v>76</v>
      </c>
      <c r="B76" s="189" t="s">
        <v>863</v>
      </c>
      <c r="C76" s="46"/>
      <c r="D76" s="82"/>
      <c r="E76" s="36"/>
      <c r="F76" s="36"/>
      <c r="G76" s="36"/>
      <c r="H76" s="82"/>
      <c r="I76" s="82"/>
      <c r="J76" s="82"/>
      <c r="K76" s="82"/>
      <c r="L76" s="82"/>
      <c r="M76" s="421"/>
    </row>
    <row r="77" spans="1:13">
      <c r="A77" s="1121">
        <f>ROW()</f>
        <v>77</v>
      </c>
      <c r="B77" s="189" t="s">
        <v>864</v>
      </c>
      <c r="C77" s="46"/>
      <c r="D77" s="46"/>
      <c r="E77" s="323"/>
      <c r="F77" s="323"/>
      <c r="G77" s="323"/>
      <c r="H77" s="323"/>
      <c r="I77" s="323"/>
      <c r="J77" s="323"/>
      <c r="K77" s="323"/>
      <c r="L77" s="84"/>
      <c r="M77" s="421"/>
    </row>
    <row r="78" spans="1:13">
      <c r="M78" s="421"/>
    </row>
  </sheetData>
  <sortState xmlns:xlrd2="http://schemas.microsoft.com/office/spreadsheetml/2017/richdata2" ref="B47:B67">
    <sortCondition ref="B47:B67"/>
  </sortState>
  <mergeCells count="2">
    <mergeCell ref="D43:F43"/>
    <mergeCell ref="H43:J43"/>
  </mergeCells>
  <conditionalFormatting sqref="B47:C71">
    <cfRule type="expression" dxfId="12" priority="1" stopIfTrue="1">
      <formula>MOD(ROW(),2)=0</formula>
    </cfRule>
  </conditionalFormatting>
  <conditionalFormatting sqref="C1">
    <cfRule type="expression" dxfId="11" priority="3" stopIfTrue="1">
      <formula>MOD(ROW(),2)=0</formula>
    </cfRule>
  </conditionalFormatting>
  <conditionalFormatting sqref="D17:D21">
    <cfRule type="cellIs" dxfId="10" priority="7" stopIfTrue="1" operator="equal">
      <formula>0</formula>
    </cfRule>
  </conditionalFormatting>
  <hyperlinks>
    <hyperlink ref="C1" location="HypLink1" display="HypLink1" xr:uid="{AE7F164B-C315-4492-8FD1-E663A24A0028}"/>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3"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H415"/>
  <sheetViews>
    <sheetView topLeftCell="A10" zoomScaleNormal="100" workbookViewId="0">
      <selection activeCell="F13" sqref="F13"/>
    </sheetView>
  </sheetViews>
  <sheetFormatPr defaultColWidth="8.85546875" defaultRowHeight="15" outlineLevelRow="2" outlineLevelCol="3"/>
  <cols>
    <col min="1" max="1" width="5.5703125" customWidth="1"/>
    <col min="2" max="2" width="18.85546875" customWidth="1" outlineLevel="1"/>
    <col min="3" max="3" width="12.140625" customWidth="1" outlineLevel="1"/>
    <col min="4" max="4" width="14.140625" customWidth="1" outlineLevel="1"/>
    <col min="5" max="5" width="13.85546875" customWidth="1" outlineLevel="1"/>
    <col min="6" max="8" width="13.28515625" customWidth="1" outlineLevel="1"/>
    <col min="9" max="9" width="14.5703125" customWidth="1" outlineLevel="1"/>
    <col min="10" max="10" width="13.5703125" customWidth="1" outlineLevel="1"/>
    <col min="11" max="11" width="10.85546875" customWidth="1" outlineLevel="1"/>
    <col min="12" max="12" width="8.85546875" customWidth="1" outlineLevel="1"/>
    <col min="14" max="14" width="5.7109375" customWidth="1"/>
    <col min="15" max="15" width="17.7109375" hidden="1" customWidth="1" outlineLevel="1"/>
    <col min="16" max="16" width="10.7109375" style="4" hidden="1" customWidth="1" outlineLevel="2"/>
    <col min="17" max="17" width="13.85546875" style="4" hidden="1" customWidth="1" outlineLevel="2"/>
    <col min="18" max="18" width="13" style="4" hidden="1" customWidth="1" outlineLevel="2"/>
    <col min="19" max="19" width="8.7109375" style="4" hidden="1" customWidth="1" outlineLevel="1" collapsed="1"/>
    <col min="20" max="20" width="13.140625" hidden="1" customWidth="1" outlineLevel="1"/>
    <col min="21" max="21" width="13" hidden="1" customWidth="1" outlineLevel="1"/>
    <col min="22" max="22" width="10.140625" hidden="1" customWidth="1" outlineLevel="1"/>
    <col min="23" max="23" width="12.140625" hidden="1" customWidth="1" outlineLevel="1"/>
    <col min="24" max="24" width="11" hidden="1" customWidth="1" outlineLevel="1"/>
    <col min="25" max="25" width="11.85546875" hidden="1" customWidth="1" outlineLevel="1"/>
    <col min="26" max="26" width="12" hidden="1" customWidth="1" outlineLevel="3"/>
    <col min="27" max="28" width="14.28515625" hidden="1" customWidth="1" outlineLevel="3"/>
    <col min="29" max="29" width="8.85546875" hidden="1" customWidth="1" outlineLevel="1" collapsed="1"/>
    <col min="30" max="33" width="8.85546875" hidden="1" customWidth="1" outlineLevel="1"/>
    <col min="34" max="34" width="8.85546875" collapsed="1"/>
  </cols>
  <sheetData>
    <row r="1" spans="1:28" ht="15.75">
      <c r="A1" s="21" t="s">
        <v>1190</v>
      </c>
      <c r="B1" s="21"/>
      <c r="O1" s="24"/>
      <c r="Q1" s="508" t="s">
        <v>2</v>
      </c>
      <c r="S1"/>
      <c r="T1" s="26"/>
      <c r="Y1" s="452"/>
    </row>
    <row r="2" spans="1:28" ht="15.75">
      <c r="A2" s="22" t="str">
        <f>SchoolName</f>
        <v>Rooted School Clark County</v>
      </c>
      <c r="B2" s="22"/>
      <c r="O2" s="25"/>
      <c r="S2"/>
    </row>
    <row r="3" spans="1:28">
      <c r="A3" s="19" t="s">
        <v>62</v>
      </c>
      <c r="O3" s="4"/>
      <c r="S3"/>
    </row>
    <row r="4" spans="1:28">
      <c r="A4" s="20" t="s">
        <v>63</v>
      </c>
      <c r="O4" s="4"/>
      <c r="S4"/>
    </row>
    <row r="5" spans="1:28">
      <c r="A5" s="1415" t="str">
        <f ca="1">CELL("filename")</f>
        <v>C:\Users\CRaymond\Char. School Bus Mgt Dropbox\Collin Raymond\Growth Team\Growth 2.0\Growth &amp; Data\Client Projects\Rooted LV\[Rooted School-SPCSA-Operating Budget-V10 (1) - Rev9.xlsx]Summary</v>
      </c>
      <c r="O5" s="4"/>
      <c r="S5"/>
    </row>
    <row r="6" spans="1:28">
      <c r="O6" s="963"/>
      <c r="P6" s="963"/>
      <c r="Q6" s="963"/>
      <c r="R6" s="963"/>
      <c r="S6" s="37"/>
      <c r="T6" s="37"/>
      <c r="U6" s="37"/>
      <c r="V6" s="37"/>
      <c r="W6" s="37"/>
      <c r="X6" s="37"/>
      <c r="Y6" s="37"/>
      <c r="Z6" s="37"/>
      <c r="AA6" s="37"/>
      <c r="AB6" s="37"/>
    </row>
    <row r="7" spans="1:28">
      <c r="O7" s="37" t="s">
        <v>1027</v>
      </c>
      <c r="P7" s="398"/>
      <c r="Q7" s="398"/>
      <c r="R7" s="398"/>
      <c r="S7" s="398"/>
      <c r="T7" s="398"/>
      <c r="U7" s="398"/>
      <c r="V7" s="398"/>
      <c r="W7" s="398"/>
      <c r="X7" s="398"/>
      <c r="Y7" s="398"/>
      <c r="AA7" s="398"/>
      <c r="AB7" s="398"/>
    </row>
    <row r="8" spans="1:28" ht="15.75">
      <c r="B8" s="1242" t="s">
        <v>1028</v>
      </c>
      <c r="C8" s="1242"/>
      <c r="D8" s="1243"/>
      <c r="E8" s="1243"/>
      <c r="F8" s="1243"/>
      <c r="G8" s="1243"/>
      <c r="H8" s="1243"/>
      <c r="I8" s="1243"/>
      <c r="J8" s="1244"/>
      <c r="O8" s="37" t="s">
        <v>1029</v>
      </c>
      <c r="P8" s="30"/>
      <c r="Q8" s="29"/>
      <c r="R8" s="29"/>
      <c r="S8" s="29"/>
      <c r="T8" s="29"/>
      <c r="U8" s="29"/>
      <c r="V8" s="29"/>
      <c r="W8" s="29"/>
      <c r="X8" s="29"/>
      <c r="Y8" s="29"/>
      <c r="Z8" s="457" t="s">
        <v>1030</v>
      </c>
      <c r="AA8" s="29"/>
      <c r="AB8" s="29"/>
    </row>
    <row r="9" spans="1:28" ht="15.75">
      <c r="A9" s="458"/>
      <c r="B9" s="458"/>
      <c r="C9" s="458"/>
      <c r="D9" s="458"/>
      <c r="E9" s="458"/>
      <c r="F9" s="458"/>
      <c r="G9" s="458"/>
      <c r="H9" s="458"/>
      <c r="I9" s="458"/>
      <c r="O9" s="458"/>
      <c r="P9" s="459"/>
      <c r="Q9" s="460"/>
      <c r="R9" s="460"/>
      <c r="S9" s="460"/>
      <c r="T9" s="962"/>
      <c r="U9" s="460"/>
      <c r="V9" s="460"/>
      <c r="W9" s="460"/>
      <c r="X9" s="460"/>
      <c r="Y9" s="460"/>
      <c r="Z9" s="485">
        <v>0</v>
      </c>
      <c r="AA9" s="460"/>
      <c r="AB9" s="460"/>
    </row>
    <row r="10" spans="1:28" ht="15.75">
      <c r="A10" s="458"/>
      <c r="B10" s="1245" t="s">
        <v>1186</v>
      </c>
      <c r="C10" s="1245"/>
      <c r="D10" s="1246"/>
      <c r="E10" s="1246"/>
      <c r="F10" s="1246"/>
      <c r="G10" s="1246"/>
      <c r="H10" s="1246"/>
      <c r="I10" s="1246"/>
      <c r="J10" s="1247"/>
      <c r="O10" s="458"/>
      <c r="P10" s="459"/>
      <c r="Q10" s="460"/>
      <c r="R10" s="460"/>
      <c r="S10" s="463" t="s">
        <v>1031</v>
      </c>
      <c r="T10" s="460"/>
      <c r="U10" s="460"/>
      <c r="V10" s="460"/>
      <c r="W10" s="460"/>
      <c r="X10" s="460"/>
      <c r="Y10" s="460"/>
      <c r="Z10" s="462">
        <v>0</v>
      </c>
      <c r="AA10" s="460"/>
      <c r="AB10" s="460"/>
    </row>
    <row r="11" spans="1:28" ht="15.75">
      <c r="A11" s="458"/>
      <c r="O11" s="458"/>
      <c r="P11" s="1709" t="s">
        <v>1032</v>
      </c>
      <c r="Q11" s="1709"/>
      <c r="R11" s="463" t="s">
        <v>1033</v>
      </c>
      <c r="S11" s="463"/>
      <c r="T11" s="463"/>
      <c r="U11" s="463"/>
      <c r="V11" s="1710" t="s">
        <v>1034</v>
      </c>
      <c r="W11" s="1710"/>
      <c r="X11" s="458"/>
      <c r="Y11" s="458" t="s">
        <v>1035</v>
      </c>
      <c r="Z11" s="486">
        <f>+Z9*(1-Z10)</f>
        <v>0</v>
      </c>
      <c r="AA11" s="457" t="s">
        <v>1030</v>
      </c>
      <c r="AB11" s="457"/>
    </row>
    <row r="12" spans="1:28" ht="15.75">
      <c r="A12" s="458"/>
      <c r="B12" t="s">
        <v>1036</v>
      </c>
      <c r="D12" s="1345">
        <v>1</v>
      </c>
      <c r="F12" t="s">
        <v>1425</v>
      </c>
      <c r="O12" s="458"/>
      <c r="P12" s="463"/>
      <c r="Q12" s="463"/>
      <c r="R12" s="463"/>
      <c r="S12" s="463"/>
      <c r="T12" s="463"/>
      <c r="U12" s="463"/>
      <c r="V12" s="1512"/>
      <c r="W12" s="1512"/>
      <c r="X12" s="458"/>
      <c r="Y12" s="458"/>
      <c r="Z12" s="486"/>
      <c r="AA12" s="457"/>
      <c r="AB12" s="457"/>
    </row>
    <row r="13" spans="1:28" ht="31.5">
      <c r="A13" s="458"/>
      <c r="D13" s="1238" t="s">
        <v>1037</v>
      </c>
      <c r="E13" s="1238" t="s">
        <v>1038</v>
      </c>
      <c r="O13" s="1251" t="s">
        <v>1039</v>
      </c>
      <c r="P13" s="1252" t="s">
        <v>1040</v>
      </c>
      <c r="Q13" s="1253" t="s">
        <v>1041</v>
      </c>
      <c r="R13" s="1254">
        <v>1</v>
      </c>
      <c r="S13" s="1255">
        <v>0</v>
      </c>
      <c r="T13" s="1256" t="s">
        <v>1042</v>
      </c>
      <c r="U13" s="1257" t="s">
        <v>1043</v>
      </c>
      <c r="V13" s="1258" t="s">
        <v>1044</v>
      </c>
      <c r="W13" s="1258" t="s">
        <v>1045</v>
      </c>
      <c r="X13" s="1259" t="s">
        <v>1046</v>
      </c>
      <c r="Y13" s="1259" t="s">
        <v>1047</v>
      </c>
      <c r="Z13" s="1260" t="s">
        <v>1048</v>
      </c>
      <c r="AA13" s="1260" t="s">
        <v>1049</v>
      </c>
      <c r="AB13" s="1261" t="s">
        <v>1050</v>
      </c>
    </row>
    <row r="14" spans="1:28" ht="15.75">
      <c r="A14" s="605"/>
      <c r="B14" s="1294" t="s">
        <v>1051</v>
      </c>
      <c r="C14" s="1294"/>
      <c r="D14" s="1293">
        <v>6980</v>
      </c>
      <c r="E14" s="1293">
        <v>7074</v>
      </c>
      <c r="O14" s="1262" t="s">
        <v>1052</v>
      </c>
      <c r="P14" s="1263">
        <v>7184</v>
      </c>
      <c r="Q14" s="1264">
        <v>1245.3823475451604</v>
      </c>
      <c r="R14" s="1264">
        <f>P14+Q14</f>
        <v>8429.3823475451609</v>
      </c>
      <c r="S14" s="1264">
        <f>+R14*(1-(-1*$S$13))</f>
        <v>8429.3823475451609</v>
      </c>
      <c r="T14" s="1265">
        <v>0</v>
      </c>
      <c r="U14" s="1266">
        <f>IF($Z$11&gt;0,0,IF(T14=0,0,IF(AB14/4&gt;500000,"Mo","Qtrly")))</f>
        <v>0</v>
      </c>
      <c r="V14" s="1267">
        <f t="shared" ref="V14:V41" si="0">IF(U14="Qtrly",AB14/4,0)</f>
        <v>0</v>
      </c>
      <c r="W14" s="1267">
        <f t="shared" ref="W14:W41" si="1">IF(U14="Mo",AB14/12,0)</f>
        <v>0</v>
      </c>
      <c r="X14" s="1268">
        <f t="shared" ref="X14:X41" si="2">+Q14/R14</f>
        <v>0.14774301321233171</v>
      </c>
      <c r="Y14" s="1268">
        <f>+R14/$R$27</f>
        <v>1.1638051335266291</v>
      </c>
      <c r="Z14" s="1269">
        <f>IF(T14=0,0,T14*$Z$11)</f>
        <v>0</v>
      </c>
      <c r="AA14" s="1269">
        <f>IF($Z$11&gt;0,0,T14*R14)</f>
        <v>0</v>
      </c>
      <c r="AB14" s="1269">
        <f>IF($Z$11&gt;0,0,T14*S14)</f>
        <v>0</v>
      </c>
    </row>
    <row r="15" spans="1:28" ht="15.75">
      <c r="A15" s="605"/>
      <c r="B15" s="1294" t="s">
        <v>1053</v>
      </c>
      <c r="C15" s="475"/>
      <c r="D15" s="1239">
        <f>+D14*$D$12</f>
        <v>6980</v>
      </c>
      <c r="E15" s="1239">
        <f>+E14*$D$12</f>
        <v>7074</v>
      </c>
      <c r="O15" s="1262"/>
      <c r="P15" s="1263"/>
      <c r="Q15" s="1264"/>
      <c r="R15" s="1264"/>
      <c r="S15" s="1264"/>
      <c r="T15" s="1265"/>
      <c r="U15" s="1266"/>
      <c r="V15" s="1267"/>
      <c r="W15" s="1267"/>
      <c r="X15" s="1268"/>
      <c r="Y15" s="1268"/>
      <c r="Z15" s="1269"/>
      <c r="AA15" s="1269"/>
      <c r="AB15" s="1269"/>
    </row>
    <row r="16" spans="1:28" ht="15.75">
      <c r="A16" s="605"/>
      <c r="E16" s="1346"/>
      <c r="O16" s="1262" t="s">
        <v>1054</v>
      </c>
      <c r="P16" s="1270">
        <v>7006</v>
      </c>
      <c r="Q16" s="1271">
        <v>1320.4897724523435</v>
      </c>
      <c r="R16" s="1271">
        <f t="shared" ref="R16:R41" si="3">P16+Q16</f>
        <v>8326.4897724523435</v>
      </c>
      <c r="S16" s="1271">
        <f>+R16*(1-(-1*$S$13))</f>
        <v>8326.4897724523435</v>
      </c>
      <c r="T16" s="1272"/>
      <c r="U16" s="1266">
        <f>IF($Z$11&gt;0,0,IF(T16=0,0,IF(AB16/4&gt;500000,"Mo","Qtrly")))</f>
        <v>0</v>
      </c>
      <c r="V16" s="1273">
        <f t="shared" si="0"/>
        <v>0</v>
      </c>
      <c r="W16" s="1273">
        <f t="shared" si="1"/>
        <v>0</v>
      </c>
      <c r="X16" s="1268">
        <f t="shared" si="2"/>
        <v>0.15858901031994288</v>
      </c>
      <c r="Y16" s="1268">
        <f>+R16/$R$27</f>
        <v>1.1495992401221535</v>
      </c>
      <c r="Z16" s="1274">
        <f>IF(T16=0,0,T16*$Z$11)</f>
        <v>0</v>
      </c>
      <c r="AA16" s="1274">
        <f>IF($Z$11&gt;0,0,T16*R16)</f>
        <v>0</v>
      </c>
      <c r="AB16" s="1274">
        <f>IF($Z$11&gt;0,0,T16*S16)</f>
        <v>0</v>
      </c>
    </row>
    <row r="17" spans="1:28" ht="15.75">
      <c r="A17" s="605"/>
      <c r="B17" s="475" t="s">
        <v>1055</v>
      </c>
      <c r="C17" s="475"/>
      <c r="O17" s="1262"/>
      <c r="P17" s="1270"/>
      <c r="Q17" s="1271"/>
      <c r="R17" s="1271"/>
      <c r="S17" s="1271"/>
      <c r="T17" s="1272"/>
      <c r="U17" s="1266"/>
      <c r="V17" s="1273"/>
      <c r="W17" s="1273"/>
      <c r="X17" s="1268"/>
      <c r="Y17" s="1268"/>
      <c r="Z17" s="1274"/>
      <c r="AA17" s="1274"/>
      <c r="AB17" s="1274"/>
    </row>
    <row r="18" spans="1:28" ht="15.75">
      <c r="A18" s="605"/>
      <c r="B18" s="1240" t="s">
        <v>1187</v>
      </c>
      <c r="C18" s="1240"/>
      <c r="D18" s="1225"/>
      <c r="O18" s="1262"/>
      <c r="P18" s="1270"/>
      <c r="Q18" s="1271"/>
      <c r="R18" s="1271"/>
      <c r="S18" s="1271"/>
      <c r="T18" s="1272"/>
      <c r="U18" s="1266"/>
      <c r="V18" s="1273"/>
      <c r="W18" s="1273"/>
      <c r="X18" s="1268"/>
      <c r="Y18" s="1268"/>
      <c r="Z18" s="1274"/>
      <c r="AA18" s="1274"/>
      <c r="AB18" s="1274"/>
    </row>
    <row r="19" spans="1:28" ht="15.75">
      <c r="A19" s="605"/>
      <c r="B19" s="1236" t="s">
        <v>1057</v>
      </c>
      <c r="C19" s="1236"/>
      <c r="D19" s="1238" t="s">
        <v>1037</v>
      </c>
      <c r="E19" s="1238" t="s">
        <v>1409</v>
      </c>
      <c r="F19" s="1550" t="s">
        <v>1185</v>
      </c>
      <c r="O19" s="1262"/>
      <c r="P19" s="1270"/>
      <c r="Q19" s="1271"/>
      <c r="R19" s="1271"/>
      <c r="S19" s="1271"/>
      <c r="T19" s="1272"/>
      <c r="U19" s="1266"/>
      <c r="V19" s="1273"/>
      <c r="W19" s="1273"/>
      <c r="X19" s="1268"/>
      <c r="Y19" s="1268"/>
      <c r="Z19" s="1274"/>
      <c r="AA19" s="1274"/>
      <c r="AB19" s="1274"/>
    </row>
    <row r="20" spans="1:28" ht="15.75">
      <c r="A20" s="605"/>
      <c r="B20" s="1551" t="s">
        <v>1058</v>
      </c>
      <c r="C20" s="1551"/>
      <c r="D20" s="1413">
        <v>7494</v>
      </c>
      <c r="E20" s="1284">
        <v>7594</v>
      </c>
      <c r="F20" s="1549">
        <f t="shared" ref="F20:F25" si="4">E20/D20-1</f>
        <v>1.3344008540165486E-2</v>
      </c>
      <c r="O20" s="1262"/>
      <c r="P20" s="1270"/>
      <c r="Q20" s="1271"/>
      <c r="R20" s="1271"/>
      <c r="S20" s="1271"/>
      <c r="T20" s="1272"/>
      <c r="U20" s="1266"/>
      <c r="V20" s="1273"/>
      <c r="W20" s="1273"/>
      <c r="X20" s="1268"/>
      <c r="Y20" s="1268"/>
      <c r="Z20" s="1274"/>
      <c r="AA20" s="1274"/>
      <c r="AB20" s="1274"/>
    </row>
    <row r="21" spans="1:28" ht="15.75">
      <c r="A21" s="605"/>
      <c r="B21" s="1552" t="s">
        <v>1059</v>
      </c>
      <c r="C21" s="1552"/>
      <c r="D21" s="1414">
        <v>8093</v>
      </c>
      <c r="E21" s="1292">
        <v>8197</v>
      </c>
      <c r="F21" s="1549">
        <f t="shared" si="4"/>
        <v>1.2850611639688703E-2</v>
      </c>
      <c r="O21" s="1262"/>
      <c r="P21" s="1270"/>
      <c r="Q21" s="1271"/>
      <c r="R21" s="1271"/>
      <c r="S21" s="1271"/>
      <c r="T21" s="1272"/>
      <c r="U21" s="1266"/>
      <c r="V21" s="1273"/>
      <c r="W21" s="1273"/>
      <c r="X21" s="1268"/>
      <c r="Y21" s="1268"/>
      <c r="Z21" s="1274"/>
      <c r="AA21" s="1274"/>
      <c r="AB21" s="1274"/>
    </row>
    <row r="22" spans="1:28" ht="15.75">
      <c r="A22" s="605"/>
      <c r="B22" s="1552" t="s">
        <v>1060</v>
      </c>
      <c r="C22" s="1552"/>
      <c r="D22" s="1414">
        <v>7197</v>
      </c>
      <c r="E22" s="1640">
        <v>9414</v>
      </c>
      <c r="F22" s="1549">
        <f t="shared" si="4"/>
        <v>0.30804501875781565</v>
      </c>
      <c r="G22" t="s">
        <v>1410</v>
      </c>
      <c r="O22" s="1262"/>
      <c r="P22" s="1270"/>
      <c r="Q22" s="1271"/>
      <c r="R22" s="1271"/>
      <c r="S22" s="1271"/>
      <c r="T22" s="1272"/>
      <c r="U22" s="1266"/>
      <c r="V22" s="1273"/>
      <c r="W22" s="1273"/>
      <c r="X22" s="1268"/>
      <c r="Y22" s="1268"/>
      <c r="Z22" s="1274"/>
      <c r="AA22" s="1274"/>
      <c r="AB22" s="1274"/>
    </row>
    <row r="23" spans="1:28" ht="15.75">
      <c r="A23" s="605"/>
      <c r="B23" s="1552" t="s">
        <v>1061</v>
      </c>
      <c r="C23" s="1552"/>
      <c r="D23" s="1414">
        <v>7715</v>
      </c>
      <c r="E23" s="1292">
        <v>7818</v>
      </c>
      <c r="F23" s="1549">
        <f t="shared" si="4"/>
        <v>1.335061568373308E-2</v>
      </c>
      <c r="O23" s="1262"/>
      <c r="P23" s="1270"/>
      <c r="Q23" s="1271"/>
      <c r="R23" s="1271"/>
      <c r="S23" s="1271"/>
      <c r="T23" s="1272"/>
      <c r="U23" s="1266"/>
      <c r="V23" s="1273"/>
      <c r="W23" s="1273"/>
      <c r="X23" s="1268"/>
      <c r="Y23" s="1268"/>
      <c r="Z23" s="1274"/>
      <c r="AA23" s="1274"/>
      <c r="AB23" s="1274"/>
    </row>
    <row r="24" spans="1:28" ht="15.75">
      <c r="A24" s="605"/>
      <c r="B24" s="1552" t="s">
        <v>1062</v>
      </c>
      <c r="C24" s="1552"/>
      <c r="D24" s="1414">
        <v>6980</v>
      </c>
      <c r="E24" s="1292">
        <v>7074</v>
      </c>
      <c r="F24" s="1549">
        <f t="shared" si="4"/>
        <v>1.346704871060167E-2</v>
      </c>
      <c r="O24" s="1262"/>
      <c r="P24" s="1270"/>
      <c r="Q24" s="1271"/>
      <c r="R24" s="1271"/>
      <c r="S24" s="1271"/>
      <c r="T24" s="1272"/>
      <c r="U24" s="1266"/>
      <c r="V24" s="1273"/>
      <c r="W24" s="1273"/>
      <c r="X24" s="1268"/>
      <c r="Y24" s="1268"/>
      <c r="Z24" s="1274"/>
      <c r="AA24" s="1274"/>
      <c r="AB24" s="1274"/>
    </row>
    <row r="25" spans="1:28" ht="15.75">
      <c r="A25" s="605"/>
      <c r="B25" s="1552" t="s">
        <v>1063</v>
      </c>
      <c r="C25" s="1552"/>
      <c r="D25" s="1414">
        <v>10367</v>
      </c>
      <c r="E25" s="1292">
        <v>10501</v>
      </c>
      <c r="F25" s="1549">
        <f t="shared" si="4"/>
        <v>1.2925629400983851E-2</v>
      </c>
      <c r="O25" s="1262"/>
      <c r="P25" s="1270"/>
      <c r="Q25" s="1271"/>
      <c r="R25" s="1271"/>
      <c r="S25" s="1271"/>
      <c r="T25" s="1272"/>
      <c r="U25" s="1266"/>
      <c r="V25" s="1273"/>
      <c r="W25" s="1273"/>
      <c r="X25" s="1268"/>
      <c r="Y25" s="1268"/>
      <c r="Z25" s="1274"/>
      <c r="AA25" s="1274"/>
      <c r="AB25" s="1274"/>
    </row>
    <row r="26" spans="1:28" ht="15.75">
      <c r="A26" s="605"/>
      <c r="O26" s="1262"/>
      <c r="P26" s="1270"/>
      <c r="Q26" s="1271"/>
      <c r="R26" s="1271"/>
      <c r="S26" s="1271"/>
      <c r="T26" s="1272"/>
      <c r="U26" s="1266"/>
      <c r="V26" s="1273"/>
      <c r="W26" s="1273"/>
      <c r="X26" s="1268"/>
      <c r="Y26" s="1268"/>
      <c r="Z26" s="1274"/>
      <c r="AA26" s="1274"/>
      <c r="AB26" s="1274"/>
    </row>
    <row r="27" spans="1:28" ht="15.75">
      <c r="A27" s="605"/>
      <c r="B27" s="475" t="s">
        <v>1055</v>
      </c>
      <c r="C27" s="475"/>
      <c r="O27" s="1275" t="s">
        <v>1064</v>
      </c>
      <c r="P27" s="1276">
        <v>6067</v>
      </c>
      <c r="Q27" s="1277">
        <v>1175.9499619081098</v>
      </c>
      <c r="R27" s="1277">
        <f t="shared" si="3"/>
        <v>7242.9499619081098</v>
      </c>
      <c r="S27" s="1277">
        <f t="shared" ref="S27:S41" si="5">+R27*(1-(-1*$S$13))</f>
        <v>7242.9499619081098</v>
      </c>
      <c r="T27" s="1278">
        <v>278</v>
      </c>
      <c r="U27" s="1266" t="str">
        <f t="shared" ref="U27:U41" si="6">IF($Z$11&gt;0,0,IF(T27=0,0,IF(AB27/4&gt;500000,"Mo","Qtrly")))</f>
        <v>Mo</v>
      </c>
      <c r="V27" s="1273">
        <f t="shared" si="0"/>
        <v>0</v>
      </c>
      <c r="W27" s="1273">
        <f t="shared" si="1"/>
        <v>167795.0074508712</v>
      </c>
      <c r="X27" s="1279">
        <f t="shared" si="2"/>
        <v>0.1623578746356979</v>
      </c>
      <c r="Y27" s="1279">
        <f t="shared" ref="Y27:Y41" si="7">+R27/$R$27</f>
        <v>1</v>
      </c>
      <c r="Z27" s="1274">
        <f t="shared" ref="Z27:Z41" si="8">IF(T27=0,0,T27*$Z$11)</f>
        <v>0</v>
      </c>
      <c r="AA27" s="1280">
        <f t="shared" ref="AA27:AA41" si="9">IF($Z$11&gt;0,0,T27*R27)</f>
        <v>2013540.0894104545</v>
      </c>
      <c r="AB27" s="1274">
        <f t="shared" ref="AB27:AB41" si="10">IF($Z$11&gt;0,0,T27*S27)</f>
        <v>2013540.0894104545</v>
      </c>
    </row>
    <row r="28" spans="1:28" ht="15.75">
      <c r="A28" s="605"/>
      <c r="B28" s="1240" t="s">
        <v>1188</v>
      </c>
      <c r="C28" s="1240"/>
      <c r="D28" s="1225"/>
      <c r="E28" s="1225"/>
      <c r="O28" s="1262" t="s">
        <v>1065</v>
      </c>
      <c r="P28" s="1270">
        <v>6086</v>
      </c>
      <c r="Q28" s="1271">
        <v>3253.7290423366917</v>
      </c>
      <c r="R28" s="1271">
        <f t="shared" si="3"/>
        <v>9339.7290423366921</v>
      </c>
      <c r="S28" s="1271">
        <f t="shared" si="5"/>
        <v>9339.7290423366921</v>
      </c>
      <c r="T28" s="1272">
        <v>0</v>
      </c>
      <c r="U28" s="1266">
        <f t="shared" si="6"/>
        <v>0</v>
      </c>
      <c r="V28" s="1273">
        <f t="shared" si="0"/>
        <v>0</v>
      </c>
      <c r="W28" s="1273">
        <f t="shared" si="1"/>
        <v>0</v>
      </c>
      <c r="X28" s="1268">
        <f t="shared" si="2"/>
        <v>0.34837510034687758</v>
      </c>
      <c r="Y28" s="1268">
        <f t="shared" si="7"/>
        <v>1.2894924155842433</v>
      </c>
      <c r="Z28" s="1274">
        <f t="shared" si="8"/>
        <v>0</v>
      </c>
      <c r="AA28" s="1274">
        <f t="shared" si="9"/>
        <v>0</v>
      </c>
      <c r="AB28" s="1274">
        <f t="shared" si="10"/>
        <v>0</v>
      </c>
    </row>
    <row r="29" spans="1:28" ht="15.75">
      <c r="A29" s="605"/>
      <c r="B29" s="1236" t="s">
        <v>1057</v>
      </c>
      <c r="C29" s="1236"/>
      <c r="D29" s="1238" t="s">
        <v>1037</v>
      </c>
      <c r="E29" s="1238" t="s">
        <v>1038</v>
      </c>
      <c r="F29" s="1550" t="s">
        <v>1185</v>
      </c>
      <c r="O29" s="1262" t="s">
        <v>1066</v>
      </c>
      <c r="P29" s="1270">
        <v>7891</v>
      </c>
      <c r="Q29" s="1271">
        <v>1529.3898852952666</v>
      </c>
      <c r="R29" s="1271">
        <f t="shared" si="3"/>
        <v>9420.3898852952661</v>
      </c>
      <c r="S29" s="1271">
        <f t="shared" si="5"/>
        <v>9420.3898852952661</v>
      </c>
      <c r="T29" s="1272">
        <v>0</v>
      </c>
      <c r="U29" s="1266">
        <f t="shared" si="6"/>
        <v>0</v>
      </c>
      <c r="V29" s="1273">
        <f t="shared" si="0"/>
        <v>0</v>
      </c>
      <c r="W29" s="1273">
        <f t="shared" si="1"/>
        <v>0</v>
      </c>
      <c r="X29" s="1268">
        <f t="shared" si="2"/>
        <v>0.16234889467606473</v>
      </c>
      <c r="Y29" s="1268">
        <f t="shared" si="7"/>
        <v>1.3006288784043349</v>
      </c>
      <c r="Z29" s="1274">
        <f t="shared" si="8"/>
        <v>0</v>
      </c>
      <c r="AA29" s="1274">
        <f t="shared" si="9"/>
        <v>0</v>
      </c>
      <c r="AB29" s="1274">
        <f t="shared" si="10"/>
        <v>0</v>
      </c>
    </row>
    <row r="30" spans="1:28" ht="15.75">
      <c r="A30" s="605"/>
      <c r="B30" s="1551" t="s">
        <v>1058</v>
      </c>
      <c r="C30" s="1551"/>
      <c r="D30" s="1413">
        <f t="shared" ref="D30:E35" si="11">+D20*$D$12</f>
        <v>7494</v>
      </c>
      <c r="E30" s="1284">
        <f t="shared" si="11"/>
        <v>7594</v>
      </c>
      <c r="F30" s="1549">
        <f t="shared" ref="F30:F35" si="12">E30/D30-1</f>
        <v>1.3344008540165486E-2</v>
      </c>
      <c r="O30" s="1262" t="s">
        <v>1067</v>
      </c>
      <c r="P30" s="1270">
        <v>20750</v>
      </c>
      <c r="Q30" s="1271">
        <v>9469.2635503703241</v>
      </c>
      <c r="R30" s="1271">
        <f t="shared" si="3"/>
        <v>30219.263550370324</v>
      </c>
      <c r="S30" s="1271">
        <f t="shared" si="5"/>
        <v>30219.263550370324</v>
      </c>
      <c r="T30" s="1272">
        <v>0</v>
      </c>
      <c r="U30" s="1266">
        <f t="shared" si="6"/>
        <v>0</v>
      </c>
      <c r="V30" s="1273">
        <f t="shared" si="0"/>
        <v>0</v>
      </c>
      <c r="W30" s="1273">
        <f t="shared" si="1"/>
        <v>0</v>
      </c>
      <c r="X30" s="1268">
        <f t="shared" si="2"/>
        <v>0.31335189669949065</v>
      </c>
      <c r="Y30" s="1268">
        <f t="shared" si="7"/>
        <v>4.1722314401312319</v>
      </c>
      <c r="Z30" s="1274">
        <f t="shared" si="8"/>
        <v>0</v>
      </c>
      <c r="AA30" s="1274">
        <f t="shared" si="9"/>
        <v>0</v>
      </c>
      <c r="AB30" s="1274">
        <f t="shared" si="10"/>
        <v>0</v>
      </c>
    </row>
    <row r="31" spans="1:28" ht="15.75">
      <c r="A31" s="605"/>
      <c r="B31" s="1552" t="s">
        <v>1059</v>
      </c>
      <c r="C31" s="1552"/>
      <c r="D31" s="1414">
        <f t="shared" si="11"/>
        <v>8093</v>
      </c>
      <c r="E31" s="1292">
        <f t="shared" si="11"/>
        <v>8197</v>
      </c>
      <c r="F31" s="1549">
        <f t="shared" si="12"/>
        <v>1.2850611639688703E-2</v>
      </c>
      <c r="O31" s="1262" t="s">
        <v>1068</v>
      </c>
      <c r="P31" s="1270">
        <v>11032</v>
      </c>
      <c r="Q31" s="1271">
        <v>20035.774574253475</v>
      </c>
      <c r="R31" s="1271">
        <f t="shared" si="3"/>
        <v>31067.774574253475</v>
      </c>
      <c r="S31" s="1271">
        <f t="shared" si="5"/>
        <v>31067.774574253475</v>
      </c>
      <c r="T31" s="1272">
        <v>0</v>
      </c>
      <c r="U31" s="1266">
        <f t="shared" si="6"/>
        <v>0</v>
      </c>
      <c r="V31" s="1273">
        <f t="shared" si="0"/>
        <v>0</v>
      </c>
      <c r="W31" s="1273">
        <f t="shared" si="1"/>
        <v>0</v>
      </c>
      <c r="X31" s="1268">
        <f t="shared" si="2"/>
        <v>0.64490536734026471</v>
      </c>
      <c r="Y31" s="1268">
        <f t="shared" si="7"/>
        <v>4.2893813622410919</v>
      </c>
      <c r="Z31" s="1274">
        <f t="shared" si="8"/>
        <v>0</v>
      </c>
      <c r="AA31" s="1274">
        <f t="shared" si="9"/>
        <v>0</v>
      </c>
      <c r="AB31" s="1274">
        <f t="shared" si="10"/>
        <v>0</v>
      </c>
    </row>
    <row r="32" spans="1:28" ht="15.75">
      <c r="A32" s="605"/>
      <c r="B32" s="1552" t="s">
        <v>1060</v>
      </c>
      <c r="C32" s="1552"/>
      <c r="D32" s="1414">
        <f t="shared" si="11"/>
        <v>7197</v>
      </c>
      <c r="E32" s="1292">
        <f t="shared" si="11"/>
        <v>9414</v>
      </c>
      <c r="F32" s="1549">
        <f t="shared" si="12"/>
        <v>0.30804501875781565</v>
      </c>
      <c r="O32" s="1262" t="s">
        <v>1069</v>
      </c>
      <c r="P32" s="1270">
        <v>7431</v>
      </c>
      <c r="Q32" s="1271">
        <v>2257.9168173623493</v>
      </c>
      <c r="R32" s="1271">
        <f t="shared" si="3"/>
        <v>9688.9168173623493</v>
      </c>
      <c r="S32" s="1271">
        <f t="shared" si="5"/>
        <v>9688.9168173623493</v>
      </c>
      <c r="T32" s="1272">
        <v>0</v>
      </c>
      <c r="U32" s="1266">
        <f t="shared" si="6"/>
        <v>0</v>
      </c>
      <c r="V32" s="1273">
        <f t="shared" si="0"/>
        <v>0</v>
      </c>
      <c r="W32" s="1273">
        <f t="shared" si="1"/>
        <v>0</v>
      </c>
      <c r="X32" s="1268">
        <f t="shared" si="2"/>
        <v>0.2330412016043121</v>
      </c>
      <c r="Y32" s="1268">
        <f t="shared" si="7"/>
        <v>1.3377031276369422</v>
      </c>
      <c r="Z32" s="1274">
        <f t="shared" si="8"/>
        <v>0</v>
      </c>
      <c r="AA32" s="1274">
        <f t="shared" si="9"/>
        <v>0</v>
      </c>
      <c r="AB32" s="1274">
        <f t="shared" si="10"/>
        <v>0</v>
      </c>
    </row>
    <row r="33" spans="1:28" ht="15.75">
      <c r="A33" s="605"/>
      <c r="B33" s="1552" t="s">
        <v>1061</v>
      </c>
      <c r="C33" s="1552"/>
      <c r="D33" s="1414">
        <f t="shared" si="11"/>
        <v>7715</v>
      </c>
      <c r="E33" s="1292">
        <f t="shared" si="11"/>
        <v>7818</v>
      </c>
      <c r="F33" s="1549">
        <f t="shared" si="12"/>
        <v>1.335061568373308E-2</v>
      </c>
      <c r="O33" s="1262" t="s">
        <v>1070</v>
      </c>
      <c r="P33" s="1270">
        <v>3517</v>
      </c>
      <c r="Q33" s="1271">
        <v>8536.338724633586</v>
      </c>
      <c r="R33" s="1271">
        <f t="shared" si="3"/>
        <v>12053.338724633586</v>
      </c>
      <c r="S33" s="1271">
        <f t="shared" si="5"/>
        <v>12053.338724633586</v>
      </c>
      <c r="T33" s="1272">
        <v>0</v>
      </c>
      <c r="U33" s="1266">
        <f t="shared" si="6"/>
        <v>0</v>
      </c>
      <c r="V33" s="1273">
        <f t="shared" si="0"/>
        <v>0</v>
      </c>
      <c r="W33" s="1273">
        <f t="shared" si="1"/>
        <v>0</v>
      </c>
      <c r="X33" s="1268">
        <f t="shared" si="2"/>
        <v>0.70821362608749594</v>
      </c>
      <c r="Y33" s="1268">
        <f t="shared" si="7"/>
        <v>1.6641477282079979</v>
      </c>
      <c r="Z33" s="1274">
        <f t="shared" si="8"/>
        <v>0</v>
      </c>
      <c r="AA33" s="1274">
        <f t="shared" si="9"/>
        <v>0</v>
      </c>
      <c r="AB33" s="1274">
        <f t="shared" si="10"/>
        <v>0</v>
      </c>
    </row>
    <row r="34" spans="1:28" ht="15.75">
      <c r="A34" s="605"/>
      <c r="B34" s="1552" t="s">
        <v>1062</v>
      </c>
      <c r="C34" s="1552"/>
      <c r="D34" s="1414">
        <f t="shared" si="11"/>
        <v>6980</v>
      </c>
      <c r="E34" s="1292">
        <f t="shared" si="11"/>
        <v>7074</v>
      </c>
      <c r="F34" s="1549">
        <f t="shared" si="12"/>
        <v>1.346704871060167E-2</v>
      </c>
      <c r="O34" s="1262" t="s">
        <v>1071</v>
      </c>
      <c r="P34" s="1270">
        <v>12131</v>
      </c>
      <c r="Q34" s="1271">
        <v>1685.3148174012715</v>
      </c>
      <c r="R34" s="1271">
        <f t="shared" si="3"/>
        <v>13816.314817401271</v>
      </c>
      <c r="S34" s="1271">
        <f t="shared" si="5"/>
        <v>13816.314817401271</v>
      </c>
      <c r="T34" s="1272">
        <v>0</v>
      </c>
      <c r="U34" s="1266">
        <f t="shared" si="6"/>
        <v>0</v>
      </c>
      <c r="V34" s="1273">
        <f t="shared" si="0"/>
        <v>0</v>
      </c>
      <c r="W34" s="1273">
        <f t="shared" si="1"/>
        <v>0</v>
      </c>
      <c r="X34" s="1268">
        <f t="shared" si="2"/>
        <v>0.12198005326852161</v>
      </c>
      <c r="Y34" s="1268">
        <f t="shared" si="7"/>
        <v>1.9075535368963739</v>
      </c>
      <c r="Z34" s="1274">
        <f t="shared" si="8"/>
        <v>0</v>
      </c>
      <c r="AA34" s="1274">
        <f t="shared" si="9"/>
        <v>0</v>
      </c>
      <c r="AB34" s="1274">
        <f t="shared" si="10"/>
        <v>0</v>
      </c>
    </row>
    <row r="35" spans="1:28" ht="15.75">
      <c r="A35" s="605"/>
      <c r="B35" s="1552" t="s">
        <v>1063</v>
      </c>
      <c r="C35" s="1552"/>
      <c r="D35" s="1414">
        <f t="shared" si="11"/>
        <v>10367</v>
      </c>
      <c r="E35" s="1292">
        <f t="shared" si="11"/>
        <v>10501</v>
      </c>
      <c r="F35" s="1549">
        <f t="shared" si="12"/>
        <v>1.2925629400983851E-2</v>
      </c>
      <c r="O35" s="1262" t="s">
        <v>1072</v>
      </c>
      <c r="P35" s="1270">
        <v>7724</v>
      </c>
      <c r="Q35" s="1271">
        <v>1043.382638093434</v>
      </c>
      <c r="R35" s="1271">
        <f t="shared" si="3"/>
        <v>8767.3826380934333</v>
      </c>
      <c r="S35" s="1271">
        <f t="shared" si="5"/>
        <v>8767.3826380934333</v>
      </c>
      <c r="T35" s="1272">
        <v>0</v>
      </c>
      <c r="U35" s="1266">
        <f t="shared" si="6"/>
        <v>0</v>
      </c>
      <c r="V35" s="1273">
        <f t="shared" si="0"/>
        <v>0</v>
      </c>
      <c r="W35" s="1273">
        <f t="shared" si="1"/>
        <v>0</v>
      </c>
      <c r="X35" s="1268">
        <f t="shared" si="2"/>
        <v>0.11900731166449117</v>
      </c>
      <c r="Y35" s="1268">
        <f t="shared" si="7"/>
        <v>1.2104712422704245</v>
      </c>
      <c r="Z35" s="1274">
        <f t="shared" si="8"/>
        <v>0</v>
      </c>
      <c r="AA35" s="1274">
        <f t="shared" si="9"/>
        <v>0</v>
      </c>
      <c r="AB35" s="1274">
        <f t="shared" si="10"/>
        <v>0</v>
      </c>
    </row>
    <row r="36" spans="1:28" ht="15.75">
      <c r="A36" s="605"/>
      <c r="O36" s="1262" t="s">
        <v>1073</v>
      </c>
      <c r="P36" s="1270">
        <v>10152</v>
      </c>
      <c r="Q36" s="1271">
        <v>1653.6465092972339</v>
      </c>
      <c r="R36" s="1271">
        <f t="shared" si="3"/>
        <v>11805.646509297234</v>
      </c>
      <c r="S36" s="1271">
        <f t="shared" si="5"/>
        <v>11805.646509297234</v>
      </c>
      <c r="T36" s="1272">
        <v>0</v>
      </c>
      <c r="U36" s="1266">
        <f t="shared" si="6"/>
        <v>0</v>
      </c>
      <c r="V36" s="1273">
        <f t="shared" si="0"/>
        <v>0</v>
      </c>
      <c r="W36" s="1273">
        <f t="shared" si="1"/>
        <v>0</v>
      </c>
      <c r="X36" s="1268">
        <f t="shared" si="2"/>
        <v>0.14007250750689063</v>
      </c>
      <c r="Y36" s="1268">
        <f t="shared" si="7"/>
        <v>1.6299500302204366</v>
      </c>
      <c r="Z36" s="1274">
        <f t="shared" si="8"/>
        <v>0</v>
      </c>
      <c r="AA36" s="1274">
        <f t="shared" si="9"/>
        <v>0</v>
      </c>
      <c r="AB36" s="1274">
        <f t="shared" si="10"/>
        <v>0</v>
      </c>
    </row>
    <row r="37" spans="1:28" ht="15.75">
      <c r="A37" s="605"/>
      <c r="B37" s="1295" t="s">
        <v>1074</v>
      </c>
      <c r="C37" s="1295"/>
      <c r="D37" s="1296"/>
      <c r="E37" s="1296"/>
      <c r="O37" s="1262" t="s">
        <v>1075</v>
      </c>
      <c r="P37" s="1270">
        <v>7967</v>
      </c>
      <c r="Q37" s="1271">
        <v>1826.7160516863926</v>
      </c>
      <c r="R37" s="1271">
        <f t="shared" si="3"/>
        <v>9793.7160516863933</v>
      </c>
      <c r="S37" s="1271">
        <f t="shared" si="5"/>
        <v>9793.7160516863933</v>
      </c>
      <c r="T37" s="1272">
        <v>0</v>
      </c>
      <c r="U37" s="1266">
        <f t="shared" si="6"/>
        <v>0</v>
      </c>
      <c r="V37" s="1273">
        <f t="shared" si="0"/>
        <v>0</v>
      </c>
      <c r="W37" s="1273">
        <f t="shared" si="1"/>
        <v>0</v>
      </c>
      <c r="X37" s="1268">
        <f t="shared" si="2"/>
        <v>0.18651919680393919</v>
      </c>
      <c r="Y37" s="1268">
        <f t="shared" si="7"/>
        <v>1.3521722645045444</v>
      </c>
      <c r="Z37" s="1274">
        <f t="shared" si="8"/>
        <v>0</v>
      </c>
      <c r="AA37" s="1274">
        <f t="shared" si="9"/>
        <v>0</v>
      </c>
      <c r="AB37" s="1274">
        <f t="shared" si="10"/>
        <v>0</v>
      </c>
    </row>
    <row r="38" spans="1:28" ht="15.75">
      <c r="A38" s="605"/>
      <c r="B38" s="1233" t="s">
        <v>1076</v>
      </c>
      <c r="C38" s="1233"/>
      <c r="D38" s="1234"/>
      <c r="E38" s="1290"/>
      <c r="O38" s="1262" t="s">
        <v>1077</v>
      </c>
      <c r="P38" s="1270">
        <v>9691</v>
      </c>
      <c r="Q38" s="1271">
        <v>3203.4141560818189</v>
      </c>
      <c r="R38" s="1271">
        <f t="shared" si="3"/>
        <v>12894.414156081819</v>
      </c>
      <c r="S38" s="1271">
        <f t="shared" si="5"/>
        <v>12894.414156081819</v>
      </c>
      <c r="T38" s="1272">
        <v>0</v>
      </c>
      <c r="U38" s="1266">
        <f t="shared" si="6"/>
        <v>0</v>
      </c>
      <c r="V38" s="1273">
        <f t="shared" si="0"/>
        <v>0</v>
      </c>
      <c r="W38" s="1273">
        <f t="shared" si="1"/>
        <v>0</v>
      </c>
      <c r="X38" s="1268">
        <f t="shared" si="2"/>
        <v>0.24843425356947191</v>
      </c>
      <c r="Y38" s="1268">
        <f t="shared" si="7"/>
        <v>1.7802710530786086</v>
      </c>
      <c r="Z38" s="1274">
        <f t="shared" si="8"/>
        <v>0</v>
      </c>
      <c r="AA38" s="1274">
        <f t="shared" si="9"/>
        <v>0</v>
      </c>
      <c r="AB38" s="1274">
        <f t="shared" si="10"/>
        <v>0</v>
      </c>
    </row>
    <row r="39" spans="1:28" ht="15.75">
      <c r="A39" s="605"/>
      <c r="B39" s="1241" t="s">
        <v>1078</v>
      </c>
      <c r="C39" s="1241"/>
      <c r="D39" s="1433">
        <v>0.33</v>
      </c>
      <c r="E39" s="1433">
        <v>0.33</v>
      </c>
      <c r="F39" t="s">
        <v>1189</v>
      </c>
      <c r="O39" s="1262" t="s">
        <v>1079</v>
      </c>
      <c r="P39" s="1270">
        <v>6136</v>
      </c>
      <c r="Q39" s="1271">
        <v>10216.403262371867</v>
      </c>
      <c r="R39" s="1271">
        <f t="shared" si="3"/>
        <v>16352.403262371867</v>
      </c>
      <c r="S39" s="1271">
        <f t="shared" si="5"/>
        <v>16352.403262371867</v>
      </c>
      <c r="T39" s="1272">
        <v>0</v>
      </c>
      <c r="U39" s="1266">
        <f t="shared" si="6"/>
        <v>0</v>
      </c>
      <c r="V39" s="1273">
        <f t="shared" si="0"/>
        <v>0</v>
      </c>
      <c r="W39" s="1273">
        <f t="shared" si="1"/>
        <v>0</v>
      </c>
      <c r="X39" s="1268">
        <f t="shared" si="2"/>
        <v>0.62476463541481964</v>
      </c>
      <c r="Y39" s="1268">
        <f t="shared" si="7"/>
        <v>2.257699328087575</v>
      </c>
      <c r="Z39" s="1274">
        <f t="shared" si="8"/>
        <v>0</v>
      </c>
      <c r="AA39" s="1274">
        <f t="shared" si="9"/>
        <v>0</v>
      </c>
      <c r="AB39" s="1274">
        <f t="shared" si="10"/>
        <v>0</v>
      </c>
    </row>
    <row r="40" spans="1:28" ht="15.75">
      <c r="A40" s="605"/>
      <c r="B40" s="1291" t="s">
        <v>1080</v>
      </c>
      <c r="C40" s="1291"/>
      <c r="D40" s="1341">
        <v>0.24</v>
      </c>
      <c r="E40" s="1341">
        <v>0.23</v>
      </c>
      <c r="O40" s="1275" t="s">
        <v>1081</v>
      </c>
      <c r="P40" s="1276">
        <v>6034</v>
      </c>
      <c r="Q40" s="1277">
        <v>1417.3102570989925</v>
      </c>
      <c r="R40" s="1277">
        <f t="shared" si="3"/>
        <v>7451.3102570989922</v>
      </c>
      <c r="S40" s="1277">
        <f t="shared" si="5"/>
        <v>7451.3102570989922</v>
      </c>
      <c r="T40" s="1278">
        <v>0</v>
      </c>
      <c r="U40" s="1266">
        <f t="shared" si="6"/>
        <v>0</v>
      </c>
      <c r="V40" s="1273">
        <f t="shared" si="0"/>
        <v>0</v>
      </c>
      <c r="W40" s="1273">
        <f t="shared" si="1"/>
        <v>0</v>
      </c>
      <c r="X40" s="1279">
        <f t="shared" si="2"/>
        <v>0.19020953472561372</v>
      </c>
      <c r="Y40" s="1279">
        <f t="shared" si="7"/>
        <v>1.0287673249555338</v>
      </c>
      <c r="Z40" s="1274">
        <f t="shared" si="8"/>
        <v>0</v>
      </c>
      <c r="AA40" s="1280">
        <f t="shared" si="9"/>
        <v>0</v>
      </c>
      <c r="AB40" s="1280">
        <f t="shared" si="10"/>
        <v>0</v>
      </c>
    </row>
    <row r="41" spans="1:28" ht="15.75">
      <c r="A41" s="605"/>
      <c r="B41" s="1291" t="s">
        <v>1082</v>
      </c>
      <c r="C41" s="1291"/>
      <c r="D41" s="1341">
        <v>0.03</v>
      </c>
      <c r="E41" s="1341">
        <v>0.03</v>
      </c>
      <c r="O41" s="1262" t="s">
        <v>1083</v>
      </c>
      <c r="P41" s="1270">
        <v>8512</v>
      </c>
      <c r="Q41" s="1271">
        <v>2603.8851528305713</v>
      </c>
      <c r="R41" s="1271">
        <f t="shared" si="3"/>
        <v>11115.885152830571</v>
      </c>
      <c r="S41" s="1271">
        <f t="shared" si="5"/>
        <v>11115.885152830571</v>
      </c>
      <c r="T41" s="1281">
        <v>0</v>
      </c>
      <c r="U41" s="1266">
        <f t="shared" si="6"/>
        <v>0</v>
      </c>
      <c r="V41" s="1273">
        <f t="shared" si="0"/>
        <v>0</v>
      </c>
      <c r="W41" s="1273">
        <f t="shared" si="1"/>
        <v>0</v>
      </c>
      <c r="X41" s="1282">
        <f t="shared" si="2"/>
        <v>0.23424901544322926</v>
      </c>
      <c r="Y41" s="1282">
        <f t="shared" si="7"/>
        <v>1.5347179272659452</v>
      </c>
      <c r="Z41" s="1274">
        <f t="shared" si="8"/>
        <v>0</v>
      </c>
      <c r="AA41" s="1274">
        <f t="shared" si="9"/>
        <v>0</v>
      </c>
      <c r="AB41" s="1274">
        <f t="shared" si="10"/>
        <v>0</v>
      </c>
    </row>
    <row r="42" spans="1:28" ht="15.75">
      <c r="A42" s="606"/>
      <c r="B42" s="1291" t="s">
        <v>1084</v>
      </c>
      <c r="C42" s="1291"/>
      <c r="D42" s="1341">
        <v>0.12</v>
      </c>
      <c r="E42" s="1341">
        <v>0.12</v>
      </c>
      <c r="O42" s="964" t="s">
        <v>1085</v>
      </c>
      <c r="P42" s="487"/>
      <c r="Q42" s="466"/>
      <c r="R42" s="1543">
        <f>IF(OR(AB42=0,T42=0),0,AB42/T42)</f>
        <v>7242.9499619081098</v>
      </c>
      <c r="S42" s="466"/>
      <c r="T42" s="1544">
        <f>SUM(T14:T41)</f>
        <v>278</v>
      </c>
      <c r="U42" s="1545"/>
      <c r="V42" s="1546"/>
      <c r="W42" s="1545"/>
      <c r="X42" s="458"/>
      <c r="Y42" s="458"/>
      <c r="Z42" s="1547">
        <f>SUM(Z14:Z41)</f>
        <v>0</v>
      </c>
      <c r="AA42" s="1547">
        <f>SUM(AA14:AA41)</f>
        <v>2013540.0894104545</v>
      </c>
      <c r="AB42" s="1547">
        <f>SUM(AB14:AB41)</f>
        <v>2013540.0894104545</v>
      </c>
    </row>
    <row r="43" spans="1:28" ht="15.75">
      <c r="A43" s="458"/>
      <c r="H43" s="1358"/>
      <c r="I43" s="1357"/>
      <c r="J43" s="1358"/>
      <c r="K43" s="1363"/>
      <c r="L43" s="1358"/>
      <c r="M43" s="1357"/>
      <c r="O43" s="467"/>
      <c r="P43" s="468"/>
      <c r="Q43" s="469"/>
      <c r="R43" s="469"/>
      <c r="S43" s="469"/>
      <c r="T43" s="470"/>
      <c r="U43" s="470"/>
      <c r="V43" s="470"/>
      <c r="W43" s="470"/>
      <c r="X43" s="458"/>
      <c r="Y43" s="458"/>
      <c r="Z43" s="471">
        <f>IF(Z42=0,0,IF(Z42/4&gt;500000,"Monthly","Qtrly"))</f>
        <v>0</v>
      </c>
      <c r="AA43" s="472"/>
      <c r="AB43" s="472"/>
    </row>
    <row r="44" spans="1:28" ht="15.75" hidden="1" outlineLevel="1">
      <c r="A44" s="458"/>
      <c r="B44" s="1236" t="s">
        <v>1086</v>
      </c>
      <c r="C44" s="1236"/>
      <c r="D44" s="504"/>
      <c r="O44" s="467"/>
      <c r="P44" s="468"/>
      <c r="Q44" s="469"/>
      <c r="R44" s="469"/>
      <c r="S44" s="469"/>
      <c r="T44" s="470"/>
      <c r="U44" s="470"/>
      <c r="V44" s="470"/>
      <c r="W44" s="470"/>
      <c r="X44" s="458"/>
      <c r="Y44" s="458"/>
      <c r="Z44" s="471"/>
      <c r="AA44" s="472"/>
      <c r="AB44" s="472"/>
    </row>
    <row r="45" spans="1:28" ht="15.75" hidden="1" outlineLevel="1">
      <c r="A45" s="458"/>
      <c r="B45" s="1320" t="s">
        <v>1087</v>
      </c>
      <c r="C45" s="1320"/>
      <c r="D45" s="1429">
        <f>+J130</f>
        <v>150</v>
      </c>
      <c r="E45" s="1"/>
      <c r="F45" s="1349" t="s">
        <v>1088</v>
      </c>
      <c r="V45" s="470"/>
      <c r="W45" s="470"/>
      <c r="X45" s="458"/>
      <c r="Y45" s="458"/>
      <c r="Z45" s="471"/>
      <c r="AA45" s="472"/>
      <c r="AB45" s="472"/>
    </row>
    <row r="46" spans="1:28" ht="15.75" hidden="1" outlineLevel="1">
      <c r="A46" s="458"/>
      <c r="B46" s="1319" t="s">
        <v>1089</v>
      </c>
      <c r="C46" s="1319"/>
      <c r="D46" s="1430">
        <f>+J165</f>
        <v>327</v>
      </c>
      <c r="F46" t="s">
        <v>1090</v>
      </c>
      <c r="I46" s="469"/>
      <c r="V46" s="470"/>
      <c r="W46" s="470"/>
      <c r="X46" s="458"/>
      <c r="Y46" s="458"/>
      <c r="Z46" s="471"/>
      <c r="AA46" s="472"/>
      <c r="AB46" s="472"/>
    </row>
    <row r="47" spans="1:28" ht="15.75" hidden="1" outlineLevel="1">
      <c r="A47" s="458"/>
      <c r="B47" s="1321"/>
      <c r="C47" s="1321"/>
      <c r="D47" s="1301">
        <f>SUM(D45:D46)</f>
        <v>477</v>
      </c>
      <c r="F47" s="1"/>
      <c r="I47" s="469"/>
      <c r="V47" s="470"/>
      <c r="W47" s="470"/>
      <c r="X47" s="458"/>
      <c r="Y47" s="458"/>
      <c r="Z47" s="471"/>
      <c r="AA47" s="472"/>
      <c r="AB47" s="472"/>
    </row>
    <row r="48" spans="1:28" ht="15.75" hidden="1" outlineLevel="1">
      <c r="A48" s="458"/>
      <c r="D48" s="5"/>
      <c r="F48" s="1"/>
      <c r="I48" s="469"/>
      <c r="V48" s="470"/>
      <c r="W48" s="470"/>
      <c r="X48" s="458"/>
      <c r="Y48" s="458"/>
      <c r="Z48" s="471"/>
      <c r="AA48" s="472"/>
      <c r="AB48" s="472"/>
    </row>
    <row r="49" spans="1:34" ht="15.75" hidden="1" outlineLevel="1">
      <c r="A49" s="458"/>
      <c r="B49" s="1359" t="s">
        <v>1091</v>
      </c>
      <c r="C49" s="1359"/>
      <c r="D49" s="1359"/>
      <c r="F49" s="1"/>
      <c r="I49" s="469"/>
      <c r="V49" s="470"/>
      <c r="W49" s="470"/>
      <c r="X49" s="458"/>
      <c r="Y49" s="458"/>
      <c r="Z49" s="471"/>
      <c r="AA49" s="472"/>
      <c r="AB49" s="472"/>
    </row>
    <row r="50" spans="1:34" ht="15.75" hidden="1" outlineLevel="1">
      <c r="A50" s="458"/>
      <c r="B50" s="1355" t="s">
        <v>1092</v>
      </c>
      <c r="C50" s="1356"/>
      <c r="D50" s="1356"/>
      <c r="F50" s="1"/>
      <c r="I50" s="469"/>
      <c r="V50" s="470"/>
      <c r="W50" s="470"/>
      <c r="X50" s="458"/>
      <c r="Y50" s="458"/>
      <c r="Z50" s="471"/>
      <c r="AA50" s="472"/>
      <c r="AB50" s="472"/>
    </row>
    <row r="51" spans="1:34" ht="15.75" hidden="1" outlineLevel="1">
      <c r="A51" s="458"/>
      <c r="B51" s="1357"/>
      <c r="C51" s="1358"/>
      <c r="D51" s="1357"/>
      <c r="F51" s="1"/>
      <c r="V51" s="470"/>
      <c r="W51" s="470"/>
      <c r="X51" s="458"/>
      <c r="Y51" s="458"/>
      <c r="Z51" s="471"/>
      <c r="AA51" s="472"/>
      <c r="AB51" s="472"/>
    </row>
    <row r="52" spans="1:34" ht="15.75" hidden="1" outlineLevel="1">
      <c r="A52" s="458"/>
      <c r="B52" s="1371" t="s">
        <v>1093</v>
      </c>
      <c r="C52" s="1358"/>
      <c r="D52" s="1372">
        <v>500</v>
      </c>
      <c r="F52" s="1"/>
      <c r="V52" s="470"/>
      <c r="W52" s="470"/>
      <c r="X52" s="458"/>
      <c r="Y52" s="458"/>
      <c r="Z52" s="471"/>
      <c r="AA52" s="472"/>
      <c r="AB52" s="472"/>
    </row>
    <row r="53" spans="1:34" ht="15.75" hidden="1" outlineLevel="1">
      <c r="A53" s="458"/>
      <c r="B53" s="1371" t="s">
        <v>1094</v>
      </c>
      <c r="C53" s="1358"/>
      <c r="D53" s="1372">
        <v>250</v>
      </c>
      <c r="F53" s="1"/>
      <c r="V53" s="470"/>
      <c r="W53" s="470"/>
      <c r="X53" s="458"/>
      <c r="Y53" s="458"/>
      <c r="Z53" s="471"/>
      <c r="AA53" s="472"/>
      <c r="AB53" s="472"/>
    </row>
    <row r="54" spans="1:34" ht="15.75" hidden="1" outlineLevel="1">
      <c r="A54" s="458"/>
      <c r="B54" s="1371" t="s">
        <v>1095</v>
      </c>
      <c r="C54" s="1358"/>
      <c r="D54" s="1431">
        <f>SUM(B59,B61,B63,B65)</f>
        <v>318</v>
      </c>
      <c r="E54" s="1432"/>
      <c r="F54" s="1"/>
      <c r="V54" s="470"/>
      <c r="W54" s="470"/>
      <c r="X54" s="458"/>
      <c r="Y54" s="458"/>
      <c r="Z54" s="471"/>
      <c r="AA54" s="472"/>
      <c r="AB54" s="472"/>
    </row>
    <row r="55" spans="1:34" ht="15.75" hidden="1" outlineLevel="1">
      <c r="A55" s="458"/>
      <c r="B55" s="1357"/>
      <c r="C55" s="1358"/>
      <c r="D55" s="1357"/>
      <c r="F55" s="1"/>
      <c r="V55" s="470"/>
      <c r="W55" s="470"/>
      <c r="X55" s="458"/>
      <c r="Y55" s="458"/>
      <c r="Z55" s="471"/>
      <c r="AA55" s="472"/>
      <c r="AB55" s="472"/>
    </row>
    <row r="56" spans="1:34" ht="15.75" hidden="1" outlineLevel="1">
      <c r="A56" s="458"/>
      <c r="B56" s="1398" t="s">
        <v>1096</v>
      </c>
      <c r="C56" s="1365"/>
      <c r="D56" s="1364"/>
      <c r="E56" s="504"/>
      <c r="F56" s="1"/>
      <c r="G56" t="s">
        <v>498</v>
      </c>
      <c r="K56">
        <v>500</v>
      </c>
      <c r="N56" t="s">
        <v>1097</v>
      </c>
      <c r="V56" s="470"/>
      <c r="W56" s="470"/>
      <c r="X56" s="458"/>
      <c r="Y56" s="458"/>
      <c r="Z56" s="471"/>
      <c r="AA56" s="472"/>
      <c r="AB56" s="472"/>
    </row>
    <row r="57" spans="1:34" ht="15.75" hidden="1" outlineLevel="1">
      <c r="A57" s="458"/>
      <c r="B57" s="1359" t="s">
        <v>1098</v>
      </c>
      <c r="C57" s="1365"/>
      <c r="D57" s="1359" t="s">
        <v>1099</v>
      </c>
      <c r="E57" s="1364"/>
      <c r="G57" s="1357"/>
      <c r="I57" t="s">
        <v>1100</v>
      </c>
      <c r="J57" t="s">
        <v>1101</v>
      </c>
      <c r="K57" t="s">
        <v>1102</v>
      </c>
      <c r="N57" t="s">
        <v>1103</v>
      </c>
      <c r="V57" s="470"/>
      <c r="W57" s="470"/>
      <c r="X57" s="458"/>
      <c r="Y57" s="458"/>
      <c r="Z57" s="471"/>
      <c r="AA57" s="472"/>
      <c r="AB57" s="472"/>
    </row>
    <row r="58" spans="1:34" ht="15.75" hidden="1" outlineLevel="1">
      <c r="A58" s="458"/>
      <c r="B58" s="1356" t="s">
        <v>1104</v>
      </c>
      <c r="C58" s="1373" t="s">
        <v>1105</v>
      </c>
      <c r="D58" s="1373" t="s">
        <v>1106</v>
      </c>
      <c r="E58" s="1373" t="s">
        <v>1107</v>
      </c>
      <c r="G58" s="1357"/>
      <c r="I58" s="1373" t="s">
        <v>1108</v>
      </c>
      <c r="J58" s="1373" t="s">
        <v>1109</v>
      </c>
      <c r="K58" s="1373" t="s">
        <v>1110</v>
      </c>
      <c r="N58" s="1373" t="s">
        <v>1111</v>
      </c>
      <c r="V58" s="470"/>
      <c r="W58" s="470"/>
      <c r="X58" s="458"/>
      <c r="Y58" s="458"/>
      <c r="Z58" s="471"/>
      <c r="AA58" s="472"/>
      <c r="AB58" s="472"/>
    </row>
    <row r="59" spans="1:34" ht="15.75" hidden="1" outlineLevel="1">
      <c r="A59" s="458"/>
      <c r="B59" s="1361">
        <v>45</v>
      </c>
      <c r="C59" s="1361">
        <v>0</v>
      </c>
      <c r="D59" s="1362">
        <v>10</v>
      </c>
      <c r="E59" s="1361">
        <v>15</v>
      </c>
      <c r="G59" s="1355" t="s">
        <v>1104</v>
      </c>
      <c r="H59" s="1434">
        <v>0.5</v>
      </c>
      <c r="I59" s="1435">
        <v>0.15</v>
      </c>
      <c r="J59" s="1435">
        <v>0.15</v>
      </c>
      <c r="K59" s="5">
        <f>+J59*$K$56</f>
        <v>75</v>
      </c>
      <c r="M59">
        <v>15</v>
      </c>
      <c r="V59" s="470"/>
      <c r="W59" s="470"/>
      <c r="X59" s="458"/>
      <c r="Y59" s="458"/>
      <c r="Z59" s="471"/>
      <c r="AA59" s="472"/>
      <c r="AB59" s="472"/>
    </row>
    <row r="60" spans="1:34" ht="15.75" hidden="1" outlineLevel="1">
      <c r="A60" s="458"/>
      <c r="B60" s="1356" t="s">
        <v>1112</v>
      </c>
      <c r="C60" s="1373" t="s">
        <v>1113</v>
      </c>
      <c r="D60" s="1373" t="s">
        <v>1114</v>
      </c>
      <c r="E60" s="1357"/>
      <c r="G60" s="1436" t="s">
        <v>1115</v>
      </c>
      <c r="H60" s="1434">
        <v>0.24</v>
      </c>
      <c r="I60" s="1435">
        <v>0.2</v>
      </c>
      <c r="J60" s="1435">
        <v>0.17</v>
      </c>
      <c r="K60" s="5">
        <f>+J60*$K$56</f>
        <v>85</v>
      </c>
      <c r="M60">
        <v>17</v>
      </c>
      <c r="V60" s="470"/>
      <c r="W60" s="470"/>
      <c r="X60" s="458"/>
      <c r="Y60" s="458"/>
      <c r="Z60" s="471"/>
      <c r="AA60" s="472"/>
      <c r="AB60" s="472"/>
    </row>
    <row r="61" spans="1:34" ht="15.75" hidden="1" outlineLevel="1">
      <c r="A61" s="458"/>
      <c r="B61" s="1361">
        <v>53</v>
      </c>
      <c r="C61" s="1361">
        <v>0</v>
      </c>
      <c r="D61" s="1361">
        <v>0</v>
      </c>
      <c r="F61" s="1357"/>
      <c r="G61" s="1436" t="s">
        <v>1112</v>
      </c>
      <c r="H61" s="1434">
        <v>0.12</v>
      </c>
      <c r="I61" s="1435">
        <v>0.01</v>
      </c>
      <c r="J61" s="1435">
        <v>0.01</v>
      </c>
      <c r="K61" s="5">
        <f>+J61*$K$56</f>
        <v>5</v>
      </c>
      <c r="M61">
        <v>4</v>
      </c>
      <c r="V61" s="470"/>
      <c r="W61" s="470"/>
      <c r="X61" s="458"/>
      <c r="Y61" s="458"/>
      <c r="Z61" s="471"/>
      <c r="AA61" s="472"/>
      <c r="AB61" s="472"/>
    </row>
    <row r="62" spans="1:34" ht="15.75" hidden="1" outlineLevel="1">
      <c r="A62" s="458"/>
      <c r="B62" s="1356" t="s">
        <v>1115</v>
      </c>
      <c r="C62" s="1373" t="s">
        <v>1116</v>
      </c>
      <c r="D62" s="1357"/>
      <c r="F62" s="1357"/>
      <c r="G62" s="1355" t="s">
        <v>1117</v>
      </c>
      <c r="H62" s="1434">
        <v>0.5</v>
      </c>
      <c r="I62" s="1435">
        <v>0.5</v>
      </c>
      <c r="J62" s="1435">
        <v>0.5</v>
      </c>
      <c r="K62" s="5">
        <f>+J62*$K$56</f>
        <v>250</v>
      </c>
      <c r="N62" s="1434">
        <v>0.8</v>
      </c>
      <c r="V62" s="470"/>
      <c r="W62" s="470"/>
      <c r="X62" s="458"/>
      <c r="Y62" s="458"/>
      <c r="Z62" s="471"/>
      <c r="AA62" s="472"/>
      <c r="AB62" s="472"/>
      <c r="AH62">
        <v>0.64</v>
      </c>
    </row>
    <row r="63" spans="1:34" ht="15.75" hidden="1" outlineLevel="1">
      <c r="A63" s="458"/>
      <c r="B63" s="1361">
        <v>30</v>
      </c>
      <c r="C63" s="1361">
        <v>20</v>
      </c>
      <c r="D63" s="1357"/>
      <c r="F63" s="1357"/>
      <c r="K63" s="5">
        <f>SUM(K59:K62)</f>
        <v>415</v>
      </c>
      <c r="V63" s="470"/>
      <c r="W63" s="470"/>
      <c r="X63" s="458"/>
      <c r="Y63" s="458"/>
      <c r="Z63" s="471"/>
      <c r="AA63" s="472"/>
      <c r="AB63" s="472"/>
    </row>
    <row r="64" spans="1:34" ht="15.75" hidden="1" outlineLevel="1">
      <c r="A64" s="458"/>
      <c r="B64" s="1356" t="s">
        <v>1117</v>
      </c>
      <c r="C64" s="1360"/>
      <c r="D64" s="1360"/>
      <c r="F64" s="1360"/>
      <c r="I64" s="1434">
        <v>0.06</v>
      </c>
      <c r="V64" s="470"/>
      <c r="W64" s="470"/>
      <c r="X64" s="458"/>
      <c r="Y64" s="458"/>
      <c r="Z64" s="471"/>
      <c r="AA64" s="472"/>
      <c r="AB64" s="472"/>
    </row>
    <row r="65" spans="1:28" ht="15.75" hidden="1" outlineLevel="1">
      <c r="A65" s="458"/>
      <c r="B65" s="1361">
        <v>190</v>
      </c>
      <c r="C65" s="1357"/>
      <c r="D65" s="1363"/>
      <c r="F65" s="1357"/>
      <c r="G65" t="s">
        <v>1118</v>
      </c>
      <c r="V65" s="470"/>
      <c r="W65" s="470"/>
      <c r="X65" s="458"/>
      <c r="Y65" s="458"/>
      <c r="Z65" s="471"/>
      <c r="AA65" s="472"/>
      <c r="AB65" s="472"/>
    </row>
    <row r="66" spans="1:28" ht="15.75" hidden="1" outlineLevel="1">
      <c r="A66" s="458"/>
      <c r="B66" s="1364"/>
      <c r="C66" s="1364"/>
      <c r="D66" s="1366"/>
      <c r="E66" s="1364"/>
      <c r="V66" s="470"/>
      <c r="W66" s="470"/>
      <c r="X66" s="458"/>
      <c r="Y66" s="458"/>
      <c r="Z66" s="471"/>
      <c r="AA66" s="472"/>
      <c r="AB66" s="472"/>
    </row>
    <row r="67" spans="1:28" ht="15.75" hidden="1" outlineLevel="1">
      <c r="A67" s="458"/>
      <c r="B67" s="1369" t="s">
        <v>1119</v>
      </c>
      <c r="C67" s="1369"/>
      <c r="D67" s="1369"/>
      <c r="E67" s="1369"/>
      <c r="V67" s="470"/>
      <c r="W67" s="470"/>
      <c r="X67" s="458"/>
      <c r="Y67" s="458"/>
      <c r="Z67" s="471"/>
      <c r="AA67" s="472"/>
      <c r="AB67" s="472"/>
    </row>
    <row r="68" spans="1:28" ht="15.75" hidden="1" outlineLevel="1">
      <c r="A68" s="458"/>
      <c r="B68" s="1373" t="s">
        <v>1120</v>
      </c>
      <c r="C68" s="1373" t="s">
        <v>1121</v>
      </c>
      <c r="D68" s="1373" t="s">
        <v>1122</v>
      </c>
      <c r="E68" s="1373" t="s">
        <v>1123</v>
      </c>
      <c r="V68" s="470"/>
      <c r="W68" s="470"/>
      <c r="X68" s="458"/>
      <c r="Y68" s="458"/>
      <c r="Z68" s="471"/>
      <c r="AA68" s="472"/>
      <c r="AB68" s="472"/>
    </row>
    <row r="69" spans="1:28" ht="15.75" hidden="1" outlineLevel="1">
      <c r="A69" s="458"/>
      <c r="B69" s="1361">
        <v>0</v>
      </c>
      <c r="C69" s="1361">
        <v>1</v>
      </c>
      <c r="D69" s="1362">
        <v>1</v>
      </c>
      <c r="E69" s="1361">
        <v>10</v>
      </c>
      <c r="V69" s="470"/>
      <c r="W69" s="470"/>
      <c r="X69" s="458"/>
      <c r="Y69" s="458"/>
      <c r="Z69" s="471"/>
      <c r="AA69" s="472"/>
      <c r="AB69" s="472"/>
    </row>
    <row r="70" spans="1:28" ht="15.75" hidden="1" outlineLevel="1">
      <c r="A70" s="458"/>
      <c r="B70" s="1373" t="s">
        <v>1124</v>
      </c>
      <c r="C70" s="1357"/>
      <c r="D70" s="1357"/>
      <c r="V70" s="470"/>
      <c r="W70" s="470"/>
      <c r="X70" s="458"/>
      <c r="Y70" s="458"/>
      <c r="Z70" s="471"/>
      <c r="AA70" s="472"/>
      <c r="AB70" s="472"/>
    </row>
    <row r="71" spans="1:28" ht="15.75" hidden="1" outlineLevel="1">
      <c r="A71" s="458"/>
      <c r="B71" s="1361">
        <v>0</v>
      </c>
      <c r="C71" s="1358"/>
      <c r="D71" s="1357"/>
      <c r="E71" s="1357"/>
      <c r="F71" s="1357"/>
      <c r="G71" s="1357"/>
      <c r="V71" s="470"/>
      <c r="W71" s="470"/>
      <c r="X71" s="458"/>
      <c r="Y71" s="458"/>
      <c r="Z71" s="471"/>
      <c r="AA71" s="472"/>
      <c r="AB71" s="472"/>
    </row>
    <row r="72" spans="1:28" ht="15.75" hidden="1" outlineLevel="1">
      <c r="A72" s="458"/>
      <c r="B72" s="1364"/>
      <c r="C72" s="1364"/>
      <c r="D72" s="1364"/>
      <c r="E72" s="1364"/>
      <c r="F72" s="1364"/>
      <c r="G72" s="1364"/>
      <c r="V72" s="470"/>
      <c r="W72" s="470"/>
      <c r="X72" s="458"/>
      <c r="Y72" s="458"/>
      <c r="Z72" s="471"/>
      <c r="AA72" s="472"/>
      <c r="AB72" s="472"/>
    </row>
    <row r="73" spans="1:28" ht="15.75" hidden="1" outlineLevel="1">
      <c r="A73" s="458"/>
      <c r="B73" s="1355" t="s">
        <v>1125</v>
      </c>
      <c r="C73" s="1357"/>
      <c r="D73" s="1357"/>
      <c r="E73" s="1357"/>
      <c r="F73" s="1357"/>
      <c r="G73" s="1357"/>
      <c r="V73" s="470"/>
      <c r="W73" s="470"/>
      <c r="X73" s="458"/>
      <c r="Y73" s="458"/>
      <c r="Z73" s="471"/>
      <c r="AA73" s="472"/>
      <c r="AB73" s="472"/>
    </row>
    <row r="74" spans="1:28" ht="15.75" hidden="1" outlineLevel="1">
      <c r="A74" s="458"/>
      <c r="B74" s="1355" t="s">
        <v>1126</v>
      </c>
      <c r="C74" s="1357"/>
      <c r="D74" s="1357"/>
      <c r="E74" s="1357"/>
      <c r="F74" s="1358"/>
      <c r="G74" s="1357"/>
      <c r="V74" s="470"/>
      <c r="W74" s="470"/>
      <c r="X74" s="458"/>
      <c r="Y74" s="458"/>
      <c r="Z74" s="471"/>
      <c r="AA74" s="472"/>
      <c r="AB74" s="472"/>
    </row>
    <row r="75" spans="1:28" ht="15.75" hidden="1" outlineLevel="1">
      <c r="A75" s="458"/>
      <c r="B75" s="1355"/>
      <c r="C75" s="1357"/>
      <c r="D75" s="1357"/>
      <c r="E75" s="1357"/>
      <c r="F75" s="1358"/>
      <c r="G75" s="1357"/>
      <c r="V75" s="470"/>
      <c r="W75" s="470"/>
      <c r="X75" s="458"/>
      <c r="Y75" s="458"/>
      <c r="Z75" s="471"/>
      <c r="AA75" s="472"/>
      <c r="AB75" s="472"/>
    </row>
    <row r="76" spans="1:28" ht="15.75" hidden="1" outlineLevel="1">
      <c r="A76" s="458"/>
      <c r="E76" s="1370" t="s">
        <v>498</v>
      </c>
      <c r="F76" s="1370" t="s">
        <v>1127</v>
      </c>
      <c r="G76" s="1370" t="s">
        <v>1128</v>
      </c>
      <c r="H76" s="1370" t="s">
        <v>1117</v>
      </c>
      <c r="I76" s="1370" t="s">
        <v>1129</v>
      </c>
      <c r="J76" s="1370" t="s">
        <v>123</v>
      </c>
      <c r="K76" s="1370" t="s">
        <v>1130</v>
      </c>
      <c r="V76" s="470"/>
      <c r="W76" s="470"/>
      <c r="X76" s="458"/>
      <c r="Y76" s="458"/>
      <c r="Z76" s="471"/>
      <c r="AA76" s="472"/>
      <c r="AB76" s="472"/>
    </row>
    <row r="77" spans="1:28" ht="18.75" hidden="1" outlineLevel="1">
      <c r="A77" s="458"/>
      <c r="C77" s="1403" t="str">
        <f>+D13</f>
        <v>SYE 22</v>
      </c>
      <c r="E77" s="1367">
        <f>+D53</f>
        <v>250</v>
      </c>
      <c r="F77" s="1367">
        <f>B59</f>
        <v>45</v>
      </c>
      <c r="G77" s="1367">
        <f>B63-D59-C61-B71-E69</f>
        <v>10</v>
      </c>
      <c r="H77" s="1367">
        <f>B65-C63-D61-E59-D69-E69-B71</f>
        <v>144</v>
      </c>
      <c r="I77" s="1367">
        <f>B61-C59-C69-D69</f>
        <v>51</v>
      </c>
      <c r="J77" s="1374">
        <f>SUM(E77:I77)</f>
        <v>500</v>
      </c>
      <c r="K77" s="5">
        <f>+J77-D52</f>
        <v>0</v>
      </c>
      <c r="V77" s="470"/>
      <c r="W77" s="470"/>
      <c r="X77" s="458"/>
      <c r="Y77" s="458"/>
      <c r="Z77" s="471"/>
      <c r="AA77" s="472"/>
      <c r="AB77" s="472"/>
    </row>
    <row r="78" spans="1:28" ht="15.75" hidden="1" outlineLevel="1">
      <c r="A78" s="458"/>
      <c r="D78" s="1399" t="s">
        <v>1131</v>
      </c>
      <c r="E78" s="1400">
        <f t="shared" ref="E78:J78" si="13">+E77/$J$77</f>
        <v>0.5</v>
      </c>
      <c r="F78" s="1400">
        <f t="shared" si="13"/>
        <v>0.09</v>
      </c>
      <c r="G78" s="1400">
        <f t="shared" si="13"/>
        <v>0.02</v>
      </c>
      <c r="H78" s="1425">
        <f t="shared" si="13"/>
        <v>0.28799999999999998</v>
      </c>
      <c r="I78" s="1400">
        <f t="shared" si="13"/>
        <v>0.10199999999999999</v>
      </c>
      <c r="J78" s="1400">
        <f t="shared" si="13"/>
        <v>1</v>
      </c>
      <c r="V78" s="470"/>
      <c r="W78" s="470"/>
      <c r="X78" s="458"/>
      <c r="Y78" s="458"/>
      <c r="Z78" s="471"/>
      <c r="AA78" s="472"/>
      <c r="AB78" s="472"/>
    </row>
    <row r="79" spans="1:28" ht="15.75" hidden="1" outlineLevel="1">
      <c r="A79" s="458"/>
      <c r="D79" s="1399" t="s">
        <v>263</v>
      </c>
      <c r="E79" s="1401">
        <v>0</v>
      </c>
      <c r="F79" s="1401">
        <f>+D39</f>
        <v>0.33</v>
      </c>
      <c r="G79" s="1401">
        <f>+D40</f>
        <v>0.24</v>
      </c>
      <c r="H79" s="1401">
        <f>+D41</f>
        <v>0.03</v>
      </c>
      <c r="I79" s="1401">
        <f>+D42</f>
        <v>0.12</v>
      </c>
      <c r="J79" s="1360"/>
      <c r="V79" s="470"/>
      <c r="W79" s="470"/>
      <c r="X79" s="458"/>
      <c r="Y79" s="458"/>
      <c r="Z79" s="471"/>
      <c r="AA79" s="472"/>
      <c r="AB79" s="472"/>
    </row>
    <row r="80" spans="1:28" ht="15.75" hidden="1" outlineLevel="1">
      <c r="A80" s="458"/>
      <c r="E80" s="1368"/>
      <c r="F80" s="1368"/>
      <c r="G80" s="1368"/>
      <c r="H80" s="1368"/>
      <c r="I80" s="1368"/>
      <c r="J80" s="1360"/>
      <c r="V80" s="470"/>
      <c r="W80" s="470"/>
      <c r="X80" s="458"/>
      <c r="Y80" s="458"/>
      <c r="Z80" s="471"/>
      <c r="AA80" s="472"/>
      <c r="AB80" s="472"/>
    </row>
    <row r="81" spans="1:28" ht="15.75" hidden="1" outlineLevel="1">
      <c r="A81" s="458"/>
      <c r="B81" s="1" t="s">
        <v>1132</v>
      </c>
      <c r="E81" s="1395" t="s">
        <v>1133</v>
      </c>
      <c r="F81" s="1368"/>
      <c r="G81" s="1368"/>
      <c r="H81" s="1368"/>
      <c r="I81" s="1368"/>
      <c r="J81" s="1360"/>
      <c r="V81" s="470"/>
      <c r="W81" s="470"/>
      <c r="X81" s="458"/>
      <c r="Y81" s="458"/>
      <c r="Z81" s="471"/>
      <c r="AA81" s="472"/>
      <c r="AB81" s="472"/>
    </row>
    <row r="82" spans="1:28" ht="15.75" hidden="1" outlineLevel="1">
      <c r="A82" s="458"/>
      <c r="C82" s="1391" t="s">
        <v>1134</v>
      </c>
      <c r="D82" s="1"/>
      <c r="E82" s="1395" t="s">
        <v>1135</v>
      </c>
      <c r="F82" s="1395"/>
      <c r="G82" s="1395"/>
      <c r="H82" s="1395"/>
      <c r="I82" s="1395"/>
      <c r="J82" s="1356" t="s">
        <v>123</v>
      </c>
      <c r="V82" s="470"/>
      <c r="W82" s="470"/>
      <c r="X82" s="458"/>
      <c r="Y82" s="458"/>
      <c r="Z82" s="471"/>
      <c r="AA82" s="472"/>
      <c r="AB82" s="472"/>
    </row>
    <row r="83" spans="1:28" ht="15.75" hidden="1" outlineLevel="1">
      <c r="A83" s="458"/>
      <c r="B83" s="1" t="s">
        <v>1136</v>
      </c>
      <c r="C83" s="1391" t="s">
        <v>1137</v>
      </c>
      <c r="D83" s="1391" t="s">
        <v>307</v>
      </c>
      <c r="E83" s="1396">
        <f>+J77</f>
        <v>500</v>
      </c>
      <c r="F83" s="1397" t="s">
        <v>1138</v>
      </c>
      <c r="G83" s="1395"/>
      <c r="H83" s="1395"/>
      <c r="I83" s="1395"/>
      <c r="J83" s="1356" t="s">
        <v>1135</v>
      </c>
      <c r="V83" s="470"/>
      <c r="W83" s="470"/>
      <c r="X83" s="458"/>
      <c r="Y83" s="458"/>
      <c r="Z83" s="471"/>
      <c r="AA83" s="472"/>
      <c r="AB83" s="472"/>
    </row>
    <row r="84" spans="1:28" ht="15.75" hidden="1" outlineLevel="1">
      <c r="A84" s="458">
        <v>1</v>
      </c>
      <c r="B84" t="str">
        <f>$B30</f>
        <v xml:space="preserve">Carson City </v>
      </c>
      <c r="C84" s="1376"/>
      <c r="D84" s="604">
        <f t="shared" ref="D84:D89" si="14">+D30</f>
        <v>7494</v>
      </c>
      <c r="E84" s="1416">
        <f>IF($C84="y",$J$77*$D84,0)</f>
        <v>0</v>
      </c>
      <c r="F84" s="1416">
        <f t="shared" ref="F84:I90" si="15">IF($C84="y",F$77*F$79*$D84,0)</f>
        <v>0</v>
      </c>
      <c r="G84" s="1416">
        <f t="shared" si="15"/>
        <v>0</v>
      </c>
      <c r="H84" s="1416">
        <f t="shared" si="15"/>
        <v>0</v>
      </c>
      <c r="I84" s="1417">
        <f t="shared" si="15"/>
        <v>0</v>
      </c>
      <c r="J84" s="1387">
        <f t="shared" ref="J84:J91" si="16">SUM(E84:I84)</f>
        <v>0</v>
      </c>
      <c r="V84" s="470"/>
      <c r="W84" s="470"/>
      <c r="X84" s="458"/>
      <c r="Y84" s="458"/>
      <c r="Z84" s="471"/>
      <c r="AA84" s="472"/>
      <c r="AB84" s="472"/>
    </row>
    <row r="85" spans="1:28" ht="15.75" hidden="1" outlineLevel="1">
      <c r="A85" s="458">
        <f>1+A84</f>
        <v>2</v>
      </c>
      <c r="B85" s="454" t="str">
        <f t="shared" ref="B85:B88" si="17">$B31</f>
        <v xml:space="preserve">Churchill </v>
      </c>
      <c r="C85" s="1393"/>
      <c r="D85" s="1394">
        <f t="shared" si="14"/>
        <v>8093</v>
      </c>
      <c r="E85" s="1418">
        <f t="shared" ref="E85:E89" si="18">IF($C85="y",$J$77*$D85,0)</f>
        <v>0</v>
      </c>
      <c r="F85" s="1418">
        <f t="shared" si="15"/>
        <v>0</v>
      </c>
      <c r="G85" s="1418">
        <f t="shared" si="15"/>
        <v>0</v>
      </c>
      <c r="H85" s="1418">
        <f t="shared" si="15"/>
        <v>0</v>
      </c>
      <c r="I85" s="1419">
        <f t="shared" si="15"/>
        <v>0</v>
      </c>
      <c r="J85" s="1387">
        <f t="shared" si="16"/>
        <v>0</v>
      </c>
      <c r="V85" s="470"/>
      <c r="W85" s="470"/>
      <c r="X85" s="458"/>
      <c r="Y85" s="458"/>
      <c r="Z85" s="471"/>
      <c r="AA85" s="472"/>
      <c r="AB85" s="472"/>
    </row>
    <row r="86" spans="1:28" ht="15.75" hidden="1" outlineLevel="1">
      <c r="A86" s="458">
        <f t="shared" ref="A86:A88" si="19">1+A85</f>
        <v>3</v>
      </c>
      <c r="B86" s="454" t="str">
        <f t="shared" si="17"/>
        <v xml:space="preserve">Clark </v>
      </c>
      <c r="C86" s="1393" t="s">
        <v>1139</v>
      </c>
      <c r="D86" s="1394">
        <f t="shared" si="14"/>
        <v>7197</v>
      </c>
      <c r="E86" s="1418">
        <f t="shared" si="18"/>
        <v>3598500</v>
      </c>
      <c r="F86" s="1418">
        <f t="shared" si="15"/>
        <v>106875.45000000001</v>
      </c>
      <c r="G86" s="1418">
        <f t="shared" si="15"/>
        <v>17272.8</v>
      </c>
      <c r="H86" s="1418">
        <f t="shared" si="15"/>
        <v>31091.040000000001</v>
      </c>
      <c r="I86" s="1419">
        <f t="shared" si="15"/>
        <v>44045.64</v>
      </c>
      <c r="J86" s="1387">
        <f t="shared" si="16"/>
        <v>3797784.93</v>
      </c>
      <c r="V86" s="470"/>
      <c r="W86" s="470"/>
      <c r="X86" s="458"/>
      <c r="Y86" s="458"/>
      <c r="Z86" s="471"/>
      <c r="AA86" s="472"/>
      <c r="AB86" s="472"/>
    </row>
    <row r="87" spans="1:28" ht="15.75" hidden="1" outlineLevel="1">
      <c r="A87" s="458">
        <f t="shared" si="19"/>
        <v>4</v>
      </c>
      <c r="B87" s="454" t="str">
        <f t="shared" si="17"/>
        <v xml:space="preserve">Elko </v>
      </c>
      <c r="C87" s="1393"/>
      <c r="D87" s="1394">
        <f t="shared" si="14"/>
        <v>7715</v>
      </c>
      <c r="E87" s="1420">
        <f t="shared" si="18"/>
        <v>0</v>
      </c>
      <c r="F87" s="1420">
        <f t="shared" si="15"/>
        <v>0</v>
      </c>
      <c r="G87" s="1420">
        <f t="shared" si="15"/>
        <v>0</v>
      </c>
      <c r="H87" s="1420">
        <f t="shared" si="15"/>
        <v>0</v>
      </c>
      <c r="I87" s="1421">
        <f t="shared" si="15"/>
        <v>0</v>
      </c>
      <c r="J87" s="1387">
        <f t="shared" si="16"/>
        <v>0</v>
      </c>
      <c r="V87" s="470"/>
      <c r="W87" s="470"/>
      <c r="X87" s="458"/>
      <c r="Y87" s="458"/>
      <c r="Z87" s="471"/>
      <c r="AA87" s="472"/>
      <c r="AB87" s="472"/>
    </row>
    <row r="88" spans="1:28" ht="15.75" hidden="1" outlineLevel="1">
      <c r="A88" s="458">
        <f t="shared" si="19"/>
        <v>5</v>
      </c>
      <c r="B88" s="454" t="str">
        <f t="shared" si="17"/>
        <v xml:space="preserve">Washoe </v>
      </c>
      <c r="C88" s="1393"/>
      <c r="D88" s="1394">
        <f t="shared" si="14"/>
        <v>6980</v>
      </c>
      <c r="E88" s="1420">
        <f t="shared" si="18"/>
        <v>0</v>
      </c>
      <c r="F88" s="1420">
        <f t="shared" si="15"/>
        <v>0</v>
      </c>
      <c r="G88" s="1420">
        <f t="shared" si="15"/>
        <v>0</v>
      </c>
      <c r="H88" s="1420">
        <f t="shared" si="15"/>
        <v>0</v>
      </c>
      <c r="I88" s="1421">
        <f t="shared" si="15"/>
        <v>0</v>
      </c>
      <c r="J88" s="1387">
        <f t="shared" si="16"/>
        <v>0</v>
      </c>
      <c r="V88" s="470"/>
      <c r="W88" s="470"/>
      <c r="X88" s="458"/>
      <c r="Y88" s="458"/>
      <c r="Z88" s="471"/>
      <c r="AA88" s="472"/>
      <c r="AB88" s="472"/>
    </row>
    <row r="89" spans="1:28" ht="15.75" hidden="1" outlineLevel="1">
      <c r="A89" s="458">
        <f>1+A88</f>
        <v>6</v>
      </c>
      <c r="B89" t="str">
        <f>$B35</f>
        <v xml:space="preserve">White Pine </v>
      </c>
      <c r="C89" s="1376"/>
      <c r="D89" s="604">
        <f t="shared" si="14"/>
        <v>10367</v>
      </c>
      <c r="E89" s="1422">
        <f t="shared" si="18"/>
        <v>0</v>
      </c>
      <c r="F89" s="1422">
        <f t="shared" si="15"/>
        <v>0</v>
      </c>
      <c r="G89" s="1422">
        <f t="shared" si="15"/>
        <v>0</v>
      </c>
      <c r="H89" s="1422">
        <f t="shared" si="15"/>
        <v>0</v>
      </c>
      <c r="I89" s="1423">
        <f t="shared" si="15"/>
        <v>0</v>
      </c>
      <c r="J89" s="1388">
        <f t="shared" si="16"/>
        <v>0</v>
      </c>
      <c r="V89" s="470"/>
      <c r="W89" s="470"/>
      <c r="X89" s="458"/>
      <c r="Y89" s="458"/>
      <c r="Z89" s="471"/>
      <c r="AA89" s="472"/>
      <c r="AB89" s="472"/>
    </row>
    <row r="90" spans="1:28" ht="15.75" hidden="1" outlineLevel="1">
      <c r="A90" s="458"/>
      <c r="B90" s="1445" t="s">
        <v>276</v>
      </c>
      <c r="C90" s="1377"/>
      <c r="D90" s="1375">
        <f>+D15</f>
        <v>6980</v>
      </c>
      <c r="E90" s="1380">
        <f>IF($C90="y",$J$77*$D90,0)</f>
        <v>0</v>
      </c>
      <c r="F90" s="1380">
        <f t="shared" si="15"/>
        <v>0</v>
      </c>
      <c r="G90" s="1380">
        <f t="shared" si="15"/>
        <v>0</v>
      </c>
      <c r="H90" s="1380">
        <f t="shared" si="15"/>
        <v>0</v>
      </c>
      <c r="I90" s="1389">
        <f t="shared" si="15"/>
        <v>0</v>
      </c>
      <c r="J90" s="1390">
        <f t="shared" si="16"/>
        <v>0</v>
      </c>
      <c r="K90" t="s">
        <v>1140</v>
      </c>
      <c r="V90" s="470"/>
      <c r="W90" s="470"/>
      <c r="X90" s="458"/>
      <c r="Y90" s="458"/>
      <c r="Z90" s="471"/>
      <c r="AA90" s="472"/>
      <c r="AB90" s="472"/>
    </row>
    <row r="91" spans="1:28" ht="15.75" hidden="1" outlineLevel="1">
      <c r="A91" s="458"/>
      <c r="C91" s="1392" t="str">
        <f>IF(COUNTIF(C84:C90,"y")&gt;1,"Error: Select 1 area","ok")</f>
        <v>ok</v>
      </c>
      <c r="E91" s="1334">
        <f>SUM(E84:E90)</f>
        <v>3598500</v>
      </c>
      <c r="F91" s="1334">
        <f>SUM(F84:F90)</f>
        <v>106875.45000000001</v>
      </c>
      <c r="G91" s="1334">
        <f>SUM(G84:G90)</f>
        <v>17272.8</v>
      </c>
      <c r="H91" s="1334">
        <f>SUM(H84:H90)</f>
        <v>31091.040000000001</v>
      </c>
      <c r="I91" s="1334">
        <f>SUM(I84:I90)</f>
        <v>44045.64</v>
      </c>
      <c r="J91" s="1336">
        <f t="shared" si="16"/>
        <v>3797784.93</v>
      </c>
      <c r="V91" s="470"/>
      <c r="W91" s="470"/>
      <c r="X91" s="458"/>
      <c r="Y91" s="458"/>
      <c r="Z91" s="471"/>
      <c r="AA91" s="472"/>
      <c r="AB91" s="472"/>
    </row>
    <row r="92" spans="1:28" ht="15.75" hidden="1" outlineLevel="1">
      <c r="A92" s="458"/>
      <c r="B92" s="1426"/>
      <c r="C92" s="1426"/>
      <c r="D92" s="1426" t="s">
        <v>307</v>
      </c>
      <c r="E92" s="1427">
        <f>+E91/J77</f>
        <v>7197</v>
      </c>
      <c r="F92" s="1427">
        <f>+F91/F77</f>
        <v>2375.0100000000002</v>
      </c>
      <c r="G92" s="1427">
        <f>+G91/G77</f>
        <v>1727.28</v>
      </c>
      <c r="H92" s="1427">
        <f>+H91/H77</f>
        <v>215.91</v>
      </c>
      <c r="I92" s="1427">
        <f>+I91/I77</f>
        <v>863.64</v>
      </c>
      <c r="J92" s="1427">
        <f>+J91/J77</f>
        <v>7595.5698600000005</v>
      </c>
      <c r="V92" s="470"/>
      <c r="W92" s="470"/>
      <c r="X92" s="458"/>
      <c r="Y92" s="458"/>
      <c r="Z92" s="471"/>
      <c r="AA92" s="472"/>
      <c r="AB92" s="472"/>
    </row>
    <row r="93" spans="1:28" ht="15.75" hidden="1" outlineLevel="1">
      <c r="A93" s="458"/>
      <c r="B93" s="1426"/>
      <c r="C93" s="1426"/>
      <c r="D93" s="1426"/>
      <c r="E93" s="1428">
        <f t="shared" ref="E93:J93" si="20">+E92/$E$92</f>
        <v>1</v>
      </c>
      <c r="F93" s="1428">
        <f t="shared" si="20"/>
        <v>0.33</v>
      </c>
      <c r="G93" s="1428">
        <f t="shared" si="20"/>
        <v>0.24</v>
      </c>
      <c r="H93" s="1428">
        <f t="shared" si="20"/>
        <v>0.03</v>
      </c>
      <c r="I93" s="1428">
        <f t="shared" si="20"/>
        <v>0.12</v>
      </c>
      <c r="J93" s="1428">
        <f t="shared" si="20"/>
        <v>1.05538</v>
      </c>
      <c r="V93" s="470"/>
      <c r="W93" s="470"/>
      <c r="X93" s="458"/>
      <c r="Y93" s="458"/>
      <c r="Z93" s="471"/>
      <c r="AA93" s="472"/>
      <c r="AB93" s="472"/>
    </row>
    <row r="94" spans="1:28" ht="15.75" hidden="1" outlineLevel="1" collapsed="1">
      <c r="A94" s="458"/>
      <c r="B94" s="1426"/>
      <c r="C94" s="1426"/>
      <c r="D94" s="1426"/>
      <c r="E94" s="1428"/>
      <c r="F94" s="1428"/>
      <c r="G94" s="1428"/>
      <c r="H94" s="1428"/>
      <c r="I94" s="1428"/>
      <c r="J94" s="1428"/>
      <c r="V94" s="470"/>
      <c r="W94" s="470"/>
      <c r="X94" s="458"/>
      <c r="Y94" s="458"/>
      <c r="Z94" s="471"/>
      <c r="AA94" s="472"/>
      <c r="AB94" s="472"/>
    </row>
    <row r="95" spans="1:28" ht="15.75" hidden="1" outlineLevel="1">
      <c r="A95" s="458"/>
      <c r="E95" s="1370" t="s">
        <v>498</v>
      </c>
      <c r="F95" s="1370" t="s">
        <v>1127</v>
      </c>
      <c r="G95" s="1370" t="s">
        <v>1128</v>
      </c>
      <c r="H95" s="1370" t="s">
        <v>1117</v>
      </c>
      <c r="I95" s="1370" t="s">
        <v>1129</v>
      </c>
      <c r="J95" s="1370" t="s">
        <v>123</v>
      </c>
      <c r="V95" s="470"/>
      <c r="W95" s="470"/>
      <c r="X95" s="458"/>
      <c r="Y95" s="458"/>
      <c r="Z95" s="471"/>
      <c r="AA95" s="472"/>
      <c r="AB95" s="472"/>
    </row>
    <row r="96" spans="1:28" ht="15.75" hidden="1" outlineLevel="1">
      <c r="A96" s="458"/>
      <c r="E96" s="1367">
        <f>+E77</f>
        <v>250</v>
      </c>
      <c r="F96" s="1367">
        <f>+F77</f>
        <v>45</v>
      </c>
      <c r="G96" s="1367">
        <f>+G77</f>
        <v>10</v>
      </c>
      <c r="H96" s="1367">
        <f>+H77</f>
        <v>144</v>
      </c>
      <c r="I96" s="1367">
        <f>+I77</f>
        <v>51</v>
      </c>
      <c r="J96" s="1374">
        <f>SUM(E96:I96)</f>
        <v>500</v>
      </c>
      <c r="V96" s="470"/>
      <c r="W96" s="470"/>
      <c r="X96" s="458"/>
      <c r="Y96" s="458"/>
      <c r="Z96" s="471"/>
      <c r="AA96" s="472"/>
      <c r="AB96" s="472"/>
    </row>
    <row r="97" spans="1:28" ht="15.75" hidden="1" outlineLevel="1">
      <c r="A97" s="458"/>
      <c r="D97" s="1399" t="s">
        <v>1131</v>
      </c>
      <c r="E97" s="1400">
        <f>+E96/$J96</f>
        <v>0.5</v>
      </c>
      <c r="F97" s="1400">
        <f t="shared" ref="F97:J97" si="21">+F96/$J96</f>
        <v>0.09</v>
      </c>
      <c r="G97" s="1400">
        <f t="shared" si="21"/>
        <v>0.02</v>
      </c>
      <c r="H97" s="1400">
        <f t="shared" si="21"/>
        <v>0.28799999999999998</v>
      </c>
      <c r="I97" s="1400">
        <f t="shared" si="21"/>
        <v>0.10199999999999999</v>
      </c>
      <c r="J97" s="1400">
        <f t="shared" si="21"/>
        <v>1</v>
      </c>
      <c r="V97" s="470"/>
      <c r="W97" s="470"/>
      <c r="X97" s="458"/>
      <c r="Y97" s="458"/>
      <c r="Z97" s="471"/>
      <c r="AA97" s="472"/>
      <c r="AB97" s="472"/>
    </row>
    <row r="98" spans="1:28" ht="15.75" hidden="1" outlineLevel="1">
      <c r="A98" s="458"/>
      <c r="D98" s="1399" t="s">
        <v>263</v>
      </c>
      <c r="E98" s="1401">
        <v>0</v>
      </c>
      <c r="F98" s="1401">
        <f>E39</f>
        <v>0.33</v>
      </c>
      <c r="G98" s="1401">
        <f>E40</f>
        <v>0.23</v>
      </c>
      <c r="H98" s="1401">
        <f>E41</f>
        <v>0.03</v>
      </c>
      <c r="I98" s="1401">
        <f>E42</f>
        <v>0.12</v>
      </c>
      <c r="J98" s="1360"/>
      <c r="V98" s="470"/>
      <c r="W98" s="470"/>
      <c r="X98" s="458"/>
      <c r="Y98" s="458"/>
      <c r="Z98" s="471"/>
      <c r="AA98" s="472"/>
      <c r="AB98" s="472"/>
    </row>
    <row r="99" spans="1:28" ht="15.75" collapsed="1">
      <c r="A99" s="458"/>
      <c r="D99" s="1399"/>
      <c r="E99" s="1368"/>
      <c r="F99" s="1368"/>
      <c r="G99" s="1368"/>
      <c r="H99" s="1368"/>
      <c r="I99" s="1368"/>
      <c r="J99" s="1360"/>
      <c r="V99" s="470"/>
      <c r="W99" s="470"/>
      <c r="X99" s="458"/>
      <c r="Y99" s="458"/>
      <c r="Z99" s="471"/>
      <c r="AA99" s="472"/>
      <c r="AB99" s="472"/>
    </row>
    <row r="100" spans="1:28" ht="18.75">
      <c r="A100" s="458"/>
      <c r="B100" t="s">
        <v>1141</v>
      </c>
      <c r="C100" s="1402" t="str">
        <f>+E13</f>
        <v>SYE 23</v>
      </c>
      <c r="D100" s="1399"/>
      <c r="E100" s="1368"/>
      <c r="F100" s="1368"/>
      <c r="G100" s="1368"/>
      <c r="H100" s="1368"/>
      <c r="I100" s="1368"/>
      <c r="J100" s="1360"/>
      <c r="V100" s="470"/>
      <c r="W100" s="470"/>
      <c r="X100" s="458"/>
      <c r="Y100" s="458"/>
      <c r="Z100" s="471"/>
      <c r="AA100" s="472"/>
      <c r="AB100" s="472"/>
    </row>
    <row r="101" spans="1:28" ht="15.75">
      <c r="A101" s="458"/>
      <c r="D101" s="1399"/>
      <c r="E101" s="1368"/>
      <c r="F101" s="1368"/>
      <c r="G101" s="1368"/>
      <c r="H101" s="1368"/>
      <c r="I101" s="1368"/>
      <c r="J101" s="1360"/>
      <c r="V101" s="470"/>
      <c r="W101" s="470"/>
      <c r="X101" s="458"/>
      <c r="Y101" s="458"/>
      <c r="Z101" s="471"/>
      <c r="AA101" s="472"/>
      <c r="AB101" s="472"/>
    </row>
    <row r="102" spans="1:28" ht="15.75">
      <c r="A102" s="458"/>
      <c r="B102" s="1" t="s">
        <v>1132</v>
      </c>
      <c r="E102" s="1368"/>
      <c r="F102" s="1368"/>
      <c r="G102" s="1368"/>
      <c r="H102" s="1368"/>
      <c r="I102" s="1368"/>
      <c r="J102" s="1360"/>
      <c r="V102" s="470"/>
      <c r="W102" s="470"/>
      <c r="X102" s="458"/>
      <c r="Y102" s="458"/>
      <c r="Z102" s="471"/>
      <c r="AA102" s="472"/>
      <c r="AB102" s="472"/>
    </row>
    <row r="103" spans="1:28" ht="15.75">
      <c r="A103" s="458"/>
      <c r="C103" s="1391" t="s">
        <v>1134</v>
      </c>
      <c r="D103" s="1"/>
      <c r="E103" s="1395" t="s">
        <v>1142</v>
      </c>
      <c r="F103" s="1395"/>
      <c r="G103" s="1395"/>
      <c r="H103" s="1395"/>
      <c r="I103" s="1395"/>
      <c r="J103" s="1356" t="s">
        <v>123</v>
      </c>
      <c r="V103" s="470"/>
      <c r="W103" s="470"/>
      <c r="X103" s="458"/>
      <c r="Y103" s="458"/>
      <c r="Z103" s="471"/>
      <c r="AA103" s="472"/>
      <c r="AB103" s="472"/>
    </row>
    <row r="104" spans="1:28" ht="15.75">
      <c r="A104" s="458"/>
      <c r="B104" s="1235" t="s">
        <v>1136</v>
      </c>
      <c r="C104" s="1370" t="s">
        <v>1137</v>
      </c>
      <c r="D104" s="1370" t="s">
        <v>307</v>
      </c>
      <c r="E104" s="1396">
        <f>+J96</f>
        <v>500</v>
      </c>
      <c r="F104" s="1397" t="s">
        <v>1138</v>
      </c>
      <c r="G104" s="1395"/>
      <c r="H104" s="1395"/>
      <c r="I104" s="1395"/>
      <c r="J104" s="1359" t="s">
        <v>1135</v>
      </c>
      <c r="V104" s="470"/>
      <c r="W104" s="470"/>
      <c r="X104" s="458"/>
      <c r="Y104" s="458"/>
      <c r="Z104" s="471"/>
      <c r="AA104" s="472"/>
      <c r="AB104" s="472"/>
    </row>
    <row r="105" spans="1:28" ht="15.75">
      <c r="A105" s="458">
        <v>1</v>
      </c>
      <c r="B105" s="1244" t="str">
        <f t="shared" ref="B105:B110" si="22">$B30</f>
        <v xml:space="preserve">Carson City </v>
      </c>
      <c r="C105" s="1376"/>
      <c r="D105" s="1446">
        <f t="shared" ref="D105:D110" si="23">+E30</f>
        <v>7594</v>
      </c>
      <c r="E105" s="1381">
        <f t="shared" ref="E105:E111" si="24">IF($C105="y",$J$96*$D105,0)</f>
        <v>0</v>
      </c>
      <c r="F105" s="1381">
        <f t="shared" ref="F105:I111" si="25">IF($C105="y",F$96*F$98*$D105,0)</f>
        <v>0</v>
      </c>
      <c r="G105" s="1381">
        <f t="shared" si="25"/>
        <v>0</v>
      </c>
      <c r="H105" s="1381">
        <f t="shared" si="25"/>
        <v>0</v>
      </c>
      <c r="I105" s="1383">
        <f t="shared" si="25"/>
        <v>0</v>
      </c>
      <c r="J105" s="1424">
        <f t="shared" ref="J105:J112" si="26">SUM(E105:I105)</f>
        <v>0</v>
      </c>
      <c r="V105" s="470"/>
      <c r="W105" s="470"/>
      <c r="X105" s="458"/>
      <c r="Y105" s="458"/>
      <c r="Z105" s="471"/>
      <c r="AA105" s="472"/>
      <c r="AB105" s="472"/>
    </row>
    <row r="106" spans="1:28" ht="15.75">
      <c r="A106" s="458">
        <f>1+A105</f>
        <v>2</v>
      </c>
      <c r="B106" s="1442" t="str">
        <f t="shared" si="22"/>
        <v xml:space="preserve">Churchill </v>
      </c>
      <c r="C106" s="1393"/>
      <c r="D106" s="1447">
        <f t="shared" si="23"/>
        <v>8197</v>
      </c>
      <c r="E106" s="1378">
        <f t="shared" si="24"/>
        <v>0</v>
      </c>
      <c r="F106" s="1378">
        <f t="shared" si="25"/>
        <v>0</v>
      </c>
      <c r="G106" s="1378">
        <f t="shared" si="25"/>
        <v>0</v>
      </c>
      <c r="H106" s="1378">
        <f t="shared" si="25"/>
        <v>0</v>
      </c>
      <c r="I106" s="1384">
        <f t="shared" si="25"/>
        <v>0</v>
      </c>
      <c r="J106" s="1387">
        <f t="shared" si="26"/>
        <v>0</v>
      </c>
      <c r="V106" s="470"/>
      <c r="W106" s="470"/>
      <c r="X106" s="458"/>
      <c r="Y106" s="458"/>
      <c r="Z106" s="471"/>
      <c r="AA106" s="472"/>
      <c r="AB106" s="472"/>
    </row>
    <row r="107" spans="1:28" ht="15.75">
      <c r="A107" s="458">
        <f t="shared" ref="A107:A109" si="27">1+A106</f>
        <v>3</v>
      </c>
      <c r="B107" s="1442" t="str">
        <f t="shared" si="22"/>
        <v xml:space="preserve">Clark </v>
      </c>
      <c r="C107" s="1393"/>
      <c r="D107" s="1447">
        <f t="shared" si="23"/>
        <v>9414</v>
      </c>
      <c r="E107" s="1378">
        <f t="shared" si="24"/>
        <v>0</v>
      </c>
      <c r="F107" s="1378">
        <f t="shared" si="25"/>
        <v>0</v>
      </c>
      <c r="G107" s="1378">
        <f t="shared" si="25"/>
        <v>0</v>
      </c>
      <c r="H107" s="1378">
        <f t="shared" si="25"/>
        <v>0</v>
      </c>
      <c r="I107" s="1384">
        <f t="shared" si="25"/>
        <v>0</v>
      </c>
      <c r="J107" s="1387">
        <f t="shared" si="26"/>
        <v>0</v>
      </c>
      <c r="V107" s="470"/>
      <c r="W107" s="470"/>
      <c r="X107" s="458"/>
      <c r="Y107" s="458"/>
      <c r="Z107" s="471"/>
      <c r="AA107" s="472"/>
      <c r="AB107" s="472"/>
    </row>
    <row r="108" spans="1:28" ht="15.75">
      <c r="A108" s="458">
        <f t="shared" si="27"/>
        <v>4</v>
      </c>
      <c r="B108" s="1442" t="str">
        <f t="shared" si="22"/>
        <v xml:space="preserve">Elko </v>
      </c>
      <c r="C108" s="1393"/>
      <c r="D108" s="1447">
        <f t="shared" si="23"/>
        <v>7818</v>
      </c>
      <c r="E108" s="1379">
        <f t="shared" si="24"/>
        <v>0</v>
      </c>
      <c r="F108" s="1379">
        <f t="shared" si="25"/>
        <v>0</v>
      </c>
      <c r="G108" s="1379">
        <f t="shared" si="25"/>
        <v>0</v>
      </c>
      <c r="H108" s="1379">
        <f t="shared" si="25"/>
        <v>0</v>
      </c>
      <c r="I108" s="1385">
        <f t="shared" si="25"/>
        <v>0</v>
      </c>
      <c r="J108" s="1387">
        <f t="shared" si="26"/>
        <v>0</v>
      </c>
      <c r="V108" s="470"/>
      <c r="W108" s="470"/>
      <c r="X108" s="458"/>
      <c r="Y108" s="458"/>
      <c r="Z108" s="471"/>
      <c r="AA108" s="472"/>
      <c r="AB108" s="472"/>
    </row>
    <row r="109" spans="1:28" ht="15.75">
      <c r="A109" s="458">
        <f t="shared" si="27"/>
        <v>5</v>
      </c>
      <c r="B109" s="1442" t="str">
        <f t="shared" si="22"/>
        <v xml:space="preserve">Washoe </v>
      </c>
      <c r="C109" s="1393"/>
      <c r="D109" s="1447">
        <f t="shared" si="23"/>
        <v>7074</v>
      </c>
      <c r="E109" s="1379">
        <f t="shared" si="24"/>
        <v>0</v>
      </c>
      <c r="F109" s="1379">
        <f t="shared" si="25"/>
        <v>0</v>
      </c>
      <c r="G109" s="1379">
        <f t="shared" si="25"/>
        <v>0</v>
      </c>
      <c r="H109" s="1379">
        <f t="shared" si="25"/>
        <v>0</v>
      </c>
      <c r="I109" s="1385">
        <f t="shared" si="25"/>
        <v>0</v>
      </c>
      <c r="J109" s="1387">
        <f t="shared" si="26"/>
        <v>0</v>
      </c>
      <c r="V109" s="470"/>
      <c r="W109" s="470"/>
      <c r="X109" s="458"/>
      <c r="Y109" s="458"/>
      <c r="Z109" s="471"/>
      <c r="AA109" s="472"/>
      <c r="AB109" s="472"/>
    </row>
    <row r="110" spans="1:28" ht="15.75">
      <c r="A110" s="458">
        <f>1+A109</f>
        <v>6</v>
      </c>
      <c r="B110" s="1244" t="str">
        <f t="shared" si="22"/>
        <v xml:space="preserve">White Pine </v>
      </c>
      <c r="C110" s="1376"/>
      <c r="D110" s="1446">
        <f t="shared" si="23"/>
        <v>10501</v>
      </c>
      <c r="E110" s="1382">
        <f t="shared" si="24"/>
        <v>0</v>
      </c>
      <c r="F110" s="1382">
        <f t="shared" si="25"/>
        <v>0</v>
      </c>
      <c r="G110" s="1382">
        <f t="shared" si="25"/>
        <v>0</v>
      </c>
      <c r="H110" s="1382">
        <f t="shared" si="25"/>
        <v>0</v>
      </c>
      <c r="I110" s="1386">
        <f t="shared" si="25"/>
        <v>0</v>
      </c>
      <c r="J110" s="1388">
        <f t="shared" si="26"/>
        <v>0</v>
      </c>
      <c r="V110" s="470"/>
      <c r="W110" s="470"/>
      <c r="X110" s="458"/>
      <c r="Y110" s="458"/>
      <c r="Z110" s="471"/>
      <c r="AA110" s="472"/>
      <c r="AB110" s="472"/>
    </row>
    <row r="111" spans="1:28" ht="15.75">
      <c r="A111" s="458"/>
      <c r="B111" s="1445" t="s">
        <v>276</v>
      </c>
      <c r="C111" s="1377" t="s">
        <v>1139</v>
      </c>
      <c r="D111" s="1448">
        <f>+E15</f>
        <v>7074</v>
      </c>
      <c r="E111" s="1380">
        <f t="shared" si="24"/>
        <v>3537000</v>
      </c>
      <c r="F111" s="1380">
        <f t="shared" si="25"/>
        <v>105048.90000000001</v>
      </c>
      <c r="G111" s="1380">
        <f t="shared" si="25"/>
        <v>16270.200000000003</v>
      </c>
      <c r="H111" s="1380">
        <f t="shared" si="25"/>
        <v>30559.68</v>
      </c>
      <c r="I111" s="1389">
        <f t="shared" si="25"/>
        <v>43292.88</v>
      </c>
      <c r="J111" s="1390">
        <f t="shared" si="26"/>
        <v>3732171.66</v>
      </c>
      <c r="K111" t="s">
        <v>1140</v>
      </c>
      <c r="V111" s="470"/>
      <c r="W111" s="470"/>
      <c r="X111" s="458"/>
      <c r="Y111" s="458"/>
      <c r="Z111" s="471"/>
      <c r="AA111" s="472"/>
      <c r="AB111" s="472"/>
    </row>
    <row r="112" spans="1:28" ht="15.75">
      <c r="A112" s="458"/>
      <c r="C112" s="1392" t="str">
        <f>IF(COUNTIF(C105:C111,"y")&gt;1,"Error: Select 1 area","ok")</f>
        <v>ok</v>
      </c>
      <c r="E112" s="1334">
        <f>SUM(E105:E111)</f>
        <v>3537000</v>
      </c>
      <c r="F112" s="1334">
        <f>SUM(F105:F111)</f>
        <v>105048.90000000001</v>
      </c>
      <c r="G112" s="1334">
        <f>SUM(G105:G111)</f>
        <v>16270.200000000003</v>
      </c>
      <c r="H112" s="1334">
        <f>SUM(H105:H111)</f>
        <v>30559.68</v>
      </c>
      <c r="I112" s="1334">
        <f>SUM(I105:I111)</f>
        <v>43292.88</v>
      </c>
      <c r="J112" s="1336">
        <f t="shared" si="26"/>
        <v>3732171.66</v>
      </c>
      <c r="V112" s="470"/>
      <c r="W112" s="470"/>
      <c r="X112" s="458"/>
      <c r="Y112" s="458"/>
      <c r="Z112" s="471"/>
      <c r="AA112" s="472"/>
      <c r="AB112" s="472"/>
    </row>
    <row r="113" spans="1:28" ht="15.75">
      <c r="A113" s="458"/>
      <c r="E113" s="1360"/>
      <c r="F113" s="1360"/>
      <c r="G113" s="1360"/>
      <c r="H113" s="1360"/>
      <c r="V113" s="470"/>
      <c r="W113" s="470"/>
      <c r="X113" s="458"/>
      <c r="Y113" s="458"/>
      <c r="Z113" s="471"/>
      <c r="AA113" s="472"/>
      <c r="AB113" s="472"/>
    </row>
    <row r="114" spans="1:28" ht="15.75">
      <c r="A114" s="458"/>
      <c r="E114" s="1360"/>
      <c r="F114" s="1360"/>
      <c r="G114" s="1360"/>
      <c r="H114" s="1360"/>
      <c r="V114" s="470"/>
      <c r="W114" s="470"/>
      <c r="X114" s="458"/>
      <c r="Y114" s="458"/>
      <c r="Z114" s="471"/>
      <c r="AA114" s="472"/>
      <c r="AB114" s="472"/>
    </row>
    <row r="115" spans="1:28" ht="15.75">
      <c r="A115" s="458"/>
      <c r="E115" s="1360"/>
      <c r="F115" s="1360"/>
      <c r="G115" s="1360"/>
      <c r="H115" s="1360"/>
      <c r="V115" s="470"/>
      <c r="W115" s="470"/>
      <c r="X115" s="458"/>
      <c r="Y115" s="458"/>
      <c r="Z115" s="471"/>
      <c r="AA115" s="472"/>
      <c r="AB115" s="472"/>
    </row>
    <row r="116" spans="1:28" ht="15.75">
      <c r="A116" s="458"/>
      <c r="D116" s="1358"/>
      <c r="E116" s="1357"/>
      <c r="F116" s="1363"/>
      <c r="G116" s="1358"/>
      <c r="H116" s="1357"/>
      <c r="V116" s="470"/>
      <c r="W116" s="470"/>
      <c r="X116" s="458"/>
      <c r="Y116" s="458"/>
      <c r="Z116" s="471"/>
      <c r="AA116" s="472"/>
      <c r="AB116" s="472"/>
    </row>
    <row r="117" spans="1:28" ht="15.75">
      <c r="A117" s="458"/>
      <c r="E117" s="5"/>
      <c r="G117" s="1"/>
      <c r="V117" s="470"/>
      <c r="W117" s="470"/>
      <c r="X117" s="458"/>
      <c r="Y117" s="458"/>
      <c r="Z117" s="471"/>
      <c r="AA117" s="472"/>
      <c r="AB117" s="472"/>
    </row>
    <row r="118" spans="1:28" ht="15.75">
      <c r="A118" s="458"/>
      <c r="E118" s="5"/>
      <c r="G118" s="1"/>
      <c r="V118" s="470"/>
      <c r="W118" s="470"/>
      <c r="X118" s="458"/>
      <c r="Y118" s="458"/>
      <c r="Z118" s="471"/>
      <c r="AA118" s="472"/>
      <c r="AB118" s="472"/>
    </row>
    <row r="119" spans="1:28" ht="15.75">
      <c r="A119" s="458"/>
      <c r="E119" s="5"/>
      <c r="G119" s="1"/>
      <c r="J119" s="469"/>
      <c r="V119" s="470"/>
      <c r="W119" s="470"/>
      <c r="X119" s="458"/>
      <c r="Y119" s="458"/>
      <c r="Z119" s="471"/>
      <c r="AA119" s="472"/>
      <c r="AB119" s="472"/>
    </row>
    <row r="120" spans="1:28" ht="15.75" hidden="1" outlineLevel="1">
      <c r="A120" s="458"/>
      <c r="B120" s="1324" t="s">
        <v>1143</v>
      </c>
      <c r="C120" s="1324"/>
      <c r="D120" s="1324"/>
      <c r="E120" s="1325"/>
      <c r="F120" s="1250"/>
      <c r="G120" s="1324"/>
      <c r="H120" s="1250"/>
      <c r="I120" s="1250"/>
      <c r="J120" s="1326"/>
      <c r="V120" s="470"/>
      <c r="W120" s="470"/>
      <c r="X120" s="458"/>
      <c r="Y120" s="458"/>
      <c r="Z120" s="471"/>
      <c r="AA120" s="472"/>
      <c r="AB120" s="472"/>
    </row>
    <row r="121" spans="1:28" ht="15.75" hidden="1" outlineLevel="1">
      <c r="A121" s="458"/>
      <c r="B121" s="1322" t="s">
        <v>1136</v>
      </c>
      <c r="C121" s="1322"/>
      <c r="D121" s="1322"/>
      <c r="E121" s="1247"/>
      <c r="F121" s="1247"/>
      <c r="G121" s="1322"/>
      <c r="H121" s="1247"/>
      <c r="I121" s="1247"/>
      <c r="J121" s="1323"/>
      <c r="V121" s="470"/>
      <c r="W121" s="470"/>
      <c r="X121" s="458"/>
      <c r="Y121" s="458"/>
      <c r="Z121" s="471"/>
      <c r="AA121" s="472"/>
      <c r="AB121" s="472"/>
    </row>
    <row r="122" spans="1:28" ht="15.75" hidden="1" outlineLevel="1">
      <c r="A122" s="458"/>
      <c r="B122" s="1235"/>
      <c r="C122" s="1235"/>
      <c r="D122" s="1235"/>
      <c r="E122" s="1235" t="s">
        <v>1144</v>
      </c>
      <c r="F122" s="504"/>
      <c r="G122" s="1235"/>
      <c r="H122" s="504"/>
      <c r="I122" s="504"/>
      <c r="J122" s="1318"/>
      <c r="V122" s="470"/>
      <c r="W122" s="470"/>
      <c r="X122" s="458"/>
      <c r="Y122" s="458"/>
      <c r="Z122" s="471"/>
      <c r="AA122" s="472"/>
      <c r="AB122" s="472"/>
    </row>
    <row r="123" spans="1:28" ht="15.75" hidden="1" outlineLevel="1">
      <c r="A123" s="458"/>
      <c r="B123" s="1238"/>
      <c r="C123" s="1238"/>
      <c r="D123" s="1238"/>
      <c r="E123" s="1238" t="s">
        <v>498</v>
      </c>
      <c r="F123" s="1238" t="s">
        <v>1127</v>
      </c>
      <c r="G123" s="1238" t="s">
        <v>1128</v>
      </c>
      <c r="H123" s="1238" t="s">
        <v>1117</v>
      </c>
      <c r="I123" s="1238" t="s">
        <v>1129</v>
      </c>
      <c r="J123" s="1238" t="s">
        <v>123</v>
      </c>
      <c r="V123" s="470"/>
      <c r="W123" s="470"/>
      <c r="X123" s="458"/>
      <c r="Y123" s="458"/>
      <c r="Z123" s="471"/>
      <c r="AA123" s="472"/>
      <c r="AB123" s="472"/>
    </row>
    <row r="124" spans="1:28" ht="15.75" hidden="1" outlineLevel="1">
      <c r="A124" s="458">
        <v>1</v>
      </c>
      <c r="B124" t="str">
        <f>+B$30</f>
        <v xml:space="preserve">Carson City </v>
      </c>
      <c r="E124" s="1347">
        <v>10</v>
      </c>
      <c r="F124" s="1347">
        <v>4</v>
      </c>
      <c r="G124" s="1347">
        <v>5</v>
      </c>
      <c r="H124" s="1347">
        <v>5</v>
      </c>
      <c r="I124" s="1347">
        <v>1</v>
      </c>
      <c r="J124" s="1332">
        <f t="shared" ref="J124:J130" si="28">SUM(E124:I124)</f>
        <v>25</v>
      </c>
      <c r="V124" s="470"/>
      <c r="W124" s="470"/>
      <c r="X124" s="458"/>
      <c r="Y124" s="458"/>
      <c r="Z124" s="471"/>
      <c r="AA124" s="472"/>
      <c r="AB124" s="472"/>
    </row>
    <row r="125" spans="1:28" ht="15.75" hidden="1" outlineLevel="1">
      <c r="A125" s="458">
        <f>1+A124</f>
        <v>2</v>
      </c>
      <c r="B125" t="str">
        <f>+$B$31</f>
        <v xml:space="preserve">Churchill </v>
      </c>
      <c r="E125" s="1347">
        <v>10</v>
      </c>
      <c r="F125" s="1347">
        <v>4</v>
      </c>
      <c r="G125" s="1347">
        <v>5</v>
      </c>
      <c r="H125" s="1347">
        <v>5</v>
      </c>
      <c r="I125" s="1347">
        <v>1</v>
      </c>
      <c r="J125" s="1299">
        <f t="shared" si="28"/>
        <v>25</v>
      </c>
      <c r="V125" s="470"/>
      <c r="W125" s="470"/>
      <c r="X125" s="458"/>
      <c r="Y125" s="458"/>
      <c r="Z125" s="471"/>
      <c r="AA125" s="472"/>
      <c r="AB125" s="472"/>
    </row>
    <row r="126" spans="1:28" ht="15.75" hidden="1" outlineLevel="1">
      <c r="A126" s="458">
        <f t="shared" ref="A126:A129" si="29">1+A125</f>
        <v>3</v>
      </c>
      <c r="B126" t="str">
        <f>+$B$32</f>
        <v xml:space="preserve">Clark </v>
      </c>
      <c r="E126" s="1347">
        <v>10</v>
      </c>
      <c r="F126" s="1347">
        <v>4</v>
      </c>
      <c r="G126" s="1347">
        <v>5</v>
      </c>
      <c r="H126" s="1347">
        <v>5</v>
      </c>
      <c r="I126" s="1347">
        <v>1</v>
      </c>
      <c r="J126" s="1299">
        <f t="shared" si="28"/>
        <v>25</v>
      </c>
      <c r="V126" s="470"/>
      <c r="W126" s="470"/>
      <c r="X126" s="458"/>
      <c r="Y126" s="458"/>
      <c r="Z126" s="471"/>
      <c r="AA126" s="472"/>
      <c r="AB126" s="472"/>
    </row>
    <row r="127" spans="1:28" ht="15.75" hidden="1" outlineLevel="1">
      <c r="A127" s="458">
        <f t="shared" si="29"/>
        <v>4</v>
      </c>
      <c r="B127" t="str">
        <f>+$B$33</f>
        <v xml:space="preserve">Elko </v>
      </c>
      <c r="E127" s="1347">
        <v>10</v>
      </c>
      <c r="F127" s="1347">
        <v>4</v>
      </c>
      <c r="G127" s="1347">
        <v>5</v>
      </c>
      <c r="H127" s="1347">
        <v>5</v>
      </c>
      <c r="I127" s="1347">
        <v>1</v>
      </c>
      <c r="J127" s="1299">
        <f t="shared" si="28"/>
        <v>25</v>
      </c>
      <c r="V127" s="470"/>
      <c r="W127" s="470"/>
      <c r="X127" s="458"/>
      <c r="Y127" s="458"/>
      <c r="Z127" s="471"/>
      <c r="AA127" s="472"/>
      <c r="AB127" s="472"/>
    </row>
    <row r="128" spans="1:28" ht="15.75" hidden="1" outlineLevel="1">
      <c r="A128" s="458">
        <f t="shared" si="29"/>
        <v>5</v>
      </c>
      <c r="B128" t="str">
        <f>+$B$34</f>
        <v xml:space="preserve">Washoe </v>
      </c>
      <c r="E128" s="1348">
        <v>10</v>
      </c>
      <c r="F128" s="1348">
        <v>4</v>
      </c>
      <c r="G128" s="1348">
        <v>5</v>
      </c>
      <c r="H128" s="1348">
        <v>5</v>
      </c>
      <c r="I128" s="1348">
        <v>1</v>
      </c>
      <c r="J128" s="1299">
        <f t="shared" si="28"/>
        <v>25</v>
      </c>
      <c r="V128" s="470"/>
      <c r="W128" s="470"/>
      <c r="X128" s="458"/>
      <c r="Y128" s="458"/>
      <c r="Z128" s="471"/>
      <c r="AA128" s="472"/>
      <c r="AB128" s="472"/>
    </row>
    <row r="129" spans="1:28" ht="15.75" hidden="1" outlineLevel="1">
      <c r="A129" s="458">
        <f t="shared" si="29"/>
        <v>6</v>
      </c>
      <c r="B129" t="str">
        <f>+$B$35</f>
        <v xml:space="preserve">White Pine </v>
      </c>
      <c r="E129" s="1348">
        <v>10</v>
      </c>
      <c r="F129" s="1348">
        <v>4</v>
      </c>
      <c r="G129" s="1348">
        <v>5</v>
      </c>
      <c r="H129" s="1348">
        <v>5</v>
      </c>
      <c r="I129" s="1348">
        <v>1</v>
      </c>
      <c r="J129" s="1310">
        <f t="shared" si="28"/>
        <v>25</v>
      </c>
      <c r="V129" s="470"/>
      <c r="W129" s="470"/>
      <c r="X129" s="458"/>
      <c r="Y129" s="458"/>
      <c r="Z129" s="471"/>
      <c r="AA129" s="472"/>
      <c r="AB129" s="472"/>
    </row>
    <row r="130" spans="1:28" ht="15.75" hidden="1" outlineLevel="1">
      <c r="A130" s="458"/>
      <c r="B130" s="1311" t="s">
        <v>123</v>
      </c>
      <c r="C130" s="1311"/>
      <c r="D130" s="1311"/>
      <c r="E130" s="1316">
        <f>SUM(E124:E129)</f>
        <v>60</v>
      </c>
      <c r="F130" s="1316">
        <f>SUM(F124:F129)</f>
        <v>24</v>
      </c>
      <c r="G130" s="1316">
        <f t="shared" ref="G130:I130" si="30">SUM(G124:G129)</f>
        <v>30</v>
      </c>
      <c r="H130" s="1316">
        <f t="shared" si="30"/>
        <v>30</v>
      </c>
      <c r="I130" s="1316">
        <f t="shared" si="30"/>
        <v>6</v>
      </c>
      <c r="J130" s="1316">
        <f t="shared" si="28"/>
        <v>150</v>
      </c>
      <c r="P130" s="468"/>
      <c r="Q130" s="469"/>
      <c r="R130" s="469"/>
      <c r="S130" s="469"/>
      <c r="T130" s="470"/>
      <c r="U130" s="470"/>
      <c r="V130" s="470"/>
      <c r="W130" s="470"/>
      <c r="X130" s="458"/>
      <c r="Y130" s="458"/>
      <c r="Z130" s="471"/>
      <c r="AA130" s="472"/>
      <c r="AB130" s="472"/>
    </row>
    <row r="131" spans="1:28" ht="15.75" hidden="1" outlineLevel="1">
      <c r="A131" s="458"/>
      <c r="J131" s="1304"/>
      <c r="O131" s="467"/>
      <c r="P131" s="468"/>
      <c r="Q131" s="469"/>
      <c r="R131" s="469"/>
      <c r="S131" s="469"/>
      <c r="T131" s="470"/>
      <c r="U131" s="470"/>
      <c r="V131" s="470"/>
      <c r="W131" s="470"/>
      <c r="X131" s="458"/>
      <c r="Y131" s="458"/>
      <c r="Z131" s="471"/>
      <c r="AA131" s="472"/>
      <c r="AB131" s="472"/>
    </row>
    <row r="132" spans="1:28" ht="15.75" hidden="1" outlineLevel="1">
      <c r="A132" s="458"/>
      <c r="E132" s="1235" t="s">
        <v>1145</v>
      </c>
      <c r="F132" s="504"/>
      <c r="G132" s="1235"/>
      <c r="H132" s="1235"/>
      <c r="I132" s="1235"/>
      <c r="J132" s="504"/>
      <c r="O132" s="467"/>
      <c r="P132" s="468"/>
      <c r="Q132" s="469"/>
      <c r="R132" s="469"/>
      <c r="S132" s="469"/>
      <c r="T132" s="470"/>
      <c r="U132" s="470"/>
      <c r="V132" s="470"/>
      <c r="W132" s="470"/>
      <c r="X132" s="458"/>
      <c r="Y132" s="458"/>
      <c r="Z132" s="471"/>
      <c r="AA132" s="472"/>
      <c r="AB132" s="472"/>
    </row>
    <row r="133" spans="1:28" ht="15.75" hidden="1" outlineLevel="1">
      <c r="A133" s="458"/>
      <c r="E133" s="1238" t="s">
        <v>498</v>
      </c>
      <c r="F133" s="1238" t="s">
        <v>1127</v>
      </c>
      <c r="G133" s="1238" t="s">
        <v>1128</v>
      </c>
      <c r="H133" s="1238" t="s">
        <v>1117</v>
      </c>
      <c r="I133" s="1238" t="s">
        <v>1129</v>
      </c>
      <c r="J133" s="1300"/>
      <c r="O133" s="467"/>
      <c r="P133" s="468"/>
      <c r="Q133" s="469"/>
      <c r="R133" s="469"/>
      <c r="S133" s="469"/>
      <c r="T133" s="470"/>
      <c r="U133" s="470"/>
      <c r="V133" s="470"/>
      <c r="W133" s="470"/>
      <c r="X133" s="458"/>
      <c r="Y133" s="458"/>
      <c r="Z133" s="471"/>
      <c r="AA133" s="472"/>
      <c r="AB133" s="472"/>
    </row>
    <row r="134" spans="1:28" ht="15.75" hidden="1" outlineLevel="1">
      <c r="A134" s="458"/>
      <c r="B134" s="1238" t="s">
        <v>1146</v>
      </c>
      <c r="C134" s="1238"/>
      <c r="D134" s="1238"/>
      <c r="E134" s="1350">
        <v>0</v>
      </c>
      <c r="F134" s="1342">
        <f>+D39</f>
        <v>0.33</v>
      </c>
      <c r="G134" s="1342">
        <f>+D40</f>
        <v>0.24</v>
      </c>
      <c r="H134" s="1342">
        <f>+D41</f>
        <v>0.03</v>
      </c>
      <c r="I134" s="1342">
        <f>+D42</f>
        <v>0.12</v>
      </c>
      <c r="J134" s="1238" t="s">
        <v>123</v>
      </c>
      <c r="P134" s="468"/>
      <c r="Q134" s="469"/>
      <c r="R134" s="469"/>
      <c r="S134" s="469"/>
      <c r="T134" s="470"/>
      <c r="U134" s="470"/>
      <c r="V134" s="470"/>
      <c r="W134" s="470"/>
      <c r="X134" s="458"/>
      <c r="Y134" s="458"/>
      <c r="Z134" s="471"/>
      <c r="AA134" s="472"/>
      <c r="AB134" s="472"/>
    </row>
    <row r="135" spans="1:28" ht="15.75" hidden="1" outlineLevel="1">
      <c r="A135" s="458">
        <v>1</v>
      </c>
      <c r="B135" t="str">
        <f>+B$30</f>
        <v xml:space="preserve">Carson City </v>
      </c>
      <c r="E135" s="1302"/>
      <c r="F135" s="1303">
        <v>4</v>
      </c>
      <c r="G135" s="1303">
        <v>2</v>
      </c>
      <c r="H135" s="1303">
        <v>3</v>
      </c>
      <c r="I135" s="1303">
        <v>1</v>
      </c>
      <c r="J135" s="1332">
        <f t="shared" ref="J135:J141" si="31">SUM(E135:I135)</f>
        <v>10</v>
      </c>
      <c r="P135" s="468"/>
      <c r="Q135" s="469"/>
      <c r="R135" s="469"/>
      <c r="S135" s="469"/>
      <c r="T135" s="470"/>
      <c r="U135" s="470"/>
      <c r="V135" s="470"/>
      <c r="W135" s="470"/>
      <c r="X135" s="458"/>
      <c r="Y135" s="458"/>
      <c r="Z135" s="471"/>
      <c r="AA135" s="472"/>
      <c r="AB135" s="472"/>
    </row>
    <row r="136" spans="1:28" ht="15.75" hidden="1" outlineLevel="1">
      <c r="A136" s="458">
        <f>1+A135</f>
        <v>2</v>
      </c>
      <c r="B136" t="str">
        <f>+$B$31</f>
        <v xml:space="preserve">Churchill </v>
      </c>
      <c r="E136" s="1302"/>
      <c r="F136" s="1305">
        <v>4</v>
      </c>
      <c r="G136" s="1305">
        <v>2</v>
      </c>
      <c r="H136" s="1305">
        <v>3</v>
      </c>
      <c r="I136" s="1305">
        <v>1</v>
      </c>
      <c r="J136" s="1299">
        <f t="shared" si="31"/>
        <v>10</v>
      </c>
      <c r="P136" s="468"/>
      <c r="Q136" s="469"/>
      <c r="R136" s="469"/>
      <c r="S136" s="469"/>
      <c r="T136" s="470"/>
      <c r="U136" s="470"/>
      <c r="V136" s="470"/>
      <c r="W136" s="470"/>
      <c r="X136" s="458"/>
      <c r="Y136" s="458"/>
      <c r="Z136" s="471"/>
      <c r="AA136" s="472"/>
      <c r="AB136" s="472"/>
    </row>
    <row r="137" spans="1:28" ht="15.75" hidden="1" outlineLevel="1">
      <c r="A137" s="458">
        <f t="shared" ref="A137:A140" si="32">1+A136</f>
        <v>3</v>
      </c>
      <c r="B137" t="str">
        <f>+$B$32</f>
        <v xml:space="preserve">Clark </v>
      </c>
      <c r="E137" s="1302"/>
      <c r="F137" s="1305">
        <v>4</v>
      </c>
      <c r="G137" s="1305">
        <v>2</v>
      </c>
      <c r="H137" s="1305">
        <v>3</v>
      </c>
      <c r="I137" s="1305">
        <v>1</v>
      </c>
      <c r="J137" s="1299">
        <f t="shared" si="31"/>
        <v>10</v>
      </c>
      <c r="P137" s="468"/>
      <c r="Q137" s="469"/>
      <c r="R137" s="469"/>
      <c r="S137" s="469"/>
      <c r="T137" s="470"/>
      <c r="U137" s="470"/>
      <c r="V137" s="470"/>
      <c r="W137" s="470"/>
      <c r="X137" s="458"/>
      <c r="Y137" s="458"/>
      <c r="Z137" s="471"/>
      <c r="AA137" s="472"/>
      <c r="AB137" s="472"/>
    </row>
    <row r="138" spans="1:28" ht="15.75" hidden="1" outlineLevel="1">
      <c r="A138" s="458">
        <f t="shared" si="32"/>
        <v>4</v>
      </c>
      <c r="B138" t="str">
        <f>+$B$33</f>
        <v xml:space="preserve">Elko </v>
      </c>
      <c r="E138" s="1302"/>
      <c r="F138" s="1305">
        <v>4</v>
      </c>
      <c r="G138" s="1305">
        <v>2</v>
      </c>
      <c r="H138" s="1305">
        <v>3</v>
      </c>
      <c r="I138" s="1305">
        <v>1</v>
      </c>
      <c r="J138" s="1299">
        <f t="shared" si="31"/>
        <v>10</v>
      </c>
      <c r="P138" s="468"/>
      <c r="Q138" s="469"/>
      <c r="R138" s="469"/>
      <c r="S138" s="469"/>
      <c r="T138" s="470"/>
      <c r="U138" s="470"/>
      <c r="V138" s="470"/>
      <c r="W138" s="470"/>
      <c r="X138" s="458"/>
      <c r="Y138" s="458"/>
      <c r="Z138" s="471"/>
      <c r="AA138" s="472"/>
      <c r="AB138" s="472"/>
    </row>
    <row r="139" spans="1:28" ht="15.75" hidden="1" outlineLevel="1">
      <c r="A139" s="458">
        <f t="shared" si="32"/>
        <v>5</v>
      </c>
      <c r="B139" t="str">
        <f>+$B$34</f>
        <v xml:space="preserve">Washoe </v>
      </c>
      <c r="E139" s="1302"/>
      <c r="F139" s="1305">
        <v>4</v>
      </c>
      <c r="G139" s="1305">
        <v>2</v>
      </c>
      <c r="H139" s="1305">
        <v>3</v>
      </c>
      <c r="I139" s="1305">
        <v>1</v>
      </c>
      <c r="J139" s="1299">
        <f t="shared" si="31"/>
        <v>10</v>
      </c>
      <c r="P139" s="468"/>
      <c r="Q139" s="469"/>
      <c r="R139" s="469"/>
      <c r="S139" s="469"/>
      <c r="T139" s="470"/>
      <c r="U139" s="470"/>
      <c r="V139" s="470"/>
      <c r="W139" s="470"/>
      <c r="X139" s="458"/>
      <c r="Y139" s="458"/>
      <c r="Z139" s="471"/>
      <c r="AA139" s="472"/>
      <c r="AB139" s="472"/>
    </row>
    <row r="140" spans="1:28" ht="15.75" hidden="1" outlineLevel="1">
      <c r="A140" s="458">
        <f t="shared" si="32"/>
        <v>6</v>
      </c>
      <c r="B140" t="str">
        <f>+$B$35</f>
        <v xml:space="preserve">White Pine </v>
      </c>
      <c r="E140" s="1302"/>
      <c r="F140" s="1306">
        <v>4</v>
      </c>
      <c r="G140" s="1306">
        <v>2</v>
      </c>
      <c r="H140" s="1306">
        <v>3</v>
      </c>
      <c r="I140" s="1306">
        <v>1</v>
      </c>
      <c r="J140" s="1310">
        <f t="shared" si="31"/>
        <v>10</v>
      </c>
      <c r="P140" s="468"/>
      <c r="Q140" s="469"/>
      <c r="R140" s="469"/>
      <c r="S140" s="469"/>
      <c r="T140" s="470"/>
      <c r="U140" s="470"/>
      <c r="V140" s="470"/>
      <c r="W140" s="470"/>
      <c r="X140" s="458"/>
      <c r="Y140" s="458"/>
      <c r="Z140" s="471"/>
      <c r="AA140" s="472"/>
      <c r="AB140" s="472"/>
    </row>
    <row r="141" spans="1:28" ht="15.75" hidden="1" outlineLevel="1">
      <c r="A141" s="458"/>
      <c r="B141" s="1311" t="s">
        <v>123</v>
      </c>
      <c r="C141" s="1311"/>
      <c r="D141" s="1311"/>
      <c r="E141" s="1308"/>
      <c r="F141" s="1308">
        <f t="shared" ref="F141" si="33">SUM(F135:F140)</f>
        <v>24</v>
      </c>
      <c r="G141" s="1308">
        <f t="shared" ref="G141" si="34">SUM(G135:G140)</f>
        <v>12</v>
      </c>
      <c r="H141" s="1308">
        <f t="shared" ref="H141" si="35">SUM(H135:H140)</f>
        <v>18</v>
      </c>
      <c r="I141" s="1308">
        <f t="shared" ref="I141" si="36">SUM(I135:I140)</f>
        <v>6</v>
      </c>
      <c r="J141" s="1316">
        <f t="shared" si="31"/>
        <v>60</v>
      </c>
      <c r="O141" s="467"/>
      <c r="P141" s="468"/>
      <c r="Q141" s="469"/>
      <c r="R141" s="469"/>
      <c r="S141" s="469"/>
      <c r="T141" s="470"/>
      <c r="U141" s="470"/>
      <c r="V141" s="470"/>
      <c r="W141" s="470"/>
      <c r="X141" s="458"/>
      <c r="Y141" s="458"/>
      <c r="Z141" s="471"/>
      <c r="AA141" s="472"/>
      <c r="AB141" s="472"/>
    </row>
    <row r="142" spans="1:28" ht="15.75" hidden="1" outlineLevel="1">
      <c r="A142" s="458"/>
      <c r="O142" s="467"/>
      <c r="P142" s="468"/>
      <c r="Q142" s="469"/>
      <c r="R142" s="469"/>
      <c r="S142" s="469"/>
      <c r="T142" s="470"/>
      <c r="U142" s="470"/>
      <c r="V142" s="470"/>
      <c r="W142" s="470"/>
      <c r="X142" s="458"/>
      <c r="Y142" s="458"/>
      <c r="Z142" s="471"/>
      <c r="AA142" s="472"/>
      <c r="AB142" s="472"/>
    </row>
    <row r="143" spans="1:28" ht="15.75" hidden="1" outlineLevel="1">
      <c r="A143" s="458"/>
      <c r="E143" s="1" t="s">
        <v>1147</v>
      </c>
      <c r="F143" s="1"/>
      <c r="G143" s="504"/>
      <c r="H143" s="504"/>
      <c r="I143" s="504"/>
      <c r="O143" s="467"/>
      <c r="P143" s="468"/>
      <c r="Q143" s="469"/>
      <c r="R143" s="469"/>
      <c r="S143" s="469"/>
      <c r="T143" s="470"/>
      <c r="U143" s="470"/>
      <c r="V143" s="470"/>
      <c r="W143" s="470"/>
      <c r="X143" s="458"/>
      <c r="Y143" s="458"/>
      <c r="Z143" s="471"/>
      <c r="AA143" s="472"/>
      <c r="AB143" s="472"/>
    </row>
    <row r="144" spans="1:28" ht="15.75" hidden="1" outlineLevel="1">
      <c r="A144" s="458"/>
      <c r="E144" s="1312" t="s">
        <v>498</v>
      </c>
      <c r="F144" s="1312" t="s">
        <v>1127</v>
      </c>
      <c r="G144" s="1238" t="s">
        <v>1128</v>
      </c>
      <c r="H144" s="1238" t="s">
        <v>1117</v>
      </c>
      <c r="I144" s="1238" t="s">
        <v>1129</v>
      </c>
      <c r="J144" s="1312" t="s">
        <v>123</v>
      </c>
      <c r="K144" s="470"/>
      <c r="O144" s="467"/>
      <c r="P144" s="468"/>
      <c r="Q144" s="469"/>
      <c r="R144" s="469"/>
      <c r="S144" s="469"/>
      <c r="T144" s="470"/>
      <c r="U144" s="470"/>
      <c r="V144" s="470"/>
      <c r="W144" s="470"/>
      <c r="X144" s="458"/>
      <c r="Y144" s="458"/>
      <c r="Z144" s="471"/>
      <c r="AA144" s="472"/>
      <c r="AB144" s="472"/>
    </row>
    <row r="145" spans="1:28" ht="15.75" hidden="1" outlineLevel="1">
      <c r="A145" s="458">
        <v>1</v>
      </c>
      <c r="B145" t="str">
        <f>+B$30</f>
        <v xml:space="preserve">Carson City </v>
      </c>
      <c r="E145" s="1313">
        <f>+E124-E135</f>
        <v>10</v>
      </c>
      <c r="F145" s="1313">
        <f t="shared" ref="F145:I145" si="37">+F124-F135</f>
        <v>0</v>
      </c>
      <c r="G145" s="1313">
        <f t="shared" si="37"/>
        <v>3</v>
      </c>
      <c r="H145" s="1313">
        <f t="shared" si="37"/>
        <v>2</v>
      </c>
      <c r="I145" s="1313">
        <f t="shared" si="37"/>
        <v>0</v>
      </c>
      <c r="J145" s="1304">
        <f t="shared" ref="J145:J151" si="38">SUM(E145:I145)</f>
        <v>15</v>
      </c>
      <c r="O145" s="467"/>
      <c r="P145" s="468"/>
      <c r="Q145" s="469"/>
      <c r="R145" s="469"/>
      <c r="S145" s="469"/>
      <c r="T145" s="470"/>
      <c r="U145" s="470"/>
      <c r="V145" s="470"/>
      <c r="W145" s="470"/>
      <c r="X145" s="458"/>
      <c r="Y145" s="458"/>
      <c r="Z145" s="471"/>
      <c r="AA145" s="472"/>
      <c r="AB145" s="472"/>
    </row>
    <row r="146" spans="1:28" ht="15.75" hidden="1" outlineLevel="1">
      <c r="A146" s="458">
        <f>1+A145</f>
        <v>2</v>
      </c>
      <c r="B146" t="str">
        <f>+$B$31</f>
        <v xml:space="preserve">Churchill </v>
      </c>
      <c r="E146" s="1314">
        <f t="shared" ref="E146:I146" si="39">+E125-E136</f>
        <v>10</v>
      </c>
      <c r="F146" s="1314">
        <f t="shared" si="39"/>
        <v>0</v>
      </c>
      <c r="G146" s="1314">
        <f t="shared" si="39"/>
        <v>3</v>
      </c>
      <c r="H146" s="1314">
        <f t="shared" si="39"/>
        <v>2</v>
      </c>
      <c r="I146" s="1314">
        <f t="shared" si="39"/>
        <v>0</v>
      </c>
      <c r="J146" s="1304">
        <f t="shared" si="38"/>
        <v>15</v>
      </c>
      <c r="O146" s="467"/>
      <c r="P146" s="468"/>
      <c r="Q146" s="469"/>
      <c r="R146" s="469"/>
      <c r="S146" s="469"/>
      <c r="T146" s="470"/>
      <c r="U146" s="470"/>
      <c r="V146" s="470"/>
      <c r="W146" s="470"/>
      <c r="X146" s="458"/>
      <c r="Y146" s="458"/>
      <c r="Z146" s="471"/>
      <c r="AA146" s="472"/>
      <c r="AB146" s="472"/>
    </row>
    <row r="147" spans="1:28" ht="15.75" hidden="1" outlineLevel="1">
      <c r="A147" s="458">
        <f t="shared" ref="A147:A150" si="40">1+A146</f>
        <v>3</v>
      </c>
      <c r="B147" t="str">
        <f>+$B$32</f>
        <v xml:space="preserve">Clark </v>
      </c>
      <c r="E147" s="1314">
        <f t="shared" ref="E147:I147" si="41">+E126-E137</f>
        <v>10</v>
      </c>
      <c r="F147" s="1314">
        <f t="shared" si="41"/>
        <v>0</v>
      </c>
      <c r="G147" s="1314">
        <f t="shared" si="41"/>
        <v>3</v>
      </c>
      <c r="H147" s="1314">
        <f t="shared" si="41"/>
        <v>2</v>
      </c>
      <c r="I147" s="1314">
        <f t="shared" si="41"/>
        <v>0</v>
      </c>
      <c r="J147" s="1304">
        <f t="shared" si="38"/>
        <v>15</v>
      </c>
      <c r="O147" s="467"/>
      <c r="P147" s="468"/>
      <c r="Q147" s="469"/>
      <c r="R147" s="469"/>
      <c r="S147" s="469"/>
      <c r="T147" s="470"/>
      <c r="U147" s="470"/>
      <c r="V147" s="470"/>
      <c r="W147" s="470"/>
      <c r="X147" s="458"/>
      <c r="Y147" s="458"/>
      <c r="Z147" s="471"/>
      <c r="AA147" s="472"/>
      <c r="AB147" s="472"/>
    </row>
    <row r="148" spans="1:28" ht="15.75" hidden="1" outlineLevel="1">
      <c r="A148" s="458">
        <f t="shared" si="40"/>
        <v>4</v>
      </c>
      <c r="B148" t="str">
        <f>+$B$33</f>
        <v xml:space="preserve">Elko </v>
      </c>
      <c r="E148" s="1314">
        <f t="shared" ref="E148:I148" si="42">+E127-E138</f>
        <v>10</v>
      </c>
      <c r="F148" s="1314">
        <f t="shared" si="42"/>
        <v>0</v>
      </c>
      <c r="G148" s="1314">
        <f t="shared" si="42"/>
        <v>3</v>
      </c>
      <c r="H148" s="1314">
        <f t="shared" si="42"/>
        <v>2</v>
      </c>
      <c r="I148" s="1314">
        <f t="shared" si="42"/>
        <v>0</v>
      </c>
      <c r="J148" s="1304">
        <f t="shared" si="38"/>
        <v>15</v>
      </c>
      <c r="O148" s="467"/>
      <c r="P148" s="468"/>
      <c r="Q148" s="469"/>
      <c r="R148" s="469"/>
      <c r="S148" s="469"/>
      <c r="T148" s="470"/>
      <c r="U148" s="470"/>
      <c r="V148" s="470"/>
      <c r="W148" s="470"/>
      <c r="X148" s="458"/>
      <c r="Y148" s="458"/>
      <c r="Z148" s="471"/>
      <c r="AA148" s="472"/>
      <c r="AB148" s="472"/>
    </row>
    <row r="149" spans="1:28" ht="15.75" hidden="1" outlineLevel="1">
      <c r="A149" s="458">
        <f t="shared" si="40"/>
        <v>5</v>
      </c>
      <c r="B149" t="str">
        <f>+$B$34</f>
        <v xml:space="preserve">Washoe </v>
      </c>
      <c r="E149" s="1314">
        <f t="shared" ref="E149:I149" si="43">+E128-E139</f>
        <v>10</v>
      </c>
      <c r="F149" s="1314">
        <f t="shared" si="43"/>
        <v>0</v>
      </c>
      <c r="G149" s="1314">
        <f t="shared" si="43"/>
        <v>3</v>
      </c>
      <c r="H149" s="1314">
        <f t="shared" si="43"/>
        <v>2</v>
      </c>
      <c r="I149" s="1314">
        <f t="shared" si="43"/>
        <v>0</v>
      </c>
      <c r="J149" s="1304">
        <f t="shared" si="38"/>
        <v>15</v>
      </c>
      <c r="O149" s="467"/>
      <c r="P149" s="468"/>
      <c r="Q149" s="469"/>
      <c r="R149" s="469"/>
      <c r="S149" s="469"/>
      <c r="T149" s="470"/>
      <c r="U149" s="470"/>
      <c r="V149" s="470"/>
      <c r="W149" s="470"/>
      <c r="X149" s="458"/>
      <c r="Y149" s="458"/>
      <c r="Z149" s="471"/>
      <c r="AA149" s="472"/>
      <c r="AB149" s="472"/>
    </row>
    <row r="150" spans="1:28" ht="15.75" hidden="1" outlineLevel="1">
      <c r="A150" s="458">
        <f t="shared" si="40"/>
        <v>6</v>
      </c>
      <c r="B150" t="str">
        <f>+$B$35</f>
        <v xml:space="preserve">White Pine </v>
      </c>
      <c r="E150" s="1315">
        <f t="shared" ref="E150:I150" si="44">+E129-E140</f>
        <v>10</v>
      </c>
      <c r="F150" s="1315">
        <f t="shared" si="44"/>
        <v>0</v>
      </c>
      <c r="G150" s="1315">
        <f t="shared" si="44"/>
        <v>3</v>
      </c>
      <c r="H150" s="1315">
        <f t="shared" si="44"/>
        <v>2</v>
      </c>
      <c r="I150" s="1315">
        <f t="shared" si="44"/>
        <v>0</v>
      </c>
      <c r="J150" s="1304">
        <f t="shared" si="38"/>
        <v>15</v>
      </c>
      <c r="O150" s="467"/>
      <c r="P150" s="468"/>
      <c r="Q150" s="469"/>
      <c r="R150" s="469"/>
      <c r="S150" s="469"/>
      <c r="T150" s="470"/>
      <c r="U150" s="470"/>
      <c r="V150" s="470"/>
      <c r="W150" s="470"/>
      <c r="X150" s="458"/>
      <c r="Y150" s="458"/>
      <c r="Z150" s="471"/>
      <c r="AA150" s="472"/>
      <c r="AB150" s="472"/>
    </row>
    <row r="151" spans="1:28" ht="15.75" hidden="1" outlineLevel="1">
      <c r="A151" s="458"/>
      <c r="B151" s="1311" t="s">
        <v>123</v>
      </c>
      <c r="C151" s="1311"/>
      <c r="D151" s="1311"/>
      <c r="E151" s="1308">
        <f>SUM(E145:E150)</f>
        <v>60</v>
      </c>
      <c r="F151" s="1308">
        <f t="shared" ref="F151:I151" si="45">SUM(F145:F150)</f>
        <v>0</v>
      </c>
      <c r="G151" s="1308">
        <f t="shared" si="45"/>
        <v>18</v>
      </c>
      <c r="H151" s="1308">
        <f t="shared" si="45"/>
        <v>12</v>
      </c>
      <c r="I151" s="1308">
        <f t="shared" si="45"/>
        <v>0</v>
      </c>
      <c r="J151" s="1308">
        <f t="shared" si="38"/>
        <v>90</v>
      </c>
      <c r="O151" s="467"/>
      <c r="P151" s="468"/>
      <c r="Q151" s="469"/>
      <c r="R151" s="469"/>
      <c r="S151" s="469"/>
      <c r="T151" s="470"/>
      <c r="U151" s="470"/>
      <c r="V151" s="470"/>
      <c r="W151" s="470"/>
      <c r="X151" s="458"/>
      <c r="Y151" s="458"/>
      <c r="Z151" s="471"/>
      <c r="AA151" s="472"/>
      <c r="AB151" s="472"/>
    </row>
    <row r="152" spans="1:28" ht="15.75" hidden="1" outlineLevel="1">
      <c r="A152" s="458"/>
      <c r="O152" s="467"/>
      <c r="P152" s="468"/>
      <c r="Q152" s="469"/>
      <c r="R152" s="469"/>
      <c r="S152" s="469"/>
      <c r="T152" s="470"/>
      <c r="U152" s="470"/>
      <c r="V152" s="470"/>
      <c r="W152" s="470"/>
      <c r="X152" s="458"/>
      <c r="Y152" s="458"/>
      <c r="Z152" s="471"/>
      <c r="AA152" s="472"/>
      <c r="AB152" s="472"/>
    </row>
    <row r="153" spans="1:28" ht="15.75" hidden="1" outlineLevel="1">
      <c r="A153" s="458"/>
      <c r="B153" s="1311" t="s">
        <v>1148</v>
      </c>
      <c r="C153" s="1311"/>
      <c r="D153" s="1311"/>
      <c r="E153" s="1308">
        <f>+E141+E151</f>
        <v>60</v>
      </c>
      <c r="F153" s="1308">
        <f t="shared" ref="F153:I153" si="46">+F141+F151</f>
        <v>24</v>
      </c>
      <c r="G153" s="1308">
        <f t="shared" si="46"/>
        <v>30</v>
      </c>
      <c r="H153" s="1308">
        <f t="shared" si="46"/>
        <v>30</v>
      </c>
      <c r="I153" s="1308">
        <f t="shared" si="46"/>
        <v>6</v>
      </c>
      <c r="J153" s="1308">
        <f>SUM(E153:I153)</f>
        <v>150</v>
      </c>
      <c r="O153" s="467"/>
      <c r="P153" s="468"/>
      <c r="Q153" s="469"/>
      <c r="R153" s="469"/>
      <c r="S153" s="469"/>
      <c r="T153" s="470"/>
      <c r="U153" s="470"/>
      <c r="V153" s="470"/>
      <c r="W153" s="470"/>
      <c r="X153" s="458"/>
      <c r="Y153" s="458"/>
      <c r="Z153" s="471"/>
      <c r="AA153" s="472"/>
      <c r="AB153" s="472"/>
    </row>
    <row r="154" spans="1:28" ht="15.75" hidden="1" outlineLevel="1">
      <c r="A154" s="458"/>
      <c r="O154" s="467"/>
      <c r="P154" s="468"/>
      <c r="Q154" s="469"/>
      <c r="R154" s="469"/>
      <c r="S154" s="469"/>
      <c r="T154" s="470"/>
      <c r="U154" s="470"/>
      <c r="V154" s="470"/>
      <c r="W154" s="470"/>
      <c r="X154" s="458"/>
      <c r="Y154" s="458"/>
      <c r="Z154" s="471"/>
      <c r="AA154" s="472"/>
      <c r="AB154" s="472"/>
    </row>
    <row r="155" spans="1:28" ht="15.75" hidden="1" outlineLevel="1">
      <c r="A155" s="458"/>
      <c r="B155" s="1324" t="s">
        <v>1143</v>
      </c>
      <c r="C155" s="1324"/>
      <c r="D155" s="1324"/>
      <c r="E155" s="1325"/>
      <c r="F155" s="1250"/>
      <c r="G155" s="1324"/>
      <c r="H155" s="1250"/>
      <c r="I155" s="1250"/>
      <c r="J155" s="1326"/>
      <c r="O155" s="467"/>
      <c r="P155" s="468"/>
      <c r="Q155" s="469"/>
      <c r="R155" s="469"/>
      <c r="S155" s="469"/>
      <c r="T155" s="470"/>
      <c r="U155" s="470"/>
      <c r="V155" s="470"/>
      <c r="W155" s="470"/>
      <c r="X155" s="458"/>
      <c r="Y155" s="458"/>
      <c r="Z155" s="471"/>
      <c r="AA155" s="472"/>
      <c r="AB155" s="472"/>
    </row>
    <row r="156" spans="1:28" ht="15.75" hidden="1" outlineLevel="1">
      <c r="A156" s="458"/>
      <c r="B156" s="1322" t="s">
        <v>1149</v>
      </c>
      <c r="C156" s="1322"/>
      <c r="D156" s="1322"/>
      <c r="E156" s="1322"/>
      <c r="F156" s="1247"/>
      <c r="G156" s="1322"/>
      <c r="H156" s="1247"/>
      <c r="I156" s="1247"/>
      <c r="J156" s="1323"/>
      <c r="O156" s="467"/>
      <c r="P156" s="468"/>
      <c r="Q156" s="469"/>
      <c r="R156" s="469"/>
      <c r="S156" s="469"/>
      <c r="T156" s="470"/>
      <c r="U156" s="470"/>
      <c r="V156" s="470"/>
      <c r="W156" s="470"/>
      <c r="X156" s="458"/>
      <c r="Y156" s="458"/>
      <c r="Z156" s="471"/>
      <c r="AA156" s="472"/>
      <c r="AB156" s="472"/>
    </row>
    <row r="157" spans="1:28" ht="15.75" hidden="1" outlineLevel="2">
      <c r="A157" s="458"/>
      <c r="B157" s="1235"/>
      <c r="C157" s="1235"/>
      <c r="D157" s="1235"/>
      <c r="E157" s="1235" t="s">
        <v>1144</v>
      </c>
      <c r="F157" s="504"/>
      <c r="G157" s="1235"/>
      <c r="H157" s="504"/>
      <c r="I157" s="504"/>
      <c r="J157" s="1318"/>
      <c r="O157" s="467"/>
      <c r="P157" s="468"/>
      <c r="Q157" s="469"/>
      <c r="R157" s="469"/>
      <c r="S157" s="469"/>
      <c r="T157" s="470"/>
      <c r="U157" s="470"/>
      <c r="V157" s="470"/>
      <c r="W157" s="470"/>
      <c r="X157" s="458"/>
      <c r="Y157" s="458"/>
      <c r="Z157" s="471"/>
      <c r="AA157" s="472"/>
      <c r="AB157" s="472"/>
    </row>
    <row r="158" spans="1:28" ht="15.75" hidden="1" outlineLevel="2">
      <c r="A158" s="458"/>
      <c r="B158" s="1238"/>
      <c r="C158" s="1238"/>
      <c r="D158" s="1238"/>
      <c r="E158" s="1238" t="s">
        <v>498</v>
      </c>
      <c r="F158" s="1238" t="s">
        <v>1127</v>
      </c>
      <c r="G158" s="1238" t="s">
        <v>1128</v>
      </c>
      <c r="H158" s="1238" t="s">
        <v>1117</v>
      </c>
      <c r="I158" s="1238" t="s">
        <v>1129</v>
      </c>
      <c r="J158" s="1238" t="s">
        <v>123</v>
      </c>
      <c r="O158" s="467"/>
      <c r="P158" s="468"/>
      <c r="Q158" s="469"/>
      <c r="R158" s="469"/>
      <c r="S158" s="469"/>
      <c r="T158" s="470"/>
      <c r="U158" s="470"/>
      <c r="V158" s="470"/>
      <c r="W158" s="470"/>
      <c r="X158" s="458"/>
      <c r="Y158" s="458"/>
      <c r="Z158" s="471"/>
      <c r="AA158" s="472"/>
      <c r="AB158" s="472"/>
    </row>
    <row r="159" spans="1:28" ht="15.75" hidden="1" outlineLevel="2">
      <c r="A159" s="458">
        <v>1</v>
      </c>
      <c r="B159" t="str">
        <f>+B$30</f>
        <v xml:space="preserve">Carson City </v>
      </c>
      <c r="E159" s="1298">
        <v>100</v>
      </c>
      <c r="F159" s="1298">
        <v>40</v>
      </c>
      <c r="G159" s="1298">
        <v>50</v>
      </c>
      <c r="H159" s="1298">
        <v>50</v>
      </c>
      <c r="I159" s="1298">
        <v>2</v>
      </c>
      <c r="J159" s="1317">
        <f t="shared" ref="J159:J165" si="47">SUM(E159:I159)</f>
        <v>242</v>
      </c>
      <c r="O159" s="467"/>
      <c r="P159" s="468"/>
      <c r="Q159" s="469"/>
      <c r="R159" s="469"/>
      <c r="S159" s="469"/>
      <c r="T159" s="470"/>
      <c r="U159" s="470"/>
      <c r="V159" s="470"/>
      <c r="W159" s="470"/>
      <c r="X159" s="458"/>
      <c r="Y159" s="458"/>
      <c r="Z159" s="471"/>
      <c r="AA159" s="472"/>
      <c r="AB159" s="472"/>
    </row>
    <row r="160" spans="1:28" ht="15.75" hidden="1" outlineLevel="2">
      <c r="A160" s="458">
        <f>1+A159</f>
        <v>2</v>
      </c>
      <c r="B160" t="str">
        <f>+$B$31</f>
        <v xml:space="preserve">Churchill </v>
      </c>
      <c r="E160" s="1298"/>
      <c r="F160" s="1298">
        <v>30</v>
      </c>
      <c r="G160" s="1298">
        <v>0</v>
      </c>
      <c r="H160" s="1298">
        <v>0</v>
      </c>
      <c r="I160" s="1298">
        <v>0</v>
      </c>
      <c r="J160" s="1299">
        <f t="shared" si="47"/>
        <v>30</v>
      </c>
      <c r="O160" s="467"/>
      <c r="P160" s="468"/>
      <c r="Q160" s="469"/>
      <c r="R160" s="469"/>
      <c r="S160" s="469"/>
      <c r="T160" s="470"/>
      <c r="U160" s="470"/>
      <c r="V160" s="470"/>
      <c r="W160" s="470"/>
      <c r="X160" s="458"/>
      <c r="Y160" s="458"/>
      <c r="Z160" s="471"/>
      <c r="AA160" s="472"/>
      <c r="AB160" s="472"/>
    </row>
    <row r="161" spans="1:28" ht="15.75" hidden="1" outlineLevel="2">
      <c r="A161" s="458">
        <f t="shared" ref="A161:A164" si="48">1+A160</f>
        <v>3</v>
      </c>
      <c r="B161" t="str">
        <f>+$B$32</f>
        <v xml:space="preserve">Clark </v>
      </c>
      <c r="E161" s="1298"/>
      <c r="F161" s="1298">
        <v>30</v>
      </c>
      <c r="G161" s="1298">
        <v>0</v>
      </c>
      <c r="H161" s="1298">
        <v>0</v>
      </c>
      <c r="I161" s="1298">
        <v>0</v>
      </c>
      <c r="J161" s="1299">
        <f t="shared" si="47"/>
        <v>30</v>
      </c>
      <c r="O161" s="467"/>
      <c r="P161" s="468"/>
      <c r="Q161" s="469"/>
      <c r="R161" s="469"/>
      <c r="S161" s="469"/>
      <c r="T161" s="470"/>
      <c r="U161" s="470"/>
      <c r="V161" s="470"/>
      <c r="W161" s="470"/>
      <c r="X161" s="458"/>
      <c r="Y161" s="458"/>
      <c r="Z161" s="471"/>
      <c r="AA161" s="472"/>
      <c r="AB161" s="472"/>
    </row>
    <row r="162" spans="1:28" ht="15.75" hidden="1" outlineLevel="2">
      <c r="A162" s="458">
        <f t="shared" si="48"/>
        <v>4</v>
      </c>
      <c r="B162" t="str">
        <f>+$B$33</f>
        <v xml:space="preserve">Elko </v>
      </c>
      <c r="E162" s="1298"/>
      <c r="F162" s="1298">
        <v>5</v>
      </c>
      <c r="G162" s="1298">
        <v>0</v>
      </c>
      <c r="H162" s="1298">
        <v>0</v>
      </c>
      <c r="I162" s="1298">
        <v>0</v>
      </c>
      <c r="J162" s="1299">
        <f t="shared" si="47"/>
        <v>5</v>
      </c>
      <c r="O162" s="467"/>
      <c r="P162" s="468"/>
      <c r="Q162" s="469"/>
      <c r="R162" s="469"/>
      <c r="S162" s="469"/>
      <c r="T162" s="470"/>
      <c r="U162" s="470"/>
      <c r="V162" s="470"/>
      <c r="W162" s="470"/>
      <c r="X162" s="458"/>
      <c r="Y162" s="458"/>
      <c r="Z162" s="471"/>
      <c r="AA162" s="472"/>
      <c r="AB162" s="472"/>
    </row>
    <row r="163" spans="1:28" ht="15.75" hidden="1" outlineLevel="2">
      <c r="A163" s="458">
        <f t="shared" si="48"/>
        <v>5</v>
      </c>
      <c r="B163" t="str">
        <f>+$B$34</f>
        <v xml:space="preserve">Washoe </v>
      </c>
      <c r="E163" s="1309"/>
      <c r="F163" s="1309">
        <v>10</v>
      </c>
      <c r="G163" s="1309">
        <v>0</v>
      </c>
      <c r="H163" s="1309">
        <v>0</v>
      </c>
      <c r="I163" s="1309">
        <v>0</v>
      </c>
      <c r="J163" s="1299">
        <f t="shared" si="47"/>
        <v>10</v>
      </c>
      <c r="O163" s="467"/>
      <c r="P163" s="468"/>
      <c r="Q163" s="469"/>
      <c r="R163" s="469"/>
      <c r="S163" s="469"/>
      <c r="T163" s="470"/>
      <c r="U163" s="470"/>
      <c r="V163" s="470"/>
      <c r="W163" s="470"/>
      <c r="X163" s="458"/>
      <c r="Y163" s="458"/>
      <c r="Z163" s="471"/>
      <c r="AA163" s="472"/>
      <c r="AB163" s="472"/>
    </row>
    <row r="164" spans="1:28" ht="15.75" hidden="1" outlineLevel="2">
      <c r="A164" s="458">
        <f t="shared" si="48"/>
        <v>6</v>
      </c>
      <c r="B164" t="str">
        <f>+$B$35</f>
        <v xml:space="preserve">White Pine </v>
      </c>
      <c r="E164" s="1309"/>
      <c r="F164" s="1309">
        <v>10</v>
      </c>
      <c r="G164" s="1309">
        <v>0</v>
      </c>
      <c r="H164" s="1309">
        <v>0</v>
      </c>
      <c r="I164" s="1309">
        <v>0</v>
      </c>
      <c r="J164" s="1310">
        <f t="shared" si="47"/>
        <v>10</v>
      </c>
      <c r="O164" s="467"/>
      <c r="P164" s="468"/>
      <c r="Q164" s="469"/>
      <c r="R164" s="469"/>
      <c r="S164" s="469"/>
      <c r="T164" s="470"/>
      <c r="U164" s="470"/>
      <c r="V164" s="470"/>
      <c r="W164" s="470"/>
      <c r="X164" s="458"/>
      <c r="Y164" s="458"/>
      <c r="Z164" s="471"/>
      <c r="AA164" s="472"/>
      <c r="AB164" s="472"/>
    </row>
    <row r="165" spans="1:28" ht="15.75" hidden="1" outlineLevel="2">
      <c r="A165" s="458"/>
      <c r="B165" s="1311" t="s">
        <v>123</v>
      </c>
      <c r="C165" s="1311"/>
      <c r="D165" s="1311"/>
      <c r="E165" s="1316">
        <f>SUM(E159:E164)</f>
        <v>100</v>
      </c>
      <c r="F165" s="1316">
        <f>SUM(F159:F164)</f>
        <v>125</v>
      </c>
      <c r="G165" s="1316">
        <f t="shared" ref="G165" si="49">SUM(G159:G164)</f>
        <v>50</v>
      </c>
      <c r="H165" s="1316">
        <f t="shared" ref="H165" si="50">SUM(H159:H164)</f>
        <v>50</v>
      </c>
      <c r="I165" s="1316">
        <f t="shared" ref="I165" si="51">SUM(I159:I164)</f>
        <v>2</v>
      </c>
      <c r="J165" s="1316">
        <f t="shared" si="47"/>
        <v>327</v>
      </c>
      <c r="O165" s="467"/>
      <c r="P165" s="468"/>
      <c r="Q165" s="469"/>
      <c r="R165" s="469"/>
      <c r="S165" s="469"/>
      <c r="T165" s="470"/>
      <c r="U165" s="470"/>
      <c r="V165" s="470"/>
      <c r="W165" s="470"/>
      <c r="X165" s="458"/>
      <c r="Y165" s="458"/>
      <c r="Z165" s="471"/>
      <c r="AA165" s="472"/>
      <c r="AB165" s="472"/>
    </row>
    <row r="166" spans="1:28" ht="15.75" hidden="1" outlineLevel="2">
      <c r="A166" s="458"/>
      <c r="J166" s="1304"/>
      <c r="O166" s="467"/>
      <c r="P166" s="468"/>
      <c r="Q166" s="469"/>
      <c r="R166" s="469"/>
      <c r="S166" s="469"/>
      <c r="T166" s="470"/>
      <c r="U166" s="470"/>
      <c r="V166" s="470"/>
      <c r="W166" s="470"/>
      <c r="X166" s="458"/>
      <c r="Y166" s="458"/>
      <c r="Z166" s="471"/>
      <c r="AA166" s="472"/>
      <c r="AB166" s="472"/>
    </row>
    <row r="167" spans="1:28" ht="15.75" hidden="1" outlineLevel="2">
      <c r="A167" s="458"/>
      <c r="E167" s="1235" t="s">
        <v>1150</v>
      </c>
      <c r="F167" s="504"/>
      <c r="G167" s="1235"/>
      <c r="H167" s="1235"/>
      <c r="I167" s="1235"/>
      <c r="J167" s="504"/>
      <c r="O167" s="467"/>
      <c r="P167" s="468"/>
      <c r="Q167" s="469"/>
      <c r="R167" s="469"/>
      <c r="S167" s="469"/>
      <c r="T167" s="470"/>
      <c r="U167" s="470"/>
      <c r="V167" s="470"/>
      <c r="W167" s="470"/>
      <c r="X167" s="458"/>
      <c r="Y167" s="458"/>
      <c r="Z167" s="471"/>
      <c r="AA167" s="472"/>
      <c r="AB167" s="472"/>
    </row>
    <row r="168" spans="1:28" ht="15.75" hidden="1" outlineLevel="2">
      <c r="A168" s="458"/>
      <c r="E168" s="1238" t="s">
        <v>498</v>
      </c>
      <c r="F168" s="1238" t="s">
        <v>1127</v>
      </c>
      <c r="G168" s="1238" t="s">
        <v>1128</v>
      </c>
      <c r="H168" s="1238" t="s">
        <v>1117</v>
      </c>
      <c r="I168" s="1238" t="s">
        <v>1129</v>
      </c>
      <c r="J168" s="1300"/>
      <c r="O168" s="467"/>
      <c r="P168" s="468"/>
      <c r="Q168" s="469"/>
      <c r="R168" s="469"/>
      <c r="S168" s="469"/>
      <c r="T168" s="470"/>
      <c r="U168" s="470"/>
      <c r="V168" s="470"/>
      <c r="W168" s="470"/>
      <c r="X168" s="458"/>
      <c r="Y168" s="458"/>
      <c r="Z168" s="471"/>
      <c r="AA168" s="472"/>
      <c r="AB168" s="472"/>
    </row>
    <row r="169" spans="1:28" ht="15.75" hidden="1" outlineLevel="2">
      <c r="A169" s="458"/>
      <c r="E169" s="1300"/>
      <c r="F169" s="1297">
        <f>+E145</f>
        <v>10</v>
      </c>
      <c r="G169" s="1297">
        <f>+E146</f>
        <v>10</v>
      </c>
      <c r="H169" s="1297">
        <f>+E147</f>
        <v>10</v>
      </c>
      <c r="I169" s="1297">
        <f>+E148</f>
        <v>10</v>
      </c>
      <c r="J169" s="1238" t="s">
        <v>123</v>
      </c>
      <c r="O169" s="467"/>
      <c r="P169" s="468"/>
      <c r="Q169" s="469"/>
      <c r="R169" s="469"/>
      <c r="S169" s="469"/>
      <c r="T169" s="470"/>
      <c r="U169" s="470"/>
      <c r="V169" s="470"/>
      <c r="W169" s="470"/>
      <c r="X169" s="458"/>
      <c r="Y169" s="458"/>
      <c r="Z169" s="471"/>
      <c r="AA169" s="472"/>
      <c r="AB169" s="472"/>
    </row>
    <row r="170" spans="1:28" ht="15.75" hidden="1" outlineLevel="2">
      <c r="A170" s="458">
        <v>1</v>
      </c>
      <c r="B170" t="str">
        <f>+B$30</f>
        <v xml:space="preserve">Carson City </v>
      </c>
      <c r="E170" s="1302"/>
      <c r="F170" s="1303">
        <v>20</v>
      </c>
      <c r="G170" s="1303">
        <v>20</v>
      </c>
      <c r="H170" s="1303">
        <v>30</v>
      </c>
      <c r="I170" s="1303">
        <v>1</v>
      </c>
      <c r="J170" s="1317">
        <f t="shared" ref="J170:J176" si="52">SUM(E170:I170)</f>
        <v>71</v>
      </c>
      <c r="O170" s="467"/>
      <c r="P170" s="468"/>
      <c r="Q170" s="469"/>
      <c r="R170" s="469"/>
      <c r="S170" s="469"/>
      <c r="T170" s="470"/>
      <c r="U170" s="470"/>
      <c r="V170" s="470"/>
      <c r="W170" s="470"/>
      <c r="X170" s="458"/>
      <c r="Y170" s="458"/>
      <c r="Z170" s="471"/>
      <c r="AA170" s="472"/>
      <c r="AB170" s="472"/>
    </row>
    <row r="171" spans="1:28" ht="15.75" hidden="1" outlineLevel="2">
      <c r="A171" s="458">
        <f>1+A170</f>
        <v>2</v>
      </c>
      <c r="B171" t="str">
        <f>+$B$31</f>
        <v xml:space="preserve">Churchill </v>
      </c>
      <c r="E171" s="1302"/>
      <c r="F171" s="1305">
        <v>0</v>
      </c>
      <c r="G171" s="1305"/>
      <c r="H171" s="1305"/>
      <c r="I171" s="1305"/>
      <c r="J171" s="1299">
        <f t="shared" si="52"/>
        <v>0</v>
      </c>
      <c r="O171" s="467"/>
      <c r="P171" s="468"/>
      <c r="Q171" s="469"/>
      <c r="R171" s="469"/>
      <c r="S171" s="469"/>
      <c r="T171" s="470"/>
      <c r="U171" s="470"/>
      <c r="V171" s="470"/>
      <c r="W171" s="470"/>
      <c r="X171" s="458"/>
      <c r="Y171" s="458"/>
      <c r="Z171" s="471"/>
      <c r="AA171" s="472"/>
      <c r="AB171" s="472"/>
    </row>
    <row r="172" spans="1:28" ht="15.75" hidden="1" outlineLevel="2">
      <c r="A172" s="458">
        <f t="shared" ref="A172:A175" si="53">1+A171</f>
        <v>3</v>
      </c>
      <c r="B172" t="str">
        <f>+$B$32</f>
        <v xml:space="preserve">Clark </v>
      </c>
      <c r="E172" s="1302"/>
      <c r="F172" s="1305">
        <v>30</v>
      </c>
      <c r="G172" s="1305"/>
      <c r="H172" s="1305"/>
      <c r="I172" s="1305"/>
      <c r="J172" s="1299">
        <f t="shared" si="52"/>
        <v>30</v>
      </c>
      <c r="O172" s="467"/>
      <c r="P172" s="468"/>
      <c r="Q172" s="469"/>
      <c r="R172" s="469"/>
      <c r="S172" s="469"/>
      <c r="T172" s="470"/>
      <c r="U172" s="470"/>
      <c r="V172" s="470"/>
      <c r="W172" s="470"/>
      <c r="X172" s="458"/>
      <c r="Y172" s="458"/>
      <c r="Z172" s="471"/>
      <c r="AA172" s="472"/>
      <c r="AB172" s="472"/>
    </row>
    <row r="173" spans="1:28" ht="15.75" hidden="1" outlineLevel="2">
      <c r="A173" s="458">
        <f t="shared" si="53"/>
        <v>4</v>
      </c>
      <c r="B173" t="str">
        <f>+$B$33</f>
        <v xml:space="preserve">Elko </v>
      </c>
      <c r="E173" s="1302"/>
      <c r="F173" s="1305">
        <v>5</v>
      </c>
      <c r="G173" s="1305"/>
      <c r="H173" s="1305"/>
      <c r="I173" s="1305"/>
      <c r="J173" s="1299">
        <f t="shared" si="52"/>
        <v>5</v>
      </c>
      <c r="O173" s="467"/>
      <c r="P173" s="468"/>
      <c r="Q173" s="469"/>
      <c r="R173" s="469"/>
      <c r="S173" s="469"/>
      <c r="T173" s="470"/>
      <c r="U173" s="470"/>
      <c r="V173" s="470"/>
      <c r="W173" s="470"/>
      <c r="X173" s="458"/>
      <c r="Y173" s="458"/>
      <c r="Z173" s="471"/>
      <c r="AA173" s="472"/>
      <c r="AB173" s="472"/>
    </row>
    <row r="174" spans="1:28" ht="15.75" hidden="1" outlineLevel="2">
      <c r="A174" s="458">
        <f t="shared" si="53"/>
        <v>5</v>
      </c>
      <c r="B174" t="str">
        <f>+$B$34</f>
        <v xml:space="preserve">Washoe </v>
      </c>
      <c r="E174" s="1302"/>
      <c r="F174" s="1305">
        <v>10</v>
      </c>
      <c r="G174" s="1305"/>
      <c r="H174" s="1305"/>
      <c r="I174" s="1305"/>
      <c r="J174" s="1299">
        <f t="shared" si="52"/>
        <v>10</v>
      </c>
      <c r="O174" s="467"/>
      <c r="P174" s="468"/>
      <c r="Q174" s="469"/>
      <c r="R174" s="469"/>
      <c r="S174" s="469"/>
      <c r="T174" s="470"/>
      <c r="U174" s="470"/>
      <c r="V174" s="470"/>
      <c r="W174" s="470"/>
      <c r="X174" s="458"/>
      <c r="Y174" s="458"/>
      <c r="Z174" s="471"/>
      <c r="AA174" s="472"/>
      <c r="AB174" s="472"/>
    </row>
    <row r="175" spans="1:28" ht="15.75" hidden="1" outlineLevel="2">
      <c r="A175" s="458">
        <f t="shared" si="53"/>
        <v>6</v>
      </c>
      <c r="B175" t="str">
        <f>+$B$35</f>
        <v xml:space="preserve">White Pine </v>
      </c>
      <c r="E175" s="1302"/>
      <c r="F175" s="1306">
        <v>0</v>
      </c>
      <c r="G175" s="1306"/>
      <c r="H175" s="1306"/>
      <c r="I175" s="1306"/>
      <c r="J175" s="1310">
        <f t="shared" si="52"/>
        <v>0</v>
      </c>
      <c r="O175" s="467"/>
      <c r="P175" s="468"/>
      <c r="Q175" s="469"/>
      <c r="R175" s="469"/>
      <c r="S175" s="469"/>
      <c r="T175" s="470"/>
      <c r="U175" s="470"/>
      <c r="V175" s="470"/>
      <c r="W175" s="470"/>
      <c r="X175" s="458"/>
      <c r="Y175" s="458"/>
      <c r="Z175" s="471"/>
      <c r="AA175" s="472"/>
      <c r="AB175" s="472"/>
    </row>
    <row r="176" spans="1:28" ht="15.75" hidden="1" outlineLevel="2">
      <c r="A176" s="458"/>
      <c r="B176" s="1311" t="s">
        <v>123</v>
      </c>
      <c r="C176" s="1311"/>
      <c r="D176" s="1311"/>
      <c r="E176" s="1307"/>
      <c r="F176" s="1308">
        <f t="shared" ref="F176" si="54">SUM(F170:F175)</f>
        <v>65</v>
      </c>
      <c r="G176" s="1308">
        <f t="shared" ref="G176" si="55">SUM(G170:G175)</f>
        <v>20</v>
      </c>
      <c r="H176" s="1308">
        <f t="shared" ref="H176" si="56">SUM(H170:H175)</f>
        <v>30</v>
      </c>
      <c r="I176" s="1308">
        <f t="shared" ref="I176" si="57">SUM(I170:I175)</f>
        <v>1</v>
      </c>
      <c r="J176" s="1316">
        <f t="shared" si="52"/>
        <v>116</v>
      </c>
      <c r="O176" s="467"/>
      <c r="P176" s="468"/>
      <c r="Q176" s="469"/>
      <c r="R176" s="469"/>
      <c r="S176" s="469"/>
      <c r="T176" s="470"/>
      <c r="U176" s="470"/>
      <c r="V176" s="470"/>
      <c r="W176" s="470"/>
      <c r="X176" s="458"/>
      <c r="Y176" s="458"/>
      <c r="Z176" s="471"/>
      <c r="AA176" s="472"/>
      <c r="AB176" s="472"/>
    </row>
    <row r="177" spans="1:28" ht="15.75" hidden="1" outlineLevel="2">
      <c r="A177" s="458"/>
      <c r="O177" s="467"/>
      <c r="P177" s="468"/>
      <c r="Q177" s="469"/>
      <c r="R177" s="469"/>
      <c r="S177" s="469"/>
      <c r="T177" s="470"/>
      <c r="U177" s="470"/>
      <c r="V177" s="470"/>
      <c r="W177" s="470"/>
      <c r="X177" s="458"/>
      <c r="Y177" s="458"/>
      <c r="Z177" s="471"/>
      <c r="AA177" s="472"/>
      <c r="AB177" s="472"/>
    </row>
    <row r="178" spans="1:28" ht="15.75" hidden="1" outlineLevel="2">
      <c r="A178" s="458"/>
      <c r="E178" s="1235"/>
      <c r="F178" s="1" t="s">
        <v>1147</v>
      </c>
      <c r="G178" s="504"/>
      <c r="H178" s="504"/>
      <c r="I178" s="504"/>
      <c r="O178" s="467"/>
      <c r="P178" s="468"/>
      <c r="Q178" s="469"/>
      <c r="R178" s="469"/>
      <c r="S178" s="469"/>
      <c r="T178" s="470"/>
      <c r="U178" s="470"/>
      <c r="V178" s="470"/>
      <c r="W178" s="470"/>
      <c r="X178" s="458"/>
      <c r="Y178" s="458"/>
      <c r="Z178" s="471"/>
      <c r="AA178" s="472"/>
      <c r="AB178" s="472"/>
    </row>
    <row r="179" spans="1:28" ht="15.75" hidden="1" outlineLevel="2">
      <c r="A179" s="458"/>
      <c r="E179" s="1238" t="s">
        <v>498</v>
      </c>
      <c r="F179" s="1312" t="s">
        <v>1127</v>
      </c>
      <c r="G179" s="1238" t="s">
        <v>1128</v>
      </c>
      <c r="H179" s="1238" t="s">
        <v>1117</v>
      </c>
      <c r="I179" s="1238" t="s">
        <v>1129</v>
      </c>
      <c r="O179" s="467"/>
      <c r="P179" s="468"/>
      <c r="Q179" s="469"/>
      <c r="R179" s="469"/>
      <c r="S179" s="469"/>
      <c r="T179" s="470"/>
      <c r="U179" s="470"/>
      <c r="V179" s="470"/>
      <c r="W179" s="470"/>
      <c r="X179" s="458"/>
      <c r="Y179" s="458"/>
      <c r="Z179" s="471"/>
      <c r="AA179" s="472"/>
      <c r="AB179" s="472"/>
    </row>
    <row r="180" spans="1:28" ht="15.75" hidden="1" outlineLevel="2">
      <c r="A180" s="458">
        <v>1</v>
      </c>
      <c r="B180" t="str">
        <f>+B$30</f>
        <v xml:space="preserve">Carson City </v>
      </c>
      <c r="E180" s="1313">
        <f>+E159-E170</f>
        <v>100</v>
      </c>
      <c r="F180" s="1313">
        <f t="shared" ref="F180:I180" si="58">+F159-F170</f>
        <v>20</v>
      </c>
      <c r="G180" s="1313">
        <f t="shared" si="58"/>
        <v>30</v>
      </c>
      <c r="H180" s="1313">
        <f t="shared" si="58"/>
        <v>20</v>
      </c>
      <c r="I180" s="1313">
        <f t="shared" si="58"/>
        <v>1</v>
      </c>
      <c r="J180" s="1304">
        <f t="shared" ref="J180:J186" si="59">SUM(E180:I180)</f>
        <v>171</v>
      </c>
      <c r="O180" s="467"/>
      <c r="P180" s="468"/>
      <c r="Q180" s="469"/>
      <c r="R180" s="469"/>
      <c r="S180" s="469"/>
      <c r="T180" s="470"/>
      <c r="U180" s="470"/>
      <c r="V180" s="470"/>
      <c r="W180" s="470"/>
      <c r="X180" s="458"/>
      <c r="Y180" s="458"/>
      <c r="Z180" s="471"/>
      <c r="AA180" s="472"/>
      <c r="AB180" s="472"/>
    </row>
    <row r="181" spans="1:28" ht="15.75" hidden="1" outlineLevel="2">
      <c r="A181" s="458">
        <f>1+A180</f>
        <v>2</v>
      </c>
      <c r="B181" t="str">
        <f>+$B$31</f>
        <v xml:space="preserve">Churchill </v>
      </c>
      <c r="E181" s="1314">
        <f t="shared" ref="E181:I181" si="60">+E160-E171</f>
        <v>0</v>
      </c>
      <c r="F181" s="1314">
        <f t="shared" si="60"/>
        <v>30</v>
      </c>
      <c r="G181" s="1314">
        <f t="shared" si="60"/>
        <v>0</v>
      </c>
      <c r="H181" s="1314">
        <f t="shared" si="60"/>
        <v>0</v>
      </c>
      <c r="I181" s="1314">
        <f t="shared" si="60"/>
        <v>0</v>
      </c>
      <c r="J181" s="1304">
        <f t="shared" si="59"/>
        <v>30</v>
      </c>
      <c r="O181" s="467"/>
      <c r="P181" s="468"/>
      <c r="Q181" s="469"/>
      <c r="R181" s="469"/>
      <c r="S181" s="469"/>
      <c r="T181" s="470"/>
      <c r="U181" s="470"/>
      <c r="V181" s="470"/>
      <c r="W181" s="470"/>
      <c r="X181" s="458"/>
      <c r="Y181" s="458"/>
      <c r="Z181" s="471"/>
      <c r="AA181" s="472"/>
      <c r="AB181" s="472"/>
    </row>
    <row r="182" spans="1:28" ht="15.75" hidden="1" outlineLevel="2">
      <c r="A182" s="458">
        <f t="shared" ref="A182:A185" si="61">1+A181</f>
        <v>3</v>
      </c>
      <c r="B182" t="str">
        <f>+$B$32</f>
        <v xml:space="preserve">Clark </v>
      </c>
      <c r="E182" s="1314">
        <f t="shared" ref="E182:I182" si="62">+E161-E172</f>
        <v>0</v>
      </c>
      <c r="F182" s="1314">
        <f t="shared" si="62"/>
        <v>0</v>
      </c>
      <c r="G182" s="1314">
        <f t="shared" si="62"/>
        <v>0</v>
      </c>
      <c r="H182" s="1314">
        <f t="shared" si="62"/>
        <v>0</v>
      </c>
      <c r="I182" s="1314">
        <f t="shared" si="62"/>
        <v>0</v>
      </c>
      <c r="J182" s="1304">
        <f t="shared" si="59"/>
        <v>0</v>
      </c>
      <c r="O182" s="467"/>
      <c r="P182" s="468"/>
      <c r="Q182" s="469"/>
      <c r="R182" s="469"/>
      <c r="S182" s="469"/>
      <c r="T182" s="470"/>
      <c r="U182" s="470"/>
      <c r="V182" s="470"/>
      <c r="W182" s="470"/>
      <c r="X182" s="458"/>
      <c r="Y182" s="458"/>
      <c r="Z182" s="471"/>
      <c r="AA182" s="472"/>
      <c r="AB182" s="472"/>
    </row>
    <row r="183" spans="1:28" ht="15.75" hidden="1" outlineLevel="2">
      <c r="A183" s="458">
        <f t="shared" si="61"/>
        <v>4</v>
      </c>
      <c r="B183" t="str">
        <f>+$B$33</f>
        <v xml:space="preserve">Elko </v>
      </c>
      <c r="E183" s="1314">
        <f t="shared" ref="E183:I183" si="63">+E162-E173</f>
        <v>0</v>
      </c>
      <c r="F183" s="1314">
        <f t="shared" si="63"/>
        <v>0</v>
      </c>
      <c r="G183" s="1314">
        <f t="shared" si="63"/>
        <v>0</v>
      </c>
      <c r="H183" s="1314">
        <f t="shared" si="63"/>
        <v>0</v>
      </c>
      <c r="I183" s="1314">
        <f t="shared" si="63"/>
        <v>0</v>
      </c>
      <c r="J183" s="1304">
        <f t="shared" si="59"/>
        <v>0</v>
      </c>
      <c r="O183" s="467"/>
      <c r="P183" s="468"/>
      <c r="Q183" s="469"/>
      <c r="R183" s="469"/>
      <c r="S183" s="469"/>
      <c r="T183" s="470"/>
      <c r="U183" s="470"/>
      <c r="V183" s="470"/>
      <c r="W183" s="470"/>
      <c r="X183" s="458"/>
      <c r="Y183" s="458"/>
      <c r="Z183" s="471"/>
      <c r="AA183" s="472"/>
      <c r="AB183" s="472"/>
    </row>
    <row r="184" spans="1:28" ht="15.75" hidden="1" outlineLevel="2">
      <c r="A184" s="458">
        <f t="shared" si="61"/>
        <v>5</v>
      </c>
      <c r="B184" t="str">
        <f>+$B$34</f>
        <v xml:space="preserve">Washoe </v>
      </c>
      <c r="E184" s="1314">
        <f t="shared" ref="E184:I184" si="64">+E163-E174</f>
        <v>0</v>
      </c>
      <c r="F184" s="1314">
        <f t="shared" si="64"/>
        <v>0</v>
      </c>
      <c r="G184" s="1314">
        <f t="shared" si="64"/>
        <v>0</v>
      </c>
      <c r="H184" s="1314">
        <f t="shared" si="64"/>
        <v>0</v>
      </c>
      <c r="I184" s="1314">
        <f t="shared" si="64"/>
        <v>0</v>
      </c>
      <c r="J184" s="1304">
        <f t="shared" si="59"/>
        <v>0</v>
      </c>
      <c r="O184" s="467"/>
      <c r="P184" s="468"/>
      <c r="Q184" s="469"/>
      <c r="R184" s="469"/>
      <c r="S184" s="469"/>
      <c r="T184" s="470"/>
      <c r="U184" s="470"/>
      <c r="V184" s="470"/>
      <c r="W184" s="470"/>
      <c r="X184" s="458"/>
      <c r="Y184" s="458"/>
      <c r="Z184" s="471"/>
      <c r="AA184" s="472"/>
      <c r="AB184" s="472"/>
    </row>
    <row r="185" spans="1:28" ht="15.75" hidden="1" outlineLevel="2">
      <c r="A185" s="458">
        <f t="shared" si="61"/>
        <v>6</v>
      </c>
      <c r="B185" t="str">
        <f>+$B$35</f>
        <v xml:space="preserve">White Pine </v>
      </c>
      <c r="E185" s="1315">
        <f t="shared" ref="E185:I185" si="65">+E164-E175</f>
        <v>0</v>
      </c>
      <c r="F185" s="1315">
        <f t="shared" si="65"/>
        <v>10</v>
      </c>
      <c r="G185" s="1315">
        <f t="shared" si="65"/>
        <v>0</v>
      </c>
      <c r="H185" s="1315">
        <f t="shared" si="65"/>
        <v>0</v>
      </c>
      <c r="I185" s="1315">
        <f t="shared" si="65"/>
        <v>0</v>
      </c>
      <c r="J185" s="1304">
        <f t="shared" si="59"/>
        <v>10</v>
      </c>
      <c r="O185" s="467"/>
      <c r="P185" s="468"/>
      <c r="Q185" s="469"/>
      <c r="R185" s="469"/>
      <c r="S185" s="469"/>
      <c r="T185" s="470"/>
      <c r="U185" s="470"/>
      <c r="V185" s="470"/>
      <c r="W185" s="470"/>
      <c r="X185" s="458"/>
      <c r="Y185" s="458"/>
      <c r="Z185" s="471"/>
      <c r="AA185" s="472"/>
      <c r="AB185" s="472"/>
    </row>
    <row r="186" spans="1:28" ht="15.75" hidden="1" outlineLevel="2">
      <c r="A186" s="458"/>
      <c r="B186" s="1311" t="s">
        <v>123</v>
      </c>
      <c r="C186" s="1311"/>
      <c r="D186" s="1311"/>
      <c r="E186" s="1308">
        <f>SUM(E180:E185)</f>
        <v>100</v>
      </c>
      <c r="F186" s="1308">
        <f t="shared" ref="F186" si="66">SUM(F180:F185)</f>
        <v>60</v>
      </c>
      <c r="G186" s="1308">
        <f t="shared" ref="G186" si="67">SUM(G180:G185)</f>
        <v>30</v>
      </c>
      <c r="H186" s="1308">
        <f t="shared" ref="H186" si="68">SUM(H180:H185)</f>
        <v>20</v>
      </c>
      <c r="I186" s="1308">
        <f t="shared" ref="I186" si="69">SUM(I180:I185)</f>
        <v>1</v>
      </c>
      <c r="J186" s="1308">
        <f t="shared" si="59"/>
        <v>211</v>
      </c>
      <c r="O186" s="467"/>
      <c r="P186" s="468"/>
      <c r="Q186" s="469"/>
      <c r="R186" s="469"/>
      <c r="S186" s="469"/>
      <c r="T186" s="470"/>
      <c r="U186" s="470"/>
      <c r="V186" s="470"/>
      <c r="W186" s="470"/>
      <c r="X186" s="458"/>
      <c r="Y186" s="458"/>
      <c r="Z186" s="471"/>
      <c r="AA186" s="472"/>
      <c r="AB186" s="472"/>
    </row>
    <row r="187" spans="1:28" ht="15.75" hidden="1" outlineLevel="2">
      <c r="A187" s="458"/>
      <c r="O187" s="467"/>
      <c r="P187" s="468"/>
      <c r="Q187" s="469"/>
      <c r="R187" s="469"/>
      <c r="S187" s="469"/>
      <c r="T187" s="470"/>
      <c r="U187" s="470"/>
      <c r="V187" s="470"/>
      <c r="W187" s="470"/>
      <c r="X187" s="458"/>
      <c r="Y187" s="458"/>
      <c r="Z187" s="471"/>
      <c r="AA187" s="472"/>
      <c r="AB187" s="472"/>
    </row>
    <row r="188" spans="1:28" ht="15.75" hidden="1" outlineLevel="2">
      <c r="A188" s="458"/>
      <c r="B188" s="1311" t="s">
        <v>1148</v>
      </c>
      <c r="C188" s="1311"/>
      <c r="D188" s="1311"/>
      <c r="E188" s="1308">
        <f>+E176+E186</f>
        <v>100</v>
      </c>
      <c r="F188" s="1308">
        <f t="shared" ref="F188:I188" si="70">+F176+F186</f>
        <v>125</v>
      </c>
      <c r="G188" s="1308">
        <f t="shared" si="70"/>
        <v>50</v>
      </c>
      <c r="H188" s="1308">
        <f t="shared" si="70"/>
        <v>50</v>
      </c>
      <c r="I188" s="1308">
        <f t="shared" si="70"/>
        <v>2</v>
      </c>
      <c r="J188" s="1308">
        <f>SUM(E188:I188)</f>
        <v>327</v>
      </c>
      <c r="O188" s="467"/>
      <c r="P188" s="468"/>
      <c r="Q188" s="469"/>
      <c r="R188" s="469"/>
      <c r="S188" s="469"/>
      <c r="T188" s="470"/>
      <c r="U188" s="470"/>
      <c r="V188" s="470"/>
      <c r="W188" s="470"/>
      <c r="X188" s="458"/>
      <c r="Y188" s="458"/>
      <c r="Z188" s="471"/>
      <c r="AA188" s="472"/>
      <c r="AB188" s="472"/>
    </row>
    <row r="189" spans="1:28" ht="15.75" hidden="1" outlineLevel="1" collapsed="1">
      <c r="A189" s="458"/>
      <c r="O189" s="467"/>
      <c r="P189" s="468"/>
      <c r="Q189" s="469"/>
      <c r="R189" s="469"/>
      <c r="S189" s="469"/>
      <c r="T189" s="470"/>
      <c r="U189" s="470"/>
      <c r="V189" s="470"/>
      <c r="W189" s="470"/>
      <c r="X189" s="458"/>
      <c r="Y189" s="458"/>
      <c r="Z189" s="471"/>
      <c r="AA189" s="472"/>
      <c r="AB189" s="472"/>
    </row>
    <row r="190" spans="1:28" ht="15.75" hidden="1" outlineLevel="1">
      <c r="A190" s="458"/>
      <c r="B190" s="1327" t="s">
        <v>347</v>
      </c>
      <c r="C190" s="1327"/>
      <c r="D190" s="1327"/>
      <c r="E190" s="1328"/>
      <c r="F190" s="1328"/>
      <c r="G190" s="1328"/>
      <c r="H190" s="1328"/>
      <c r="I190" s="1328"/>
      <c r="J190" s="1328"/>
      <c r="O190" s="467"/>
      <c r="P190" s="468"/>
      <c r="Q190" s="469"/>
      <c r="R190" s="469"/>
      <c r="S190" s="469"/>
      <c r="T190" s="470"/>
      <c r="U190" s="470"/>
      <c r="V190" s="470"/>
      <c r="W190" s="470"/>
      <c r="X190" s="458"/>
      <c r="Y190" s="458"/>
      <c r="Z190" s="471"/>
      <c r="AA190" s="472"/>
      <c r="AB190" s="472"/>
    </row>
    <row r="191" spans="1:28" ht="15.75" hidden="1" outlineLevel="1">
      <c r="A191" s="458"/>
      <c r="B191" s="1322" t="s">
        <v>1136</v>
      </c>
      <c r="C191" s="1322"/>
      <c r="D191" s="1322"/>
      <c r="E191" s="1247"/>
      <c r="F191" s="1247"/>
      <c r="G191" s="1322"/>
      <c r="H191" s="1247"/>
      <c r="I191" s="1247"/>
      <c r="J191" s="1323"/>
      <c r="O191" s="467"/>
      <c r="P191" s="468"/>
      <c r="Q191" s="469"/>
      <c r="R191" s="469"/>
      <c r="S191" s="469"/>
      <c r="T191" s="470"/>
      <c r="U191" s="470"/>
      <c r="V191" s="470"/>
      <c r="W191" s="470"/>
      <c r="X191" s="458"/>
      <c r="Y191" s="458"/>
      <c r="Z191" s="471"/>
      <c r="AA191" s="472"/>
      <c r="AB191" s="472"/>
    </row>
    <row r="192" spans="1:28" ht="15.75" hidden="1" outlineLevel="1">
      <c r="A192" s="458"/>
      <c r="B192" s="1235"/>
      <c r="C192" s="1235"/>
      <c r="D192" s="1235"/>
      <c r="E192" s="1235" t="s">
        <v>1144</v>
      </c>
      <c r="F192" s="504"/>
      <c r="G192" s="1235"/>
      <c r="H192" s="504"/>
      <c r="I192" s="504"/>
      <c r="J192" s="1318"/>
      <c r="O192" s="467"/>
      <c r="P192" s="468"/>
      <c r="Q192" s="469"/>
      <c r="R192" s="469"/>
      <c r="S192" s="469"/>
      <c r="T192" s="470"/>
      <c r="U192" s="470"/>
      <c r="V192" s="470"/>
      <c r="W192" s="470"/>
      <c r="X192" s="458"/>
      <c r="Y192" s="458"/>
      <c r="Z192" s="471"/>
      <c r="AA192" s="472"/>
      <c r="AB192" s="472"/>
    </row>
    <row r="193" spans="1:28" ht="15.75" hidden="1" outlineLevel="1">
      <c r="A193" s="458"/>
      <c r="B193" s="1238"/>
      <c r="C193" s="1238"/>
      <c r="D193" s="1238"/>
      <c r="E193" s="1238" t="s">
        <v>498</v>
      </c>
      <c r="F193" s="1238" t="s">
        <v>1127</v>
      </c>
      <c r="G193" s="1238" t="s">
        <v>1128</v>
      </c>
      <c r="H193" s="1238" t="s">
        <v>1117</v>
      </c>
      <c r="I193" s="1238" t="s">
        <v>1129</v>
      </c>
      <c r="J193" s="1238" t="s">
        <v>123</v>
      </c>
      <c r="O193" s="467"/>
      <c r="P193" s="468"/>
      <c r="Q193" s="469"/>
      <c r="R193" s="469"/>
      <c r="S193" s="469"/>
      <c r="T193" s="470"/>
      <c r="U193" s="470"/>
      <c r="V193" s="470"/>
      <c r="W193" s="470"/>
      <c r="X193" s="458"/>
      <c r="Y193" s="458"/>
      <c r="Z193" s="471"/>
      <c r="AA193" s="472"/>
      <c r="AB193" s="472"/>
    </row>
    <row r="194" spans="1:28" ht="15.75" hidden="1" outlineLevel="1">
      <c r="A194" s="458">
        <v>1</v>
      </c>
      <c r="B194" t="str">
        <f>+B$30</f>
        <v xml:space="preserve">Carson City </v>
      </c>
      <c r="C194" s="604"/>
      <c r="D194" s="604">
        <f t="shared" ref="D194:D199" si="71">D30</f>
        <v>7494</v>
      </c>
      <c r="E194" s="1335">
        <f>+E207+E217</f>
        <v>74940</v>
      </c>
      <c r="F194" s="1335">
        <f t="shared" ref="F194:I194" si="72">+F207+F217</f>
        <v>39868.080000000002</v>
      </c>
      <c r="G194" s="1335">
        <f t="shared" si="72"/>
        <v>41067.120000000003</v>
      </c>
      <c r="H194" s="1335">
        <f t="shared" si="72"/>
        <v>38144.46</v>
      </c>
      <c r="I194" s="1335">
        <f t="shared" si="72"/>
        <v>8393.2800000000007</v>
      </c>
      <c r="J194" s="1333">
        <f t="shared" ref="J194:J201" si="73">SUM(E194:I194)</f>
        <v>202412.94</v>
      </c>
      <c r="O194" s="467"/>
      <c r="P194" s="468"/>
      <c r="Q194" s="469"/>
      <c r="R194" s="469"/>
      <c r="S194" s="469"/>
      <c r="T194" s="470"/>
      <c r="U194" s="470"/>
      <c r="V194" s="470"/>
      <c r="W194" s="470"/>
      <c r="X194" s="458"/>
      <c r="Y194" s="458"/>
      <c r="Z194" s="471"/>
      <c r="AA194" s="472"/>
      <c r="AB194" s="472"/>
    </row>
    <row r="195" spans="1:28" ht="15.75" hidden="1" outlineLevel="1">
      <c r="A195" s="458">
        <f>1+A194</f>
        <v>2</v>
      </c>
      <c r="B195" t="str">
        <f>+$B$31</f>
        <v xml:space="preserve">Churchill </v>
      </c>
      <c r="C195" s="5"/>
      <c r="D195" s="5">
        <f t="shared" si="71"/>
        <v>8093</v>
      </c>
      <c r="E195" s="1299">
        <f t="shared" ref="E195:I195" si="74">+E208+E218</f>
        <v>80930</v>
      </c>
      <c r="F195" s="1299">
        <f t="shared" si="74"/>
        <v>43054.76</v>
      </c>
      <c r="G195" s="1299">
        <f t="shared" si="74"/>
        <v>44349.64</v>
      </c>
      <c r="H195" s="1299">
        <f t="shared" si="74"/>
        <v>41193.370000000003</v>
      </c>
      <c r="I195" s="1299">
        <f t="shared" si="74"/>
        <v>9064.16</v>
      </c>
      <c r="J195" s="1299">
        <f t="shared" si="73"/>
        <v>218591.93000000002</v>
      </c>
      <c r="O195" s="467"/>
      <c r="P195" s="468"/>
      <c r="Q195" s="469"/>
      <c r="R195" s="469"/>
      <c r="S195" s="469"/>
      <c r="T195" s="470"/>
      <c r="U195" s="470"/>
      <c r="V195" s="470"/>
      <c r="W195" s="470"/>
      <c r="X195" s="458"/>
      <c r="Y195" s="458"/>
      <c r="Z195" s="471"/>
      <c r="AA195" s="472"/>
      <c r="AB195" s="472"/>
    </row>
    <row r="196" spans="1:28" ht="15.75" hidden="1" outlineLevel="1">
      <c r="A196" s="458">
        <f t="shared" ref="A196:A199" si="75">1+A195</f>
        <v>3</v>
      </c>
      <c r="B196" t="str">
        <f>+$B$32</f>
        <v xml:space="preserve">Clark </v>
      </c>
      <c r="C196" s="5"/>
      <c r="D196" s="5">
        <f t="shared" si="71"/>
        <v>7197</v>
      </c>
      <c r="E196" s="1299">
        <f t="shared" ref="E196:I196" si="76">+E209+E219</f>
        <v>71970</v>
      </c>
      <c r="F196" s="1299">
        <f t="shared" si="76"/>
        <v>38288.04</v>
      </c>
      <c r="G196" s="1299">
        <f t="shared" si="76"/>
        <v>39439.56</v>
      </c>
      <c r="H196" s="1299">
        <f t="shared" si="76"/>
        <v>36632.730000000003</v>
      </c>
      <c r="I196" s="1299">
        <f t="shared" si="76"/>
        <v>8060.64</v>
      </c>
      <c r="J196" s="1299">
        <f t="shared" si="73"/>
        <v>194390.97000000003</v>
      </c>
      <c r="O196" s="467"/>
      <c r="P196" s="468"/>
      <c r="Q196" s="469"/>
      <c r="R196" s="469"/>
      <c r="S196" s="469"/>
      <c r="T196" s="470"/>
      <c r="U196" s="470"/>
      <c r="V196" s="470"/>
      <c r="W196" s="470"/>
      <c r="X196" s="458"/>
      <c r="Y196" s="458"/>
      <c r="Z196" s="471"/>
      <c r="AA196" s="472"/>
      <c r="AB196" s="472"/>
    </row>
    <row r="197" spans="1:28" ht="15.75" hidden="1" outlineLevel="1">
      <c r="A197" s="458">
        <f t="shared" si="75"/>
        <v>4</v>
      </c>
      <c r="B197" t="str">
        <f>+$B$33</f>
        <v xml:space="preserve">Elko </v>
      </c>
      <c r="C197" s="5"/>
      <c r="D197" s="5">
        <f t="shared" si="71"/>
        <v>7715</v>
      </c>
      <c r="E197" s="1299">
        <f>+E210+E220</f>
        <v>77150</v>
      </c>
      <c r="F197" s="1299">
        <f t="shared" ref="F197:I197" si="77">+F210+F220</f>
        <v>41043.800000000003</v>
      </c>
      <c r="G197" s="1299">
        <f t="shared" si="77"/>
        <v>42278.2</v>
      </c>
      <c r="H197" s="1299">
        <f t="shared" si="77"/>
        <v>39269.35</v>
      </c>
      <c r="I197" s="1299">
        <f t="shared" si="77"/>
        <v>8640.7999999999993</v>
      </c>
      <c r="J197" s="1299">
        <f t="shared" si="73"/>
        <v>208382.15</v>
      </c>
      <c r="O197" s="467"/>
      <c r="P197" s="468"/>
      <c r="Q197" s="469"/>
      <c r="R197" s="469"/>
      <c r="S197" s="469"/>
      <c r="T197" s="470"/>
      <c r="U197" s="470"/>
      <c r="V197" s="470"/>
      <c r="W197" s="470"/>
      <c r="X197" s="458"/>
      <c r="Y197" s="458"/>
      <c r="Z197" s="471"/>
      <c r="AA197" s="472"/>
      <c r="AB197" s="472"/>
    </row>
    <row r="198" spans="1:28" ht="15.75" hidden="1" outlineLevel="1">
      <c r="A198" s="458">
        <f t="shared" si="75"/>
        <v>5</v>
      </c>
      <c r="B198" t="str">
        <f>+$B$34</f>
        <v xml:space="preserve">Washoe </v>
      </c>
      <c r="C198" s="5"/>
      <c r="D198" s="5">
        <f t="shared" si="71"/>
        <v>6980</v>
      </c>
      <c r="E198" s="1310">
        <f t="shared" ref="E198:I198" si="78">+E211+E221</f>
        <v>69800</v>
      </c>
      <c r="F198" s="1310">
        <f t="shared" si="78"/>
        <v>37133.599999999999</v>
      </c>
      <c r="G198" s="1310">
        <f t="shared" si="78"/>
        <v>38250.400000000001</v>
      </c>
      <c r="H198" s="1310">
        <f t="shared" si="78"/>
        <v>35528.199999999997</v>
      </c>
      <c r="I198" s="1310">
        <f t="shared" si="78"/>
        <v>7817.6</v>
      </c>
      <c r="J198" s="1299">
        <f t="shared" si="73"/>
        <v>188529.80000000002</v>
      </c>
      <c r="O198" s="467"/>
      <c r="P198" s="468"/>
      <c r="Q198" s="469"/>
      <c r="R198" s="469"/>
      <c r="S198" s="469"/>
      <c r="T198" s="470"/>
      <c r="U198" s="470"/>
      <c r="V198" s="470"/>
      <c r="W198" s="470"/>
      <c r="X198" s="458"/>
      <c r="Y198" s="458"/>
      <c r="Z198" s="471"/>
      <c r="AA198" s="472"/>
      <c r="AB198" s="472"/>
    </row>
    <row r="199" spans="1:28" ht="15.75" hidden="1" outlineLevel="1">
      <c r="A199" s="458">
        <f t="shared" si="75"/>
        <v>6</v>
      </c>
      <c r="B199" t="str">
        <f>+$B$35</f>
        <v xml:space="preserve">White Pine </v>
      </c>
      <c r="C199" s="5"/>
      <c r="D199" s="5">
        <f t="shared" si="71"/>
        <v>10367</v>
      </c>
      <c r="E199" s="1310">
        <f t="shared" ref="E199:I199" si="79">+E212+E222</f>
        <v>103670</v>
      </c>
      <c r="F199" s="1310">
        <f t="shared" si="79"/>
        <v>55152.44</v>
      </c>
      <c r="G199" s="1310">
        <f t="shared" si="79"/>
        <v>56811.16</v>
      </c>
      <c r="H199" s="1310">
        <f t="shared" si="79"/>
        <v>52768.03</v>
      </c>
      <c r="I199" s="1310">
        <f t="shared" si="79"/>
        <v>11611.04</v>
      </c>
      <c r="J199" s="1310">
        <f t="shared" si="73"/>
        <v>280012.67</v>
      </c>
      <c r="O199" s="467"/>
      <c r="P199" s="468"/>
      <c r="Q199" s="469"/>
      <c r="R199" s="469"/>
      <c r="S199" s="469"/>
      <c r="T199" s="470"/>
      <c r="U199" s="470"/>
      <c r="V199" s="470"/>
      <c r="W199" s="470"/>
      <c r="X199" s="458"/>
      <c r="Y199" s="458"/>
      <c r="Z199" s="471"/>
      <c r="AA199" s="472"/>
      <c r="AB199" s="472"/>
    </row>
    <row r="200" spans="1:28" ht="15.75" hidden="1" outlineLevel="1">
      <c r="A200" s="458"/>
      <c r="B200" s="1311" t="s">
        <v>422</v>
      </c>
      <c r="C200" s="1311"/>
      <c r="D200" s="1311"/>
      <c r="E200" s="1334">
        <f>SUM(E194:E199)</f>
        <v>478460</v>
      </c>
      <c r="F200" s="1334">
        <f>SUM(F194:F199)</f>
        <v>254540.72</v>
      </c>
      <c r="G200" s="1334">
        <f t="shared" ref="G200" si="80">SUM(G194:G199)</f>
        <v>262196.08</v>
      </c>
      <c r="H200" s="1334">
        <f t="shared" ref="H200" si="81">SUM(H194:H199)</f>
        <v>243536.13999999998</v>
      </c>
      <c r="I200" s="1334">
        <f t="shared" ref="I200" si="82">SUM(I194:I199)</f>
        <v>53587.520000000004</v>
      </c>
      <c r="J200" s="1336">
        <f t="shared" si="73"/>
        <v>1292320.46</v>
      </c>
      <c r="O200" s="467"/>
      <c r="P200" s="468"/>
      <c r="Q200" s="469"/>
      <c r="R200" s="469"/>
      <c r="S200" s="469"/>
      <c r="T200" s="470"/>
      <c r="U200" s="470"/>
      <c r="V200" s="470"/>
      <c r="W200" s="470"/>
      <c r="X200" s="458"/>
      <c r="Y200" s="458"/>
      <c r="Z200" s="471"/>
      <c r="AA200" s="472"/>
      <c r="AB200" s="472"/>
    </row>
    <row r="201" spans="1:28" ht="15.75" hidden="1" outlineLevel="1">
      <c r="A201" s="458"/>
      <c r="B201" s="1" t="s">
        <v>421</v>
      </c>
      <c r="E201" s="1304">
        <f>+E130</f>
        <v>60</v>
      </c>
      <c r="F201" s="1304">
        <f t="shared" ref="F201:I201" si="83">+F130</f>
        <v>24</v>
      </c>
      <c r="G201" s="1304">
        <f t="shared" si="83"/>
        <v>30</v>
      </c>
      <c r="H201" s="1304">
        <f t="shared" si="83"/>
        <v>30</v>
      </c>
      <c r="I201" s="1304">
        <f t="shared" si="83"/>
        <v>6</v>
      </c>
      <c r="J201" s="1304">
        <f t="shared" si="73"/>
        <v>150</v>
      </c>
      <c r="O201" s="467"/>
      <c r="P201" s="468"/>
      <c r="Q201" s="469"/>
      <c r="R201" s="469"/>
      <c r="S201" s="469"/>
      <c r="T201" s="470"/>
      <c r="U201" s="470"/>
      <c r="V201" s="470"/>
      <c r="W201" s="470"/>
      <c r="X201" s="458"/>
      <c r="Y201" s="458"/>
      <c r="Z201" s="471"/>
      <c r="AA201" s="472"/>
      <c r="AB201" s="472"/>
    </row>
    <row r="202" spans="1:28" ht="15.75" hidden="1" outlineLevel="1">
      <c r="A202" s="458"/>
      <c r="B202" s="1311" t="s">
        <v>1151</v>
      </c>
      <c r="C202" s="1321"/>
      <c r="D202" s="1321"/>
      <c r="E202" s="1338">
        <f t="shared" ref="E202:I202" si="84">+E200/E201</f>
        <v>7974.333333333333</v>
      </c>
      <c r="F202" s="1338">
        <f t="shared" si="84"/>
        <v>10605.863333333333</v>
      </c>
      <c r="G202" s="1338">
        <f t="shared" si="84"/>
        <v>8739.869333333334</v>
      </c>
      <c r="H202" s="1338">
        <f t="shared" si="84"/>
        <v>8117.8713333333326</v>
      </c>
      <c r="I202" s="1338">
        <f t="shared" si="84"/>
        <v>8931.253333333334</v>
      </c>
      <c r="J202" s="1338">
        <f>+J200/J201</f>
        <v>8615.4697333333334</v>
      </c>
      <c r="O202" s="467"/>
      <c r="P202" s="468"/>
      <c r="Q202" s="469"/>
      <c r="R202" s="469"/>
      <c r="S202" s="469"/>
      <c r="T202" s="470"/>
      <c r="U202" s="470"/>
      <c r="V202" s="470"/>
      <c r="W202" s="470"/>
      <c r="X202" s="458"/>
      <c r="Y202" s="458"/>
      <c r="Z202" s="471"/>
      <c r="AA202" s="472"/>
      <c r="AB202" s="472"/>
    </row>
    <row r="203" spans="1:28" ht="15.75" hidden="1" outlineLevel="1">
      <c r="A203" s="458"/>
      <c r="B203" s="1"/>
      <c r="J203" s="1304"/>
      <c r="O203" s="467"/>
      <c r="P203" s="468"/>
      <c r="Q203" s="469"/>
      <c r="R203" s="469"/>
      <c r="S203" s="469"/>
      <c r="T203" s="470"/>
      <c r="U203" s="470"/>
      <c r="V203" s="470"/>
      <c r="W203" s="470"/>
      <c r="X203" s="458"/>
      <c r="Y203" s="458"/>
      <c r="Z203" s="471"/>
      <c r="AA203" s="472"/>
      <c r="AB203" s="472"/>
    </row>
    <row r="204" spans="1:28" ht="15.75" hidden="1" outlineLevel="1">
      <c r="A204" s="458"/>
      <c r="E204" s="1235" t="s">
        <v>1152</v>
      </c>
      <c r="F204" s="504"/>
      <c r="G204" s="1235"/>
      <c r="H204" s="1235"/>
      <c r="I204" s="1235"/>
      <c r="J204" s="504"/>
      <c r="O204" s="467"/>
      <c r="P204" s="468"/>
      <c r="Q204" s="469"/>
      <c r="R204" s="469"/>
      <c r="S204" s="469"/>
      <c r="T204" s="470"/>
      <c r="U204" s="470"/>
      <c r="V204" s="470"/>
      <c r="W204" s="470"/>
      <c r="X204" s="458"/>
      <c r="Y204" s="458"/>
      <c r="Z204" s="471"/>
      <c r="AA204" s="472"/>
      <c r="AB204" s="472"/>
    </row>
    <row r="205" spans="1:28" ht="15.75" hidden="1" outlineLevel="1">
      <c r="A205" s="458"/>
      <c r="E205" s="1238" t="s">
        <v>498</v>
      </c>
      <c r="F205" s="1238" t="s">
        <v>1127</v>
      </c>
      <c r="G205" s="1238" t="s">
        <v>1128</v>
      </c>
      <c r="H205" s="1238" t="s">
        <v>1117</v>
      </c>
      <c r="I205" s="1238" t="s">
        <v>1129</v>
      </c>
      <c r="J205" s="1300"/>
      <c r="O205" s="467"/>
      <c r="P205" s="468"/>
      <c r="Q205" s="469"/>
      <c r="R205" s="469"/>
      <c r="S205" s="469"/>
      <c r="T205" s="470"/>
      <c r="U205" s="470"/>
      <c r="V205" s="470"/>
      <c r="W205" s="470"/>
      <c r="X205" s="458"/>
      <c r="Y205" s="458"/>
      <c r="Z205" s="471"/>
      <c r="AA205" s="472"/>
      <c r="AB205" s="472"/>
    </row>
    <row r="206" spans="1:28" ht="15.75" hidden="1" outlineLevel="1">
      <c r="A206" s="458"/>
      <c r="B206" s="1238" t="s">
        <v>1146</v>
      </c>
      <c r="C206" s="1238"/>
      <c r="D206" s="1238"/>
      <c r="E206" s="1344">
        <v>0</v>
      </c>
      <c r="F206" s="1343">
        <f>+F134</f>
        <v>0.33</v>
      </c>
      <c r="G206" s="1343">
        <f t="shared" ref="G206:I206" si="85">+G134</f>
        <v>0.24</v>
      </c>
      <c r="H206" s="1343">
        <f t="shared" si="85"/>
        <v>0.03</v>
      </c>
      <c r="I206" s="1343">
        <f t="shared" si="85"/>
        <v>0.12</v>
      </c>
      <c r="J206" s="1238" t="s">
        <v>123</v>
      </c>
      <c r="O206" s="467"/>
      <c r="P206" s="468"/>
      <c r="Q206" s="469"/>
      <c r="R206" s="469"/>
      <c r="S206" s="469"/>
      <c r="T206" s="470"/>
      <c r="U206" s="470"/>
      <c r="V206" s="470"/>
      <c r="W206" s="470"/>
      <c r="X206" s="458"/>
      <c r="Y206" s="458"/>
      <c r="Z206" s="471"/>
      <c r="AA206" s="472"/>
      <c r="AB206" s="472"/>
    </row>
    <row r="207" spans="1:28" ht="15.75" hidden="1" outlineLevel="1">
      <c r="A207" s="458">
        <v>1</v>
      </c>
      <c r="B207" t="str">
        <f>+B$30</f>
        <v xml:space="preserve">Carson City </v>
      </c>
      <c r="C207" s="604"/>
      <c r="D207" s="604">
        <f t="shared" ref="D207:D212" si="86">D30</f>
        <v>7494</v>
      </c>
      <c r="E207" s="1302"/>
      <c r="F207" s="1353">
        <f t="shared" ref="F207:I212" si="87">F$206*F135*$D207</f>
        <v>9892.08</v>
      </c>
      <c r="G207" s="1353">
        <f t="shared" si="87"/>
        <v>3597.12</v>
      </c>
      <c r="H207" s="1353">
        <f t="shared" si="87"/>
        <v>674.45999999999992</v>
      </c>
      <c r="I207" s="1353">
        <f t="shared" si="87"/>
        <v>899.28</v>
      </c>
      <c r="J207" s="1333">
        <f t="shared" ref="J207:J213" si="88">SUM(E207:I207)</f>
        <v>15062.94</v>
      </c>
      <c r="O207" s="467"/>
      <c r="P207" s="468"/>
      <c r="Q207" s="469"/>
      <c r="R207" s="469"/>
      <c r="S207" s="469"/>
      <c r="T207" s="470"/>
      <c r="U207" s="470"/>
      <c r="V207" s="470"/>
      <c r="W207" s="470"/>
      <c r="X207" s="458"/>
      <c r="Y207" s="458"/>
      <c r="Z207" s="471"/>
      <c r="AA207" s="472"/>
      <c r="AB207" s="472"/>
    </row>
    <row r="208" spans="1:28" ht="15.75" hidden="1" outlineLevel="1">
      <c r="A208" s="458">
        <f>1+A207</f>
        <v>2</v>
      </c>
      <c r="B208" t="str">
        <f>+$B$31</f>
        <v xml:space="preserve">Churchill </v>
      </c>
      <c r="C208" s="5"/>
      <c r="D208" s="5">
        <f t="shared" si="86"/>
        <v>8093</v>
      </c>
      <c r="E208" s="1302"/>
      <c r="F208" s="1330">
        <f t="shared" si="87"/>
        <v>10682.76</v>
      </c>
      <c r="G208" s="1330">
        <f t="shared" si="87"/>
        <v>3884.64</v>
      </c>
      <c r="H208" s="1330">
        <f t="shared" si="87"/>
        <v>728.37</v>
      </c>
      <c r="I208" s="1330">
        <f t="shared" si="87"/>
        <v>971.16</v>
      </c>
      <c r="J208" s="1299">
        <f t="shared" si="88"/>
        <v>16266.93</v>
      </c>
      <c r="O208" s="467"/>
      <c r="P208" s="468"/>
      <c r="Q208" s="469"/>
      <c r="R208" s="469"/>
      <c r="S208" s="469"/>
      <c r="T208" s="470"/>
      <c r="U208" s="470"/>
      <c r="V208" s="470"/>
      <c r="W208" s="470"/>
      <c r="X208" s="458"/>
      <c r="Y208" s="458"/>
      <c r="Z208" s="471"/>
      <c r="AA208" s="472"/>
      <c r="AB208" s="472"/>
    </row>
    <row r="209" spans="1:28" ht="15.75" hidden="1" outlineLevel="1">
      <c r="A209" s="458">
        <f t="shared" ref="A209:A212" si="89">1+A208</f>
        <v>3</v>
      </c>
      <c r="B209" t="str">
        <f>+$B$32</f>
        <v xml:space="preserve">Clark </v>
      </c>
      <c r="C209" s="5"/>
      <c r="D209" s="5">
        <f t="shared" si="86"/>
        <v>7197</v>
      </c>
      <c r="E209" s="1302"/>
      <c r="F209" s="1330">
        <f t="shared" si="87"/>
        <v>9500.0400000000009</v>
      </c>
      <c r="G209" s="1330">
        <f t="shared" si="87"/>
        <v>3454.56</v>
      </c>
      <c r="H209" s="1330">
        <f t="shared" si="87"/>
        <v>647.73</v>
      </c>
      <c r="I209" s="1330">
        <f t="shared" si="87"/>
        <v>863.64</v>
      </c>
      <c r="J209" s="1299">
        <f t="shared" si="88"/>
        <v>14465.97</v>
      </c>
      <c r="O209" s="467"/>
      <c r="P209" s="468"/>
      <c r="Q209" s="469"/>
      <c r="R209" s="469"/>
      <c r="S209" s="469"/>
      <c r="T209" s="470"/>
      <c r="U209" s="470"/>
      <c r="V209" s="470"/>
      <c r="W209" s="470"/>
      <c r="X209" s="458"/>
      <c r="Y209" s="458"/>
      <c r="Z209" s="471"/>
      <c r="AA209" s="472"/>
      <c r="AB209" s="472"/>
    </row>
    <row r="210" spans="1:28" ht="15.75" hidden="1" outlineLevel="1">
      <c r="A210" s="458">
        <f t="shared" si="89"/>
        <v>4</v>
      </c>
      <c r="B210" t="str">
        <f>+$B$33</f>
        <v xml:space="preserve">Elko </v>
      </c>
      <c r="C210" s="5"/>
      <c r="D210" s="5">
        <f t="shared" si="86"/>
        <v>7715</v>
      </c>
      <c r="E210" s="1302"/>
      <c r="F210" s="1330">
        <f t="shared" si="87"/>
        <v>10183.800000000001</v>
      </c>
      <c r="G210" s="1330">
        <f t="shared" si="87"/>
        <v>3703.2</v>
      </c>
      <c r="H210" s="1330">
        <f t="shared" si="87"/>
        <v>694.35</v>
      </c>
      <c r="I210" s="1330">
        <f t="shared" si="87"/>
        <v>925.8</v>
      </c>
      <c r="J210" s="1299">
        <f t="shared" si="88"/>
        <v>15507.15</v>
      </c>
      <c r="O210" s="467"/>
      <c r="P210" s="468"/>
      <c r="Q210" s="469"/>
      <c r="R210" s="469"/>
      <c r="S210" s="469"/>
      <c r="T210" s="470"/>
      <c r="U210" s="470"/>
      <c r="V210" s="470"/>
      <c r="W210" s="470"/>
      <c r="X210" s="458"/>
      <c r="Y210" s="458"/>
      <c r="Z210" s="471"/>
      <c r="AA210" s="472"/>
      <c r="AB210" s="472"/>
    </row>
    <row r="211" spans="1:28" ht="15.75" hidden="1" outlineLevel="1">
      <c r="A211" s="458">
        <f t="shared" si="89"/>
        <v>5</v>
      </c>
      <c r="B211" t="str">
        <f>+$B$34</f>
        <v xml:space="preserve">Washoe </v>
      </c>
      <c r="C211" s="5"/>
      <c r="D211" s="5">
        <f t="shared" si="86"/>
        <v>6980</v>
      </c>
      <c r="E211" s="1302"/>
      <c r="F211" s="1330">
        <f t="shared" si="87"/>
        <v>9213.6</v>
      </c>
      <c r="G211" s="1330">
        <f t="shared" si="87"/>
        <v>3350.4</v>
      </c>
      <c r="H211" s="1330">
        <f t="shared" si="87"/>
        <v>628.19999999999993</v>
      </c>
      <c r="I211" s="1330">
        <f t="shared" si="87"/>
        <v>837.6</v>
      </c>
      <c r="J211" s="1299">
        <f t="shared" si="88"/>
        <v>14029.800000000001</v>
      </c>
      <c r="O211" s="467"/>
      <c r="P211" s="468"/>
      <c r="Q211" s="469"/>
      <c r="R211" s="469"/>
      <c r="S211" s="469"/>
      <c r="T211" s="470"/>
      <c r="U211" s="470"/>
      <c r="V211" s="470"/>
      <c r="W211" s="470"/>
      <c r="X211" s="458"/>
      <c r="Y211" s="458"/>
      <c r="Z211" s="471"/>
      <c r="AA211" s="472"/>
      <c r="AB211" s="472"/>
    </row>
    <row r="212" spans="1:28" ht="15.75" hidden="1" outlineLevel="1">
      <c r="A212" s="458">
        <f t="shared" si="89"/>
        <v>6</v>
      </c>
      <c r="B212" t="str">
        <f>+$B$35</f>
        <v xml:space="preserve">White Pine </v>
      </c>
      <c r="C212" s="5"/>
      <c r="D212" s="5">
        <f t="shared" si="86"/>
        <v>10367</v>
      </c>
      <c r="E212" s="1302"/>
      <c r="F212" s="1331">
        <f t="shared" si="87"/>
        <v>13684.44</v>
      </c>
      <c r="G212" s="1331">
        <f t="shared" si="87"/>
        <v>4976.16</v>
      </c>
      <c r="H212" s="1331">
        <f t="shared" si="87"/>
        <v>933.03</v>
      </c>
      <c r="I212" s="1331">
        <f t="shared" si="87"/>
        <v>1244.04</v>
      </c>
      <c r="J212" s="1310">
        <f t="shared" si="88"/>
        <v>20837.669999999998</v>
      </c>
      <c r="O212" s="467"/>
      <c r="P212" s="468"/>
      <c r="Q212" s="469"/>
      <c r="R212" s="469"/>
      <c r="S212" s="469"/>
      <c r="T212" s="470"/>
      <c r="U212" s="470"/>
      <c r="V212" s="470"/>
      <c r="W212" s="470"/>
      <c r="X212" s="458"/>
      <c r="Y212" s="458"/>
      <c r="Z212" s="471"/>
      <c r="AA212" s="472"/>
      <c r="AB212" s="472"/>
    </row>
    <row r="213" spans="1:28" ht="15.75" hidden="1" outlineLevel="1">
      <c r="A213" s="458"/>
      <c r="B213" s="1311" t="s">
        <v>123</v>
      </c>
      <c r="C213" s="1311"/>
      <c r="D213" s="1311"/>
      <c r="E213" s="1339"/>
      <c r="F213" s="1338">
        <f t="shared" ref="F213" si="90">SUM(F207:F212)</f>
        <v>63156.72</v>
      </c>
      <c r="G213" s="1338">
        <f t="shared" ref="G213" si="91">SUM(G207:G212)</f>
        <v>22966.080000000002</v>
      </c>
      <c r="H213" s="1338">
        <f t="shared" ref="H213" si="92">SUM(H207:H212)</f>
        <v>4306.1399999999994</v>
      </c>
      <c r="I213" s="1338">
        <f t="shared" ref="I213" si="93">SUM(I207:I212)</f>
        <v>5741.52</v>
      </c>
      <c r="J213" s="1334">
        <f t="shared" si="88"/>
        <v>96170.46</v>
      </c>
      <c r="O213" s="467"/>
      <c r="P213" s="468"/>
      <c r="Q213" s="469"/>
      <c r="R213" s="469"/>
      <c r="S213" s="469"/>
      <c r="T213" s="470"/>
      <c r="U213" s="470"/>
      <c r="V213" s="470"/>
      <c r="W213" s="470"/>
      <c r="X213" s="458"/>
      <c r="Y213" s="458"/>
      <c r="Z213" s="471"/>
      <c r="AA213" s="472"/>
      <c r="AB213" s="472"/>
    </row>
    <row r="214" spans="1:28" ht="15.75" hidden="1" outlineLevel="1">
      <c r="A214" s="458"/>
      <c r="O214" s="467"/>
      <c r="P214" s="468"/>
      <c r="Q214" s="469"/>
      <c r="R214" s="469"/>
      <c r="S214" s="469"/>
      <c r="T214" s="470"/>
      <c r="U214" s="470"/>
      <c r="V214" s="470"/>
      <c r="W214" s="470"/>
      <c r="X214" s="458"/>
      <c r="Y214" s="458"/>
      <c r="Z214" s="471"/>
      <c r="AA214" s="472"/>
      <c r="AB214" s="472"/>
    </row>
    <row r="215" spans="1:28" ht="15.75" hidden="1" outlineLevel="1">
      <c r="A215" s="458"/>
      <c r="E215" s="1235" t="s">
        <v>1153</v>
      </c>
      <c r="F215" s="1"/>
      <c r="G215" s="504"/>
      <c r="H215" s="504"/>
      <c r="I215" s="504"/>
      <c r="O215" s="467"/>
      <c r="P215" s="468"/>
      <c r="Q215" s="469"/>
      <c r="R215" s="469"/>
      <c r="S215" s="469"/>
      <c r="T215" s="470"/>
      <c r="U215" s="470"/>
      <c r="V215" s="470"/>
      <c r="W215" s="470"/>
      <c r="X215" s="458"/>
      <c r="Y215" s="458"/>
      <c r="Z215" s="471"/>
      <c r="AA215" s="472"/>
      <c r="AB215" s="472"/>
    </row>
    <row r="216" spans="1:28" ht="15.75" hidden="1" outlineLevel="1">
      <c r="A216" s="458"/>
      <c r="E216" s="1238" t="s">
        <v>498</v>
      </c>
      <c r="F216" s="1312" t="s">
        <v>1127</v>
      </c>
      <c r="G216" s="1238" t="s">
        <v>1128</v>
      </c>
      <c r="H216" s="1238" t="s">
        <v>1117</v>
      </c>
      <c r="I216" s="1238" t="s">
        <v>1129</v>
      </c>
      <c r="J216" s="1312" t="s">
        <v>123</v>
      </c>
      <c r="O216" s="467"/>
      <c r="P216" s="468"/>
      <c r="Q216" s="469"/>
      <c r="R216" s="469"/>
      <c r="S216" s="469"/>
      <c r="T216" s="470"/>
      <c r="U216" s="470"/>
      <c r="V216" s="470"/>
      <c r="W216" s="470"/>
      <c r="X216" s="458"/>
      <c r="Y216" s="458"/>
      <c r="Z216" s="471"/>
      <c r="AA216" s="472"/>
      <c r="AB216" s="472"/>
    </row>
    <row r="217" spans="1:28" ht="15.75" hidden="1" outlineLevel="1">
      <c r="A217" s="458">
        <v>1</v>
      </c>
      <c r="B217" t="str">
        <f>+B$30</f>
        <v xml:space="preserve">Carson City </v>
      </c>
      <c r="C217" s="604"/>
      <c r="D217" s="604">
        <f t="shared" ref="D217:D222" si="94">D30</f>
        <v>7494</v>
      </c>
      <c r="E217" s="1354">
        <f t="shared" ref="E217:E222" si="95">+$D30*E124</f>
        <v>74940</v>
      </c>
      <c r="F217" s="1354">
        <f>+$D217*F124</f>
        <v>29976</v>
      </c>
      <c r="G217" s="1354">
        <f t="shared" ref="G217:I222" si="96">+$D30*G124</f>
        <v>37470</v>
      </c>
      <c r="H217" s="1354">
        <f t="shared" si="96"/>
        <v>37470</v>
      </c>
      <c r="I217" s="1354">
        <f t="shared" si="96"/>
        <v>7494</v>
      </c>
      <c r="J217" s="1337">
        <f t="shared" ref="J217:J223" si="97">SUM(E217:I217)</f>
        <v>187350</v>
      </c>
      <c r="O217" s="467"/>
      <c r="P217" s="468"/>
      <c r="Q217" s="469"/>
      <c r="R217" s="469"/>
      <c r="S217" s="469"/>
      <c r="T217" s="470"/>
      <c r="U217" s="470"/>
      <c r="V217" s="470"/>
      <c r="W217" s="470"/>
      <c r="X217" s="458"/>
      <c r="Y217" s="458"/>
      <c r="Z217" s="471"/>
      <c r="AA217" s="472"/>
      <c r="AB217" s="472"/>
    </row>
    <row r="218" spans="1:28" ht="15.75" hidden="1" outlineLevel="1">
      <c r="A218" s="458">
        <f>1+A217</f>
        <v>2</v>
      </c>
      <c r="B218" t="str">
        <f>+$B$31</f>
        <v xml:space="preserve">Churchill </v>
      </c>
      <c r="C218" s="5"/>
      <c r="D218" s="5">
        <f t="shared" si="94"/>
        <v>8093</v>
      </c>
      <c r="E218" s="1314">
        <f t="shared" si="95"/>
        <v>80930</v>
      </c>
      <c r="F218" s="1314">
        <f>+$D31*F125</f>
        <v>32372</v>
      </c>
      <c r="G218" s="1314">
        <f t="shared" si="96"/>
        <v>40465</v>
      </c>
      <c r="H218" s="1314">
        <f t="shared" si="96"/>
        <v>40465</v>
      </c>
      <c r="I218" s="1314">
        <f t="shared" si="96"/>
        <v>8093</v>
      </c>
      <c r="J218" s="1304">
        <f t="shared" si="97"/>
        <v>202325</v>
      </c>
      <c r="O218" s="467"/>
      <c r="P218" s="468"/>
      <c r="Q218" s="469"/>
      <c r="R218" s="469"/>
      <c r="S218" s="469"/>
      <c r="T218" s="470"/>
      <c r="U218" s="470"/>
      <c r="V218" s="470"/>
      <c r="W218" s="470"/>
      <c r="X218" s="458"/>
      <c r="Y218" s="458"/>
      <c r="Z218" s="471"/>
      <c r="AA218" s="472"/>
      <c r="AB218" s="472"/>
    </row>
    <row r="219" spans="1:28" ht="15.75" hidden="1" outlineLevel="1">
      <c r="A219" s="458">
        <f t="shared" ref="A219:A222" si="98">1+A218</f>
        <v>3</v>
      </c>
      <c r="B219" t="str">
        <f>+$B$32</f>
        <v xml:space="preserve">Clark </v>
      </c>
      <c r="C219" s="5"/>
      <c r="D219" s="5">
        <f t="shared" si="94"/>
        <v>7197</v>
      </c>
      <c r="E219" s="1314">
        <f t="shared" si="95"/>
        <v>71970</v>
      </c>
      <c r="F219" s="1314">
        <f>+$D32*F126</f>
        <v>28788</v>
      </c>
      <c r="G219" s="1314">
        <f t="shared" si="96"/>
        <v>35985</v>
      </c>
      <c r="H219" s="1314">
        <f t="shared" si="96"/>
        <v>35985</v>
      </c>
      <c r="I219" s="1314">
        <f t="shared" si="96"/>
        <v>7197</v>
      </c>
      <c r="J219" s="1304">
        <f t="shared" si="97"/>
        <v>179925</v>
      </c>
      <c r="O219" s="467"/>
      <c r="P219" s="468"/>
      <c r="Q219" s="469"/>
      <c r="R219" s="469"/>
      <c r="S219" s="469"/>
      <c r="T219" s="470"/>
      <c r="U219" s="470"/>
      <c r="V219" s="470"/>
      <c r="W219" s="470"/>
      <c r="X219" s="458"/>
      <c r="Y219" s="458"/>
      <c r="Z219" s="471"/>
      <c r="AA219" s="472"/>
      <c r="AB219" s="472"/>
    </row>
    <row r="220" spans="1:28" ht="15.75" hidden="1" outlineLevel="1">
      <c r="A220" s="458">
        <f t="shared" si="98"/>
        <v>4</v>
      </c>
      <c r="B220" t="str">
        <f>+$B$33</f>
        <v xml:space="preserve">Elko </v>
      </c>
      <c r="C220" s="5"/>
      <c r="D220" s="5">
        <f t="shared" si="94"/>
        <v>7715</v>
      </c>
      <c r="E220" s="1314">
        <f t="shared" si="95"/>
        <v>77150</v>
      </c>
      <c r="F220" s="1314">
        <f>+$D33*F127</f>
        <v>30860</v>
      </c>
      <c r="G220" s="1314">
        <f t="shared" si="96"/>
        <v>38575</v>
      </c>
      <c r="H220" s="1314">
        <f t="shared" si="96"/>
        <v>38575</v>
      </c>
      <c r="I220" s="1314">
        <f t="shared" si="96"/>
        <v>7715</v>
      </c>
      <c r="J220" s="1304">
        <f t="shared" si="97"/>
        <v>192875</v>
      </c>
      <c r="O220" s="467"/>
      <c r="P220" s="468"/>
      <c r="Q220" s="469"/>
      <c r="R220" s="469"/>
      <c r="S220" s="469"/>
      <c r="T220" s="470"/>
      <c r="U220" s="470"/>
      <c r="V220" s="470"/>
      <c r="W220" s="470"/>
      <c r="X220" s="458"/>
      <c r="Y220" s="458"/>
      <c r="Z220" s="471"/>
      <c r="AA220" s="472"/>
      <c r="AB220" s="472"/>
    </row>
    <row r="221" spans="1:28" ht="15.75" hidden="1" outlineLevel="1">
      <c r="A221" s="458">
        <f t="shared" si="98"/>
        <v>5</v>
      </c>
      <c r="B221" t="str">
        <f>+$B$34</f>
        <v xml:space="preserve">Washoe </v>
      </c>
      <c r="C221" s="5"/>
      <c r="D221" s="5">
        <f t="shared" si="94"/>
        <v>6980</v>
      </c>
      <c r="E221" s="1314">
        <f t="shared" si="95"/>
        <v>69800</v>
      </c>
      <c r="F221" s="1314">
        <f>+$D34*F128</f>
        <v>27920</v>
      </c>
      <c r="G221" s="1314">
        <f t="shared" si="96"/>
        <v>34900</v>
      </c>
      <c r="H221" s="1314">
        <f t="shared" si="96"/>
        <v>34900</v>
      </c>
      <c r="I221" s="1314">
        <f t="shared" si="96"/>
        <v>6980</v>
      </c>
      <c r="J221" s="1304">
        <f t="shared" si="97"/>
        <v>174500</v>
      </c>
      <c r="O221" s="467"/>
      <c r="P221" s="468"/>
      <c r="Q221" s="469"/>
      <c r="R221" s="469"/>
      <c r="S221" s="469"/>
      <c r="T221" s="470"/>
      <c r="U221" s="470"/>
      <c r="V221" s="470"/>
      <c r="W221" s="470"/>
      <c r="X221" s="458"/>
      <c r="Y221" s="458"/>
      <c r="Z221" s="471"/>
      <c r="AA221" s="472"/>
      <c r="AB221" s="472"/>
    </row>
    <row r="222" spans="1:28" ht="15.75" hidden="1" outlineLevel="1">
      <c r="A222" s="458">
        <f t="shared" si="98"/>
        <v>6</v>
      </c>
      <c r="B222" t="str">
        <f>+$B$35</f>
        <v xml:space="preserve">White Pine </v>
      </c>
      <c r="C222" s="5"/>
      <c r="D222" s="5">
        <f t="shared" si="94"/>
        <v>10367</v>
      </c>
      <c r="E222" s="1315">
        <f t="shared" si="95"/>
        <v>103670</v>
      </c>
      <c r="F222" s="1315">
        <f>+$D35*F129</f>
        <v>41468</v>
      </c>
      <c r="G222" s="1315">
        <f t="shared" si="96"/>
        <v>51835</v>
      </c>
      <c r="H222" s="1315">
        <f t="shared" si="96"/>
        <v>51835</v>
      </c>
      <c r="I222" s="1315">
        <f t="shared" si="96"/>
        <v>10367</v>
      </c>
      <c r="J222" s="1304">
        <f t="shared" si="97"/>
        <v>259175</v>
      </c>
      <c r="O222" s="467"/>
      <c r="P222" s="468"/>
      <c r="Q222" s="469"/>
      <c r="R222" s="469"/>
      <c r="S222" s="469"/>
      <c r="T222" s="470"/>
      <c r="U222" s="470"/>
      <c r="V222" s="470"/>
      <c r="W222" s="470"/>
      <c r="X222" s="458"/>
      <c r="Y222" s="458"/>
      <c r="Z222" s="471"/>
      <c r="AA222" s="472"/>
      <c r="AB222" s="472"/>
    </row>
    <row r="223" spans="1:28" ht="15.75" hidden="1" outlineLevel="1">
      <c r="A223" s="458"/>
      <c r="B223" s="1311" t="s">
        <v>123</v>
      </c>
      <c r="C223" s="1311"/>
      <c r="D223" s="1311"/>
      <c r="E223" s="1338">
        <f>SUM(E217:E222)</f>
        <v>478460</v>
      </c>
      <c r="F223" s="1338">
        <f t="shared" ref="F223" si="99">SUM(F217:F222)</f>
        <v>191384</v>
      </c>
      <c r="G223" s="1338">
        <f t="shared" ref="G223" si="100">SUM(G217:G222)</f>
        <v>239230</v>
      </c>
      <c r="H223" s="1338">
        <f t="shared" ref="H223" si="101">SUM(H217:H222)</f>
        <v>239230</v>
      </c>
      <c r="I223" s="1338">
        <f t="shared" ref="I223" si="102">SUM(I217:I222)</f>
        <v>47846</v>
      </c>
      <c r="J223" s="1338">
        <f t="shared" si="97"/>
        <v>1196150</v>
      </c>
      <c r="O223" s="467"/>
      <c r="P223" s="468"/>
      <c r="Q223" s="469"/>
      <c r="R223" s="469"/>
      <c r="S223" s="469"/>
      <c r="T223" s="470"/>
      <c r="U223" s="470"/>
      <c r="V223" s="470"/>
      <c r="W223" s="470"/>
      <c r="X223" s="458"/>
      <c r="Y223" s="458"/>
      <c r="Z223" s="471"/>
      <c r="AA223" s="472"/>
      <c r="AB223" s="472"/>
    </row>
    <row r="224" spans="1:28" ht="15.75" hidden="1" outlineLevel="1">
      <c r="A224" s="458"/>
      <c r="O224" s="467"/>
      <c r="P224" s="468"/>
      <c r="Q224" s="469"/>
      <c r="R224" s="469"/>
      <c r="S224" s="469"/>
      <c r="T224" s="470"/>
      <c r="U224" s="470"/>
      <c r="V224" s="470"/>
      <c r="W224" s="470"/>
      <c r="X224" s="458"/>
      <c r="Y224" s="458"/>
      <c r="Z224" s="471"/>
      <c r="AA224" s="472"/>
      <c r="AB224" s="472"/>
    </row>
    <row r="225" spans="1:28" ht="15.75" hidden="1" outlineLevel="1">
      <c r="A225" s="458"/>
      <c r="B225" s="1311" t="s">
        <v>1148</v>
      </c>
      <c r="C225" s="1311"/>
      <c r="D225" s="1311"/>
      <c r="E225" s="1338">
        <f>+E213+E223</f>
        <v>478460</v>
      </c>
      <c r="F225" s="1338">
        <f t="shared" ref="F225:I225" si="103">+F213+F223</f>
        <v>254540.72</v>
      </c>
      <c r="G225" s="1338">
        <f t="shared" si="103"/>
        <v>262196.08</v>
      </c>
      <c r="H225" s="1338">
        <f t="shared" si="103"/>
        <v>243536.14</v>
      </c>
      <c r="I225" s="1338">
        <f t="shared" si="103"/>
        <v>53587.520000000004</v>
      </c>
      <c r="J225" s="1340">
        <f>SUM(E225:I225)</f>
        <v>1292320.46</v>
      </c>
      <c r="O225" s="467"/>
      <c r="P225" s="468"/>
      <c r="Q225" s="469"/>
      <c r="R225" s="469"/>
      <c r="S225" s="469"/>
      <c r="T225" s="470"/>
      <c r="U225" s="470"/>
      <c r="V225" s="470"/>
      <c r="W225" s="470"/>
      <c r="X225" s="458"/>
      <c r="Y225" s="458"/>
      <c r="Z225" s="471"/>
      <c r="AA225" s="472"/>
      <c r="AB225" s="472"/>
    </row>
    <row r="226" spans="1:28" ht="15.75" hidden="1" outlineLevel="1">
      <c r="A226" s="458"/>
      <c r="O226" s="467"/>
      <c r="P226" s="468"/>
      <c r="Q226" s="469"/>
      <c r="R226" s="469"/>
      <c r="S226" s="469"/>
      <c r="T226" s="470"/>
      <c r="U226" s="470"/>
      <c r="V226" s="470"/>
      <c r="W226" s="470"/>
      <c r="X226" s="458"/>
      <c r="Y226" s="458"/>
      <c r="Z226" s="471"/>
      <c r="AA226" s="472"/>
      <c r="AB226" s="472"/>
    </row>
    <row r="227" spans="1:28" ht="15.75" hidden="1" outlineLevel="1">
      <c r="A227" s="458"/>
      <c r="B227" s="1327" t="s">
        <v>347</v>
      </c>
      <c r="C227" s="1327"/>
      <c r="D227" s="1327"/>
      <c r="E227" s="1328"/>
      <c r="F227" s="1328"/>
      <c r="G227" s="1328"/>
      <c r="H227" s="1328"/>
      <c r="I227" s="1328"/>
      <c r="J227" s="1328"/>
      <c r="O227" s="467"/>
      <c r="P227" s="468"/>
      <c r="Q227" s="469"/>
      <c r="R227" s="469"/>
      <c r="S227" s="469"/>
      <c r="T227" s="470"/>
      <c r="U227" s="470"/>
      <c r="V227" s="470"/>
      <c r="W227" s="470"/>
      <c r="X227" s="458"/>
      <c r="Y227" s="458"/>
      <c r="Z227" s="471"/>
      <c r="AA227" s="472"/>
      <c r="AB227" s="472"/>
    </row>
    <row r="228" spans="1:28" ht="15.75" hidden="1" outlineLevel="1">
      <c r="A228" s="458"/>
      <c r="B228" s="1322" t="s">
        <v>1149</v>
      </c>
      <c r="C228" s="1322"/>
      <c r="D228" s="1322"/>
      <c r="E228" s="1322"/>
      <c r="F228" s="1247"/>
      <c r="G228" s="1322"/>
      <c r="H228" s="1247"/>
      <c r="I228" s="1247"/>
      <c r="J228" s="1323"/>
      <c r="O228" s="467"/>
      <c r="P228" s="468"/>
      <c r="Q228" s="469"/>
      <c r="R228" s="469"/>
      <c r="S228" s="469"/>
      <c r="T228" s="470"/>
      <c r="U228" s="470"/>
      <c r="V228" s="470"/>
      <c r="W228" s="470"/>
      <c r="X228" s="458"/>
      <c r="Y228" s="458"/>
      <c r="Z228" s="471"/>
      <c r="AA228" s="472"/>
      <c r="AB228" s="472"/>
    </row>
    <row r="229" spans="1:28" ht="15.75" hidden="1" outlineLevel="1">
      <c r="A229" s="458"/>
      <c r="B229" s="1235"/>
      <c r="C229" s="1235"/>
      <c r="D229" s="1235"/>
      <c r="E229" s="1235" t="s">
        <v>1144</v>
      </c>
      <c r="F229" s="504"/>
      <c r="G229" s="1235"/>
      <c r="H229" s="504"/>
      <c r="I229" s="504"/>
      <c r="J229" s="1318"/>
      <c r="O229" s="467"/>
      <c r="P229" s="468"/>
      <c r="Q229" s="469"/>
      <c r="R229" s="469"/>
      <c r="S229" s="469"/>
      <c r="T229" s="470"/>
      <c r="U229" s="470"/>
      <c r="V229" s="470"/>
      <c r="W229" s="470"/>
      <c r="X229" s="458"/>
      <c r="Y229" s="458"/>
      <c r="Z229" s="471"/>
      <c r="AA229" s="472"/>
      <c r="AB229" s="472"/>
    </row>
    <row r="230" spans="1:28" ht="15.75" hidden="1" outlineLevel="1">
      <c r="A230" s="458"/>
      <c r="B230" s="1238"/>
      <c r="C230" s="1238"/>
      <c r="D230" s="1238"/>
      <c r="E230" s="1238" t="s">
        <v>498</v>
      </c>
      <c r="F230" s="1238" t="s">
        <v>1127</v>
      </c>
      <c r="G230" s="1238" t="s">
        <v>1128</v>
      </c>
      <c r="H230" s="1238" t="s">
        <v>1117</v>
      </c>
      <c r="I230" s="1238" t="s">
        <v>1129</v>
      </c>
      <c r="J230" s="1238" t="s">
        <v>123</v>
      </c>
      <c r="O230" s="467"/>
      <c r="P230" s="468"/>
      <c r="Q230" s="469"/>
      <c r="R230" s="469"/>
      <c r="S230" s="469"/>
      <c r="T230" s="470"/>
      <c r="U230" s="470"/>
      <c r="V230" s="470"/>
      <c r="W230" s="470"/>
      <c r="X230" s="458"/>
      <c r="Y230" s="458"/>
      <c r="Z230" s="471"/>
      <c r="AA230" s="472"/>
      <c r="AB230" s="472"/>
    </row>
    <row r="231" spans="1:28" ht="15.75" hidden="1" outlineLevel="1">
      <c r="A231" s="458">
        <v>1</v>
      </c>
      <c r="B231" t="str">
        <f>+B$30</f>
        <v xml:space="preserve">Carson City </v>
      </c>
      <c r="C231" s="604"/>
      <c r="D231" s="604">
        <f>$D$15</f>
        <v>6980</v>
      </c>
      <c r="E231" s="1335">
        <f t="shared" ref="E231" si="104">+E242+E252</f>
        <v>0</v>
      </c>
      <c r="F231" s="1335">
        <f>+F242+F252</f>
        <v>46068.000000000007</v>
      </c>
      <c r="G231" s="1335">
        <f t="shared" ref="G231:I231" si="105">+G242+G252</f>
        <v>33504</v>
      </c>
      <c r="H231" s="1335">
        <f t="shared" si="105"/>
        <v>6281.9999999999991</v>
      </c>
      <c r="I231" s="1335">
        <f t="shared" si="105"/>
        <v>837.6</v>
      </c>
      <c r="J231" s="1333">
        <f t="shared" ref="J231:J237" si="106">SUM(E231:I231)</f>
        <v>86691.6</v>
      </c>
      <c r="O231" s="467"/>
      <c r="P231" s="468"/>
      <c r="Q231" s="469"/>
      <c r="R231" s="469"/>
      <c r="S231" s="469"/>
      <c r="T231" s="470"/>
      <c r="U231" s="470"/>
      <c r="V231" s="470"/>
      <c r="W231" s="470"/>
      <c r="X231" s="458"/>
      <c r="Y231" s="458"/>
      <c r="Z231" s="471"/>
      <c r="AA231" s="472"/>
      <c r="AB231" s="472"/>
    </row>
    <row r="232" spans="1:28" ht="15.75" hidden="1" outlineLevel="1">
      <c r="A232" s="458">
        <f>1+A231</f>
        <v>2</v>
      </c>
      <c r="B232" t="str">
        <f>+$B$31</f>
        <v xml:space="preserve">Churchill </v>
      </c>
      <c r="C232" s="5"/>
      <c r="D232" s="5">
        <f t="shared" ref="D232:D236" si="107">$D$15</f>
        <v>6980</v>
      </c>
      <c r="E232" s="1299">
        <f t="shared" ref="E232:I232" si="108">+E243+E253</f>
        <v>0</v>
      </c>
      <c r="F232" s="1299">
        <f t="shared" si="108"/>
        <v>0</v>
      </c>
      <c r="G232" s="1299">
        <f t="shared" si="108"/>
        <v>0</v>
      </c>
      <c r="H232" s="1299">
        <f t="shared" si="108"/>
        <v>0</v>
      </c>
      <c r="I232" s="1299">
        <f t="shared" si="108"/>
        <v>0</v>
      </c>
      <c r="J232" s="1299">
        <f t="shared" si="106"/>
        <v>0</v>
      </c>
      <c r="O232" s="467"/>
      <c r="P232" s="468"/>
      <c r="Q232" s="469"/>
      <c r="R232" s="469"/>
      <c r="S232" s="469"/>
      <c r="T232" s="470"/>
      <c r="U232" s="470"/>
      <c r="V232" s="470"/>
      <c r="W232" s="470"/>
      <c r="X232" s="458"/>
      <c r="Y232" s="458"/>
      <c r="Z232" s="471"/>
      <c r="AA232" s="472"/>
      <c r="AB232" s="472"/>
    </row>
    <row r="233" spans="1:28" ht="15.75" hidden="1" outlineLevel="1">
      <c r="A233" s="458">
        <f t="shared" ref="A233:A236" si="109">1+A232</f>
        <v>3</v>
      </c>
      <c r="B233" t="str">
        <f>+$B$32</f>
        <v xml:space="preserve">Clark </v>
      </c>
      <c r="C233" s="5"/>
      <c r="D233" s="5">
        <f t="shared" si="107"/>
        <v>6980</v>
      </c>
      <c r="E233" s="1299">
        <f t="shared" ref="E233:I233" si="110">+E244+E254</f>
        <v>0</v>
      </c>
      <c r="F233" s="1299">
        <f t="shared" si="110"/>
        <v>69102</v>
      </c>
      <c r="G233" s="1299">
        <f t="shared" si="110"/>
        <v>0</v>
      </c>
      <c r="H233" s="1299">
        <f t="shared" si="110"/>
        <v>0</v>
      </c>
      <c r="I233" s="1299">
        <f t="shared" si="110"/>
        <v>0</v>
      </c>
      <c r="J233" s="1299">
        <f t="shared" si="106"/>
        <v>69102</v>
      </c>
      <c r="O233" s="467"/>
      <c r="P233" s="468"/>
      <c r="Q233" s="469"/>
      <c r="R233" s="469"/>
      <c r="S233" s="469"/>
      <c r="T233" s="470"/>
      <c r="U233" s="470"/>
      <c r="V233" s="470"/>
      <c r="W233" s="470"/>
      <c r="X233" s="458"/>
      <c r="Y233" s="458"/>
      <c r="Z233" s="471"/>
      <c r="AA233" s="472"/>
      <c r="AB233" s="472"/>
    </row>
    <row r="234" spans="1:28" ht="15.75" hidden="1" outlineLevel="1">
      <c r="A234" s="458">
        <f t="shared" si="109"/>
        <v>4</v>
      </c>
      <c r="B234" t="str">
        <f>+$B$33</f>
        <v xml:space="preserve">Elko </v>
      </c>
      <c r="C234" s="5"/>
      <c r="D234" s="5">
        <f t="shared" si="107"/>
        <v>6980</v>
      </c>
      <c r="E234" s="1299">
        <f t="shared" ref="E234:I234" si="111">+E245+E255</f>
        <v>0</v>
      </c>
      <c r="F234" s="1299">
        <f t="shared" si="111"/>
        <v>11517.000000000002</v>
      </c>
      <c r="G234" s="1299">
        <f t="shared" si="111"/>
        <v>0</v>
      </c>
      <c r="H234" s="1299">
        <f t="shared" si="111"/>
        <v>0</v>
      </c>
      <c r="I234" s="1299">
        <f t="shared" si="111"/>
        <v>0</v>
      </c>
      <c r="J234" s="1299">
        <f t="shared" si="106"/>
        <v>11517.000000000002</v>
      </c>
      <c r="O234" s="467"/>
      <c r="P234" s="468"/>
      <c r="Q234" s="469"/>
      <c r="R234" s="469"/>
      <c r="S234" s="469"/>
      <c r="T234" s="470"/>
      <c r="U234" s="470"/>
      <c r="V234" s="470"/>
      <c r="W234" s="470"/>
      <c r="X234" s="458"/>
      <c r="Y234" s="458"/>
      <c r="Z234" s="471"/>
      <c r="AA234" s="472"/>
      <c r="AB234" s="472"/>
    </row>
    <row r="235" spans="1:28" ht="15.75" hidden="1" outlineLevel="1">
      <c r="A235" s="458">
        <f t="shared" si="109"/>
        <v>5</v>
      </c>
      <c r="B235" t="str">
        <f>+$B$34</f>
        <v xml:space="preserve">Washoe </v>
      </c>
      <c r="C235" s="5"/>
      <c r="D235" s="5">
        <f t="shared" si="107"/>
        <v>6980</v>
      </c>
      <c r="E235" s="1310">
        <f t="shared" ref="E235:I235" si="112">+E246+E256</f>
        <v>0</v>
      </c>
      <c r="F235" s="1310">
        <f t="shared" si="112"/>
        <v>23034.000000000004</v>
      </c>
      <c r="G235" s="1310">
        <f t="shared" si="112"/>
        <v>0</v>
      </c>
      <c r="H235" s="1310">
        <f t="shared" si="112"/>
        <v>0</v>
      </c>
      <c r="I235" s="1310">
        <f t="shared" si="112"/>
        <v>0</v>
      </c>
      <c r="J235" s="1299">
        <f t="shared" si="106"/>
        <v>23034.000000000004</v>
      </c>
      <c r="O235" s="467"/>
      <c r="P235" s="468"/>
      <c r="Q235" s="469"/>
      <c r="R235" s="469"/>
      <c r="S235" s="469"/>
      <c r="T235" s="470"/>
      <c r="U235" s="470"/>
      <c r="V235" s="470"/>
      <c r="W235" s="470"/>
      <c r="X235" s="458"/>
      <c r="Y235" s="458"/>
      <c r="Z235" s="471"/>
      <c r="AA235" s="472"/>
      <c r="AB235" s="472"/>
    </row>
    <row r="236" spans="1:28" ht="15.75" hidden="1" outlineLevel="1">
      <c r="A236" s="458">
        <f t="shared" si="109"/>
        <v>6</v>
      </c>
      <c r="B236" t="str">
        <f>+$B$35</f>
        <v xml:space="preserve">White Pine </v>
      </c>
      <c r="C236" s="5"/>
      <c r="D236" s="5">
        <f t="shared" si="107"/>
        <v>6980</v>
      </c>
      <c r="E236" s="1310">
        <f t="shared" ref="E236:I236" si="113">+E247+E257</f>
        <v>0</v>
      </c>
      <c r="F236" s="1310">
        <f t="shared" si="113"/>
        <v>0</v>
      </c>
      <c r="G236" s="1310">
        <f t="shared" si="113"/>
        <v>0</v>
      </c>
      <c r="H236" s="1310">
        <f t="shared" si="113"/>
        <v>0</v>
      </c>
      <c r="I236" s="1310">
        <f t="shared" si="113"/>
        <v>0</v>
      </c>
      <c r="J236" s="1310">
        <f t="shared" si="106"/>
        <v>0</v>
      </c>
      <c r="O236" s="467"/>
      <c r="P236" s="468"/>
      <c r="Q236" s="469"/>
      <c r="R236" s="469"/>
      <c r="S236" s="469"/>
      <c r="T236" s="470"/>
      <c r="U236" s="470"/>
      <c r="V236" s="470"/>
      <c r="W236" s="470"/>
      <c r="X236" s="458"/>
      <c r="Y236" s="458"/>
      <c r="Z236" s="471"/>
      <c r="AA236" s="472"/>
      <c r="AB236" s="472"/>
    </row>
    <row r="237" spans="1:28" ht="15.75" hidden="1" outlineLevel="1">
      <c r="A237" s="458"/>
      <c r="B237" s="1311" t="s">
        <v>123</v>
      </c>
      <c r="C237" s="1311"/>
      <c r="D237" s="1311"/>
      <c r="E237" s="1334">
        <f>SUM(E231:E236)</f>
        <v>0</v>
      </c>
      <c r="F237" s="1334">
        <f>SUM(F231:F236)</f>
        <v>149721</v>
      </c>
      <c r="G237" s="1334">
        <f t="shared" ref="G237" si="114">SUM(G231:G236)</f>
        <v>33504</v>
      </c>
      <c r="H237" s="1334">
        <f t="shared" ref="H237" si="115">SUM(H231:H236)</f>
        <v>6281.9999999999991</v>
      </c>
      <c r="I237" s="1334">
        <f t="shared" ref="I237" si="116">SUM(I231:I236)</f>
        <v>837.6</v>
      </c>
      <c r="J237" s="1336">
        <f t="shared" si="106"/>
        <v>190344.6</v>
      </c>
      <c r="O237" s="467"/>
      <c r="P237" s="468"/>
      <c r="Q237" s="469"/>
      <c r="R237" s="469"/>
      <c r="S237" s="469"/>
      <c r="T237" s="470"/>
      <c r="U237" s="470"/>
      <c r="V237" s="470"/>
      <c r="W237" s="470"/>
      <c r="X237" s="458"/>
      <c r="Y237" s="458"/>
      <c r="Z237" s="471"/>
      <c r="AA237" s="472"/>
      <c r="AB237" s="472"/>
    </row>
    <row r="238" spans="1:28" ht="15.75" hidden="1" outlineLevel="1">
      <c r="A238" s="458"/>
      <c r="J238" s="1304"/>
      <c r="O238" s="467"/>
      <c r="P238" s="468"/>
      <c r="Q238" s="469"/>
      <c r="R238" s="469"/>
      <c r="S238" s="469"/>
      <c r="T238" s="470"/>
      <c r="U238" s="470"/>
      <c r="V238" s="470"/>
      <c r="W238" s="470"/>
      <c r="X238" s="458"/>
      <c r="Y238" s="458"/>
      <c r="Z238" s="471"/>
      <c r="AA238" s="472"/>
      <c r="AB238" s="472"/>
    </row>
    <row r="239" spans="1:28" ht="15.75" hidden="1" outlineLevel="1">
      <c r="A239" s="458"/>
      <c r="E239" s="1235" t="s">
        <v>1152</v>
      </c>
      <c r="F239" s="504"/>
      <c r="G239" s="1235"/>
      <c r="H239" s="1235"/>
      <c r="I239" s="1235"/>
      <c r="J239" s="504"/>
      <c r="O239" s="467"/>
      <c r="P239" s="468"/>
      <c r="Q239" s="469"/>
      <c r="R239" s="469"/>
      <c r="S239" s="469"/>
      <c r="T239" s="470"/>
      <c r="U239" s="470"/>
      <c r="V239" s="470"/>
      <c r="W239" s="470"/>
      <c r="X239" s="458"/>
      <c r="Y239" s="458"/>
      <c r="Z239" s="471"/>
      <c r="AA239" s="472"/>
      <c r="AB239" s="472"/>
    </row>
    <row r="240" spans="1:28" ht="15.75" hidden="1" outlineLevel="1">
      <c r="A240" s="458"/>
      <c r="E240" s="1238" t="s">
        <v>498</v>
      </c>
      <c r="F240" s="1238" t="s">
        <v>1127</v>
      </c>
      <c r="G240" s="1238" t="s">
        <v>1128</v>
      </c>
      <c r="H240" s="1238" t="s">
        <v>1117</v>
      </c>
      <c r="I240" s="1238" t="s">
        <v>1129</v>
      </c>
      <c r="J240" s="1300"/>
      <c r="O240" s="467"/>
      <c r="P240" s="468"/>
      <c r="Q240" s="469"/>
      <c r="R240" s="469"/>
      <c r="S240" s="469"/>
      <c r="T240" s="470"/>
      <c r="U240" s="470"/>
      <c r="V240" s="470"/>
      <c r="W240" s="470"/>
      <c r="X240" s="458"/>
      <c r="Y240" s="458"/>
      <c r="Z240" s="471"/>
      <c r="AA240" s="472"/>
      <c r="AB240" s="472"/>
    </row>
    <row r="241" spans="1:28" ht="15.75" hidden="1" outlineLevel="1">
      <c r="A241" s="458"/>
      <c r="E241" s="1300"/>
      <c r="F241" s="1297">
        <f>+F206</f>
        <v>0.33</v>
      </c>
      <c r="G241" s="1297">
        <f t="shared" ref="G241:I241" si="117">+G206</f>
        <v>0.24</v>
      </c>
      <c r="H241" s="1297">
        <f t="shared" si="117"/>
        <v>0.03</v>
      </c>
      <c r="I241" s="1297">
        <f t="shared" si="117"/>
        <v>0.12</v>
      </c>
      <c r="J241" s="1238" t="s">
        <v>123</v>
      </c>
      <c r="O241" s="467"/>
      <c r="P241" s="468"/>
      <c r="Q241" s="469"/>
      <c r="R241" s="469"/>
      <c r="S241" s="469"/>
      <c r="T241" s="470"/>
      <c r="U241" s="470"/>
      <c r="V241" s="470"/>
      <c r="W241" s="470"/>
      <c r="X241" s="458"/>
      <c r="Y241" s="458"/>
      <c r="Z241" s="471"/>
      <c r="AA241" s="472"/>
      <c r="AB241" s="472"/>
    </row>
    <row r="242" spans="1:28" ht="15.75" hidden="1" outlineLevel="1">
      <c r="A242" s="458">
        <v>1</v>
      </c>
      <c r="B242" t="str">
        <f>+B$30</f>
        <v xml:space="preserve">Carson City </v>
      </c>
      <c r="C242" s="5"/>
      <c r="D242" s="5">
        <f t="shared" ref="D242:D247" si="118">$D$15</f>
        <v>6980</v>
      </c>
      <c r="E242" s="1302"/>
      <c r="F242" s="1353">
        <f t="shared" ref="F242:I247" si="119">F$206*F170*$D242</f>
        <v>46068.000000000007</v>
      </c>
      <c r="G242" s="1353">
        <f t="shared" si="119"/>
        <v>33504</v>
      </c>
      <c r="H242" s="1353">
        <f t="shared" si="119"/>
        <v>6281.9999999999991</v>
      </c>
      <c r="I242" s="1353">
        <f t="shared" si="119"/>
        <v>837.6</v>
      </c>
      <c r="J242" s="1333">
        <f t="shared" ref="J242:J248" si="120">SUM(E242:I242)</f>
        <v>86691.6</v>
      </c>
      <c r="O242" s="467"/>
      <c r="P242" s="468"/>
      <c r="Q242" s="469"/>
      <c r="R242" s="469"/>
      <c r="S242" s="469"/>
      <c r="T242" s="470"/>
      <c r="U242" s="470"/>
      <c r="V242" s="470"/>
      <c r="W242" s="470"/>
      <c r="X242" s="458"/>
      <c r="Y242" s="458"/>
      <c r="Z242" s="471"/>
      <c r="AA242" s="472"/>
      <c r="AB242" s="472"/>
    </row>
    <row r="243" spans="1:28" ht="15.75" hidden="1" outlineLevel="1">
      <c r="A243" s="458">
        <f>1+A242</f>
        <v>2</v>
      </c>
      <c r="B243" t="str">
        <f>+$B$31</f>
        <v xml:space="preserve">Churchill </v>
      </c>
      <c r="C243" s="5"/>
      <c r="D243" s="5">
        <f t="shared" si="118"/>
        <v>6980</v>
      </c>
      <c r="E243" s="1302"/>
      <c r="F243" s="1330">
        <f t="shared" si="119"/>
        <v>0</v>
      </c>
      <c r="G243" s="1330">
        <f t="shared" si="119"/>
        <v>0</v>
      </c>
      <c r="H243" s="1330">
        <f t="shared" si="119"/>
        <v>0</v>
      </c>
      <c r="I243" s="1330">
        <f t="shared" si="119"/>
        <v>0</v>
      </c>
      <c r="J243" s="1299">
        <f t="shared" si="120"/>
        <v>0</v>
      </c>
      <c r="O243" s="467"/>
      <c r="P243" s="468"/>
      <c r="Q243" s="469"/>
      <c r="R243" s="469"/>
      <c r="S243" s="469"/>
      <c r="T243" s="470"/>
      <c r="U243" s="470"/>
      <c r="V243" s="470"/>
      <c r="W243" s="470"/>
      <c r="X243" s="458"/>
      <c r="Y243" s="458"/>
      <c r="Z243" s="471"/>
      <c r="AA243" s="472"/>
      <c r="AB243" s="472"/>
    </row>
    <row r="244" spans="1:28" ht="15.75" hidden="1" outlineLevel="1">
      <c r="A244" s="458">
        <f t="shared" ref="A244:A247" si="121">1+A243</f>
        <v>3</v>
      </c>
      <c r="B244" t="str">
        <f>+$B$32</f>
        <v xml:space="preserve">Clark </v>
      </c>
      <c r="C244" s="5"/>
      <c r="D244" s="5">
        <f t="shared" si="118"/>
        <v>6980</v>
      </c>
      <c r="E244" s="1302"/>
      <c r="F244" s="1330">
        <f t="shared" si="119"/>
        <v>69102</v>
      </c>
      <c r="G244" s="1330">
        <f t="shared" si="119"/>
        <v>0</v>
      </c>
      <c r="H244" s="1330">
        <f t="shared" si="119"/>
        <v>0</v>
      </c>
      <c r="I244" s="1330">
        <f t="shared" si="119"/>
        <v>0</v>
      </c>
      <c r="J244" s="1299">
        <f t="shared" si="120"/>
        <v>69102</v>
      </c>
      <c r="O244" s="467"/>
      <c r="P244" s="468"/>
      <c r="Q244" s="469"/>
      <c r="R244" s="469"/>
      <c r="S244" s="469"/>
      <c r="T244" s="470"/>
      <c r="U244" s="470"/>
      <c r="V244" s="470"/>
      <c r="W244" s="470"/>
      <c r="X244" s="458"/>
      <c r="Y244" s="458"/>
      <c r="Z244" s="471"/>
      <c r="AA244" s="472"/>
      <c r="AB244" s="472"/>
    </row>
    <row r="245" spans="1:28" ht="15.75" hidden="1" outlineLevel="1">
      <c r="A245" s="458">
        <f t="shared" si="121"/>
        <v>4</v>
      </c>
      <c r="B245" t="str">
        <f>+$B$33</f>
        <v xml:space="preserve">Elko </v>
      </c>
      <c r="C245" s="5"/>
      <c r="D245" s="5">
        <f t="shared" si="118"/>
        <v>6980</v>
      </c>
      <c r="E245" s="1302"/>
      <c r="F245" s="1330">
        <f t="shared" si="119"/>
        <v>11517.000000000002</v>
      </c>
      <c r="G245" s="1330">
        <f t="shared" si="119"/>
        <v>0</v>
      </c>
      <c r="H245" s="1330">
        <f t="shared" si="119"/>
        <v>0</v>
      </c>
      <c r="I245" s="1330">
        <f t="shared" si="119"/>
        <v>0</v>
      </c>
      <c r="J245" s="1299">
        <f t="shared" si="120"/>
        <v>11517.000000000002</v>
      </c>
      <c r="O245" s="467"/>
      <c r="P245" s="468"/>
      <c r="Q245" s="469"/>
      <c r="R245" s="469"/>
      <c r="S245" s="469"/>
      <c r="T245" s="470"/>
      <c r="U245" s="470"/>
      <c r="V245" s="470"/>
      <c r="W245" s="470"/>
      <c r="X245" s="458"/>
      <c r="Y245" s="458"/>
      <c r="Z245" s="471"/>
      <c r="AA245" s="472"/>
      <c r="AB245" s="472"/>
    </row>
    <row r="246" spans="1:28" ht="15.75" hidden="1" outlineLevel="1">
      <c r="A246" s="458">
        <f t="shared" si="121"/>
        <v>5</v>
      </c>
      <c r="B246" t="str">
        <f>+$B$34</f>
        <v xml:space="preserve">Washoe </v>
      </c>
      <c r="C246" s="5"/>
      <c r="D246" s="5">
        <f t="shared" si="118"/>
        <v>6980</v>
      </c>
      <c r="E246" s="1302"/>
      <c r="F246" s="1330">
        <f t="shared" si="119"/>
        <v>23034.000000000004</v>
      </c>
      <c r="G246" s="1330">
        <f t="shared" si="119"/>
        <v>0</v>
      </c>
      <c r="H246" s="1330">
        <f t="shared" si="119"/>
        <v>0</v>
      </c>
      <c r="I246" s="1330">
        <f t="shared" si="119"/>
        <v>0</v>
      </c>
      <c r="J246" s="1299">
        <f t="shared" si="120"/>
        <v>23034.000000000004</v>
      </c>
      <c r="O246" s="467"/>
      <c r="P246" s="468"/>
      <c r="Q246" s="469"/>
      <c r="R246" s="469"/>
      <c r="S246" s="469"/>
      <c r="T246" s="470"/>
      <c r="U246" s="470"/>
      <c r="V246" s="470"/>
      <c r="W246" s="470"/>
      <c r="X246" s="458"/>
      <c r="Y246" s="458"/>
      <c r="Z246" s="471"/>
      <c r="AA246" s="472"/>
      <c r="AB246" s="472"/>
    </row>
    <row r="247" spans="1:28" ht="15.75" hidden="1" outlineLevel="1">
      <c r="A247" s="458">
        <f t="shared" si="121"/>
        <v>6</v>
      </c>
      <c r="B247" t="str">
        <f>+$B$35</f>
        <v xml:space="preserve">White Pine </v>
      </c>
      <c r="C247" s="5"/>
      <c r="D247" s="5">
        <f t="shared" si="118"/>
        <v>6980</v>
      </c>
      <c r="E247" s="1302"/>
      <c r="F247" s="1331">
        <f t="shared" si="119"/>
        <v>0</v>
      </c>
      <c r="G247" s="1331">
        <f t="shared" si="119"/>
        <v>0</v>
      </c>
      <c r="H247" s="1331">
        <f t="shared" si="119"/>
        <v>0</v>
      </c>
      <c r="I247" s="1331">
        <f t="shared" si="119"/>
        <v>0</v>
      </c>
      <c r="J247" s="1310">
        <f t="shared" si="120"/>
        <v>0</v>
      </c>
      <c r="O247" s="467"/>
      <c r="P247" s="468"/>
      <c r="Q247" s="469"/>
      <c r="R247" s="469"/>
      <c r="S247" s="469"/>
      <c r="T247" s="470"/>
      <c r="U247" s="470"/>
      <c r="V247" s="470"/>
      <c r="W247" s="470"/>
      <c r="X247" s="458"/>
      <c r="Y247" s="458"/>
      <c r="Z247" s="471"/>
      <c r="AA247" s="472"/>
      <c r="AB247" s="472"/>
    </row>
    <row r="248" spans="1:28" ht="15.75" hidden="1" outlineLevel="1">
      <c r="A248" s="458"/>
      <c r="B248" s="1311" t="s">
        <v>123</v>
      </c>
      <c r="C248" s="1311"/>
      <c r="D248" s="1311"/>
      <c r="E248" s="1339"/>
      <c r="F248" s="1338">
        <f t="shared" ref="F248" si="122">SUM(F242:F247)</f>
        <v>149721</v>
      </c>
      <c r="G248" s="1338">
        <f t="shared" ref="G248" si="123">SUM(G242:G247)</f>
        <v>33504</v>
      </c>
      <c r="H248" s="1338">
        <f t="shared" ref="H248" si="124">SUM(H242:H247)</f>
        <v>6281.9999999999991</v>
      </c>
      <c r="I248" s="1338">
        <f t="shared" ref="I248" si="125">SUM(I242:I247)</f>
        <v>837.6</v>
      </c>
      <c r="J248" s="1334">
        <f t="shared" si="120"/>
        <v>190344.6</v>
      </c>
      <c r="O248" s="467"/>
      <c r="P248" s="468"/>
      <c r="Q248" s="469"/>
      <c r="R248" s="469"/>
      <c r="S248" s="469"/>
      <c r="T248" s="470"/>
      <c r="U248" s="470"/>
      <c r="V248" s="470"/>
      <c r="W248" s="470"/>
      <c r="X248" s="458"/>
      <c r="Y248" s="458"/>
      <c r="Z248" s="471"/>
      <c r="AA248" s="472"/>
      <c r="AB248" s="472"/>
    </row>
    <row r="249" spans="1:28" ht="15.75" hidden="1" outlineLevel="1">
      <c r="A249" s="458"/>
      <c r="O249" s="467"/>
      <c r="P249" s="468"/>
      <c r="Q249" s="469"/>
      <c r="R249" s="469"/>
      <c r="S249" s="469"/>
      <c r="T249" s="470"/>
      <c r="U249" s="470"/>
      <c r="V249" s="470"/>
      <c r="W249" s="470"/>
      <c r="X249" s="458"/>
      <c r="Y249" s="458"/>
      <c r="Z249" s="471"/>
      <c r="AA249" s="472"/>
      <c r="AB249" s="472"/>
    </row>
    <row r="250" spans="1:28" ht="15.75" hidden="1" outlineLevel="1">
      <c r="A250" s="458"/>
      <c r="E250" s="1235" t="s">
        <v>1153</v>
      </c>
      <c r="F250" s="1"/>
      <c r="G250" s="504"/>
      <c r="H250" s="504"/>
      <c r="I250" s="504"/>
      <c r="O250" s="467"/>
      <c r="P250" s="468"/>
      <c r="Q250" s="469"/>
      <c r="R250" s="469"/>
      <c r="S250" s="469"/>
      <c r="T250" s="470"/>
      <c r="U250" s="470"/>
      <c r="V250" s="470"/>
      <c r="W250" s="470"/>
      <c r="X250" s="458"/>
      <c r="Y250" s="458"/>
      <c r="Z250" s="471"/>
      <c r="AA250" s="472"/>
      <c r="AB250" s="472"/>
    </row>
    <row r="251" spans="1:28" ht="15.75" hidden="1" outlineLevel="1">
      <c r="A251" s="458"/>
      <c r="E251" s="1238" t="s">
        <v>498</v>
      </c>
      <c r="F251" s="1312" t="s">
        <v>1127</v>
      </c>
      <c r="G251" s="1238" t="s">
        <v>1128</v>
      </c>
      <c r="H251" s="1238" t="s">
        <v>1117</v>
      </c>
      <c r="I251" s="1238" t="s">
        <v>1129</v>
      </c>
      <c r="J251" s="1312" t="s">
        <v>123</v>
      </c>
      <c r="O251" s="467"/>
      <c r="P251" s="468"/>
      <c r="Q251" s="469"/>
      <c r="R251" s="469"/>
      <c r="S251" s="469"/>
      <c r="T251" s="470"/>
      <c r="U251" s="470"/>
      <c r="V251" s="470"/>
      <c r="W251" s="470"/>
      <c r="X251" s="458"/>
      <c r="Y251" s="458"/>
      <c r="Z251" s="471"/>
      <c r="AA251" s="472"/>
      <c r="AB251" s="472"/>
    </row>
    <row r="252" spans="1:28" ht="15.75" hidden="1" outlineLevel="1">
      <c r="A252" s="458">
        <v>1</v>
      </c>
      <c r="B252" t="str">
        <f>+B$30</f>
        <v xml:space="preserve">Carson City </v>
      </c>
      <c r="C252" s="5"/>
      <c r="D252" s="5">
        <f t="shared" ref="D252:D257" si="126">$D$15</f>
        <v>6980</v>
      </c>
      <c r="E252" s="1354">
        <f t="shared" ref="E252:I257" si="127">+$E137*E159</f>
        <v>0</v>
      </c>
      <c r="F252" s="1354">
        <f t="shared" si="127"/>
        <v>0</v>
      </c>
      <c r="G252" s="1354">
        <f t="shared" si="127"/>
        <v>0</v>
      </c>
      <c r="H252" s="1354">
        <f t="shared" si="127"/>
        <v>0</v>
      </c>
      <c r="I252" s="1354">
        <f t="shared" si="127"/>
        <v>0</v>
      </c>
      <c r="J252" s="1337">
        <f t="shared" ref="J252:J258" si="128">SUM(E252:I252)</f>
        <v>0</v>
      </c>
      <c r="O252" s="467"/>
      <c r="P252" s="468"/>
      <c r="Q252" s="469"/>
      <c r="R252" s="469"/>
      <c r="S252" s="469"/>
      <c r="T252" s="470"/>
      <c r="U252" s="470"/>
      <c r="V252" s="470"/>
      <c r="W252" s="470"/>
      <c r="X252" s="458"/>
      <c r="Y252" s="458"/>
      <c r="Z252" s="471"/>
      <c r="AA252" s="472"/>
      <c r="AB252" s="472"/>
    </row>
    <row r="253" spans="1:28" ht="15.75" hidden="1" outlineLevel="1">
      <c r="A253" s="458">
        <f>1+A252</f>
        <v>2</v>
      </c>
      <c r="B253" t="str">
        <f>+$B$31</f>
        <v xml:space="preserve">Churchill </v>
      </c>
      <c r="C253" s="5"/>
      <c r="D253" s="5">
        <f t="shared" si="126"/>
        <v>6980</v>
      </c>
      <c r="E253" s="1314">
        <f t="shared" si="127"/>
        <v>0</v>
      </c>
      <c r="F253" s="1314">
        <f t="shared" si="127"/>
        <v>0</v>
      </c>
      <c r="G253" s="1314">
        <f t="shared" si="127"/>
        <v>0</v>
      </c>
      <c r="H253" s="1314">
        <f t="shared" si="127"/>
        <v>0</v>
      </c>
      <c r="I253" s="1314">
        <f t="shared" si="127"/>
        <v>0</v>
      </c>
      <c r="J253" s="1304">
        <f t="shared" si="128"/>
        <v>0</v>
      </c>
      <c r="O253" s="467"/>
      <c r="P253" s="468"/>
      <c r="Q253" s="469"/>
      <c r="R253" s="469"/>
      <c r="S253" s="469"/>
      <c r="T253" s="470"/>
      <c r="U253" s="470"/>
      <c r="V253" s="470"/>
      <c r="W253" s="470"/>
      <c r="X253" s="458"/>
      <c r="Y253" s="458"/>
      <c r="Z253" s="471"/>
      <c r="AA253" s="472"/>
      <c r="AB253" s="472"/>
    </row>
    <row r="254" spans="1:28" ht="15.75" hidden="1" outlineLevel="1">
      <c r="A254" s="458">
        <f t="shared" ref="A254:A257" si="129">1+A253</f>
        <v>3</v>
      </c>
      <c r="B254" t="str">
        <f>+$B$32</f>
        <v xml:space="preserve">Clark </v>
      </c>
      <c r="C254" s="5"/>
      <c r="D254" s="5">
        <f t="shared" si="126"/>
        <v>6980</v>
      </c>
      <c r="E254" s="1314">
        <f t="shared" si="127"/>
        <v>0</v>
      </c>
      <c r="F254" s="1314">
        <f t="shared" si="127"/>
        <v>0</v>
      </c>
      <c r="G254" s="1314">
        <f t="shared" si="127"/>
        <v>0</v>
      </c>
      <c r="H254" s="1314">
        <f t="shared" si="127"/>
        <v>0</v>
      </c>
      <c r="I254" s="1314">
        <f t="shared" si="127"/>
        <v>0</v>
      </c>
      <c r="J254" s="1304">
        <f t="shared" si="128"/>
        <v>0</v>
      </c>
      <c r="O254" s="467"/>
      <c r="P254" s="468"/>
      <c r="Q254" s="469"/>
      <c r="R254" s="469"/>
      <c r="S254" s="469"/>
      <c r="T254" s="470"/>
      <c r="U254" s="470"/>
      <c r="V254" s="470"/>
      <c r="W254" s="470"/>
      <c r="X254" s="458"/>
      <c r="Y254" s="458"/>
      <c r="Z254" s="471"/>
      <c r="AA254" s="472"/>
      <c r="AB254" s="472"/>
    </row>
    <row r="255" spans="1:28" ht="15.75" hidden="1" outlineLevel="1">
      <c r="A255" s="458">
        <f t="shared" si="129"/>
        <v>4</v>
      </c>
      <c r="B255" t="str">
        <f>+$B$33</f>
        <v xml:space="preserve">Elko </v>
      </c>
      <c r="C255" s="5"/>
      <c r="D255" s="5">
        <f t="shared" si="126"/>
        <v>6980</v>
      </c>
      <c r="E255" s="1314">
        <f t="shared" si="127"/>
        <v>0</v>
      </c>
      <c r="F255" s="1314">
        <f t="shared" si="127"/>
        <v>0</v>
      </c>
      <c r="G255" s="1314">
        <f t="shared" si="127"/>
        <v>0</v>
      </c>
      <c r="H255" s="1314">
        <f t="shared" si="127"/>
        <v>0</v>
      </c>
      <c r="I255" s="1314">
        <f t="shared" si="127"/>
        <v>0</v>
      </c>
      <c r="J255" s="1304">
        <f t="shared" si="128"/>
        <v>0</v>
      </c>
      <c r="O255" s="467"/>
      <c r="P255" s="468"/>
      <c r="Q255" s="469"/>
      <c r="R255" s="469"/>
      <c r="S255" s="469"/>
      <c r="T255" s="470"/>
      <c r="U255" s="470"/>
      <c r="V255" s="470"/>
      <c r="W255" s="470"/>
      <c r="X255" s="458"/>
      <c r="Y255" s="458"/>
      <c r="Z255" s="471"/>
      <c r="AA255" s="472"/>
      <c r="AB255" s="472"/>
    </row>
    <row r="256" spans="1:28" ht="15.75" hidden="1" outlineLevel="1">
      <c r="A256" s="458">
        <f t="shared" si="129"/>
        <v>5</v>
      </c>
      <c r="B256" t="str">
        <f>+$B$34</f>
        <v xml:space="preserve">Washoe </v>
      </c>
      <c r="C256" s="5"/>
      <c r="D256" s="5">
        <f t="shared" si="126"/>
        <v>6980</v>
      </c>
      <c r="E256" s="1314">
        <f t="shared" si="127"/>
        <v>0</v>
      </c>
      <c r="F256" s="1314">
        <f t="shared" si="127"/>
        <v>0</v>
      </c>
      <c r="G256" s="1314">
        <f t="shared" si="127"/>
        <v>0</v>
      </c>
      <c r="H256" s="1314">
        <f t="shared" si="127"/>
        <v>0</v>
      </c>
      <c r="I256" s="1314">
        <f t="shared" si="127"/>
        <v>0</v>
      </c>
      <c r="J256" s="1304">
        <f t="shared" si="128"/>
        <v>0</v>
      </c>
      <c r="O256" s="467"/>
      <c r="P256" s="468"/>
      <c r="Q256" s="469"/>
      <c r="R256" s="469"/>
      <c r="S256" s="469"/>
      <c r="T256" s="470"/>
      <c r="U256" s="470"/>
      <c r="V256" s="470"/>
      <c r="W256" s="470"/>
      <c r="X256" s="458"/>
      <c r="Y256" s="458"/>
      <c r="Z256" s="471"/>
      <c r="AA256" s="472"/>
      <c r="AB256" s="472"/>
    </row>
    <row r="257" spans="1:28" ht="15.75" hidden="1" outlineLevel="1">
      <c r="A257" s="458">
        <f t="shared" si="129"/>
        <v>6</v>
      </c>
      <c r="B257" t="str">
        <f>+$B$35</f>
        <v xml:space="preserve">White Pine </v>
      </c>
      <c r="C257" s="5"/>
      <c r="D257" s="5">
        <f t="shared" si="126"/>
        <v>6980</v>
      </c>
      <c r="E257" s="1315">
        <f t="shared" si="127"/>
        <v>0</v>
      </c>
      <c r="F257" s="1315">
        <f t="shared" si="127"/>
        <v>0</v>
      </c>
      <c r="G257" s="1315">
        <f t="shared" si="127"/>
        <v>0</v>
      </c>
      <c r="H257" s="1315">
        <f t="shared" si="127"/>
        <v>0</v>
      </c>
      <c r="I257" s="1315">
        <f t="shared" si="127"/>
        <v>0</v>
      </c>
      <c r="J257" s="1304">
        <f t="shared" si="128"/>
        <v>0</v>
      </c>
      <c r="O257" s="467"/>
      <c r="P257" s="468"/>
      <c r="Q257" s="469"/>
      <c r="R257" s="469"/>
      <c r="S257" s="469"/>
      <c r="T257" s="470"/>
      <c r="U257" s="470"/>
      <c r="V257" s="470"/>
      <c r="W257" s="470"/>
      <c r="X257" s="458"/>
      <c r="Y257" s="458"/>
      <c r="Z257" s="471"/>
      <c r="AA257" s="472"/>
      <c r="AB257" s="472"/>
    </row>
    <row r="258" spans="1:28" ht="15.75" hidden="1" outlineLevel="1">
      <c r="A258" s="458"/>
      <c r="B258" s="1311" t="s">
        <v>123</v>
      </c>
      <c r="C258" s="1311"/>
      <c r="D258" s="1311"/>
      <c r="E258" s="1338">
        <f>SUM(E252:E257)</f>
        <v>0</v>
      </c>
      <c r="F258" s="1338">
        <f t="shared" ref="F258" si="130">SUM(F252:F257)</f>
        <v>0</v>
      </c>
      <c r="G258" s="1338">
        <f t="shared" ref="G258" si="131">SUM(G252:G257)</f>
        <v>0</v>
      </c>
      <c r="H258" s="1338">
        <f t="shared" ref="H258" si="132">SUM(H252:H257)</f>
        <v>0</v>
      </c>
      <c r="I258" s="1338">
        <f t="shared" ref="I258" si="133">SUM(I252:I257)</f>
        <v>0</v>
      </c>
      <c r="J258" s="1338">
        <f t="shared" si="128"/>
        <v>0</v>
      </c>
      <c r="O258" s="467"/>
      <c r="P258" s="468"/>
      <c r="Q258" s="469"/>
      <c r="R258" s="469"/>
      <c r="S258" s="469"/>
      <c r="T258" s="470"/>
      <c r="U258" s="470"/>
      <c r="V258" s="470"/>
      <c r="W258" s="470"/>
      <c r="X258" s="458"/>
      <c r="Y258" s="458"/>
      <c r="Z258" s="471"/>
      <c r="AA258" s="472"/>
      <c r="AB258" s="472"/>
    </row>
    <row r="259" spans="1:28" ht="15.75" hidden="1" outlineLevel="1">
      <c r="A259" s="458"/>
      <c r="O259" s="467"/>
      <c r="P259" s="468"/>
      <c r="Q259" s="469"/>
      <c r="R259" s="469"/>
      <c r="S259" s="469"/>
      <c r="T259" s="470"/>
      <c r="U259" s="470"/>
      <c r="V259" s="470"/>
      <c r="W259" s="470"/>
      <c r="X259" s="458"/>
      <c r="Y259" s="458"/>
      <c r="Z259" s="471"/>
      <c r="AA259" s="472"/>
      <c r="AB259" s="472"/>
    </row>
    <row r="260" spans="1:28" ht="15.75" hidden="1" outlineLevel="1">
      <c r="A260" s="458"/>
      <c r="B260" s="1311" t="s">
        <v>1148</v>
      </c>
      <c r="C260" s="1311"/>
      <c r="D260" s="1311"/>
      <c r="E260" s="1338">
        <f>+E248+E258</f>
        <v>0</v>
      </c>
      <c r="F260" s="1338">
        <f t="shared" ref="F260:I260" si="134">+F248+F258</f>
        <v>149721</v>
      </c>
      <c r="G260" s="1338">
        <f t="shared" si="134"/>
        <v>33504</v>
      </c>
      <c r="H260" s="1338">
        <f t="shared" si="134"/>
        <v>6281.9999999999991</v>
      </c>
      <c r="I260" s="1338">
        <f t="shared" si="134"/>
        <v>837.6</v>
      </c>
      <c r="J260" s="1340">
        <f>SUM(E260:I260)</f>
        <v>190344.6</v>
      </c>
      <c r="O260" s="467"/>
      <c r="P260" s="468"/>
      <c r="Q260" s="469"/>
      <c r="R260" s="469"/>
      <c r="S260" s="469"/>
      <c r="T260" s="470"/>
      <c r="U260" s="470"/>
      <c r="V260" s="470"/>
      <c r="W260" s="470"/>
      <c r="X260" s="458"/>
      <c r="Y260" s="458"/>
      <c r="Z260" s="471"/>
      <c r="AA260" s="472"/>
      <c r="AB260" s="472"/>
    </row>
    <row r="261" spans="1:28" ht="15.75" hidden="1" outlineLevel="1">
      <c r="A261" s="458"/>
      <c r="O261" s="467"/>
      <c r="P261" s="468"/>
      <c r="Q261" s="469"/>
      <c r="R261" s="469"/>
      <c r="S261" s="469"/>
      <c r="T261" s="470"/>
      <c r="U261" s="470"/>
      <c r="V261" s="470"/>
      <c r="W261" s="470"/>
      <c r="X261" s="458"/>
      <c r="Y261" s="458"/>
      <c r="Z261" s="471"/>
      <c r="AA261" s="472"/>
      <c r="AB261" s="472"/>
    </row>
    <row r="262" spans="1:28" ht="15.75" hidden="1" outlineLevel="1">
      <c r="A262" s="458"/>
      <c r="O262" s="467"/>
      <c r="P262" s="468"/>
      <c r="Q262" s="469"/>
      <c r="R262" s="469"/>
      <c r="S262" s="469"/>
      <c r="T262" s="470"/>
      <c r="U262" s="470"/>
      <c r="V262" s="470"/>
      <c r="W262" s="470"/>
      <c r="X262" s="458"/>
      <c r="Y262" s="458"/>
      <c r="Z262" s="471"/>
      <c r="AA262" s="472"/>
      <c r="AB262" s="472"/>
    </row>
    <row r="263" spans="1:28" ht="15.75" hidden="1" outlineLevel="1">
      <c r="A263" s="458"/>
      <c r="O263" s="458"/>
      <c r="P263" s="473"/>
      <c r="Q263" s="473"/>
      <c r="R263" s="473"/>
      <c r="S263" s="473"/>
      <c r="T263" s="458"/>
      <c r="U263" s="458"/>
      <c r="V263" s="458"/>
      <c r="W263" s="458"/>
      <c r="X263" s="458"/>
      <c r="Y263" s="458"/>
      <c r="Z263" s="458"/>
      <c r="AA263" s="458"/>
      <c r="AB263" s="458"/>
    </row>
    <row r="264" spans="1:28" ht="15.75" hidden="1" outlineLevel="1">
      <c r="A264" s="458"/>
      <c r="B264" s="1327" t="s">
        <v>347</v>
      </c>
      <c r="C264" s="1327"/>
      <c r="D264" s="1327"/>
      <c r="E264" s="1328"/>
      <c r="F264" s="1328"/>
      <c r="G264" s="1328"/>
      <c r="H264" s="1328"/>
      <c r="I264" s="1328"/>
      <c r="J264" s="1328"/>
      <c r="O264" s="458"/>
      <c r="P264" s="473"/>
      <c r="Q264" s="473"/>
      <c r="R264" s="473"/>
      <c r="S264" s="473"/>
      <c r="T264" s="458"/>
      <c r="U264" s="458"/>
      <c r="V264" s="458"/>
      <c r="W264" s="458"/>
      <c r="X264" s="458"/>
      <c r="Y264" s="458"/>
      <c r="Z264" s="458"/>
      <c r="AA264" s="458"/>
      <c r="AB264" s="458"/>
    </row>
    <row r="265" spans="1:28" ht="15.75" hidden="1" outlineLevel="1">
      <c r="A265" s="458"/>
      <c r="B265" s="1322" t="s">
        <v>1136</v>
      </c>
      <c r="C265" s="1322"/>
      <c r="D265" s="1322"/>
      <c r="E265" s="1247"/>
      <c r="F265" s="1247"/>
      <c r="G265" s="1322"/>
      <c r="H265" s="1247"/>
      <c r="I265" s="1247"/>
      <c r="J265" s="1323"/>
      <c r="O265" s="458"/>
      <c r="P265" s="473"/>
      <c r="Q265" s="473"/>
      <c r="R265" s="473"/>
      <c r="S265" s="473"/>
      <c r="T265" s="458"/>
      <c r="U265" s="458"/>
      <c r="V265" s="458"/>
      <c r="W265" s="458"/>
      <c r="X265" s="458"/>
      <c r="Y265" s="458"/>
      <c r="Z265" s="458"/>
      <c r="AA265" s="458"/>
      <c r="AB265" s="458"/>
    </row>
    <row r="266" spans="1:28" ht="15.75" hidden="1" outlineLevel="1">
      <c r="A266" s="458"/>
      <c r="B266" s="1235"/>
      <c r="C266" s="1235"/>
      <c r="D266" s="1235"/>
      <c r="E266" s="1235" t="s">
        <v>1144</v>
      </c>
      <c r="F266" s="504"/>
      <c r="G266" s="1235"/>
      <c r="H266" s="504"/>
      <c r="I266" s="504"/>
      <c r="J266" s="1318"/>
      <c r="O266" s="458"/>
      <c r="P266" s="473"/>
      <c r="Q266" s="473"/>
      <c r="R266" s="473"/>
      <c r="S266" s="473"/>
      <c r="T266" s="458"/>
      <c r="U266" s="458"/>
      <c r="V266" s="458"/>
      <c r="W266" s="458"/>
      <c r="X266" s="458"/>
      <c r="Y266" s="458"/>
      <c r="Z266" s="458"/>
      <c r="AA266" s="458"/>
      <c r="AB266" s="458"/>
    </row>
    <row r="267" spans="1:28" ht="15.75" hidden="1" outlineLevel="1">
      <c r="A267" s="458"/>
      <c r="B267" s="1238"/>
      <c r="C267" s="1238"/>
      <c r="D267" s="1238"/>
      <c r="E267" s="1238" t="s">
        <v>498</v>
      </c>
      <c r="F267" s="1238" t="s">
        <v>1127</v>
      </c>
      <c r="G267" s="1238" t="s">
        <v>1128</v>
      </c>
      <c r="H267" s="1238" t="s">
        <v>1117</v>
      </c>
      <c r="I267" s="1238" t="s">
        <v>1129</v>
      </c>
      <c r="J267" s="1238" t="s">
        <v>123</v>
      </c>
      <c r="O267" s="458"/>
      <c r="P267" s="473"/>
      <c r="Q267" s="473"/>
      <c r="R267" s="473"/>
      <c r="S267" s="473"/>
      <c r="T267" s="458"/>
      <c r="U267" s="458"/>
      <c r="V267" s="458"/>
      <c r="W267" s="458"/>
      <c r="X267" s="458"/>
      <c r="Y267" s="458"/>
      <c r="Z267" s="458"/>
      <c r="AA267" s="458"/>
      <c r="AB267" s="458"/>
    </row>
    <row r="268" spans="1:28" ht="15.75" hidden="1" outlineLevel="1">
      <c r="A268" s="458">
        <v>1</v>
      </c>
      <c r="B268" t="str">
        <f>+B$30</f>
        <v xml:space="preserve">Carson City </v>
      </c>
      <c r="C268" s="604"/>
      <c r="D268" s="604">
        <f>E177</f>
        <v>0</v>
      </c>
      <c r="E268" s="1335">
        <f>+E281+E291</f>
        <v>0</v>
      </c>
      <c r="F268" s="1335">
        <f t="shared" ref="F268:I268" si="135">+F281+F291</f>
        <v>0</v>
      </c>
      <c r="G268" s="1335">
        <f t="shared" si="135"/>
        <v>0</v>
      </c>
      <c r="H268" s="1335">
        <f t="shared" si="135"/>
        <v>0</v>
      </c>
      <c r="I268" s="1335">
        <f t="shared" si="135"/>
        <v>0</v>
      </c>
      <c r="J268" s="1333">
        <f t="shared" ref="J268:J275" si="136">SUM(E268:I268)</f>
        <v>0</v>
      </c>
      <c r="O268" s="458"/>
      <c r="P268" s="473"/>
      <c r="Q268" s="473"/>
      <c r="R268" s="473"/>
      <c r="S268" s="473"/>
      <c r="T268" s="458"/>
      <c r="U268" s="458"/>
      <c r="V268" s="458"/>
      <c r="W268" s="458"/>
      <c r="X268" s="458"/>
      <c r="Y268" s="458"/>
      <c r="Z268" s="458"/>
      <c r="AA268" s="458"/>
      <c r="AB268" s="458"/>
    </row>
    <row r="269" spans="1:28" ht="15.75" hidden="1" outlineLevel="1">
      <c r="A269" s="458">
        <f>1+A268</f>
        <v>2</v>
      </c>
      <c r="B269" t="str">
        <f>+$B$31</f>
        <v xml:space="preserve">Churchill </v>
      </c>
      <c r="C269" s="5"/>
      <c r="D269" s="5">
        <f t="shared" ref="D269:D273" si="137">E178</f>
        <v>0</v>
      </c>
      <c r="E269" s="1299">
        <f t="shared" ref="E269:I269" si="138">+E282+E292</f>
        <v>0</v>
      </c>
      <c r="F269" s="1299">
        <f t="shared" si="138"/>
        <v>0</v>
      </c>
      <c r="G269" s="1299">
        <f t="shared" si="138"/>
        <v>0</v>
      </c>
      <c r="H269" s="1299">
        <f t="shared" si="138"/>
        <v>0</v>
      </c>
      <c r="I269" s="1299">
        <f t="shared" si="138"/>
        <v>0</v>
      </c>
      <c r="J269" s="1299">
        <f t="shared" si="136"/>
        <v>0</v>
      </c>
      <c r="O269" s="458"/>
      <c r="P269" s="473"/>
      <c r="Q269" s="473"/>
      <c r="R269" s="473"/>
      <c r="S269" s="473"/>
      <c r="T269" s="458"/>
      <c r="U269" s="458"/>
      <c r="V269" s="458"/>
      <c r="W269" s="458"/>
      <c r="X269" s="458"/>
      <c r="Y269" s="458"/>
      <c r="Z269" s="458"/>
      <c r="AA269" s="458"/>
      <c r="AB269" s="458"/>
    </row>
    <row r="270" spans="1:28" ht="15.75" hidden="1" outlineLevel="1">
      <c r="A270" s="458">
        <f t="shared" ref="A270:A273" si="139">1+A269</f>
        <v>3</v>
      </c>
      <c r="B270" t="str">
        <f>+$B$32</f>
        <v xml:space="preserve">Clark </v>
      </c>
      <c r="C270" s="5"/>
      <c r="D270" s="5" t="str">
        <f t="shared" si="137"/>
        <v>General</v>
      </c>
      <c r="E270" s="1299" t="e">
        <f t="shared" ref="E270:I270" si="140">+E283+E293</f>
        <v>#VALUE!</v>
      </c>
      <c r="F270" s="1299" t="e">
        <f t="shared" si="140"/>
        <v>#VALUE!</v>
      </c>
      <c r="G270" s="1299" t="e">
        <f t="shared" si="140"/>
        <v>#VALUE!</v>
      </c>
      <c r="H270" s="1299" t="e">
        <f t="shared" si="140"/>
        <v>#VALUE!</v>
      </c>
      <c r="I270" s="1299" t="e">
        <f t="shared" si="140"/>
        <v>#VALUE!</v>
      </c>
      <c r="J270" s="1299" t="e">
        <f t="shared" si="136"/>
        <v>#VALUE!</v>
      </c>
      <c r="O270" s="458"/>
      <c r="P270" s="473"/>
      <c r="Q270" s="473"/>
      <c r="R270" s="473"/>
      <c r="S270" s="473"/>
      <c r="T270" s="458"/>
      <c r="U270" s="458"/>
      <c r="V270" s="458"/>
      <c r="W270" s="458"/>
      <c r="X270" s="458"/>
      <c r="Y270" s="458"/>
      <c r="Z270" s="458"/>
      <c r="AA270" s="458"/>
      <c r="AB270" s="458"/>
    </row>
    <row r="271" spans="1:28" ht="15.75" hidden="1" outlineLevel="1">
      <c r="A271" s="458">
        <f t="shared" si="139"/>
        <v>4</v>
      </c>
      <c r="B271" t="str">
        <f>+$B$33</f>
        <v xml:space="preserve">Elko </v>
      </c>
      <c r="C271" s="5"/>
      <c r="D271" s="5">
        <f t="shared" si="137"/>
        <v>100</v>
      </c>
      <c r="E271" s="1299">
        <f>+E284+E294</f>
        <v>797433.33333333326</v>
      </c>
      <c r="F271" s="1299">
        <f t="shared" ref="F271:I271" si="141">+F284+F294</f>
        <v>3144758.0933333333</v>
      </c>
      <c r="G271" s="1299">
        <f t="shared" si="141"/>
        <v>1425172.8533333335</v>
      </c>
      <c r="H271" s="1299">
        <f t="shared" si="141"/>
        <v>824705.55333333334</v>
      </c>
      <c r="I271" s="1299">
        <f t="shared" si="141"/>
        <v>962023.57333333336</v>
      </c>
      <c r="J271" s="1299">
        <f t="shared" si="136"/>
        <v>7154093.4066666672</v>
      </c>
      <c r="O271" s="458"/>
      <c r="P271" s="473"/>
      <c r="Q271" s="473"/>
      <c r="R271" s="473"/>
      <c r="S271" s="473"/>
      <c r="T271" s="458"/>
      <c r="U271" s="458"/>
      <c r="V271" s="458"/>
      <c r="W271" s="458"/>
      <c r="X271" s="458"/>
      <c r="Y271" s="458"/>
      <c r="Z271" s="458"/>
      <c r="AA271" s="458"/>
      <c r="AB271" s="458"/>
    </row>
    <row r="272" spans="1:28" ht="15.75" hidden="1" outlineLevel="1">
      <c r="A272" s="458">
        <f t="shared" si="139"/>
        <v>5</v>
      </c>
      <c r="B272" t="str">
        <f>+$B$34</f>
        <v xml:space="preserve">Washoe </v>
      </c>
      <c r="C272" s="5"/>
      <c r="D272" s="5">
        <f t="shared" si="137"/>
        <v>0</v>
      </c>
      <c r="E272" s="1310">
        <f t="shared" ref="E272:I272" si="142">+E285+E295</f>
        <v>0</v>
      </c>
      <c r="F272" s="1310">
        <f t="shared" si="142"/>
        <v>0</v>
      </c>
      <c r="G272" s="1310">
        <f t="shared" si="142"/>
        <v>0</v>
      </c>
      <c r="H272" s="1310">
        <f t="shared" si="142"/>
        <v>0</v>
      </c>
      <c r="I272" s="1310">
        <f t="shared" si="142"/>
        <v>0</v>
      </c>
      <c r="J272" s="1299">
        <f t="shared" si="136"/>
        <v>0</v>
      </c>
      <c r="O272" s="458"/>
      <c r="P272" s="473"/>
      <c r="Q272" s="473"/>
      <c r="R272" s="473"/>
      <c r="S272" s="473"/>
      <c r="T272" s="458"/>
      <c r="U272" s="458"/>
      <c r="V272" s="458"/>
      <c r="W272" s="458"/>
      <c r="X272" s="458"/>
      <c r="Y272" s="458"/>
      <c r="Z272" s="458"/>
      <c r="AA272" s="458"/>
      <c r="AB272" s="458"/>
    </row>
    <row r="273" spans="1:28" ht="15.75" hidden="1" outlineLevel="1">
      <c r="A273" s="458">
        <f t="shared" si="139"/>
        <v>6</v>
      </c>
      <c r="B273" t="str">
        <f>+$B$35</f>
        <v xml:space="preserve">White Pine </v>
      </c>
      <c r="C273" s="5"/>
      <c r="D273" s="5">
        <f t="shared" si="137"/>
        <v>0</v>
      </c>
      <c r="E273" s="1310" t="e">
        <f t="shared" ref="E273:I273" si="143">+E286+E296</f>
        <v>#VALUE!</v>
      </c>
      <c r="F273" s="1310">
        <f t="shared" si="143"/>
        <v>0</v>
      </c>
      <c r="G273" s="1310">
        <f t="shared" si="143"/>
        <v>0</v>
      </c>
      <c r="H273" s="1310">
        <f t="shared" si="143"/>
        <v>0</v>
      </c>
      <c r="I273" s="1310">
        <f t="shared" si="143"/>
        <v>0</v>
      </c>
      <c r="J273" s="1310" t="e">
        <f t="shared" si="136"/>
        <v>#VALUE!</v>
      </c>
      <c r="O273" s="458"/>
      <c r="P273" s="473"/>
      <c r="Q273" s="473"/>
      <c r="R273" s="473"/>
      <c r="S273" s="473"/>
      <c r="T273" s="458"/>
      <c r="U273" s="458"/>
      <c r="V273" s="458"/>
      <c r="W273" s="458"/>
      <c r="X273" s="458"/>
      <c r="Y273" s="458"/>
      <c r="Z273" s="458"/>
      <c r="AA273" s="458"/>
      <c r="AB273" s="458"/>
    </row>
    <row r="274" spans="1:28" ht="15.75" hidden="1" outlineLevel="1">
      <c r="A274" s="458"/>
      <c r="B274" s="1311" t="s">
        <v>422</v>
      </c>
      <c r="C274" s="1311"/>
      <c r="D274" s="1311"/>
      <c r="E274" s="1334" t="e">
        <f>SUM(E268:E273)</f>
        <v>#VALUE!</v>
      </c>
      <c r="F274" s="1334" t="e">
        <f>SUM(F268:F273)</f>
        <v>#VALUE!</v>
      </c>
      <c r="G274" s="1334" t="e">
        <f t="shared" ref="G274" si="144">SUM(G268:G273)</f>
        <v>#VALUE!</v>
      </c>
      <c r="H274" s="1334" t="e">
        <f t="shared" ref="H274" si="145">SUM(H268:H273)</f>
        <v>#VALUE!</v>
      </c>
      <c r="I274" s="1334" t="e">
        <f t="shared" ref="I274" si="146">SUM(I268:I273)</f>
        <v>#VALUE!</v>
      </c>
      <c r="J274" s="1336" t="e">
        <f t="shared" si="136"/>
        <v>#VALUE!</v>
      </c>
      <c r="O274" s="458"/>
      <c r="P274" s="473"/>
      <c r="Q274" s="473"/>
      <c r="R274" s="473"/>
      <c r="S274" s="473"/>
      <c r="T274" s="458"/>
      <c r="U274" s="458"/>
      <c r="V274" s="458"/>
      <c r="W274" s="458"/>
      <c r="X274" s="458"/>
      <c r="Y274" s="458"/>
      <c r="Z274" s="458"/>
      <c r="AA274" s="458"/>
      <c r="AB274" s="458"/>
    </row>
    <row r="275" spans="1:28" ht="15.75" hidden="1" outlineLevel="1">
      <c r="A275" s="458"/>
      <c r="B275" s="1" t="s">
        <v>421</v>
      </c>
      <c r="E275" s="1304" t="str">
        <f>+E205</f>
        <v>General</v>
      </c>
      <c r="F275" s="1304" t="str">
        <f t="shared" ref="F275:I275" si="147">+F205</f>
        <v>SpEd</v>
      </c>
      <c r="G275" s="1304" t="str">
        <f t="shared" si="147"/>
        <v>EL</v>
      </c>
      <c r="H275" s="1304" t="str">
        <f t="shared" si="147"/>
        <v>AR</v>
      </c>
      <c r="I275" s="1304" t="str">
        <f t="shared" si="147"/>
        <v>G&amp;T</v>
      </c>
      <c r="J275" s="1304">
        <f t="shared" si="136"/>
        <v>0</v>
      </c>
      <c r="O275" s="458"/>
      <c r="P275" s="473"/>
      <c r="Q275" s="473"/>
      <c r="R275" s="473"/>
      <c r="S275" s="473"/>
      <c r="T275" s="458"/>
      <c r="U275" s="458"/>
      <c r="V275" s="458"/>
      <c r="W275" s="458"/>
      <c r="X275" s="458"/>
      <c r="Y275" s="458"/>
      <c r="Z275" s="458"/>
      <c r="AA275" s="458"/>
      <c r="AB275" s="458"/>
    </row>
    <row r="276" spans="1:28" ht="15.75" hidden="1" outlineLevel="1">
      <c r="A276" s="458"/>
      <c r="B276" s="1311" t="s">
        <v>1151</v>
      </c>
      <c r="C276" s="1321"/>
      <c r="D276" s="1321"/>
      <c r="E276" s="1338" t="e">
        <f t="shared" ref="E276" si="148">+E274/E275</f>
        <v>#VALUE!</v>
      </c>
      <c r="F276" s="1338" t="e">
        <f t="shared" ref="F276" si="149">+F274/F275</f>
        <v>#VALUE!</v>
      </c>
      <c r="G276" s="1338" t="e">
        <f t="shared" ref="G276" si="150">+G274/G275</f>
        <v>#VALUE!</v>
      </c>
      <c r="H276" s="1338" t="e">
        <f t="shared" ref="H276" si="151">+H274/H275</f>
        <v>#VALUE!</v>
      </c>
      <c r="I276" s="1338" t="e">
        <f t="shared" ref="I276" si="152">+I274/I275</f>
        <v>#VALUE!</v>
      </c>
      <c r="J276" s="1338" t="e">
        <f>+J274/J275</f>
        <v>#VALUE!</v>
      </c>
      <c r="O276" s="458"/>
      <c r="P276" s="473"/>
      <c r="Q276" s="473"/>
      <c r="R276" s="473"/>
      <c r="S276" s="473"/>
      <c r="T276" s="458"/>
      <c r="U276" s="458"/>
      <c r="V276" s="458"/>
      <c r="W276" s="458"/>
      <c r="X276" s="458"/>
      <c r="Y276" s="458"/>
      <c r="Z276" s="458"/>
      <c r="AA276" s="458"/>
      <c r="AB276" s="458"/>
    </row>
    <row r="277" spans="1:28" ht="15.75" hidden="1" outlineLevel="1">
      <c r="A277" s="458"/>
      <c r="B277" s="1"/>
      <c r="J277" s="1304"/>
      <c r="O277" s="458"/>
      <c r="P277" s="473"/>
      <c r="Q277" s="473"/>
      <c r="R277" s="473"/>
      <c r="S277" s="473"/>
      <c r="T277" s="458"/>
      <c r="U277" s="458"/>
      <c r="V277" s="458"/>
      <c r="W277" s="458"/>
      <c r="X277" s="458"/>
      <c r="Y277" s="458"/>
      <c r="Z277" s="458"/>
      <c r="AA277" s="458"/>
      <c r="AB277" s="458"/>
    </row>
    <row r="278" spans="1:28" ht="15.75" hidden="1" outlineLevel="1">
      <c r="A278" s="458"/>
      <c r="E278" s="1235" t="s">
        <v>1152</v>
      </c>
      <c r="F278" s="504"/>
      <c r="G278" s="1235"/>
      <c r="H278" s="1235"/>
      <c r="I278" s="1235"/>
      <c r="J278" s="504"/>
      <c r="O278" s="458"/>
      <c r="P278" s="473"/>
      <c r="Q278" s="473"/>
      <c r="R278" s="473"/>
      <c r="S278" s="473"/>
      <c r="T278" s="458"/>
      <c r="U278" s="458"/>
      <c r="V278" s="458"/>
      <c r="W278" s="458"/>
      <c r="X278" s="458"/>
      <c r="Y278" s="458"/>
      <c r="Z278" s="458"/>
      <c r="AA278" s="458"/>
      <c r="AB278" s="458"/>
    </row>
    <row r="279" spans="1:28" ht="15.75" hidden="1" outlineLevel="1">
      <c r="A279" s="458"/>
      <c r="E279" s="1238" t="s">
        <v>498</v>
      </c>
      <c r="F279" s="1238" t="s">
        <v>1127</v>
      </c>
      <c r="G279" s="1238" t="s">
        <v>1128</v>
      </c>
      <c r="H279" s="1238" t="s">
        <v>1117</v>
      </c>
      <c r="I279" s="1238" t="s">
        <v>1129</v>
      </c>
      <c r="J279" s="1300"/>
      <c r="O279" s="458"/>
      <c r="P279" s="473"/>
      <c r="Q279" s="473"/>
      <c r="R279" s="473"/>
      <c r="S279" s="473"/>
      <c r="T279" s="458"/>
      <c r="U279" s="458"/>
      <c r="V279" s="458"/>
      <c r="W279" s="458"/>
      <c r="X279" s="458"/>
      <c r="Y279" s="458"/>
      <c r="Z279" s="458"/>
      <c r="AA279" s="458"/>
      <c r="AB279" s="458"/>
    </row>
    <row r="280" spans="1:28" ht="15.75" hidden="1" outlineLevel="1">
      <c r="A280" s="458"/>
      <c r="B280" s="1238" t="s">
        <v>1146</v>
      </c>
      <c r="C280" s="1238"/>
      <c r="D280" s="1238"/>
      <c r="E280" s="1344">
        <v>0</v>
      </c>
      <c r="F280" s="1343">
        <f>+F209</f>
        <v>9500.0400000000009</v>
      </c>
      <c r="G280" s="1343">
        <f t="shared" ref="G280:I280" si="153">+G209</f>
        <v>3454.56</v>
      </c>
      <c r="H280" s="1343">
        <f t="shared" si="153"/>
        <v>647.73</v>
      </c>
      <c r="I280" s="1343">
        <f t="shared" si="153"/>
        <v>863.64</v>
      </c>
      <c r="J280" s="1238" t="s">
        <v>123</v>
      </c>
      <c r="O280" s="458"/>
      <c r="P280" s="473"/>
      <c r="Q280" s="473"/>
      <c r="R280" s="473"/>
      <c r="S280" s="473"/>
      <c r="T280" s="458"/>
      <c r="U280" s="458"/>
      <c r="V280" s="458"/>
      <c r="W280" s="458"/>
      <c r="X280" s="458"/>
      <c r="Y280" s="458"/>
      <c r="Z280" s="458"/>
      <c r="AA280" s="458"/>
      <c r="AB280" s="458"/>
    </row>
    <row r="281" spans="1:28" ht="15.75" hidden="1" outlineLevel="1">
      <c r="A281" s="458">
        <v>1</v>
      </c>
      <c r="B281" t="str">
        <f>+B$30</f>
        <v xml:space="preserve">Carson City </v>
      </c>
      <c r="C281" s="604"/>
      <c r="D281" s="604">
        <f>E177</f>
        <v>0</v>
      </c>
      <c r="E281" s="1302"/>
      <c r="F281" s="1329">
        <f t="shared" ref="F281:I286" si="154">F$206*F210*$D281</f>
        <v>0</v>
      </c>
      <c r="G281" s="1329">
        <f t="shared" si="154"/>
        <v>0</v>
      </c>
      <c r="H281" s="1329">
        <f t="shared" si="154"/>
        <v>0</v>
      </c>
      <c r="I281" s="1329">
        <f t="shared" si="154"/>
        <v>0</v>
      </c>
      <c r="J281" s="1333">
        <f t="shared" ref="J281:J287" si="155">SUM(E281:I281)</f>
        <v>0</v>
      </c>
      <c r="O281" s="458"/>
      <c r="P281" s="473"/>
      <c r="Q281" s="473"/>
      <c r="R281" s="473"/>
      <c r="S281" s="473"/>
      <c r="T281" s="458"/>
      <c r="U281" s="458"/>
      <c r="V281" s="458"/>
      <c r="W281" s="458"/>
      <c r="X281" s="458"/>
      <c r="Y281" s="458"/>
      <c r="Z281" s="458"/>
      <c r="AA281" s="458"/>
      <c r="AB281" s="458"/>
    </row>
    <row r="282" spans="1:28" ht="15.75" hidden="1" outlineLevel="1">
      <c r="A282" s="458">
        <f>1+A281</f>
        <v>2</v>
      </c>
      <c r="B282" t="str">
        <f>+$B$31</f>
        <v xml:space="preserve">Churchill </v>
      </c>
      <c r="C282" s="5"/>
      <c r="D282" s="5">
        <f t="shared" ref="D282:D286" si="156">E178</f>
        <v>0</v>
      </c>
      <c r="E282" s="1302"/>
      <c r="F282" s="1330">
        <f t="shared" si="154"/>
        <v>0</v>
      </c>
      <c r="G282" s="1330">
        <f t="shared" si="154"/>
        <v>0</v>
      </c>
      <c r="H282" s="1330">
        <f t="shared" si="154"/>
        <v>0</v>
      </c>
      <c r="I282" s="1330">
        <f t="shared" si="154"/>
        <v>0</v>
      </c>
      <c r="J282" s="1299">
        <f t="shared" si="155"/>
        <v>0</v>
      </c>
      <c r="O282" s="458"/>
      <c r="P282" s="473"/>
      <c r="Q282" s="473"/>
      <c r="R282" s="473"/>
      <c r="S282" s="473"/>
      <c r="T282" s="458"/>
      <c r="U282" s="458"/>
      <c r="V282" s="458"/>
      <c r="W282" s="458"/>
      <c r="X282" s="458"/>
      <c r="Y282" s="458"/>
      <c r="Z282" s="458"/>
      <c r="AA282" s="458"/>
      <c r="AB282" s="458"/>
    </row>
    <row r="283" spans="1:28" ht="15.75" hidden="1" outlineLevel="1">
      <c r="A283" s="458">
        <f t="shared" ref="A283:A286" si="157">1+A282</f>
        <v>3</v>
      </c>
      <c r="B283" t="str">
        <f>+$B$32</f>
        <v xml:space="preserve">Clark </v>
      </c>
      <c r="C283" s="5"/>
      <c r="D283" s="5" t="str">
        <f t="shared" si="156"/>
        <v>General</v>
      </c>
      <c r="E283" s="1302"/>
      <c r="F283" s="1330" t="e">
        <f t="shared" si="154"/>
        <v>#VALUE!</v>
      </c>
      <c r="G283" s="1330" t="e">
        <f t="shared" si="154"/>
        <v>#VALUE!</v>
      </c>
      <c r="H283" s="1330" t="e">
        <f t="shared" si="154"/>
        <v>#VALUE!</v>
      </c>
      <c r="I283" s="1330" t="e">
        <f t="shared" si="154"/>
        <v>#VALUE!</v>
      </c>
      <c r="J283" s="1299" t="e">
        <f t="shared" si="155"/>
        <v>#VALUE!</v>
      </c>
      <c r="O283" s="458"/>
      <c r="P283" s="473"/>
      <c r="Q283" s="473"/>
      <c r="R283" s="473"/>
      <c r="S283" s="473"/>
      <c r="T283" s="458"/>
      <c r="U283" s="458"/>
      <c r="V283" s="458"/>
      <c r="W283" s="458"/>
      <c r="X283" s="458"/>
      <c r="Y283" s="458"/>
      <c r="Z283" s="458"/>
      <c r="AA283" s="458"/>
      <c r="AB283" s="458"/>
    </row>
    <row r="284" spans="1:28" ht="15.75" hidden="1" outlineLevel="1">
      <c r="A284" s="458">
        <f t="shared" si="157"/>
        <v>4</v>
      </c>
      <c r="B284" t="str">
        <f>+$B$33</f>
        <v xml:space="preserve">Elko </v>
      </c>
      <c r="C284" s="5"/>
      <c r="D284" s="5">
        <f t="shared" si="156"/>
        <v>100</v>
      </c>
      <c r="E284" s="1302"/>
      <c r="F284" s="1330">
        <f t="shared" si="154"/>
        <v>2084171.76</v>
      </c>
      <c r="G284" s="1330">
        <f t="shared" si="154"/>
        <v>551185.92000000004</v>
      </c>
      <c r="H284" s="1330">
        <f t="shared" si="154"/>
        <v>12918.419999999998</v>
      </c>
      <c r="I284" s="1330">
        <f t="shared" si="154"/>
        <v>68898.240000000005</v>
      </c>
      <c r="J284" s="1299">
        <f t="shared" si="155"/>
        <v>2717174.3400000003</v>
      </c>
      <c r="O284" s="458"/>
      <c r="P284" s="473"/>
      <c r="Q284" s="473"/>
      <c r="R284" s="473"/>
      <c r="S284" s="473"/>
      <c r="T284" s="458"/>
      <c r="U284" s="458"/>
      <c r="V284" s="458"/>
      <c r="W284" s="458"/>
      <c r="X284" s="458"/>
      <c r="Y284" s="458"/>
      <c r="Z284" s="458"/>
      <c r="AA284" s="458"/>
      <c r="AB284" s="458"/>
    </row>
    <row r="285" spans="1:28" ht="15.75" hidden="1" outlineLevel="1">
      <c r="A285" s="458">
        <f t="shared" si="157"/>
        <v>5</v>
      </c>
      <c r="B285" t="str">
        <f>+$B$34</f>
        <v xml:space="preserve">Washoe </v>
      </c>
      <c r="C285" s="5"/>
      <c r="D285" s="5">
        <f t="shared" si="156"/>
        <v>0</v>
      </c>
      <c r="E285" s="1302"/>
      <c r="F285" s="1330">
        <f t="shared" si="154"/>
        <v>0</v>
      </c>
      <c r="G285" s="1330">
        <f t="shared" si="154"/>
        <v>0</v>
      </c>
      <c r="H285" s="1330">
        <f t="shared" si="154"/>
        <v>0</v>
      </c>
      <c r="I285" s="1330">
        <f t="shared" si="154"/>
        <v>0</v>
      </c>
      <c r="J285" s="1299">
        <f t="shared" si="155"/>
        <v>0</v>
      </c>
      <c r="O285" s="458"/>
      <c r="P285" s="473"/>
      <c r="Q285" s="473"/>
      <c r="R285" s="473"/>
      <c r="S285" s="473"/>
      <c r="T285" s="458"/>
      <c r="U285" s="458"/>
      <c r="V285" s="458"/>
      <c r="W285" s="458"/>
      <c r="X285" s="458"/>
      <c r="Y285" s="458"/>
      <c r="Z285" s="458"/>
      <c r="AA285" s="458"/>
      <c r="AB285" s="458"/>
    </row>
    <row r="286" spans="1:28" ht="15.75" hidden="1" outlineLevel="1">
      <c r="A286" s="458">
        <f t="shared" si="157"/>
        <v>6</v>
      </c>
      <c r="B286" t="str">
        <f>+$B$35</f>
        <v xml:space="preserve">White Pine </v>
      </c>
      <c r="C286" s="5"/>
      <c r="D286" s="5">
        <f t="shared" si="156"/>
        <v>0</v>
      </c>
      <c r="E286" s="1302"/>
      <c r="F286" s="1331">
        <f t="shared" si="154"/>
        <v>0</v>
      </c>
      <c r="G286" s="1331">
        <f t="shared" si="154"/>
        <v>0</v>
      </c>
      <c r="H286" s="1331">
        <f t="shared" si="154"/>
        <v>0</v>
      </c>
      <c r="I286" s="1331">
        <f t="shared" si="154"/>
        <v>0</v>
      </c>
      <c r="J286" s="1310">
        <f t="shared" si="155"/>
        <v>0</v>
      </c>
      <c r="O286" s="458"/>
      <c r="P286" s="473"/>
      <c r="Q286" s="473"/>
      <c r="R286" s="473"/>
      <c r="S286" s="473"/>
      <c r="T286" s="458"/>
      <c r="U286" s="458"/>
      <c r="V286" s="458"/>
      <c r="W286" s="458"/>
      <c r="X286" s="458"/>
      <c r="Y286" s="458"/>
      <c r="Z286" s="458"/>
      <c r="AA286" s="458"/>
      <c r="AB286" s="458"/>
    </row>
    <row r="287" spans="1:28" ht="15.75" hidden="1" outlineLevel="1">
      <c r="A287" s="458"/>
      <c r="B287" s="1311" t="s">
        <v>123</v>
      </c>
      <c r="C287" s="1311"/>
      <c r="D287" s="1311"/>
      <c r="E287" s="1339"/>
      <c r="F287" s="1338" t="e">
        <f t="shared" ref="F287" si="158">SUM(F281:F286)</f>
        <v>#VALUE!</v>
      </c>
      <c r="G287" s="1338" t="e">
        <f t="shared" ref="G287" si="159">SUM(G281:G286)</f>
        <v>#VALUE!</v>
      </c>
      <c r="H287" s="1338" t="e">
        <f t="shared" ref="H287" si="160">SUM(H281:H286)</f>
        <v>#VALUE!</v>
      </c>
      <c r="I287" s="1338" t="e">
        <f t="shared" ref="I287" si="161">SUM(I281:I286)</f>
        <v>#VALUE!</v>
      </c>
      <c r="J287" s="1334" t="e">
        <f t="shared" si="155"/>
        <v>#VALUE!</v>
      </c>
      <c r="O287" s="458"/>
      <c r="P287" s="473"/>
      <c r="Q287" s="473"/>
      <c r="R287" s="473"/>
      <c r="S287" s="473"/>
      <c r="T287" s="458"/>
      <c r="U287" s="458"/>
      <c r="V287" s="458"/>
      <c r="W287" s="458"/>
      <c r="X287" s="458"/>
      <c r="Y287" s="458"/>
      <c r="Z287" s="458"/>
      <c r="AA287" s="458"/>
      <c r="AB287" s="458"/>
    </row>
    <row r="288" spans="1:28" ht="15.75" hidden="1" outlineLevel="1">
      <c r="A288" s="458"/>
      <c r="O288" s="458"/>
      <c r="P288" s="473"/>
      <c r="Q288" s="473"/>
      <c r="R288" s="473"/>
      <c r="S288" s="473"/>
      <c r="T288" s="458"/>
      <c r="U288" s="458"/>
      <c r="V288" s="458"/>
      <c r="W288" s="458"/>
      <c r="X288" s="458"/>
      <c r="Y288" s="458"/>
      <c r="Z288" s="458"/>
      <c r="AA288" s="458"/>
      <c r="AB288" s="458"/>
    </row>
    <row r="289" spans="1:28" ht="15.75" hidden="1" outlineLevel="1">
      <c r="A289" s="458"/>
      <c r="E289" s="1235" t="s">
        <v>1153</v>
      </c>
      <c r="F289" s="1"/>
      <c r="G289" s="504"/>
      <c r="H289" s="504"/>
      <c r="I289" s="504"/>
      <c r="O289" s="458"/>
      <c r="P289" s="473"/>
      <c r="Q289" s="473"/>
      <c r="R289" s="473"/>
      <c r="S289" s="473"/>
      <c r="T289" s="458"/>
      <c r="U289" s="458"/>
      <c r="V289" s="458"/>
      <c r="W289" s="458"/>
      <c r="X289" s="458"/>
      <c r="Y289" s="458"/>
      <c r="Z289" s="458"/>
      <c r="AA289" s="458"/>
      <c r="AB289" s="458"/>
    </row>
    <row r="290" spans="1:28" ht="15.75" hidden="1" outlineLevel="1">
      <c r="A290" s="458"/>
      <c r="E290" s="1238" t="s">
        <v>498</v>
      </c>
      <c r="F290" s="1312" t="s">
        <v>1127</v>
      </c>
      <c r="G290" s="1238" t="s">
        <v>1128</v>
      </c>
      <c r="H290" s="1238" t="s">
        <v>1117</v>
      </c>
      <c r="I290" s="1238" t="s">
        <v>1129</v>
      </c>
      <c r="J290" s="1312" t="s">
        <v>123</v>
      </c>
      <c r="O290" s="458"/>
      <c r="P290" s="473"/>
      <c r="Q290" s="473"/>
      <c r="R290" s="473"/>
      <c r="S290" s="473"/>
      <c r="T290" s="458"/>
      <c r="U290" s="458"/>
      <c r="V290" s="458"/>
      <c r="W290" s="458"/>
      <c r="X290" s="458"/>
      <c r="Y290" s="458"/>
      <c r="Z290" s="458"/>
      <c r="AA290" s="458"/>
      <c r="AB290" s="458"/>
    </row>
    <row r="291" spans="1:28" ht="15.75" hidden="1" outlineLevel="1">
      <c r="A291" s="458">
        <v>1</v>
      </c>
      <c r="B291" t="str">
        <f>+B$30</f>
        <v xml:space="preserve">Carson City </v>
      </c>
      <c r="C291" s="604"/>
      <c r="D291" s="604">
        <f>E177</f>
        <v>0</v>
      </c>
      <c r="E291" s="1313">
        <f t="shared" ref="E291:I296" si="162">+$E177*E199</f>
        <v>0</v>
      </c>
      <c r="F291" s="1313">
        <f t="shared" si="162"/>
        <v>0</v>
      </c>
      <c r="G291" s="1313">
        <f t="shared" si="162"/>
        <v>0</v>
      </c>
      <c r="H291" s="1313">
        <f t="shared" si="162"/>
        <v>0</v>
      </c>
      <c r="I291" s="1313">
        <f t="shared" si="162"/>
        <v>0</v>
      </c>
      <c r="J291" s="1337">
        <f t="shared" ref="J291:J297" si="163">SUM(E291:I291)</f>
        <v>0</v>
      </c>
      <c r="O291" s="458"/>
      <c r="P291" s="473"/>
      <c r="Q291" s="473"/>
      <c r="R291" s="473"/>
      <c r="S291" s="473"/>
      <c r="T291" s="458"/>
      <c r="U291" s="458"/>
      <c r="V291" s="458"/>
      <c r="W291" s="458"/>
      <c r="X291" s="458"/>
      <c r="Y291" s="458"/>
      <c r="Z291" s="458"/>
      <c r="AA291" s="458"/>
      <c r="AB291" s="458"/>
    </row>
    <row r="292" spans="1:28" ht="15.75" hidden="1" outlineLevel="1">
      <c r="A292" s="458">
        <f>1+A291</f>
        <v>2</v>
      </c>
      <c r="B292" t="str">
        <f>+$B$31</f>
        <v xml:space="preserve">Churchill </v>
      </c>
      <c r="C292" s="5"/>
      <c r="D292" s="5">
        <f t="shared" ref="D292:D296" si="164">E178</f>
        <v>0</v>
      </c>
      <c r="E292" s="1314">
        <f t="shared" si="162"/>
        <v>0</v>
      </c>
      <c r="F292" s="1314">
        <f t="shared" si="162"/>
        <v>0</v>
      </c>
      <c r="G292" s="1314">
        <f t="shared" si="162"/>
        <v>0</v>
      </c>
      <c r="H292" s="1314">
        <f t="shared" si="162"/>
        <v>0</v>
      </c>
      <c r="I292" s="1314">
        <f t="shared" si="162"/>
        <v>0</v>
      </c>
      <c r="J292" s="1304">
        <f t="shared" si="163"/>
        <v>0</v>
      </c>
      <c r="O292" s="458"/>
      <c r="P292" s="473"/>
      <c r="Q292" s="473"/>
      <c r="R292" s="473"/>
      <c r="S292" s="473"/>
      <c r="T292" s="458"/>
      <c r="U292" s="458"/>
      <c r="V292" s="458"/>
      <c r="W292" s="458"/>
      <c r="X292" s="458"/>
      <c r="Y292" s="458"/>
      <c r="Z292" s="458"/>
      <c r="AA292" s="458"/>
      <c r="AB292" s="458"/>
    </row>
    <row r="293" spans="1:28" ht="15.75" hidden="1" outlineLevel="1">
      <c r="A293" s="458">
        <f t="shared" ref="A293:A296" si="165">1+A292</f>
        <v>3</v>
      </c>
      <c r="B293" t="str">
        <f>+$B$32</f>
        <v xml:space="preserve">Clark </v>
      </c>
      <c r="C293" s="5"/>
      <c r="D293" s="5" t="str">
        <f t="shared" si="164"/>
        <v>General</v>
      </c>
      <c r="E293" s="1314" t="e">
        <f t="shared" si="162"/>
        <v>#VALUE!</v>
      </c>
      <c r="F293" s="1314" t="e">
        <f t="shared" si="162"/>
        <v>#VALUE!</v>
      </c>
      <c r="G293" s="1314" t="e">
        <f t="shared" si="162"/>
        <v>#VALUE!</v>
      </c>
      <c r="H293" s="1314" t="e">
        <f t="shared" si="162"/>
        <v>#VALUE!</v>
      </c>
      <c r="I293" s="1314" t="e">
        <f t="shared" si="162"/>
        <v>#VALUE!</v>
      </c>
      <c r="J293" s="1304" t="e">
        <f t="shared" si="163"/>
        <v>#VALUE!</v>
      </c>
      <c r="O293" s="458"/>
      <c r="P293" s="473"/>
      <c r="Q293" s="473"/>
      <c r="R293" s="473"/>
      <c r="S293" s="473"/>
      <c r="T293" s="458"/>
      <c r="U293" s="458"/>
      <c r="V293" s="458"/>
      <c r="W293" s="458"/>
      <c r="X293" s="458"/>
      <c r="Y293" s="458"/>
      <c r="Z293" s="458"/>
      <c r="AA293" s="458"/>
      <c r="AB293" s="458"/>
    </row>
    <row r="294" spans="1:28" ht="15.75" hidden="1" outlineLevel="1">
      <c r="A294" s="458">
        <f t="shared" si="165"/>
        <v>4</v>
      </c>
      <c r="B294" t="str">
        <f>+$B$33</f>
        <v xml:space="preserve">Elko </v>
      </c>
      <c r="C294" s="5"/>
      <c r="D294" s="5">
        <f t="shared" si="164"/>
        <v>100</v>
      </c>
      <c r="E294" s="1314">
        <f t="shared" si="162"/>
        <v>797433.33333333326</v>
      </c>
      <c r="F294" s="1314">
        <f t="shared" si="162"/>
        <v>1060586.3333333333</v>
      </c>
      <c r="G294" s="1314">
        <f t="shared" si="162"/>
        <v>873986.93333333335</v>
      </c>
      <c r="H294" s="1314">
        <f t="shared" si="162"/>
        <v>811787.1333333333</v>
      </c>
      <c r="I294" s="1314">
        <f t="shared" si="162"/>
        <v>893125.33333333337</v>
      </c>
      <c r="J294" s="1304">
        <f t="shared" si="163"/>
        <v>4436919.0666666664</v>
      </c>
      <c r="O294" s="458"/>
      <c r="P294" s="473"/>
      <c r="Q294" s="473"/>
      <c r="R294" s="473"/>
      <c r="S294" s="473"/>
      <c r="T294" s="458"/>
      <c r="U294" s="458"/>
      <c r="V294" s="458"/>
      <c r="W294" s="458"/>
      <c r="X294" s="458"/>
      <c r="Y294" s="458"/>
      <c r="Z294" s="458"/>
      <c r="AA294" s="458"/>
      <c r="AB294" s="458"/>
    </row>
    <row r="295" spans="1:28" ht="15.75" hidden="1" outlineLevel="1">
      <c r="A295" s="458">
        <f t="shared" si="165"/>
        <v>5</v>
      </c>
      <c r="B295" t="str">
        <f>+$B$34</f>
        <v xml:space="preserve">Washoe </v>
      </c>
      <c r="C295" s="5"/>
      <c r="D295" s="5">
        <f t="shared" si="164"/>
        <v>0</v>
      </c>
      <c r="E295" s="1314">
        <f t="shared" si="162"/>
        <v>0</v>
      </c>
      <c r="F295" s="1314">
        <f t="shared" si="162"/>
        <v>0</v>
      </c>
      <c r="G295" s="1314">
        <f t="shared" si="162"/>
        <v>0</v>
      </c>
      <c r="H295" s="1314">
        <f t="shared" si="162"/>
        <v>0</v>
      </c>
      <c r="I295" s="1314">
        <f t="shared" si="162"/>
        <v>0</v>
      </c>
      <c r="J295" s="1304">
        <f t="shared" si="163"/>
        <v>0</v>
      </c>
      <c r="O295" s="458"/>
      <c r="P295" s="473"/>
      <c r="Q295" s="473"/>
      <c r="R295" s="473"/>
      <c r="S295" s="473"/>
      <c r="T295" s="458"/>
      <c r="U295" s="458"/>
      <c r="V295" s="458"/>
      <c r="W295" s="458"/>
      <c r="X295" s="458"/>
      <c r="Y295" s="458"/>
      <c r="Z295" s="458"/>
      <c r="AA295" s="458"/>
      <c r="AB295" s="458"/>
    </row>
    <row r="296" spans="1:28" ht="15.75" hidden="1" outlineLevel="1">
      <c r="A296" s="458">
        <f t="shared" si="165"/>
        <v>6</v>
      </c>
      <c r="B296" t="str">
        <f>+$B$35</f>
        <v xml:space="preserve">White Pine </v>
      </c>
      <c r="C296" s="5"/>
      <c r="D296" s="5">
        <f t="shared" si="164"/>
        <v>0</v>
      </c>
      <c r="E296" s="1315" t="e">
        <f t="shared" si="162"/>
        <v>#VALUE!</v>
      </c>
      <c r="F296" s="1315">
        <f t="shared" si="162"/>
        <v>0</v>
      </c>
      <c r="G296" s="1315">
        <f t="shared" si="162"/>
        <v>0</v>
      </c>
      <c r="H296" s="1315">
        <f t="shared" si="162"/>
        <v>0</v>
      </c>
      <c r="I296" s="1315">
        <f t="shared" si="162"/>
        <v>0</v>
      </c>
      <c r="J296" s="1304" t="e">
        <f t="shared" si="163"/>
        <v>#VALUE!</v>
      </c>
      <c r="O296" s="458"/>
      <c r="P296" s="473"/>
      <c r="Q296" s="473"/>
      <c r="R296" s="473"/>
      <c r="S296" s="473"/>
      <c r="T296" s="458"/>
      <c r="U296" s="458"/>
      <c r="V296" s="458"/>
      <c r="W296" s="458"/>
      <c r="X296" s="458"/>
      <c r="Y296" s="458"/>
      <c r="Z296" s="458"/>
      <c r="AA296" s="458"/>
      <c r="AB296" s="458"/>
    </row>
    <row r="297" spans="1:28" ht="15.75" hidden="1" outlineLevel="1">
      <c r="A297" s="458"/>
      <c r="B297" s="1311" t="s">
        <v>123</v>
      </c>
      <c r="C297" s="1311"/>
      <c r="D297" s="1311"/>
      <c r="E297" s="1338" t="e">
        <f>SUM(E291:E296)</f>
        <v>#VALUE!</v>
      </c>
      <c r="F297" s="1338" t="e">
        <f t="shared" ref="F297" si="166">SUM(F291:F296)</f>
        <v>#VALUE!</v>
      </c>
      <c r="G297" s="1338" t="e">
        <f t="shared" ref="G297" si="167">SUM(G291:G296)</f>
        <v>#VALUE!</v>
      </c>
      <c r="H297" s="1338" t="e">
        <f t="shared" ref="H297" si="168">SUM(H291:H296)</f>
        <v>#VALUE!</v>
      </c>
      <c r="I297" s="1338" t="e">
        <f t="shared" ref="I297" si="169">SUM(I291:I296)</f>
        <v>#VALUE!</v>
      </c>
      <c r="J297" s="1338" t="e">
        <f t="shared" si="163"/>
        <v>#VALUE!</v>
      </c>
      <c r="O297" s="458"/>
      <c r="P297" s="473"/>
      <c r="Q297" s="473"/>
      <c r="R297" s="473"/>
      <c r="S297" s="473"/>
      <c r="T297" s="458"/>
      <c r="U297" s="458"/>
      <c r="V297" s="458"/>
      <c r="W297" s="458"/>
      <c r="X297" s="458"/>
      <c r="Y297" s="458"/>
      <c r="Z297" s="458"/>
      <c r="AA297" s="458"/>
      <c r="AB297" s="458"/>
    </row>
    <row r="298" spans="1:28" ht="15.75" hidden="1" outlineLevel="1">
      <c r="A298" s="458"/>
      <c r="O298" s="458"/>
      <c r="P298" s="473"/>
      <c r="Q298" s="473"/>
      <c r="R298" s="473"/>
      <c r="S298" s="473"/>
      <c r="T298" s="458"/>
      <c r="U298" s="458"/>
      <c r="V298" s="458"/>
      <c r="W298" s="458"/>
      <c r="X298" s="458"/>
      <c r="Y298" s="458"/>
      <c r="Z298" s="458"/>
      <c r="AA298" s="458"/>
      <c r="AB298" s="458"/>
    </row>
    <row r="299" spans="1:28" ht="15.75" hidden="1" outlineLevel="1">
      <c r="A299" s="458"/>
      <c r="B299" s="1311" t="s">
        <v>1148</v>
      </c>
      <c r="C299" s="1311"/>
      <c r="D299" s="1311"/>
      <c r="E299" s="1338" t="e">
        <f>+E287+E297</f>
        <v>#VALUE!</v>
      </c>
      <c r="F299" s="1338" t="e">
        <f t="shared" ref="F299:I299" si="170">+F287+F297</f>
        <v>#VALUE!</v>
      </c>
      <c r="G299" s="1338" t="e">
        <f t="shared" si="170"/>
        <v>#VALUE!</v>
      </c>
      <c r="H299" s="1338" t="e">
        <f t="shared" si="170"/>
        <v>#VALUE!</v>
      </c>
      <c r="I299" s="1338" t="e">
        <f t="shared" si="170"/>
        <v>#VALUE!</v>
      </c>
      <c r="J299" s="1340" t="e">
        <f>SUM(E299:I299)</f>
        <v>#VALUE!</v>
      </c>
      <c r="O299" s="458"/>
      <c r="P299" s="473"/>
      <c r="Q299" s="473"/>
      <c r="R299" s="473"/>
      <c r="S299" s="473"/>
      <c r="T299" s="458"/>
      <c r="U299" s="458"/>
      <c r="V299" s="458"/>
      <c r="W299" s="458"/>
      <c r="X299" s="458"/>
      <c r="Y299" s="458"/>
      <c r="Z299" s="458"/>
      <c r="AA299" s="458"/>
      <c r="AB299" s="458"/>
    </row>
    <row r="300" spans="1:28" ht="15.75" hidden="1" outlineLevel="1">
      <c r="A300" s="458"/>
      <c r="O300" s="458"/>
      <c r="P300" s="473"/>
      <c r="Q300" s="473"/>
      <c r="R300" s="473"/>
      <c r="S300" s="473"/>
      <c r="T300" s="458"/>
      <c r="U300" s="458"/>
      <c r="V300" s="458"/>
      <c r="W300" s="458"/>
      <c r="X300" s="458"/>
      <c r="Y300" s="458"/>
      <c r="Z300" s="458"/>
      <c r="AA300" s="458"/>
      <c r="AB300" s="458"/>
    </row>
    <row r="301" spans="1:28" ht="15.75" hidden="1" outlineLevel="1">
      <c r="A301" s="458"/>
      <c r="O301" s="458"/>
      <c r="P301" s="473"/>
      <c r="Q301" s="473"/>
      <c r="R301" s="473"/>
      <c r="S301" s="473"/>
      <c r="T301" s="458"/>
      <c r="U301" s="458"/>
      <c r="V301" s="458"/>
      <c r="W301" s="458"/>
      <c r="X301" s="458"/>
      <c r="Y301" s="458"/>
      <c r="Z301" s="458"/>
      <c r="AA301" s="458"/>
      <c r="AB301" s="458"/>
    </row>
    <row r="302" spans="1:28" ht="15.75" hidden="1" outlineLevel="1">
      <c r="A302" s="458"/>
      <c r="O302" s="458"/>
      <c r="P302" s="473"/>
      <c r="Q302" s="473"/>
      <c r="R302" s="473"/>
      <c r="S302" s="473"/>
      <c r="T302" s="458"/>
      <c r="U302" s="458"/>
      <c r="V302" s="458"/>
      <c r="W302" s="458"/>
      <c r="X302" s="458"/>
      <c r="Y302" s="458"/>
      <c r="Z302" s="458"/>
      <c r="AA302" s="458"/>
      <c r="AB302" s="458"/>
    </row>
    <row r="303" spans="1:28" ht="15.75" collapsed="1">
      <c r="A303" s="458"/>
      <c r="O303" s="458"/>
      <c r="P303" s="473"/>
      <c r="Q303" s="473"/>
      <c r="R303" s="473"/>
      <c r="S303" s="473"/>
      <c r="T303" s="458"/>
      <c r="U303" s="458"/>
      <c r="V303" s="458"/>
      <c r="W303" s="458"/>
      <c r="X303" s="458"/>
      <c r="Y303" s="458"/>
      <c r="Z303" s="458"/>
      <c r="AA303" s="458"/>
      <c r="AB303" s="458"/>
    </row>
    <row r="304" spans="1:28" ht="15.75">
      <c r="A304" s="458"/>
      <c r="O304" s="458"/>
      <c r="P304" s="473"/>
      <c r="Q304" s="473"/>
      <c r="R304" s="473"/>
      <c r="S304" s="473"/>
      <c r="T304" s="458"/>
      <c r="U304" s="458"/>
      <c r="V304" s="458"/>
      <c r="W304" s="458"/>
      <c r="X304" s="458"/>
      <c r="Y304" s="458"/>
      <c r="Z304" s="458"/>
      <c r="AA304" s="458"/>
      <c r="AB304" s="458"/>
    </row>
    <row r="305" spans="1:28" ht="15.75">
      <c r="A305" s="458"/>
      <c r="O305" s="458"/>
      <c r="P305" s="473"/>
      <c r="Q305" s="473"/>
      <c r="R305" s="473"/>
      <c r="S305" s="473"/>
      <c r="T305" s="458"/>
      <c r="U305" s="458"/>
      <c r="V305" s="458"/>
      <c r="W305" s="458"/>
      <c r="X305" s="458"/>
      <c r="Y305" s="458"/>
      <c r="Z305" s="458"/>
      <c r="AA305" s="458"/>
      <c r="AB305" s="458"/>
    </row>
    <row r="306" spans="1:28" ht="15.75">
      <c r="A306" s="458"/>
      <c r="O306" s="458"/>
      <c r="P306" s="473"/>
      <c r="Q306" s="473"/>
      <c r="R306" s="473"/>
      <c r="S306" s="473"/>
      <c r="T306" s="458"/>
      <c r="U306" s="458"/>
      <c r="V306" s="458"/>
      <c r="W306" s="458"/>
      <c r="X306" s="458"/>
      <c r="Y306" s="458"/>
      <c r="Z306" s="458"/>
      <c r="AA306" s="458"/>
      <c r="AB306" s="458"/>
    </row>
    <row r="307" spans="1:28" ht="15.75">
      <c r="A307" s="458"/>
      <c r="O307" s="458"/>
      <c r="P307" s="473"/>
      <c r="Q307" s="473"/>
      <c r="R307" s="473"/>
      <c r="S307" s="473"/>
      <c r="T307" s="458"/>
      <c r="U307" s="458"/>
      <c r="V307" s="458"/>
      <c r="W307" s="458"/>
      <c r="X307" s="458"/>
      <c r="Y307" s="458"/>
      <c r="Z307" s="458"/>
      <c r="AA307" s="458"/>
      <c r="AB307" s="458"/>
    </row>
    <row r="308" spans="1:28" ht="15.75">
      <c r="A308" s="458"/>
      <c r="O308" s="458"/>
      <c r="P308" s="473"/>
      <c r="Q308" s="473"/>
      <c r="R308" s="473"/>
      <c r="S308" s="473"/>
      <c r="T308" s="458"/>
      <c r="U308" s="458"/>
      <c r="V308" s="458"/>
      <c r="W308" s="458"/>
      <c r="X308" s="458"/>
      <c r="Y308" s="458"/>
      <c r="Z308" s="458"/>
      <c r="AA308" s="458"/>
      <c r="AB308" s="458"/>
    </row>
    <row r="309" spans="1:28" ht="15.75">
      <c r="A309" s="458"/>
      <c r="O309" s="458"/>
      <c r="P309" s="473"/>
      <c r="Q309" s="473"/>
      <c r="R309" s="473"/>
      <c r="S309" s="473"/>
      <c r="T309" s="458"/>
      <c r="U309" s="458"/>
      <c r="V309" s="458"/>
      <c r="W309" s="458"/>
      <c r="X309" s="458"/>
      <c r="Y309" s="458"/>
      <c r="Z309" s="458"/>
      <c r="AA309" s="458"/>
      <c r="AB309" s="458"/>
    </row>
    <row r="310" spans="1:28" ht="15.75">
      <c r="A310" s="458"/>
      <c r="O310" s="458"/>
      <c r="P310" s="473"/>
      <c r="Q310" s="473"/>
      <c r="R310" s="473"/>
      <c r="S310" s="473"/>
      <c r="T310" s="458"/>
      <c r="U310" s="458"/>
      <c r="V310" s="458"/>
      <c r="W310" s="458"/>
      <c r="X310" s="458"/>
      <c r="Y310" s="458"/>
      <c r="Z310" s="458"/>
      <c r="AA310" s="458"/>
      <c r="AB310" s="458"/>
    </row>
    <row r="311" spans="1:28" ht="15.75">
      <c r="A311" s="458"/>
      <c r="O311" s="458"/>
      <c r="P311" s="473"/>
      <c r="Q311" s="473"/>
      <c r="R311" s="473"/>
      <c r="S311" s="473"/>
      <c r="T311" s="458"/>
      <c r="U311" s="458"/>
      <c r="V311" s="458"/>
      <c r="W311" s="458"/>
      <c r="X311" s="458"/>
      <c r="Y311" s="458"/>
      <c r="Z311" s="458"/>
      <c r="AA311" s="458"/>
      <c r="AB311" s="458"/>
    </row>
    <row r="312" spans="1:28" ht="15.75">
      <c r="A312" s="458"/>
      <c r="O312" s="458"/>
      <c r="P312" s="473"/>
      <c r="Q312" s="473"/>
      <c r="R312" s="473"/>
      <c r="S312" s="473"/>
      <c r="T312" s="458"/>
      <c r="U312" s="458"/>
      <c r="V312" s="458"/>
      <c r="W312" s="458"/>
      <c r="X312" s="458"/>
      <c r="Y312" s="458"/>
      <c r="Z312" s="458"/>
      <c r="AA312" s="458"/>
      <c r="AB312" s="458"/>
    </row>
    <row r="313" spans="1:28" ht="15.75">
      <c r="A313" s="458"/>
      <c r="O313" s="458"/>
      <c r="P313" s="473"/>
      <c r="Q313" s="473"/>
      <c r="R313" s="473"/>
      <c r="S313" s="473"/>
      <c r="T313" s="458"/>
      <c r="U313" s="458"/>
      <c r="V313" s="458"/>
      <c r="W313" s="458"/>
      <c r="X313" s="458"/>
      <c r="Y313" s="458"/>
      <c r="Z313" s="458"/>
      <c r="AA313" s="458"/>
      <c r="AB313" s="458"/>
    </row>
    <row r="314" spans="1:28" ht="15.75">
      <c r="A314" s="458"/>
      <c r="O314" s="458"/>
      <c r="P314" s="473"/>
      <c r="Q314" s="473"/>
      <c r="R314" s="473"/>
      <c r="S314" s="473"/>
      <c r="T314" s="458"/>
      <c r="U314" s="458"/>
      <c r="V314" s="458"/>
      <c r="W314" s="458"/>
      <c r="X314" s="458"/>
      <c r="Y314" s="458"/>
      <c r="Z314" s="458"/>
      <c r="AA314" s="458"/>
      <c r="AB314" s="458"/>
    </row>
    <row r="315" spans="1:28" ht="15.75">
      <c r="A315" s="458"/>
      <c r="O315" s="458"/>
      <c r="P315" s="473"/>
      <c r="Q315" s="473"/>
      <c r="R315" s="473"/>
      <c r="S315" s="473"/>
      <c r="T315" s="458"/>
      <c r="U315" s="458"/>
      <c r="V315" s="458"/>
      <c r="W315" s="458"/>
      <c r="X315" s="458"/>
      <c r="Y315" s="458"/>
      <c r="Z315" s="458"/>
      <c r="AA315" s="458"/>
      <c r="AB315" s="458"/>
    </row>
    <row r="316" spans="1:28" ht="15.75">
      <c r="A316" s="458"/>
      <c r="O316" s="458"/>
      <c r="P316" s="473"/>
      <c r="Q316" s="473"/>
      <c r="R316" s="473"/>
      <c r="S316" s="473"/>
      <c r="T316" s="458"/>
      <c r="U316" s="458"/>
      <c r="V316" s="458"/>
      <c r="W316" s="458"/>
      <c r="X316" s="458"/>
      <c r="Y316" s="458"/>
      <c r="Z316" s="458"/>
      <c r="AA316" s="458"/>
      <c r="AB316" s="458"/>
    </row>
    <row r="317" spans="1:28" ht="15.75">
      <c r="A317" s="458"/>
      <c r="O317" s="458"/>
      <c r="P317" s="473"/>
      <c r="Q317" s="473"/>
      <c r="R317" s="473"/>
      <c r="S317" s="473"/>
      <c r="T317" s="458"/>
      <c r="U317" s="458"/>
      <c r="V317" s="458"/>
      <c r="W317" s="458"/>
      <c r="X317" s="458"/>
      <c r="Y317" s="458"/>
      <c r="Z317" s="458"/>
      <c r="AA317" s="458"/>
      <c r="AB317" s="458"/>
    </row>
    <row r="318" spans="1:28" ht="15.75">
      <c r="A318" s="458"/>
      <c r="O318" s="458"/>
      <c r="P318" s="473"/>
      <c r="Q318" s="473"/>
      <c r="R318" s="473"/>
      <c r="S318" s="473"/>
      <c r="T318" s="458"/>
      <c r="U318" s="458"/>
      <c r="V318" s="458"/>
      <c r="W318" s="458"/>
      <c r="X318" s="458"/>
      <c r="Y318" s="458"/>
      <c r="Z318" s="458"/>
      <c r="AA318" s="458"/>
      <c r="AB318" s="458"/>
    </row>
    <row r="319" spans="1:28" ht="15.75">
      <c r="A319" s="458"/>
      <c r="O319" s="458"/>
      <c r="P319" s="473"/>
      <c r="Q319" s="473"/>
      <c r="R319" s="473"/>
      <c r="S319" s="473"/>
      <c r="T319" s="458"/>
      <c r="U319" s="458"/>
      <c r="V319" s="458"/>
      <c r="W319" s="458"/>
      <c r="X319" s="458"/>
      <c r="Y319" s="458"/>
      <c r="Z319" s="458"/>
      <c r="AA319" s="458"/>
      <c r="AB319" s="458"/>
    </row>
    <row r="320" spans="1:28" ht="15.75">
      <c r="A320" s="458"/>
      <c r="O320" s="458"/>
      <c r="P320" s="473"/>
      <c r="Q320" s="473"/>
      <c r="R320" s="473"/>
      <c r="S320" s="473"/>
      <c r="T320" s="458"/>
      <c r="U320" s="458"/>
      <c r="V320" s="458"/>
      <c r="W320" s="458"/>
      <c r="X320" s="458"/>
      <c r="Y320" s="458"/>
      <c r="Z320" s="458"/>
      <c r="AA320" s="458"/>
      <c r="AB320" s="458"/>
    </row>
    <row r="321" spans="1:28" ht="15.75">
      <c r="A321" s="458"/>
      <c r="O321" s="458"/>
      <c r="P321" s="473"/>
      <c r="Q321" s="473"/>
      <c r="R321" s="473"/>
      <c r="S321" s="473"/>
      <c r="T321" s="458"/>
      <c r="U321" s="458"/>
      <c r="V321" s="458"/>
      <c r="W321" s="458"/>
      <c r="X321" s="458"/>
      <c r="Y321" s="458"/>
      <c r="Z321" s="458"/>
      <c r="AA321" s="458"/>
      <c r="AB321" s="458"/>
    </row>
    <row r="322" spans="1:28" ht="15.75">
      <c r="A322" s="458"/>
      <c r="O322" s="458"/>
      <c r="P322" s="473"/>
      <c r="Q322" s="473"/>
      <c r="R322" s="473"/>
      <c r="S322" s="473"/>
      <c r="T322" s="458"/>
      <c r="U322" s="458"/>
      <c r="V322" s="458"/>
      <c r="W322" s="458"/>
      <c r="X322" s="458"/>
      <c r="Y322" s="458"/>
      <c r="Z322" s="458"/>
      <c r="AA322" s="458"/>
      <c r="AB322" s="458"/>
    </row>
    <row r="323" spans="1:28" ht="15.75">
      <c r="A323" s="458"/>
      <c r="O323" s="458"/>
      <c r="P323" s="473"/>
      <c r="Q323" s="473"/>
      <c r="R323" s="473"/>
      <c r="S323" s="473"/>
      <c r="T323" s="458"/>
      <c r="U323" s="458"/>
      <c r="V323" s="458"/>
      <c r="W323" s="458"/>
      <c r="X323" s="458"/>
      <c r="Y323" s="458"/>
      <c r="Z323" s="458"/>
      <c r="AA323" s="458"/>
      <c r="AB323" s="458"/>
    </row>
    <row r="324" spans="1:28" ht="15.75">
      <c r="A324" s="458"/>
      <c r="O324" s="458"/>
      <c r="P324" s="473"/>
      <c r="Q324" s="473"/>
      <c r="R324" s="473"/>
      <c r="S324" s="473"/>
      <c r="T324" s="458"/>
      <c r="U324" s="458"/>
      <c r="V324" s="458"/>
      <c r="W324" s="458"/>
      <c r="X324" s="458"/>
      <c r="Y324" s="458"/>
      <c r="Z324" s="458"/>
      <c r="AA324" s="458"/>
      <c r="AB324" s="458"/>
    </row>
    <row r="325" spans="1:28" ht="15.75">
      <c r="A325" s="458"/>
      <c r="O325" s="458"/>
      <c r="P325" s="473"/>
      <c r="Q325" s="473"/>
      <c r="R325" s="473"/>
      <c r="S325" s="473"/>
      <c r="T325" s="458"/>
      <c r="U325" s="458"/>
      <c r="V325" s="458"/>
      <c r="W325" s="458"/>
      <c r="X325" s="458"/>
      <c r="Y325" s="458"/>
      <c r="Z325" s="458"/>
      <c r="AA325" s="458"/>
      <c r="AB325" s="458"/>
    </row>
    <row r="326" spans="1:28" ht="15.75">
      <c r="A326" s="458"/>
      <c r="O326" s="458"/>
      <c r="P326" s="473"/>
      <c r="Q326" s="473"/>
      <c r="R326" s="473"/>
      <c r="S326" s="473"/>
      <c r="T326" s="458"/>
      <c r="U326" s="458"/>
      <c r="V326" s="458"/>
      <c r="W326" s="458"/>
      <c r="X326" s="458"/>
      <c r="Y326" s="458"/>
      <c r="Z326" s="458"/>
      <c r="AA326" s="458"/>
      <c r="AB326" s="458"/>
    </row>
    <row r="327" spans="1:28" ht="15.75">
      <c r="A327" s="458"/>
      <c r="O327" s="458"/>
      <c r="P327" s="473"/>
      <c r="Q327" s="473"/>
      <c r="R327" s="473"/>
      <c r="S327" s="473"/>
      <c r="T327" s="458"/>
      <c r="U327" s="458"/>
      <c r="V327" s="458"/>
      <c r="W327" s="458"/>
      <c r="X327" s="458"/>
      <c r="Y327" s="458"/>
      <c r="Z327" s="458"/>
      <c r="AA327" s="458"/>
      <c r="AB327" s="458"/>
    </row>
    <row r="328" spans="1:28" ht="15.75">
      <c r="A328" s="458"/>
      <c r="O328" s="458"/>
      <c r="P328" s="473"/>
      <c r="Q328" s="473"/>
      <c r="R328" s="473"/>
      <c r="S328" s="473"/>
      <c r="T328" s="458"/>
      <c r="U328" s="458"/>
      <c r="V328" s="458"/>
      <c r="W328" s="458"/>
      <c r="X328" s="458"/>
      <c r="Y328" s="458"/>
      <c r="Z328" s="458"/>
      <c r="AA328" s="458"/>
      <c r="AB328" s="458"/>
    </row>
    <row r="329" spans="1:28" ht="15.75">
      <c r="A329" s="458"/>
      <c r="O329" s="458"/>
      <c r="P329" s="473"/>
      <c r="Q329" s="473"/>
      <c r="R329" s="473"/>
      <c r="S329" s="473"/>
      <c r="T329" s="458"/>
      <c r="U329" s="458"/>
      <c r="V329" s="458"/>
      <c r="W329" s="458"/>
      <c r="X329" s="458"/>
      <c r="Y329" s="458"/>
      <c r="Z329" s="458"/>
      <c r="AA329" s="458"/>
      <c r="AB329" s="458"/>
    </row>
    <row r="330" spans="1:28" ht="15.75">
      <c r="A330" s="458"/>
      <c r="O330" s="458"/>
      <c r="P330" s="473"/>
      <c r="Q330" s="473"/>
      <c r="R330" s="473"/>
      <c r="S330" s="473"/>
      <c r="T330" s="458"/>
      <c r="U330" s="458"/>
      <c r="V330" s="458"/>
      <c r="W330" s="458"/>
      <c r="X330" s="458"/>
      <c r="Y330" s="458"/>
      <c r="Z330" s="458"/>
      <c r="AA330" s="458"/>
      <c r="AB330" s="458"/>
    </row>
    <row r="331" spans="1:28" ht="15.75">
      <c r="A331" s="458"/>
      <c r="O331" s="458"/>
      <c r="P331" s="473"/>
      <c r="Q331" s="473"/>
      <c r="R331" s="473"/>
      <c r="S331" s="473"/>
      <c r="T331" s="458"/>
      <c r="U331" s="458"/>
      <c r="V331" s="458"/>
      <c r="W331" s="458"/>
      <c r="X331" s="458"/>
      <c r="Y331" s="458"/>
      <c r="Z331" s="458"/>
      <c r="AA331" s="458"/>
      <c r="AB331" s="458"/>
    </row>
    <row r="332" spans="1:28" ht="15.75">
      <c r="A332" s="458"/>
      <c r="O332" s="458"/>
      <c r="P332" s="473"/>
      <c r="Q332" s="473"/>
      <c r="R332" s="473"/>
      <c r="S332" s="473"/>
      <c r="T332" s="458"/>
      <c r="U332" s="458"/>
      <c r="V332" s="458"/>
      <c r="W332" s="458"/>
      <c r="X332" s="458"/>
      <c r="Y332" s="458"/>
      <c r="Z332" s="458"/>
      <c r="AA332" s="458"/>
      <c r="AB332" s="458"/>
    </row>
    <row r="333" spans="1:28" ht="15.75">
      <c r="A333" s="458"/>
      <c r="O333" s="458"/>
      <c r="P333" s="473"/>
      <c r="Q333" s="473"/>
      <c r="R333" s="473"/>
      <c r="S333" s="473"/>
      <c r="T333" s="458"/>
      <c r="U333" s="458"/>
      <c r="V333" s="458"/>
      <c r="W333" s="458"/>
      <c r="X333" s="458"/>
      <c r="Y333" s="458"/>
      <c r="Z333" s="458"/>
      <c r="AA333" s="458"/>
      <c r="AB333" s="458"/>
    </row>
    <row r="334" spans="1:28" ht="15.75">
      <c r="A334" s="458"/>
      <c r="O334" s="458"/>
      <c r="P334" s="473"/>
      <c r="Q334" s="473"/>
      <c r="R334" s="473"/>
      <c r="S334" s="473"/>
      <c r="T334" s="458"/>
      <c r="U334" s="458"/>
      <c r="V334" s="458"/>
      <c r="W334" s="458"/>
      <c r="X334" s="458"/>
      <c r="Y334" s="458"/>
      <c r="Z334" s="458"/>
      <c r="AA334" s="458"/>
      <c r="AB334" s="458"/>
    </row>
    <row r="335" spans="1:28" ht="15.75">
      <c r="A335" s="458"/>
      <c r="O335" s="458"/>
      <c r="P335" s="473"/>
      <c r="Q335" s="473"/>
      <c r="R335" s="473"/>
      <c r="S335" s="473"/>
      <c r="T335" s="458"/>
      <c r="U335" s="458"/>
      <c r="V335" s="458"/>
      <c r="W335" s="458"/>
      <c r="X335" s="458"/>
      <c r="Y335" s="458"/>
      <c r="Z335" s="458"/>
      <c r="AA335" s="458"/>
      <c r="AB335" s="458"/>
    </row>
    <row r="336" spans="1:28" ht="15.75">
      <c r="A336" s="458"/>
      <c r="O336" s="458"/>
      <c r="P336" s="473"/>
      <c r="Q336" s="473"/>
      <c r="R336" s="473"/>
      <c r="S336" s="473"/>
      <c r="T336" s="458"/>
      <c r="U336" s="458"/>
      <c r="V336" s="458"/>
      <c r="W336" s="458"/>
      <c r="X336" s="458"/>
      <c r="Y336" s="458"/>
      <c r="Z336" s="458"/>
      <c r="AA336" s="458"/>
      <c r="AB336" s="458"/>
    </row>
    <row r="337" spans="1:28" ht="15.75">
      <c r="A337" s="458"/>
      <c r="O337" s="458"/>
      <c r="P337" s="473"/>
      <c r="Q337" s="473"/>
      <c r="R337" s="473"/>
      <c r="S337" s="473"/>
      <c r="T337" s="458"/>
      <c r="U337" s="458"/>
      <c r="V337" s="458"/>
      <c r="W337" s="458"/>
      <c r="X337" s="458"/>
      <c r="Y337" s="458"/>
      <c r="Z337" s="458"/>
      <c r="AA337" s="458"/>
      <c r="AB337" s="458"/>
    </row>
    <row r="338" spans="1:28" ht="15.75">
      <c r="A338" s="458"/>
      <c r="O338" s="458"/>
      <c r="P338" s="473"/>
      <c r="Q338" s="473"/>
      <c r="R338" s="473"/>
      <c r="S338" s="473"/>
      <c r="T338" s="458"/>
      <c r="U338" s="458"/>
      <c r="V338" s="458"/>
      <c r="W338" s="458"/>
      <c r="X338" s="458"/>
      <c r="Y338" s="458"/>
      <c r="Z338" s="458"/>
      <c r="AA338" s="458"/>
      <c r="AB338" s="458"/>
    </row>
    <row r="339" spans="1:28" ht="15.75">
      <c r="A339" s="458"/>
      <c r="O339" s="458"/>
      <c r="P339" s="473"/>
      <c r="Q339" s="473"/>
      <c r="R339" s="473"/>
      <c r="S339" s="473"/>
      <c r="T339" s="458"/>
      <c r="U339" s="458"/>
      <c r="V339" s="458"/>
      <c r="W339" s="458"/>
      <c r="X339" s="458"/>
      <c r="Y339" s="458"/>
      <c r="Z339" s="458"/>
      <c r="AA339" s="458"/>
      <c r="AB339" s="458"/>
    </row>
    <row r="340" spans="1:28" ht="15.75">
      <c r="A340" s="458"/>
      <c r="O340" s="458"/>
      <c r="P340" s="473"/>
      <c r="Q340" s="473"/>
      <c r="R340" s="473"/>
      <c r="S340" s="473"/>
      <c r="T340" s="458"/>
      <c r="U340" s="458"/>
      <c r="V340" s="458"/>
      <c r="W340" s="458"/>
      <c r="X340" s="458"/>
      <c r="Y340" s="458"/>
      <c r="Z340" s="458"/>
      <c r="AA340" s="458"/>
      <c r="AB340" s="458"/>
    </row>
    <row r="341" spans="1:28" ht="15.75">
      <c r="A341" s="458"/>
      <c r="O341" s="458"/>
      <c r="P341" s="473"/>
      <c r="Q341" s="473"/>
      <c r="R341" s="473"/>
      <c r="S341" s="473"/>
      <c r="T341" s="458"/>
      <c r="U341" s="458"/>
      <c r="V341" s="458"/>
      <c r="W341" s="458"/>
      <c r="X341" s="458"/>
      <c r="Y341" s="458"/>
      <c r="Z341" s="458"/>
      <c r="AA341" s="458"/>
      <c r="AB341" s="458"/>
    </row>
    <row r="342" spans="1:28" ht="15.75">
      <c r="A342" s="458"/>
      <c r="O342" s="458"/>
      <c r="P342" s="473"/>
      <c r="Q342" s="473"/>
      <c r="R342" s="473"/>
      <c r="S342" s="473"/>
      <c r="T342" s="458"/>
      <c r="U342" s="458"/>
      <c r="V342" s="458"/>
      <c r="W342" s="458"/>
      <c r="X342" s="458"/>
      <c r="Y342" s="458"/>
      <c r="Z342" s="458"/>
      <c r="AA342" s="458"/>
      <c r="AB342" s="458"/>
    </row>
    <row r="343" spans="1:28" ht="15.75">
      <c r="A343" s="458"/>
      <c r="O343" s="458"/>
      <c r="P343" s="473"/>
      <c r="Q343" s="473"/>
      <c r="R343" s="473"/>
      <c r="S343" s="473"/>
      <c r="T343" s="458"/>
      <c r="U343" s="458"/>
      <c r="V343" s="458"/>
      <c r="W343" s="458"/>
      <c r="X343" s="458"/>
      <c r="Y343" s="458"/>
      <c r="Z343" s="458"/>
      <c r="AA343" s="458"/>
      <c r="AB343" s="458"/>
    </row>
    <row r="344" spans="1:28" ht="15.75">
      <c r="A344" s="458"/>
      <c r="O344" s="458"/>
      <c r="P344" s="473"/>
      <c r="Q344" s="473"/>
      <c r="R344" s="473"/>
      <c r="S344" s="473"/>
      <c r="T344" s="458"/>
      <c r="U344" s="458"/>
      <c r="V344" s="458"/>
      <c r="W344" s="458"/>
      <c r="X344" s="458"/>
      <c r="Y344" s="458"/>
      <c r="Z344" s="458"/>
      <c r="AA344" s="458"/>
      <c r="AB344" s="458"/>
    </row>
    <row r="345" spans="1:28" ht="15.75">
      <c r="A345" s="458"/>
      <c r="O345" s="458"/>
      <c r="P345" s="473"/>
      <c r="Q345" s="473"/>
      <c r="R345" s="473"/>
      <c r="S345" s="473"/>
      <c r="T345" s="458"/>
      <c r="U345" s="458"/>
      <c r="V345" s="458"/>
      <c r="W345" s="458"/>
      <c r="X345" s="458"/>
      <c r="Y345" s="458"/>
      <c r="Z345" s="458"/>
      <c r="AA345" s="458"/>
      <c r="AB345" s="458"/>
    </row>
    <row r="346" spans="1:28" ht="15.75">
      <c r="A346" s="458"/>
      <c r="O346" s="458"/>
      <c r="P346" s="473"/>
      <c r="Q346" s="473"/>
      <c r="R346" s="473"/>
      <c r="S346" s="473"/>
      <c r="T346" s="458"/>
      <c r="U346" s="458"/>
      <c r="V346" s="458"/>
      <c r="W346" s="458"/>
      <c r="X346" s="458"/>
      <c r="Y346" s="458"/>
      <c r="Z346" s="458"/>
      <c r="AA346" s="458"/>
      <c r="AB346" s="458"/>
    </row>
    <row r="347" spans="1:28" ht="15.75">
      <c r="A347" s="458"/>
      <c r="O347" s="458"/>
      <c r="P347" s="473"/>
      <c r="Q347" s="473"/>
      <c r="R347" s="473"/>
      <c r="S347" s="473"/>
      <c r="T347" s="458"/>
      <c r="U347" s="458"/>
      <c r="V347" s="458"/>
      <c r="W347" s="458"/>
      <c r="X347" s="458"/>
      <c r="Y347" s="458"/>
      <c r="Z347" s="458"/>
      <c r="AA347" s="458"/>
      <c r="AB347" s="458"/>
    </row>
    <row r="348" spans="1:28" ht="15.75">
      <c r="A348" s="458"/>
      <c r="O348" s="458"/>
      <c r="P348" s="473"/>
      <c r="Q348" s="473"/>
      <c r="R348" s="473"/>
      <c r="S348" s="473"/>
      <c r="T348" s="458"/>
      <c r="U348" s="458"/>
      <c r="V348" s="458"/>
      <c r="W348" s="458"/>
      <c r="X348" s="458"/>
      <c r="Y348" s="458"/>
      <c r="Z348" s="458"/>
      <c r="AA348" s="458"/>
      <c r="AB348" s="458"/>
    </row>
    <row r="349" spans="1:28" ht="15.75">
      <c r="A349" s="458"/>
      <c r="O349" s="458"/>
      <c r="P349" s="473"/>
      <c r="Q349" s="473"/>
      <c r="R349" s="473"/>
      <c r="S349" s="473"/>
      <c r="T349" s="458"/>
      <c r="U349" s="458"/>
      <c r="V349" s="458"/>
      <c r="W349" s="458"/>
      <c r="X349" s="458"/>
      <c r="Y349" s="458"/>
      <c r="Z349" s="458"/>
      <c r="AA349" s="458"/>
      <c r="AB349" s="458"/>
    </row>
    <row r="350" spans="1:28" ht="15.75">
      <c r="A350" s="458"/>
      <c r="O350" s="458"/>
      <c r="P350" s="473"/>
      <c r="Q350" s="473"/>
      <c r="R350" s="473"/>
      <c r="S350" s="473"/>
      <c r="T350" s="458"/>
      <c r="U350" s="458"/>
      <c r="V350" s="458"/>
      <c r="W350" s="458"/>
      <c r="X350" s="458"/>
      <c r="Y350" s="458"/>
      <c r="Z350" s="458"/>
      <c r="AA350" s="458"/>
      <c r="AB350" s="458"/>
    </row>
    <row r="351" spans="1:28" ht="15.75">
      <c r="A351" s="458"/>
      <c r="O351" s="458"/>
      <c r="P351" s="473"/>
      <c r="Q351" s="473"/>
      <c r="R351" s="473"/>
      <c r="S351" s="473"/>
      <c r="T351" s="458"/>
      <c r="U351" s="458"/>
      <c r="V351" s="458"/>
      <c r="W351" s="458"/>
      <c r="X351" s="458"/>
      <c r="Y351" s="458"/>
      <c r="Z351" s="458"/>
      <c r="AA351" s="458"/>
      <c r="AB351" s="458"/>
    </row>
    <row r="352" spans="1:28" ht="15.75">
      <c r="A352" s="458"/>
      <c r="O352" s="458"/>
      <c r="P352" s="473"/>
      <c r="Q352" s="473"/>
      <c r="R352" s="473"/>
      <c r="S352" s="473"/>
      <c r="T352" s="458"/>
      <c r="U352" s="458"/>
      <c r="V352" s="458"/>
      <c r="W352" s="458"/>
      <c r="X352" s="458"/>
      <c r="Y352" s="458"/>
      <c r="Z352" s="458"/>
      <c r="AA352" s="458"/>
      <c r="AB352" s="458"/>
    </row>
    <row r="353" spans="1:28" ht="15.75">
      <c r="A353" s="458"/>
      <c r="O353" s="458"/>
      <c r="P353" s="473"/>
      <c r="Q353" s="473"/>
      <c r="R353" s="473"/>
      <c r="S353" s="473"/>
      <c r="T353" s="458"/>
      <c r="U353" s="458"/>
      <c r="V353" s="458"/>
      <c r="W353" s="458"/>
      <c r="X353" s="458"/>
      <c r="Y353" s="458"/>
      <c r="Z353" s="458"/>
      <c r="AA353" s="458"/>
      <c r="AB353" s="458"/>
    </row>
    <row r="354" spans="1:28" ht="15.75">
      <c r="A354" s="458"/>
      <c r="O354" s="458"/>
      <c r="P354" s="473"/>
      <c r="Q354" s="473"/>
      <c r="R354" s="473"/>
      <c r="S354" s="473"/>
      <c r="T354" s="458"/>
      <c r="U354" s="458"/>
      <c r="V354" s="458"/>
      <c r="W354" s="458"/>
      <c r="X354" s="458"/>
      <c r="Y354" s="458"/>
      <c r="Z354" s="458"/>
      <c r="AA354" s="458"/>
      <c r="AB354" s="458"/>
    </row>
    <row r="355" spans="1:28" ht="15.75">
      <c r="A355" s="458"/>
      <c r="O355" s="458"/>
      <c r="P355" s="473"/>
      <c r="Q355" s="473"/>
      <c r="R355" s="473"/>
      <c r="S355" s="473"/>
      <c r="T355" s="458"/>
      <c r="U355" s="458"/>
      <c r="V355" s="458"/>
      <c r="W355" s="458"/>
      <c r="X355" s="458"/>
      <c r="Y355" s="458"/>
      <c r="Z355" s="458"/>
      <c r="AA355" s="458"/>
      <c r="AB355" s="458"/>
    </row>
    <row r="356" spans="1:28" ht="15.75">
      <c r="A356" s="458"/>
      <c r="O356" s="458"/>
      <c r="P356" s="473"/>
      <c r="Q356" s="473"/>
      <c r="R356" s="473"/>
      <c r="S356" s="473"/>
      <c r="T356" s="458"/>
      <c r="U356" s="458"/>
      <c r="V356" s="458"/>
      <c r="W356" s="458"/>
      <c r="X356" s="458"/>
      <c r="Y356" s="458"/>
      <c r="Z356" s="458"/>
      <c r="AA356" s="458"/>
      <c r="AB356" s="458"/>
    </row>
    <row r="357" spans="1:28" ht="15.75">
      <c r="A357" s="458"/>
      <c r="O357" s="458"/>
      <c r="P357" s="473"/>
      <c r="Q357" s="473"/>
      <c r="R357" s="473"/>
      <c r="S357" s="473"/>
      <c r="T357" s="458"/>
      <c r="U357" s="458"/>
      <c r="V357" s="458"/>
      <c r="W357" s="458"/>
      <c r="X357" s="458"/>
      <c r="Y357" s="458"/>
      <c r="Z357" s="458"/>
      <c r="AA357" s="458"/>
      <c r="AB357" s="458"/>
    </row>
    <row r="358" spans="1:28" ht="15.75">
      <c r="A358" s="458"/>
      <c r="O358" s="458"/>
      <c r="P358" s="473"/>
      <c r="Q358" s="473"/>
      <c r="R358" s="473"/>
      <c r="S358" s="473"/>
      <c r="T358" s="458"/>
      <c r="U358" s="458"/>
      <c r="V358" s="458"/>
      <c r="W358" s="458"/>
      <c r="X358" s="458"/>
      <c r="Y358" s="458"/>
      <c r="Z358" s="458"/>
      <c r="AA358" s="458"/>
      <c r="AB358" s="458"/>
    </row>
    <row r="359" spans="1:28" ht="15.75">
      <c r="A359" s="458"/>
      <c r="O359" s="458"/>
      <c r="P359" s="473"/>
      <c r="Q359" s="473"/>
      <c r="R359" s="473"/>
      <c r="S359" s="473"/>
      <c r="T359" s="458"/>
      <c r="U359" s="458"/>
      <c r="V359" s="458"/>
      <c r="W359" s="458"/>
      <c r="X359" s="458"/>
      <c r="Y359" s="458"/>
      <c r="Z359" s="458"/>
      <c r="AA359" s="458"/>
      <c r="AB359" s="458"/>
    </row>
    <row r="360" spans="1:28" ht="15.75">
      <c r="A360" s="458"/>
      <c r="B360" s="1351" t="s">
        <v>1154</v>
      </c>
      <c r="C360" s="1352"/>
      <c r="D360" s="1352"/>
      <c r="E360" s="1352"/>
      <c r="F360" s="1352"/>
      <c r="G360" s="1352"/>
      <c r="H360" s="1352"/>
      <c r="I360" s="1352"/>
      <c r="J360" s="1352"/>
      <c r="O360" s="458"/>
      <c r="P360" s="473"/>
      <c r="Q360" s="473"/>
      <c r="R360" s="473"/>
      <c r="S360" s="473"/>
      <c r="T360" s="458"/>
      <c r="U360" s="458"/>
      <c r="V360" s="458"/>
      <c r="W360" s="458"/>
      <c r="X360" s="458"/>
      <c r="Y360" s="458"/>
      <c r="Z360" s="458"/>
      <c r="AA360" s="458"/>
      <c r="AB360" s="458"/>
    </row>
    <row r="361" spans="1:28" ht="15.75">
      <c r="A361" s="458"/>
      <c r="B361" s="475" t="s">
        <v>1155</v>
      </c>
      <c r="C361" s="475"/>
      <c r="D361" s="458"/>
      <c r="E361" s="458"/>
      <c r="F361" s="458"/>
      <c r="G361" s="458"/>
      <c r="H361" s="458"/>
      <c r="I361" s="458"/>
      <c r="O361" s="458"/>
      <c r="P361" s="473"/>
      <c r="Q361" s="473"/>
      <c r="R361" s="473"/>
      <c r="S361" s="473"/>
      <c r="T361" s="458"/>
      <c r="U361" s="458"/>
      <c r="V361" s="458"/>
      <c r="W361" s="458"/>
      <c r="X361" s="458"/>
      <c r="Y361" s="458"/>
      <c r="Z361" s="458"/>
      <c r="AA361" s="458"/>
      <c r="AB361" s="458"/>
    </row>
    <row r="362" spans="1:28" ht="15.75">
      <c r="A362" s="458"/>
      <c r="B362" s="465">
        <v>6980</v>
      </c>
      <c r="C362" s="465"/>
      <c r="D362" s="475" t="s">
        <v>1156</v>
      </c>
      <c r="E362" s="475"/>
      <c r="F362" s="458"/>
      <c r="G362" s="458"/>
      <c r="H362" s="458"/>
      <c r="I362" s="458"/>
      <c r="O362" s="458"/>
      <c r="P362" s="473"/>
      <c r="Q362" s="473"/>
      <c r="R362" s="473"/>
      <c r="S362" s="473"/>
      <c r="T362" s="458"/>
      <c r="U362" s="458"/>
      <c r="V362" s="458"/>
      <c r="W362" s="458"/>
      <c r="X362" s="458"/>
      <c r="Y362" s="458"/>
      <c r="Z362" s="458"/>
      <c r="AA362" s="458"/>
      <c r="AB362" s="458"/>
    </row>
    <row r="363" spans="1:28" ht="15.75">
      <c r="A363" s="458"/>
      <c r="B363" s="458"/>
      <c r="C363" s="458"/>
      <c r="D363" s="458"/>
      <c r="E363" s="458"/>
      <c r="F363" s="475" t="s">
        <v>1055</v>
      </c>
      <c r="G363" s="458"/>
      <c r="H363" s="458"/>
      <c r="I363" s="475" t="s">
        <v>1055</v>
      </c>
      <c r="O363" s="458"/>
      <c r="P363" s="473"/>
      <c r="Q363" s="473"/>
      <c r="R363" s="473"/>
      <c r="S363" s="473"/>
      <c r="T363" s="458"/>
      <c r="U363" s="458"/>
      <c r="V363" s="458"/>
      <c r="W363" s="458"/>
      <c r="X363" s="458"/>
      <c r="Y363" s="458"/>
      <c r="Z363" s="458"/>
      <c r="AA363" s="458"/>
      <c r="AB363" s="458"/>
    </row>
    <row r="364" spans="1:28" ht="15.75">
      <c r="A364" s="458"/>
      <c r="B364" s="1288" t="s">
        <v>1157</v>
      </c>
      <c r="C364" s="1288"/>
      <c r="D364" s="1289"/>
      <c r="F364" s="1288" t="s">
        <v>1158</v>
      </c>
      <c r="G364" s="1283"/>
      <c r="H364" s="458"/>
      <c r="I364" s="1240" t="s">
        <v>1056</v>
      </c>
      <c r="J364" s="1225"/>
      <c r="O364" s="458"/>
      <c r="P364" s="473"/>
      <c r="Q364" s="473"/>
      <c r="R364" s="473"/>
      <c r="S364" s="473"/>
      <c r="T364" s="458"/>
      <c r="U364" s="458"/>
      <c r="V364" s="458"/>
      <c r="W364" s="458"/>
      <c r="X364" s="458"/>
      <c r="Y364" s="458"/>
      <c r="Z364" s="458"/>
      <c r="AA364" s="458"/>
      <c r="AB364" s="458"/>
    </row>
    <row r="365" spans="1:28" ht="15.75">
      <c r="A365" s="458"/>
      <c r="B365" s="1235" t="s">
        <v>1159</v>
      </c>
      <c r="C365" s="1235"/>
      <c r="D365" s="1238" t="s">
        <v>307</v>
      </c>
      <c r="E365" s="1238"/>
      <c r="F365" s="1236" t="s">
        <v>1057</v>
      </c>
      <c r="G365" s="1238" t="s">
        <v>307</v>
      </c>
      <c r="H365" s="1237"/>
      <c r="I365" s="1236" t="s">
        <v>1057</v>
      </c>
      <c r="J365" s="1238" t="s">
        <v>307</v>
      </c>
      <c r="O365" s="458"/>
      <c r="P365" s="473"/>
      <c r="Q365" s="473"/>
      <c r="R365" s="473"/>
      <c r="S365" s="473"/>
      <c r="T365" s="458"/>
      <c r="U365" s="458"/>
      <c r="V365" s="458"/>
      <c r="W365" s="458"/>
      <c r="X365" s="458"/>
      <c r="Y365" s="458"/>
      <c r="Z365" s="458"/>
      <c r="AA365" s="458"/>
      <c r="AB365" s="458"/>
    </row>
    <row r="366" spans="1:28" ht="15.75">
      <c r="A366" s="458"/>
      <c r="B366" s="1283" t="s">
        <v>1058</v>
      </c>
      <c r="C366" s="1283"/>
      <c r="D366" s="1267">
        <v>7763.23</v>
      </c>
      <c r="E366" s="465"/>
      <c r="F366" s="1283" t="s">
        <v>1058</v>
      </c>
      <c r="G366" s="1267">
        <v>6980</v>
      </c>
      <c r="H366" s="458"/>
      <c r="I366" s="1241" t="s">
        <v>1058</v>
      </c>
      <c r="J366" s="1284">
        <v>7494.32</v>
      </c>
      <c r="O366" s="458"/>
      <c r="P366" s="473"/>
      <c r="Q366" s="473"/>
      <c r="R366" s="473"/>
      <c r="S366" s="473"/>
      <c r="T366" s="458"/>
      <c r="U366" s="458"/>
      <c r="V366" s="458"/>
      <c r="W366" s="458"/>
      <c r="X366" s="458"/>
      <c r="Y366" s="458"/>
      <c r="Z366" s="458"/>
      <c r="AA366" s="458"/>
      <c r="AB366" s="458"/>
    </row>
    <row r="367" spans="1:28" ht="15.75">
      <c r="A367" s="458"/>
      <c r="B367" s="1283" t="s">
        <v>1059</v>
      </c>
      <c r="C367" s="1283"/>
      <c r="D367" s="1273">
        <v>8093.24</v>
      </c>
      <c r="E367" s="461"/>
      <c r="F367" s="1283" t="s">
        <v>1059</v>
      </c>
      <c r="G367" s="1273">
        <v>7169</v>
      </c>
      <c r="H367" s="458"/>
      <c r="I367" s="1241" t="s">
        <v>1059</v>
      </c>
      <c r="J367" s="1285">
        <v>8093.33</v>
      </c>
      <c r="O367" s="458"/>
      <c r="P367" s="473"/>
      <c r="Q367" s="473"/>
      <c r="R367" s="473"/>
      <c r="S367" s="473"/>
      <c r="T367" s="458"/>
      <c r="U367" s="458"/>
      <c r="V367" s="458"/>
      <c r="W367" s="458"/>
      <c r="X367" s="458"/>
      <c r="Y367" s="458"/>
      <c r="Z367" s="458"/>
      <c r="AA367" s="458"/>
      <c r="AB367" s="458"/>
    </row>
    <row r="368" spans="1:28" ht="15.75">
      <c r="A368" s="458"/>
      <c r="B368" s="1283" t="s">
        <v>1060</v>
      </c>
      <c r="C368" s="1283"/>
      <c r="D368" s="1273">
        <v>7264.25</v>
      </c>
      <c r="E368" s="461"/>
      <c r="F368" s="1283" t="s">
        <v>1060</v>
      </c>
      <c r="G368" s="1273">
        <v>7197</v>
      </c>
      <c r="H368" s="458"/>
      <c r="I368" s="1241" t="s">
        <v>1060</v>
      </c>
      <c r="J368" s="1285">
        <v>7197.34</v>
      </c>
      <c r="O368" s="458"/>
      <c r="P368" s="473"/>
      <c r="Q368" s="473"/>
      <c r="R368" s="473"/>
      <c r="S368" s="473"/>
      <c r="T368" s="458"/>
      <c r="U368" s="458"/>
      <c r="V368" s="458"/>
      <c r="W368" s="458"/>
      <c r="X368" s="458"/>
      <c r="Y368" s="458"/>
      <c r="Z368" s="458"/>
      <c r="AA368" s="458"/>
      <c r="AB368" s="458"/>
    </row>
    <row r="369" spans="1:28" ht="15.75">
      <c r="A369" s="458"/>
      <c r="B369" s="1283" t="s">
        <v>1160</v>
      </c>
      <c r="C369" s="1283"/>
      <c r="D369" s="1273">
        <v>9177.26</v>
      </c>
      <c r="E369" s="461"/>
      <c r="F369" s="1283" t="s">
        <v>1160</v>
      </c>
      <c r="G369" s="1273">
        <v>6980</v>
      </c>
      <c r="H369" s="458"/>
      <c r="I369" s="1241" t="s">
        <v>1061</v>
      </c>
      <c r="J369" s="1285">
        <v>7715.35</v>
      </c>
      <c r="O369" s="458"/>
      <c r="P369" s="473"/>
      <c r="Q369" s="473"/>
      <c r="R369" s="473"/>
      <c r="S369" s="473"/>
      <c r="T369" s="458"/>
      <c r="U369" s="458"/>
      <c r="V369" s="458"/>
      <c r="W369" s="458"/>
      <c r="X369" s="458"/>
      <c r="Y369" s="458"/>
      <c r="Z369" s="458"/>
      <c r="AA369" s="458"/>
      <c r="AB369" s="458"/>
    </row>
    <row r="370" spans="1:28" ht="15.75">
      <c r="A370" s="458"/>
      <c r="B370" s="1283" t="s">
        <v>1061</v>
      </c>
      <c r="C370" s="1283"/>
      <c r="D370" s="1273">
        <v>9279.27</v>
      </c>
      <c r="E370" s="461"/>
      <c r="F370" s="1283" t="s">
        <v>1061</v>
      </c>
      <c r="G370" s="1273">
        <v>7169</v>
      </c>
      <c r="H370" s="458"/>
      <c r="I370" s="1241" t="s">
        <v>1062</v>
      </c>
      <c r="J370" s="1285">
        <v>6980.36</v>
      </c>
      <c r="O370" s="458"/>
      <c r="P370" s="473"/>
      <c r="Q370" s="473"/>
      <c r="R370" s="473"/>
      <c r="S370" s="473"/>
      <c r="T370" s="458"/>
      <c r="U370" s="458"/>
      <c r="V370" s="458"/>
      <c r="W370" s="458"/>
      <c r="X370" s="458"/>
      <c r="Y370" s="458"/>
      <c r="Z370" s="458"/>
      <c r="AA370" s="458"/>
      <c r="AB370" s="458"/>
    </row>
    <row r="371" spans="1:28" ht="15.75">
      <c r="A371" s="458"/>
      <c r="B371" s="1283" t="s">
        <v>1161</v>
      </c>
      <c r="C371" s="1283"/>
      <c r="D371" s="1273">
        <v>22360.28</v>
      </c>
      <c r="E371" s="461"/>
      <c r="F371" s="1283" t="s">
        <v>1161</v>
      </c>
      <c r="G371" s="1273">
        <v>7169</v>
      </c>
      <c r="H371" s="458"/>
      <c r="I371" s="1241" t="s">
        <v>1063</v>
      </c>
      <c r="J371" s="1285">
        <v>10367</v>
      </c>
      <c r="O371" s="458"/>
      <c r="P371" s="473"/>
      <c r="Q371" s="473"/>
      <c r="R371" s="473"/>
      <c r="S371" s="473"/>
      <c r="T371" s="458"/>
      <c r="U371" s="458"/>
      <c r="V371" s="458"/>
      <c r="W371" s="458"/>
      <c r="X371" s="458"/>
      <c r="Y371" s="458"/>
      <c r="Z371" s="458"/>
      <c r="AA371" s="458"/>
      <c r="AB371" s="458"/>
    </row>
    <row r="372" spans="1:28" ht="15.75">
      <c r="A372" s="458"/>
      <c r="B372" s="1283" t="s">
        <v>1162</v>
      </c>
      <c r="C372" s="1283"/>
      <c r="D372" s="1273">
        <v>33746.29</v>
      </c>
      <c r="E372" s="461"/>
      <c r="F372" s="1283" t="s">
        <v>1162</v>
      </c>
      <c r="G372" s="1266">
        <v>7169</v>
      </c>
      <c r="H372" s="461"/>
      <c r="I372" s="1241" t="s">
        <v>1163</v>
      </c>
      <c r="J372" s="1286">
        <v>6980</v>
      </c>
      <c r="O372" s="458"/>
      <c r="P372" s="473"/>
      <c r="Q372" s="473"/>
      <c r="R372" s="473"/>
      <c r="S372" s="473"/>
      <c r="T372" s="458"/>
      <c r="U372" s="458"/>
      <c r="V372" s="458"/>
      <c r="W372" s="458"/>
      <c r="X372" s="458"/>
      <c r="Y372" s="458"/>
      <c r="Z372" s="458"/>
      <c r="AA372" s="458"/>
      <c r="AB372" s="458"/>
    </row>
    <row r="373" spans="1:28" ht="15.75">
      <c r="A373" s="458"/>
      <c r="B373" s="1283" t="s">
        <v>1164</v>
      </c>
      <c r="C373" s="1283"/>
      <c r="D373" s="1273">
        <v>9713.2999999999993</v>
      </c>
      <c r="E373" s="461"/>
      <c r="F373" s="1283" t="s">
        <v>1164</v>
      </c>
      <c r="G373" s="1266">
        <v>7169</v>
      </c>
      <c r="H373" s="461"/>
      <c r="O373" s="458"/>
      <c r="P373" s="473"/>
      <c r="Q373" s="473"/>
      <c r="R373" s="473"/>
      <c r="S373" s="473"/>
      <c r="T373" s="458"/>
      <c r="U373" s="458"/>
      <c r="V373" s="458"/>
      <c r="W373" s="458"/>
      <c r="X373" s="458"/>
      <c r="Y373" s="458"/>
      <c r="Z373" s="458"/>
      <c r="AA373" s="458"/>
      <c r="AB373" s="458"/>
    </row>
    <row r="374" spans="1:28" ht="15.75">
      <c r="A374" s="458"/>
      <c r="B374" s="1283" t="s">
        <v>1165</v>
      </c>
      <c r="C374" s="1283"/>
      <c r="D374" s="1273">
        <v>10547.31</v>
      </c>
      <c r="E374" s="461"/>
      <c r="F374" s="1283" t="s">
        <v>1165</v>
      </c>
      <c r="G374" s="1266">
        <v>7169</v>
      </c>
      <c r="H374" s="461"/>
      <c r="I374" s="1233" t="s">
        <v>1076</v>
      </c>
      <c r="J374" s="1234"/>
      <c r="O374" s="458"/>
      <c r="P374" s="473"/>
      <c r="Q374" s="473"/>
      <c r="R374" s="473"/>
      <c r="S374" s="473"/>
      <c r="T374" s="458"/>
      <c r="U374" s="458"/>
      <c r="V374" s="458"/>
      <c r="W374" s="458"/>
      <c r="X374" s="458"/>
      <c r="Y374" s="458"/>
      <c r="Z374" s="458"/>
      <c r="AA374" s="458"/>
      <c r="AB374" s="458"/>
    </row>
    <row r="375" spans="1:28" ht="15.75">
      <c r="A375" s="458"/>
      <c r="B375" s="1283" t="s">
        <v>1166</v>
      </c>
      <c r="C375" s="1283"/>
      <c r="D375" s="1273">
        <v>13725.32</v>
      </c>
      <c r="E375" s="461"/>
      <c r="F375" s="1283" t="s">
        <v>1166</v>
      </c>
      <c r="G375" s="1266">
        <v>7169</v>
      </c>
      <c r="H375" s="461"/>
      <c r="I375" s="1241" t="s">
        <v>1127</v>
      </c>
      <c r="J375" s="1287" t="s">
        <v>1167</v>
      </c>
      <c r="O375" s="458"/>
      <c r="P375" s="473"/>
      <c r="Q375" s="473"/>
      <c r="R375" s="473"/>
      <c r="S375" s="473"/>
      <c r="T375" s="458"/>
      <c r="U375" s="458"/>
      <c r="V375" s="458"/>
      <c r="W375" s="458"/>
      <c r="X375" s="458"/>
      <c r="Y375" s="458"/>
      <c r="Z375" s="458"/>
      <c r="AA375" s="458"/>
      <c r="AB375" s="458"/>
    </row>
    <row r="376" spans="1:28" ht="15.75">
      <c r="A376" s="458"/>
      <c r="B376" s="1283" t="s">
        <v>1168</v>
      </c>
      <c r="C376" s="1283"/>
      <c r="D376" s="1273">
        <v>8532.33</v>
      </c>
      <c r="E376" s="461"/>
      <c r="F376" s="1283" t="s">
        <v>1168</v>
      </c>
      <c r="G376" s="1266">
        <v>6980</v>
      </c>
      <c r="H376" s="461"/>
      <c r="I376" s="1241" t="s">
        <v>1080</v>
      </c>
      <c r="J376" s="1241">
        <v>0.24</v>
      </c>
      <c r="O376" s="458"/>
      <c r="P376" s="473"/>
      <c r="Q376" s="473"/>
      <c r="R376" s="473"/>
      <c r="S376" s="473"/>
      <c r="T376" s="458"/>
      <c r="U376" s="458"/>
      <c r="V376" s="458"/>
      <c r="W376" s="458"/>
      <c r="X376" s="458"/>
      <c r="Y376" s="458"/>
      <c r="Z376" s="458"/>
      <c r="AA376" s="458"/>
      <c r="AB376" s="458"/>
    </row>
    <row r="377" spans="1:28" ht="15.75">
      <c r="A377" s="458"/>
      <c r="B377" s="1283" t="s">
        <v>1169</v>
      </c>
      <c r="C377" s="1283"/>
      <c r="D377" s="1273">
        <v>12286.34</v>
      </c>
      <c r="E377" s="461"/>
      <c r="F377" s="1283" t="s">
        <v>1169</v>
      </c>
      <c r="G377" s="1266">
        <v>7169</v>
      </c>
      <c r="H377" s="461"/>
      <c r="I377" s="1241" t="s">
        <v>1170</v>
      </c>
      <c r="J377" s="1241">
        <v>0.03</v>
      </c>
      <c r="K377" t="s">
        <v>1171</v>
      </c>
      <c r="O377" s="458"/>
      <c r="P377" s="473"/>
      <c r="Q377" s="473"/>
      <c r="R377" s="473"/>
      <c r="S377" s="473"/>
      <c r="T377" s="458"/>
      <c r="U377" s="458"/>
      <c r="V377" s="458"/>
      <c r="W377" s="458"/>
      <c r="X377" s="458"/>
      <c r="Y377" s="458"/>
      <c r="Z377" s="458"/>
      <c r="AA377" s="458"/>
      <c r="AB377" s="458"/>
    </row>
    <row r="378" spans="1:28" ht="15.75">
      <c r="A378" s="458"/>
      <c r="B378" s="1283" t="s">
        <v>1172</v>
      </c>
      <c r="C378" s="1283"/>
      <c r="D378" s="1273">
        <v>8764.35</v>
      </c>
      <c r="E378" s="461"/>
      <c r="F378" s="1283" t="s">
        <v>1172</v>
      </c>
      <c r="G378" s="1266">
        <v>7169</v>
      </c>
      <c r="H378" s="461"/>
      <c r="I378" s="1241" t="s">
        <v>1084</v>
      </c>
      <c r="J378" s="1241">
        <v>0.12</v>
      </c>
      <c r="O378" s="458"/>
      <c r="P378" s="473"/>
      <c r="Q378" s="473"/>
      <c r="R378" s="473"/>
      <c r="S378" s="473"/>
      <c r="T378" s="458"/>
      <c r="U378" s="458"/>
      <c r="V378" s="458"/>
      <c r="W378" s="458"/>
      <c r="X378" s="458"/>
      <c r="Y378" s="458"/>
      <c r="Z378" s="458"/>
      <c r="AA378" s="458"/>
      <c r="AB378" s="458"/>
    </row>
    <row r="379" spans="1:28" ht="15.75">
      <c r="A379" s="458"/>
      <c r="B379" s="1283" t="s">
        <v>1173</v>
      </c>
      <c r="C379" s="1283"/>
      <c r="D379" s="1273">
        <v>11794.36</v>
      </c>
      <c r="E379" s="461"/>
      <c r="F379" s="1283" t="s">
        <v>1173</v>
      </c>
      <c r="G379" s="1266">
        <v>7169</v>
      </c>
      <c r="H379" s="461"/>
      <c r="O379" s="458"/>
      <c r="P379" s="473"/>
      <c r="Q379" s="473"/>
      <c r="R379" s="473"/>
      <c r="S379" s="473"/>
      <c r="T379" s="458"/>
      <c r="U379" s="458"/>
      <c r="V379" s="458"/>
      <c r="W379" s="458"/>
      <c r="X379" s="458"/>
      <c r="Y379" s="458"/>
      <c r="Z379" s="458"/>
      <c r="AA379" s="458"/>
      <c r="AB379" s="458"/>
    </row>
    <row r="380" spans="1:28" ht="15.75">
      <c r="A380" s="458"/>
      <c r="B380" s="1283" t="s">
        <v>1174</v>
      </c>
      <c r="C380" s="1283"/>
      <c r="D380" s="1273">
        <v>23274.37</v>
      </c>
      <c r="E380" s="461"/>
      <c r="F380" s="1283" t="s">
        <v>1174</v>
      </c>
      <c r="G380" s="1266">
        <v>6980</v>
      </c>
      <c r="H380" s="461"/>
      <c r="O380" s="458"/>
      <c r="P380" s="473"/>
      <c r="Q380" s="473"/>
      <c r="R380" s="473"/>
      <c r="S380" s="473"/>
      <c r="T380" s="458"/>
      <c r="U380" s="458"/>
      <c r="V380" s="458"/>
      <c r="W380" s="458"/>
      <c r="X380" s="458"/>
      <c r="Y380" s="458"/>
      <c r="Z380" s="458"/>
      <c r="AA380" s="458"/>
      <c r="AB380" s="458"/>
    </row>
    <row r="381" spans="1:28" ht="15.75">
      <c r="A381" s="458"/>
      <c r="B381" s="1283" t="s">
        <v>1062</v>
      </c>
      <c r="C381" s="1283"/>
      <c r="D381" s="1273">
        <v>7222.38</v>
      </c>
      <c r="E381" s="461"/>
      <c r="F381" s="1283" t="s">
        <v>1062</v>
      </c>
      <c r="G381" s="1266">
        <v>6980</v>
      </c>
      <c r="H381" s="461"/>
      <c r="I381" s="458"/>
      <c r="O381" s="458"/>
      <c r="P381" s="473"/>
      <c r="Q381" s="473"/>
      <c r="R381" s="473"/>
      <c r="S381" s="473"/>
      <c r="T381" s="458"/>
      <c r="U381" s="458"/>
      <c r="V381" s="458"/>
      <c r="W381" s="458"/>
      <c r="X381" s="458"/>
      <c r="Y381" s="458"/>
      <c r="Z381" s="458"/>
      <c r="AA381" s="458"/>
      <c r="AB381" s="458"/>
    </row>
    <row r="382" spans="1:28" ht="15.75">
      <c r="A382" s="458"/>
      <c r="B382" s="1283" t="s">
        <v>1063</v>
      </c>
      <c r="C382" s="1283"/>
      <c r="D382" s="1267">
        <v>11298</v>
      </c>
      <c r="E382" s="465"/>
      <c r="F382" s="1283" t="s">
        <v>1063</v>
      </c>
      <c r="G382" s="1266">
        <v>7169</v>
      </c>
      <c r="H382" s="461"/>
      <c r="I382" s="458"/>
      <c r="O382" s="458"/>
      <c r="P382" s="473"/>
      <c r="Q382" s="473"/>
      <c r="R382" s="473"/>
      <c r="S382" s="473"/>
      <c r="T382" s="458"/>
      <c r="U382" s="458"/>
      <c r="V382" s="458"/>
      <c r="W382" s="458"/>
      <c r="X382" s="458"/>
      <c r="Y382" s="458"/>
      <c r="Z382" s="458"/>
      <c r="AA382" s="458"/>
      <c r="AB382" s="458"/>
    </row>
    <row r="383" spans="1:28" ht="15.75">
      <c r="A383" s="458"/>
      <c r="B383" s="458"/>
      <c r="C383" s="458"/>
      <c r="D383" s="458"/>
      <c r="E383" s="458"/>
      <c r="H383" s="458"/>
      <c r="I383" s="458"/>
      <c r="O383" s="458"/>
      <c r="P383" s="473"/>
      <c r="Q383" s="473"/>
      <c r="R383" s="473"/>
      <c r="S383" s="473"/>
      <c r="T383" s="458"/>
      <c r="U383" s="458"/>
      <c r="V383" s="458"/>
      <c r="W383" s="458"/>
      <c r="X383" s="458"/>
      <c r="Y383" s="458"/>
      <c r="Z383" s="458"/>
      <c r="AA383" s="458"/>
      <c r="AB383" s="458"/>
    </row>
    <row r="384" spans="1:28" ht="15.75">
      <c r="A384" s="458"/>
      <c r="B384" s="458"/>
      <c r="C384" s="458"/>
      <c r="D384" s="458"/>
      <c r="E384" s="458"/>
      <c r="F384" s="458"/>
      <c r="G384" s="458"/>
      <c r="H384" s="458"/>
      <c r="I384" s="458"/>
      <c r="O384" s="458"/>
      <c r="P384" s="473"/>
      <c r="Q384" s="473"/>
      <c r="R384" s="473"/>
      <c r="S384" s="473"/>
      <c r="T384" s="458"/>
      <c r="U384" s="458"/>
      <c r="V384" s="458"/>
      <c r="W384" s="458"/>
      <c r="X384" s="458"/>
      <c r="Y384" s="458"/>
      <c r="Z384" s="458"/>
      <c r="AA384" s="458"/>
      <c r="AB384" s="458"/>
    </row>
    <row r="385" spans="1:28" ht="15.75">
      <c r="A385" s="458"/>
      <c r="B385" s="1248" t="s">
        <v>1175</v>
      </c>
      <c r="C385" s="1248"/>
      <c r="D385" s="1249"/>
      <c r="E385" s="1249"/>
      <c r="F385" s="1249"/>
      <c r="G385" s="1249"/>
      <c r="H385" s="1249"/>
      <c r="I385" s="1249"/>
      <c r="J385" s="1250"/>
      <c r="O385" s="458"/>
      <c r="P385" s="473"/>
      <c r="Q385" s="473"/>
      <c r="R385" s="473"/>
      <c r="S385" s="473"/>
      <c r="T385" s="458"/>
      <c r="U385" s="458"/>
      <c r="V385" s="458"/>
      <c r="W385" s="458"/>
      <c r="X385" s="458"/>
      <c r="Y385" s="458"/>
      <c r="Z385" s="458"/>
      <c r="AA385" s="458"/>
      <c r="AB385" s="458"/>
    </row>
    <row r="386" spans="1:28" ht="15.75">
      <c r="A386" s="458"/>
      <c r="B386" s="475" t="s">
        <v>1155</v>
      </c>
      <c r="C386" s="475"/>
      <c r="D386" s="458"/>
      <c r="E386" s="458"/>
      <c r="F386" s="458"/>
      <c r="G386" s="458"/>
      <c r="H386" s="458"/>
      <c r="I386" s="458"/>
      <c r="O386" s="458"/>
      <c r="P386" s="473"/>
      <c r="Q386" s="473"/>
      <c r="R386" s="473"/>
      <c r="S386" s="473"/>
      <c r="T386" s="458"/>
      <c r="U386" s="458"/>
      <c r="V386" s="458"/>
      <c r="W386" s="458"/>
      <c r="X386" s="458"/>
      <c r="Y386" s="458"/>
      <c r="Z386" s="458"/>
      <c r="AA386" s="458"/>
      <c r="AB386" s="458"/>
    </row>
    <row r="387" spans="1:28" ht="15.75">
      <c r="A387" s="458"/>
      <c r="B387" s="465">
        <v>7074</v>
      </c>
      <c r="C387" s="465"/>
      <c r="D387" s="475" t="s">
        <v>1176</v>
      </c>
      <c r="E387" s="475"/>
      <c r="F387" s="458"/>
      <c r="G387" s="458"/>
      <c r="H387" s="458"/>
      <c r="I387" s="458"/>
      <c r="O387" s="474"/>
      <c r="P387" s="473"/>
      <c r="Q387" s="473"/>
      <c r="R387" s="473"/>
      <c r="S387" s="473"/>
      <c r="T387" s="458"/>
      <c r="U387" s="458"/>
      <c r="V387" s="458"/>
      <c r="W387" s="458"/>
      <c r="X387" s="458"/>
      <c r="Y387" s="458"/>
      <c r="Z387" s="458"/>
      <c r="AA387" s="458"/>
      <c r="AB387" s="458"/>
    </row>
    <row r="388" spans="1:28" ht="15.75">
      <c r="A388" s="458"/>
      <c r="B388" s="458"/>
      <c r="C388" s="458"/>
      <c r="D388" s="458"/>
      <c r="E388" s="458"/>
      <c r="F388" s="475" t="s">
        <v>1055</v>
      </c>
      <c r="G388" s="458"/>
      <c r="H388" s="458"/>
      <c r="I388" s="475" t="s">
        <v>1055</v>
      </c>
      <c r="O388" s="474"/>
      <c r="P388" s="473"/>
      <c r="Q388" s="473"/>
      <c r="R388" s="473"/>
      <c r="S388" s="473"/>
      <c r="T388" s="458"/>
      <c r="U388" s="458"/>
      <c r="V388" s="458"/>
      <c r="W388" s="458"/>
      <c r="X388" s="458"/>
      <c r="Y388" s="458"/>
      <c r="Z388" s="458"/>
      <c r="AA388" s="458"/>
      <c r="AB388" s="458"/>
    </row>
    <row r="389" spans="1:28" ht="15.75">
      <c r="A389" s="458"/>
      <c r="B389" s="475" t="s">
        <v>1177</v>
      </c>
      <c r="C389" s="475"/>
      <c r="F389" s="475" t="s">
        <v>1178</v>
      </c>
      <c r="G389" s="458"/>
      <c r="H389" s="458"/>
      <c r="I389" s="475" t="s">
        <v>1179</v>
      </c>
      <c r="O389" s="474"/>
      <c r="P389" s="473"/>
      <c r="Q389" s="473"/>
      <c r="R389" s="473"/>
      <c r="S389" s="473"/>
      <c r="T389" s="458"/>
      <c r="U389" s="458"/>
      <c r="V389" s="458"/>
      <c r="W389" s="458"/>
      <c r="X389" s="458"/>
      <c r="Y389" s="458"/>
      <c r="Z389" s="458"/>
      <c r="AA389" s="458"/>
      <c r="AB389" s="458"/>
    </row>
    <row r="390" spans="1:28" ht="15.75">
      <c r="A390" s="458"/>
      <c r="B390" s="1235" t="s">
        <v>1159</v>
      </c>
      <c r="C390" s="1235"/>
      <c r="D390" s="1238" t="s">
        <v>307</v>
      </c>
      <c r="E390" s="1238"/>
      <c r="F390" s="1236" t="s">
        <v>1057</v>
      </c>
      <c r="G390" s="1238" t="s">
        <v>307</v>
      </c>
      <c r="H390" s="1237"/>
      <c r="I390" s="1236" t="s">
        <v>1057</v>
      </c>
      <c r="J390" s="1238" t="s">
        <v>307</v>
      </c>
      <c r="O390" s="474" t="s">
        <v>1180</v>
      </c>
      <c r="P390" s="473"/>
      <c r="Q390" s="473"/>
      <c r="R390" s="473"/>
      <c r="S390" s="473"/>
      <c r="T390" s="458"/>
      <c r="U390" s="458"/>
      <c r="V390" s="458"/>
      <c r="W390" s="458"/>
      <c r="X390" s="458"/>
      <c r="Y390" s="458"/>
      <c r="Z390" s="458"/>
      <c r="AA390" s="458"/>
      <c r="AB390" s="458"/>
    </row>
    <row r="391" spans="1:28" ht="15.75">
      <c r="A391" s="458"/>
      <c r="B391" s="1283" t="s">
        <v>1058</v>
      </c>
      <c r="C391" s="1283"/>
      <c r="D391" s="1267">
        <v>7753</v>
      </c>
      <c r="E391" s="465"/>
      <c r="F391" s="1283" t="s">
        <v>1058</v>
      </c>
      <c r="G391" s="1267">
        <v>7074</v>
      </c>
      <c r="H391" s="458"/>
      <c r="I391" s="1241" t="s">
        <v>1058</v>
      </c>
      <c r="J391" s="1284">
        <v>7594</v>
      </c>
      <c r="O391" s="458"/>
      <c r="P391" s="473"/>
      <c r="Q391" s="473"/>
      <c r="R391" s="473"/>
      <c r="S391" s="473"/>
      <c r="T391" s="458"/>
      <c r="U391" s="458"/>
      <c r="V391" s="458"/>
      <c r="W391" s="458"/>
      <c r="X391" s="458"/>
      <c r="Y391" s="458"/>
      <c r="Z391" s="458"/>
      <c r="AA391" s="458"/>
      <c r="AB391" s="458"/>
    </row>
    <row r="392" spans="1:28" ht="15.75">
      <c r="A392" s="458"/>
      <c r="B392" s="1283" t="s">
        <v>1059</v>
      </c>
      <c r="C392" s="1283"/>
      <c r="D392" s="1273">
        <v>8197</v>
      </c>
      <c r="E392" s="461"/>
      <c r="F392" s="1283" t="s">
        <v>1059</v>
      </c>
      <c r="G392" s="1273">
        <v>7265</v>
      </c>
      <c r="H392" s="458"/>
      <c r="I392" s="1241" t="s">
        <v>1059</v>
      </c>
      <c r="J392" s="1285">
        <v>8197</v>
      </c>
      <c r="O392" s="475" t="s">
        <v>1181</v>
      </c>
      <c r="P392" s="458"/>
      <c r="Q392" s="458"/>
      <c r="R392" s="458"/>
      <c r="S392" s="458"/>
      <c r="T392" s="458"/>
      <c r="U392" s="458"/>
      <c r="V392" s="458"/>
      <c r="W392" s="458"/>
      <c r="X392" s="458"/>
      <c r="Y392" s="458"/>
      <c r="Z392" s="458"/>
      <c r="AA392" s="458"/>
      <c r="AB392" s="458"/>
    </row>
    <row r="393" spans="1:28" ht="15.75">
      <c r="A393" s="458"/>
      <c r="B393" s="1283" t="s">
        <v>1060</v>
      </c>
      <c r="C393" s="1283"/>
      <c r="D393" s="1273">
        <v>7361</v>
      </c>
      <c r="E393" s="461"/>
      <c r="F393" s="1283" t="s">
        <v>1060</v>
      </c>
      <c r="G393" s="1273">
        <v>7293</v>
      </c>
      <c r="H393" s="458"/>
      <c r="I393" s="1241" t="s">
        <v>1060</v>
      </c>
      <c r="J393" s="1285">
        <v>7293</v>
      </c>
      <c r="O393" s="475"/>
      <c r="P393" s="475"/>
      <c r="Q393" s="458"/>
      <c r="R393" s="458"/>
      <c r="S393" s="458"/>
      <c r="T393" s="458"/>
      <c r="U393" s="458"/>
      <c r="V393" s="458"/>
      <c r="W393" s="458"/>
      <c r="X393" s="458"/>
      <c r="Y393" s="458"/>
      <c r="Z393" s="458"/>
      <c r="AA393" s="458"/>
      <c r="AB393" s="458"/>
    </row>
    <row r="394" spans="1:28" ht="31.5">
      <c r="A394" s="458"/>
      <c r="B394" s="1283" t="s">
        <v>1160</v>
      </c>
      <c r="C394" s="1283"/>
      <c r="D394" s="1273">
        <v>9165</v>
      </c>
      <c r="E394" s="461"/>
      <c r="F394" s="1283" t="s">
        <v>1160</v>
      </c>
      <c r="G394" s="1273">
        <v>7074</v>
      </c>
      <c r="H394" s="458"/>
      <c r="I394" s="1241" t="s">
        <v>1061</v>
      </c>
      <c r="J394" s="1285">
        <v>7818</v>
      </c>
      <c r="O394" s="476" t="s">
        <v>1159</v>
      </c>
      <c r="P394" s="477" t="s">
        <v>1182</v>
      </c>
      <c r="Q394" s="478" t="s">
        <v>1183</v>
      </c>
      <c r="R394" s="458"/>
      <c r="S394" s="458"/>
      <c r="T394" s="458"/>
      <c r="U394" s="458"/>
      <c r="V394" s="458"/>
      <c r="W394" s="458"/>
      <c r="X394" s="458"/>
      <c r="Y394" s="458"/>
      <c r="Z394" s="458"/>
      <c r="AA394" s="458"/>
      <c r="AB394" s="458"/>
    </row>
    <row r="395" spans="1:28" ht="15.75">
      <c r="A395" s="464">
        <f t="shared" ref="A395:A411" si="171">ROW()-39</f>
        <v>356</v>
      </c>
      <c r="B395" s="1283" t="s">
        <v>1061</v>
      </c>
      <c r="C395" s="1283"/>
      <c r="D395" s="1273">
        <v>9267</v>
      </c>
      <c r="E395" s="461"/>
      <c r="F395" s="1283" t="s">
        <v>1061</v>
      </c>
      <c r="G395" s="1273">
        <v>7265</v>
      </c>
      <c r="H395" s="458"/>
      <c r="I395" s="1241" t="s">
        <v>1062</v>
      </c>
      <c r="J395" s="1285">
        <v>7074</v>
      </c>
      <c r="O395" s="479" t="s">
        <v>1052</v>
      </c>
      <c r="P395" s="480">
        <f>+R14</f>
        <v>8429.3823475451609</v>
      </c>
      <c r="Q395" s="481">
        <f>500000/(P395/4)</f>
        <v>237.26530812574282</v>
      </c>
      <c r="R395" s="458"/>
      <c r="S395" s="458"/>
      <c r="T395" s="458"/>
      <c r="U395" s="458"/>
      <c r="V395" s="458"/>
      <c r="W395" s="458"/>
      <c r="X395" s="458"/>
      <c r="Y395" s="458"/>
      <c r="Z395" s="458"/>
      <c r="AA395" s="458"/>
      <c r="AB395" s="458"/>
    </row>
    <row r="396" spans="1:28" ht="15.75">
      <c r="A396" s="464">
        <f t="shared" si="171"/>
        <v>357</v>
      </c>
      <c r="B396" s="1283" t="s">
        <v>1161</v>
      </c>
      <c r="C396" s="1283"/>
      <c r="D396" s="1273">
        <v>22331</v>
      </c>
      <c r="E396" s="461"/>
      <c r="F396" s="1283" t="s">
        <v>1161</v>
      </c>
      <c r="G396" s="1273">
        <v>7265</v>
      </c>
      <c r="H396" s="458"/>
      <c r="I396" s="1241" t="s">
        <v>1063</v>
      </c>
      <c r="J396" s="1285">
        <v>10501</v>
      </c>
      <c r="O396" s="453" t="s">
        <v>1054</v>
      </c>
      <c r="P396" s="482">
        <f>+R16</f>
        <v>8326.4897724523435</v>
      </c>
      <c r="Q396" s="482">
        <f t="shared" ref="Q396:Q411" si="172">500000/(P396/4)</f>
        <v>240.19725654583419</v>
      </c>
      <c r="R396" s="458"/>
      <c r="S396" s="458"/>
      <c r="T396" s="458"/>
      <c r="U396" s="458"/>
      <c r="V396" s="458"/>
      <c r="W396" s="458"/>
      <c r="X396" s="458"/>
      <c r="Y396" s="458"/>
      <c r="Z396" s="458"/>
      <c r="AA396" s="458"/>
      <c r="AB396" s="458"/>
    </row>
    <row r="397" spans="1:28" ht="15.75">
      <c r="A397" s="464">
        <f t="shared" si="171"/>
        <v>358</v>
      </c>
      <c r="B397" s="1283" t="s">
        <v>1162</v>
      </c>
      <c r="C397" s="1283"/>
      <c r="D397" s="1273">
        <v>33701</v>
      </c>
      <c r="E397" s="461"/>
      <c r="F397" s="1283" t="s">
        <v>1162</v>
      </c>
      <c r="G397" s="1266">
        <v>7265</v>
      </c>
      <c r="H397" s="461"/>
      <c r="I397" s="1241" t="s">
        <v>1163</v>
      </c>
      <c r="J397" s="1286">
        <f>+B387</f>
        <v>7074</v>
      </c>
      <c r="O397" s="453" t="s">
        <v>1064</v>
      </c>
      <c r="P397" s="482">
        <f t="shared" ref="P397:P411" si="173">+R27</f>
        <v>7242.9499619081098</v>
      </c>
      <c r="Q397" s="482">
        <f t="shared" si="172"/>
        <v>276.13058360451691</v>
      </c>
      <c r="R397" s="458"/>
      <c r="S397" s="458"/>
      <c r="T397" s="458"/>
      <c r="U397" s="458"/>
      <c r="V397" s="458"/>
      <c r="W397" s="458"/>
      <c r="X397" s="458"/>
      <c r="Y397" s="458"/>
      <c r="Z397" s="458"/>
      <c r="AA397" s="458"/>
      <c r="AB397" s="458"/>
    </row>
    <row r="398" spans="1:28" ht="15.75">
      <c r="A398" s="464">
        <f t="shared" si="171"/>
        <v>359</v>
      </c>
      <c r="B398" s="1283" t="s">
        <v>1164</v>
      </c>
      <c r="C398" s="1283"/>
      <c r="D398" s="1273">
        <v>9701</v>
      </c>
      <c r="E398" s="461"/>
      <c r="F398" s="1283" t="s">
        <v>1164</v>
      </c>
      <c r="G398" s="1266">
        <v>7265</v>
      </c>
      <c r="H398" s="461"/>
      <c r="O398" s="453" t="s">
        <v>1065</v>
      </c>
      <c r="P398" s="482">
        <f t="shared" si="173"/>
        <v>9339.7290423366921</v>
      </c>
      <c r="Q398" s="482">
        <f t="shared" si="172"/>
        <v>214.13897458203169</v>
      </c>
      <c r="R398" s="458"/>
      <c r="S398" s="458"/>
      <c r="T398" s="458"/>
      <c r="U398" s="458"/>
      <c r="V398" s="458"/>
      <c r="W398" s="458"/>
      <c r="X398" s="458"/>
      <c r="Y398" s="458"/>
      <c r="Z398" s="458"/>
      <c r="AA398" s="458"/>
      <c r="AB398" s="458"/>
    </row>
    <row r="399" spans="1:28" ht="15.75">
      <c r="A399" s="464">
        <f t="shared" si="171"/>
        <v>360</v>
      </c>
      <c r="B399" s="1283" t="s">
        <v>1165</v>
      </c>
      <c r="C399" s="1283"/>
      <c r="D399" s="1273">
        <v>10683</v>
      </c>
      <c r="E399" s="461"/>
      <c r="F399" s="1283" t="s">
        <v>1165</v>
      </c>
      <c r="G399" s="1266">
        <v>7265</v>
      </c>
      <c r="H399" s="461"/>
      <c r="I399" s="1233" t="s">
        <v>1076</v>
      </c>
      <c r="J399" s="1234"/>
      <c r="O399" s="453" t="s">
        <v>1066</v>
      </c>
      <c r="P399" s="482">
        <f t="shared" si="173"/>
        <v>9420.3898852952661</v>
      </c>
      <c r="Q399" s="482">
        <f t="shared" si="172"/>
        <v>212.30543792268034</v>
      </c>
      <c r="R399" s="458"/>
      <c r="S399" s="458"/>
      <c r="T399" s="458"/>
      <c r="U399" s="458"/>
      <c r="V399" s="458"/>
      <c r="W399" s="458"/>
      <c r="X399" s="458"/>
      <c r="Y399" s="458"/>
      <c r="Z399" s="458"/>
      <c r="AA399" s="458"/>
      <c r="AB399" s="458"/>
    </row>
    <row r="400" spans="1:28" ht="15.75">
      <c r="A400" s="464">
        <f t="shared" si="171"/>
        <v>361</v>
      </c>
      <c r="B400" s="1283" t="s">
        <v>1166</v>
      </c>
      <c r="C400" s="1283"/>
      <c r="D400" s="1273">
        <v>13707</v>
      </c>
      <c r="E400" s="461"/>
      <c r="F400" s="1283" t="s">
        <v>1166</v>
      </c>
      <c r="G400" s="1266">
        <v>7265</v>
      </c>
      <c r="H400" s="461"/>
      <c r="I400" s="1241" t="s">
        <v>1127</v>
      </c>
      <c r="J400" s="1287" t="s">
        <v>1167</v>
      </c>
      <c r="O400" s="453" t="s">
        <v>1067</v>
      </c>
      <c r="P400" s="482">
        <f t="shared" si="173"/>
        <v>30219.263550370324</v>
      </c>
      <c r="Q400" s="482">
        <f t="shared" si="172"/>
        <v>66.182949715711743</v>
      </c>
      <c r="R400" s="458"/>
      <c r="S400" s="458"/>
      <c r="T400" s="458"/>
      <c r="U400" s="458"/>
      <c r="V400" s="458"/>
      <c r="W400" s="458"/>
      <c r="X400" s="458"/>
      <c r="Y400" s="458"/>
      <c r="Z400" s="458"/>
      <c r="AA400" s="458"/>
      <c r="AB400" s="458"/>
    </row>
    <row r="401" spans="1:28" ht="15.75">
      <c r="A401" s="464">
        <f t="shared" si="171"/>
        <v>362</v>
      </c>
      <c r="B401" s="1283" t="s">
        <v>1168</v>
      </c>
      <c r="C401" s="1283"/>
      <c r="D401" s="1273">
        <v>8644</v>
      </c>
      <c r="E401" s="461"/>
      <c r="F401" s="1283" t="s">
        <v>1168</v>
      </c>
      <c r="G401" s="1266">
        <v>7074</v>
      </c>
      <c r="H401" s="461"/>
      <c r="I401" s="1241" t="s">
        <v>1080</v>
      </c>
      <c r="J401" s="1241">
        <v>0.23</v>
      </c>
      <c r="O401" s="453" t="s">
        <v>1068</v>
      </c>
      <c r="P401" s="482">
        <f t="shared" si="173"/>
        <v>31067.774574253475</v>
      </c>
      <c r="Q401" s="482">
        <f t="shared" si="172"/>
        <v>64.375386631569114</v>
      </c>
      <c r="R401" s="458"/>
      <c r="S401" s="458"/>
      <c r="T401" s="458"/>
      <c r="U401" s="458"/>
      <c r="V401" s="458"/>
      <c r="W401" s="458"/>
      <c r="X401" s="458"/>
      <c r="Y401" s="458"/>
      <c r="Z401" s="458"/>
      <c r="AA401" s="458"/>
      <c r="AB401" s="458"/>
    </row>
    <row r="402" spans="1:28" ht="15.75">
      <c r="A402" s="464">
        <f t="shared" si="171"/>
        <v>363</v>
      </c>
      <c r="B402" s="1283" t="s">
        <v>1169</v>
      </c>
      <c r="C402" s="1283"/>
      <c r="D402" s="1273">
        <v>12447</v>
      </c>
      <c r="E402" s="461"/>
      <c r="F402" s="1283" t="s">
        <v>1169</v>
      </c>
      <c r="G402" s="1266">
        <v>7265</v>
      </c>
      <c r="H402" s="461"/>
      <c r="I402" s="1241" t="s">
        <v>1170</v>
      </c>
      <c r="J402" s="1241">
        <v>0.03</v>
      </c>
      <c r="K402" t="s">
        <v>1171</v>
      </c>
      <c r="O402" s="453" t="s">
        <v>1069</v>
      </c>
      <c r="P402" s="482">
        <f t="shared" si="173"/>
        <v>9688.9168173623493</v>
      </c>
      <c r="Q402" s="482">
        <f t="shared" si="172"/>
        <v>206.42142333351848</v>
      </c>
      <c r="R402" s="458"/>
      <c r="S402" s="458"/>
      <c r="T402" s="458"/>
      <c r="U402" s="458"/>
      <c r="V402" s="458"/>
      <c r="W402" s="458"/>
      <c r="X402" s="458"/>
      <c r="Y402" s="458"/>
      <c r="Z402" s="458"/>
      <c r="AA402" s="458"/>
      <c r="AB402" s="458"/>
    </row>
    <row r="403" spans="1:28" ht="15.75">
      <c r="A403" s="464">
        <f t="shared" si="171"/>
        <v>364</v>
      </c>
      <c r="B403" s="1283" t="s">
        <v>1172</v>
      </c>
      <c r="C403" s="1283"/>
      <c r="D403" s="1273">
        <v>8881</v>
      </c>
      <c r="E403" s="461"/>
      <c r="F403" s="1283" t="s">
        <v>1172</v>
      </c>
      <c r="G403" s="1266">
        <v>7265</v>
      </c>
      <c r="H403" s="461"/>
      <c r="I403" s="1241" t="s">
        <v>1084</v>
      </c>
      <c r="J403" s="1241">
        <v>0.12</v>
      </c>
      <c r="O403" s="453" t="s">
        <v>1070</v>
      </c>
      <c r="P403" s="482">
        <f t="shared" si="173"/>
        <v>12053.338724633586</v>
      </c>
      <c r="Q403" s="482">
        <f t="shared" si="172"/>
        <v>165.92912932186752</v>
      </c>
      <c r="R403" s="458"/>
      <c r="S403" s="458"/>
      <c r="T403" s="458"/>
      <c r="U403" s="458"/>
      <c r="V403" s="458"/>
      <c r="W403" s="458"/>
      <c r="X403" s="458"/>
      <c r="Y403" s="458"/>
      <c r="Z403" s="458"/>
      <c r="AA403" s="458"/>
      <c r="AB403" s="458"/>
    </row>
    <row r="404" spans="1:28" ht="15.75">
      <c r="A404" s="464">
        <f t="shared" si="171"/>
        <v>365</v>
      </c>
      <c r="B404" s="1283" t="s">
        <v>1173</v>
      </c>
      <c r="C404" s="1283"/>
      <c r="D404" s="1273">
        <v>11779</v>
      </c>
      <c r="E404" s="461"/>
      <c r="F404" s="1283" t="s">
        <v>1173</v>
      </c>
      <c r="G404" s="1266">
        <v>7265</v>
      </c>
      <c r="H404" s="461"/>
      <c r="O404" s="453" t="s">
        <v>1071</v>
      </c>
      <c r="P404" s="482">
        <f t="shared" si="173"/>
        <v>13816.314817401271</v>
      </c>
      <c r="Q404" s="482">
        <f t="shared" si="172"/>
        <v>144.75640041735693</v>
      </c>
      <c r="R404" s="458"/>
      <c r="S404" s="458"/>
      <c r="T404" s="458"/>
      <c r="U404" s="458"/>
      <c r="V404" s="458"/>
      <c r="W404" s="458"/>
      <c r="X404" s="458"/>
      <c r="Y404" s="458"/>
      <c r="Z404" s="458"/>
      <c r="AA404" s="458"/>
      <c r="AB404" s="458"/>
    </row>
    <row r="405" spans="1:28" ht="15.75">
      <c r="A405" s="464">
        <f t="shared" si="171"/>
        <v>366</v>
      </c>
      <c r="B405" s="1283" t="s">
        <v>1174</v>
      </c>
      <c r="C405" s="1283"/>
      <c r="D405" s="1273">
        <v>23243</v>
      </c>
      <c r="E405" s="461"/>
      <c r="F405" s="1283" t="s">
        <v>1174</v>
      </c>
      <c r="G405" s="1266">
        <v>7074</v>
      </c>
      <c r="H405" s="461"/>
      <c r="O405" s="453" t="s">
        <v>1072</v>
      </c>
      <c r="P405" s="482">
        <f t="shared" si="173"/>
        <v>8767.3826380934333</v>
      </c>
      <c r="Q405" s="482">
        <f t="shared" si="172"/>
        <v>228.11825176994017</v>
      </c>
      <c r="R405" s="458"/>
      <c r="S405" s="458"/>
      <c r="T405" s="458"/>
      <c r="U405" s="458"/>
      <c r="V405" s="458"/>
      <c r="W405" s="458"/>
      <c r="X405" s="458"/>
      <c r="Y405" s="458"/>
      <c r="Z405" s="458"/>
      <c r="AA405" s="458"/>
      <c r="AB405" s="458"/>
    </row>
    <row r="406" spans="1:28" ht="15.75">
      <c r="A406" s="464">
        <f t="shared" si="171"/>
        <v>367</v>
      </c>
      <c r="B406" s="1283" t="s">
        <v>1062</v>
      </c>
      <c r="C406" s="1283"/>
      <c r="D406" s="1273">
        <v>7318</v>
      </c>
      <c r="E406" s="461"/>
      <c r="F406" s="1283" t="s">
        <v>1062</v>
      </c>
      <c r="G406" s="1266">
        <v>7074</v>
      </c>
      <c r="H406" s="461"/>
      <c r="I406" s="458"/>
      <c r="O406" s="453" t="s">
        <v>1073</v>
      </c>
      <c r="P406" s="482">
        <f t="shared" si="173"/>
        <v>11805.646509297234</v>
      </c>
      <c r="Q406" s="482">
        <f t="shared" si="172"/>
        <v>169.41045951400895</v>
      </c>
      <c r="R406" s="458"/>
      <c r="S406" s="458"/>
      <c r="T406" s="458"/>
      <c r="U406" s="458"/>
      <c r="V406" s="458"/>
      <c r="W406" s="458"/>
      <c r="X406" s="458"/>
      <c r="Y406" s="458"/>
      <c r="Z406" s="458"/>
      <c r="AA406" s="458"/>
      <c r="AB406" s="458"/>
    </row>
    <row r="407" spans="1:28" ht="15.75">
      <c r="A407" s="464">
        <f t="shared" si="171"/>
        <v>368</v>
      </c>
      <c r="B407" s="1283" t="s">
        <v>1063</v>
      </c>
      <c r="C407" s="1283"/>
      <c r="D407" s="1267">
        <v>11444.55</v>
      </c>
      <c r="E407" s="465"/>
      <c r="F407" s="1283" t="s">
        <v>1063</v>
      </c>
      <c r="G407" s="1266">
        <v>7265</v>
      </c>
      <c r="H407" s="461"/>
      <c r="I407" s="458"/>
      <c r="O407" s="453" t="s">
        <v>1075</v>
      </c>
      <c r="P407" s="482">
        <f t="shared" si="173"/>
        <v>9793.7160516863933</v>
      </c>
      <c r="Q407" s="482">
        <f t="shared" si="172"/>
        <v>204.21257768195323</v>
      </c>
      <c r="R407" s="458"/>
      <c r="S407" s="458"/>
      <c r="T407" s="458"/>
      <c r="U407" s="458"/>
      <c r="V407" s="458"/>
      <c r="W407" s="458"/>
      <c r="X407" s="458"/>
      <c r="Y407" s="458"/>
      <c r="Z407" s="458"/>
      <c r="AA407" s="458"/>
      <c r="AB407" s="458"/>
    </row>
    <row r="408" spans="1:28" ht="15.75">
      <c r="A408" s="464">
        <f t="shared" si="171"/>
        <v>369</v>
      </c>
      <c r="B408" s="458"/>
      <c r="C408" s="458"/>
      <c r="D408" s="458"/>
      <c r="E408" s="458"/>
      <c r="F408" s="458" t="s">
        <v>1163</v>
      </c>
      <c r="G408" s="1239">
        <f>+B387</f>
        <v>7074</v>
      </c>
      <c r="H408" s="458"/>
      <c r="I408" s="458"/>
      <c r="O408" s="453" t="s">
        <v>1077</v>
      </c>
      <c r="P408" s="482">
        <f t="shared" si="173"/>
        <v>12894.414156081819</v>
      </c>
      <c r="Q408" s="482">
        <f t="shared" si="172"/>
        <v>155.10592228470293</v>
      </c>
      <c r="R408" s="458"/>
      <c r="S408" s="458"/>
      <c r="T408" s="458"/>
      <c r="U408" s="458"/>
      <c r="V408" s="458"/>
      <c r="W408" s="458"/>
      <c r="X408" s="458"/>
      <c r="Y408" s="458"/>
      <c r="Z408" s="458"/>
      <c r="AA408" s="458"/>
      <c r="AB408" s="458"/>
    </row>
    <row r="409" spans="1:28" ht="15.75">
      <c r="A409" s="464">
        <f t="shared" si="171"/>
        <v>370</v>
      </c>
      <c r="O409" s="453" t="s">
        <v>1079</v>
      </c>
      <c r="P409" s="482">
        <f t="shared" si="173"/>
        <v>16352.403262371867</v>
      </c>
      <c r="Q409" s="482">
        <f t="shared" si="172"/>
        <v>122.30618141629085</v>
      </c>
      <c r="R409" s="458"/>
      <c r="S409" s="458"/>
      <c r="T409" s="458"/>
      <c r="U409" s="458"/>
      <c r="V409" s="458"/>
      <c r="W409" s="458"/>
      <c r="X409" s="458"/>
      <c r="Y409" s="458"/>
      <c r="Z409" s="458"/>
      <c r="AA409" s="458"/>
      <c r="AB409" s="458"/>
    </row>
    <row r="410" spans="1:28" ht="15.75">
      <c r="A410" s="464">
        <f t="shared" si="171"/>
        <v>371</v>
      </c>
      <c r="O410" s="453" t="s">
        <v>1081</v>
      </c>
      <c r="P410" s="482">
        <f t="shared" si="173"/>
        <v>7451.3102570989922</v>
      </c>
      <c r="Q410" s="482">
        <f t="shared" si="172"/>
        <v>268.4091697959517</v>
      </c>
      <c r="R410" s="458"/>
      <c r="S410" s="458"/>
      <c r="T410" s="458"/>
      <c r="U410" s="458"/>
      <c r="V410" s="458"/>
      <c r="W410" s="458"/>
      <c r="X410" s="458"/>
      <c r="Y410" s="458"/>
      <c r="Z410" s="458"/>
      <c r="AA410" s="458"/>
      <c r="AB410" s="458"/>
    </row>
    <row r="411" spans="1:28" ht="15.75">
      <c r="A411" s="464">
        <f t="shared" si="171"/>
        <v>372</v>
      </c>
      <c r="O411" s="453" t="s">
        <v>1083</v>
      </c>
      <c r="P411" s="483">
        <f t="shared" si="173"/>
        <v>11115.885152830571</v>
      </c>
      <c r="Q411" s="482">
        <f t="shared" si="172"/>
        <v>179.92269373984274</v>
      </c>
      <c r="R411" s="458"/>
      <c r="S411" s="458"/>
      <c r="T411" s="458"/>
      <c r="U411" s="458"/>
      <c r="V411" s="458"/>
      <c r="W411" s="458"/>
      <c r="X411" s="458"/>
      <c r="Y411" s="458"/>
      <c r="Z411" s="458"/>
      <c r="AA411" s="458"/>
      <c r="AB411" s="458"/>
    </row>
    <row r="412" spans="1:28" ht="15.75">
      <c r="A412" s="458"/>
      <c r="O412" s="458"/>
      <c r="P412" s="458"/>
      <c r="Q412" s="458"/>
      <c r="R412" s="458"/>
      <c r="S412" s="458"/>
      <c r="T412" s="458"/>
      <c r="U412" s="458"/>
      <c r="V412" s="458"/>
      <c r="W412" s="458"/>
      <c r="X412" s="458"/>
      <c r="Y412" s="458"/>
      <c r="Z412" s="458"/>
      <c r="AA412" s="458"/>
      <c r="AB412" s="458"/>
    </row>
    <row r="413" spans="1:28" ht="15.75">
      <c r="A413" s="458"/>
      <c r="O413" s="484" t="s">
        <v>1184</v>
      </c>
      <c r="P413" s="458"/>
      <c r="Q413" s="458"/>
      <c r="R413" s="458"/>
      <c r="S413" s="458"/>
      <c r="T413" s="458"/>
      <c r="U413" s="458"/>
      <c r="V413" s="458"/>
      <c r="W413" s="458"/>
      <c r="X413" s="458"/>
      <c r="Y413" s="458"/>
      <c r="Z413" s="458"/>
      <c r="AA413" s="458"/>
      <c r="AB413" s="458"/>
    </row>
    <row r="414" spans="1:28" ht="15.75">
      <c r="A414" s="458"/>
      <c r="O414" s="458"/>
      <c r="P414" s="458"/>
      <c r="Q414" s="458"/>
      <c r="R414" s="458"/>
      <c r="S414" s="458"/>
      <c r="T414" s="458"/>
      <c r="U414" s="458"/>
      <c r="V414" s="458"/>
      <c r="W414" s="458"/>
      <c r="X414" s="458"/>
      <c r="Y414" s="458"/>
      <c r="Z414" s="458"/>
      <c r="AA414" s="458"/>
      <c r="AB414" s="458"/>
    </row>
    <row r="415" spans="1:28">
      <c r="P415" s="1548"/>
      <c r="Q415" s="1548"/>
      <c r="R415" s="1548"/>
      <c r="S415" s="1548"/>
    </row>
  </sheetData>
  <mergeCells count="2">
    <mergeCell ref="P11:Q11"/>
    <mergeCell ref="V11:W11"/>
  </mergeCells>
  <conditionalFormatting sqref="O395:Q411">
    <cfRule type="expression" dxfId="9" priority="27" stopIfTrue="1">
      <formula>MOD(ROW(),2)=0</formula>
    </cfRule>
  </conditionalFormatting>
  <conditionalFormatting sqref="Q1">
    <cfRule type="expression" dxfId="8" priority="2" stopIfTrue="1">
      <formula>MOD(ROW(),2)=0</formula>
    </cfRule>
  </conditionalFormatting>
  <conditionalFormatting sqref="Y1">
    <cfRule type="expression" dxfId="7" priority="3" stopIfTrue="1">
      <formula>MOD(ROW(),2)=0</formula>
    </cfRule>
  </conditionalFormatting>
  <conditionalFormatting sqref="Z43:Z262">
    <cfRule type="expression" dxfId="6" priority="23" stopIfTrue="1">
      <formula>MOD(ROW(),2)=0</formula>
    </cfRule>
  </conditionalFormatting>
  <hyperlinks>
    <hyperlink ref="Q1" location="HypLink1" display="HypLink1" xr:uid="{9E2FC4C3-8621-475D-8FFA-7FBF029BDE36}"/>
  </hyperlinks>
  <pageMargins left="0.25" right="0.25" top="0.5" bottom="0.45" header="0.25" footer="0.25"/>
  <pageSetup scale="89" orientation="landscape" r:id="rId1"/>
  <headerFooter>
    <oddHeader xml:space="preserve">&amp;L &amp;C &amp;R </oddHeader>
    <oddFooter>&amp;L&amp;7&amp;D  at &amp;T Mike 702.486.8879&amp;C&amp;7&amp;F  &amp;A&amp;R&amp;7Page &amp;P of &amp;N</oddFooter>
  </headerFooter>
  <rowBreaks count="4" manualBreakCount="4">
    <brk id="38" max="13" man="1"/>
    <brk id="83" max="13" man="1"/>
    <brk id="262" max="13" man="1"/>
    <brk id="389" max="1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workbookViewId="0">
      <selection activeCell="F5" sqref="F5:M6"/>
    </sheetView>
  </sheetViews>
  <sheetFormatPr defaultColWidth="9.140625" defaultRowHeight="12.75"/>
  <cols>
    <col min="1" max="1" width="30" style="237" customWidth="1"/>
    <col min="2" max="2" width="30.85546875" style="237" customWidth="1"/>
    <col min="3" max="4" width="9" style="237" customWidth="1"/>
    <col min="5" max="5" width="7.42578125" style="237" customWidth="1"/>
    <col min="6" max="6" width="7" style="237" customWidth="1"/>
    <col min="7" max="7" width="12" style="237" customWidth="1"/>
    <col min="8" max="8" width="8.28515625" style="237" customWidth="1"/>
    <col min="9" max="9" width="12.5703125" style="237" customWidth="1"/>
    <col min="10" max="10" width="8.5703125" style="237" customWidth="1"/>
    <col min="11" max="11" width="12.7109375" style="237" customWidth="1"/>
    <col min="12" max="12" width="11.42578125" style="237" customWidth="1"/>
    <col min="13" max="13" width="10.5703125" style="237" customWidth="1"/>
    <col min="14" max="14" width="2.85546875" style="237" customWidth="1"/>
    <col min="15" max="16384" width="9.140625" style="237"/>
  </cols>
  <sheetData>
    <row r="1" spans="1:14" ht="15.75">
      <c r="A1" s="240" t="s">
        <v>865</v>
      </c>
      <c r="B1" s="240"/>
      <c r="D1" s="508" t="s">
        <v>2</v>
      </c>
      <c r="H1" s="902" t="s">
        <v>717</v>
      </c>
      <c r="I1" s="902" t="s">
        <v>718</v>
      </c>
      <c r="J1" s="902" t="s">
        <v>719</v>
      </c>
      <c r="K1" s="902" t="s">
        <v>720</v>
      </c>
      <c r="L1" s="902" t="s">
        <v>721</v>
      </c>
      <c r="M1" s="903" t="s">
        <v>722</v>
      </c>
    </row>
    <row r="2" spans="1:14" ht="15.75">
      <c r="A2" s="241" t="str">
        <f>SchoolName</f>
        <v>Rooted School Clark County</v>
      </c>
      <c r="B2" s="241"/>
      <c r="H2" s="957">
        <f>+' Enrol &amp; Rev'!H10</f>
        <v>2025</v>
      </c>
      <c r="I2" s="958">
        <f>+H3</f>
        <v>2026</v>
      </c>
      <c r="J2" s="958">
        <f>+I3</f>
        <v>2027</v>
      </c>
      <c r="K2" s="958">
        <f>+J3</f>
        <v>2028</v>
      </c>
      <c r="L2" s="958">
        <f>+K3</f>
        <v>2029</v>
      </c>
      <c r="M2" s="959">
        <f>+L3</f>
        <v>2030</v>
      </c>
    </row>
    <row r="3" spans="1:14" ht="15.75">
      <c r="A3" s="238" t="s">
        <v>62</v>
      </c>
      <c r="H3" s="932">
        <f t="shared" ref="H3:M3" si="0">+H2+1</f>
        <v>2026</v>
      </c>
      <c r="I3" s="933">
        <f t="shared" si="0"/>
        <v>2027</v>
      </c>
      <c r="J3" s="933">
        <f t="shared" si="0"/>
        <v>2028</v>
      </c>
      <c r="K3" s="933">
        <f t="shared" si="0"/>
        <v>2029</v>
      </c>
      <c r="L3" s="933">
        <f t="shared" si="0"/>
        <v>2030</v>
      </c>
      <c r="M3" s="934">
        <f t="shared" si="0"/>
        <v>2031</v>
      </c>
    </row>
    <row r="4" spans="1:14" ht="15">
      <c r="A4" s="239" t="s">
        <v>63</v>
      </c>
      <c r="F4" s="237" t="s">
        <v>866</v>
      </c>
      <c r="H4" s="266">
        <f>+' Enrol &amp; Rev'!H34</f>
        <v>150</v>
      </c>
      <c r="I4" s="266">
        <f>+' Enrol &amp; Rev'!I34</f>
        <v>270</v>
      </c>
      <c r="J4" s="266">
        <f>+' Enrol &amp; Rev'!J34</f>
        <v>315</v>
      </c>
      <c r="K4" s="266">
        <f>+' Enrol &amp; Rev'!K34</f>
        <v>360</v>
      </c>
      <c r="L4" s="266">
        <f>+' Enrol &amp; Rev'!L34</f>
        <v>360</v>
      </c>
      <c r="M4" s="266">
        <f>+' Enrol &amp; Rev'!M34</f>
        <v>360</v>
      </c>
    </row>
    <row r="5" spans="1:14" ht="15">
      <c r="A5" s="269" t="str">
        <f ca="1">CELL("filename")</f>
        <v>C:\Users\CRaymond\Char. School Bus Mgt Dropbox\Collin Raymond\Growth Team\Growth 2.0\Growth &amp; Data\Client Projects\Rooted LV\[Rooted School-SPCSA-Operating Budget-V10 (1) - Rev9.xlsx]Summary</v>
      </c>
      <c r="F5" s="237" t="s">
        <v>867</v>
      </c>
      <c r="H5" s="268">
        <f>+' Enrol &amp; Rev'!H17</f>
        <v>6</v>
      </c>
      <c r="I5" s="268">
        <f>+' Enrol &amp; Rev'!I17</f>
        <v>10.8</v>
      </c>
      <c r="J5" s="268">
        <f>+' Enrol &amp; Rev'!J17</f>
        <v>12.6</v>
      </c>
      <c r="K5" s="268">
        <f>+' Enrol &amp; Rev'!K17</f>
        <v>14.4</v>
      </c>
      <c r="L5" s="268">
        <f>+' Enrol &amp; Rev'!L17</f>
        <v>14.4</v>
      </c>
      <c r="M5" s="268">
        <f>+' Enrol &amp; Rev'!M17</f>
        <v>14.4</v>
      </c>
    </row>
    <row r="6" spans="1:14" ht="15">
      <c r="F6" s="237" t="s">
        <v>868</v>
      </c>
      <c r="H6" s="268">
        <f>IFERROR(H4/H5,0)</f>
        <v>25</v>
      </c>
      <c r="I6" s="268">
        <f t="shared" ref="I6:M6" si="1">IFERROR(I4/I5,0)</f>
        <v>25</v>
      </c>
      <c r="J6" s="268">
        <f t="shared" si="1"/>
        <v>25</v>
      </c>
      <c r="K6" s="268">
        <f t="shared" si="1"/>
        <v>25</v>
      </c>
      <c r="L6" s="268">
        <f t="shared" si="1"/>
        <v>25</v>
      </c>
      <c r="M6" s="268">
        <f t="shared" si="1"/>
        <v>25</v>
      </c>
    </row>
    <row r="7" spans="1:14" ht="17.25" customHeight="1">
      <c r="A7" s="960" t="s">
        <v>869</v>
      </c>
      <c r="B7" s="961"/>
      <c r="C7" s="961"/>
      <c r="D7" s="961"/>
      <c r="E7" s="961"/>
      <c r="F7" s="961"/>
      <c r="G7" s="961"/>
      <c r="H7" s="961"/>
      <c r="I7" s="961"/>
      <c r="J7" s="961"/>
      <c r="K7" s="961"/>
      <c r="L7" s="961"/>
      <c r="M7" s="961"/>
      <c r="N7" s="267"/>
    </row>
    <row r="8" spans="1:14" ht="19.5" customHeight="1">
      <c r="A8" s="260" t="s">
        <v>870</v>
      </c>
      <c r="B8" s="262" t="s">
        <v>871</v>
      </c>
      <c r="C8" s="263" t="s">
        <v>872</v>
      </c>
      <c r="D8" s="263" t="s">
        <v>873</v>
      </c>
      <c r="E8" s="264" t="s">
        <v>874</v>
      </c>
      <c r="F8" s="1711" t="s">
        <v>875</v>
      </c>
      <c r="G8" s="1712"/>
      <c r="H8" s="1711" t="s">
        <v>876</v>
      </c>
      <c r="I8" s="1712"/>
      <c r="J8" s="1711" t="s">
        <v>877</v>
      </c>
      <c r="K8" s="1712"/>
      <c r="L8" s="1711" t="s">
        <v>878</v>
      </c>
      <c r="M8" s="1712"/>
    </row>
    <row r="9" spans="1:14" ht="15">
      <c r="A9" s="278" t="s">
        <v>421</v>
      </c>
      <c r="B9" s="281" t="s">
        <v>879</v>
      </c>
      <c r="C9" s="261"/>
      <c r="D9" s="261"/>
      <c r="E9" s="282"/>
      <c r="F9" s="334">
        <v>500</v>
      </c>
      <c r="G9" s="290"/>
      <c r="H9" s="334">
        <v>400</v>
      </c>
      <c r="I9" s="298"/>
      <c r="J9" s="334">
        <f>+H4</f>
        <v>150</v>
      </c>
      <c r="K9" s="298"/>
      <c r="L9" s="334">
        <f>+K4</f>
        <v>360</v>
      </c>
      <c r="M9" s="298"/>
    </row>
    <row r="10" spans="1:14" ht="15">
      <c r="A10" s="279" t="s">
        <v>880</v>
      </c>
      <c r="B10" s="283" t="s">
        <v>881</v>
      </c>
      <c r="C10" s="253"/>
      <c r="D10" s="253"/>
      <c r="E10" s="284"/>
      <c r="F10" s="291"/>
      <c r="G10" s="292"/>
      <c r="H10" s="299"/>
      <c r="I10" s="300"/>
      <c r="J10" s="299"/>
      <c r="K10" s="300"/>
      <c r="L10" s="299"/>
      <c r="M10" s="298"/>
    </row>
    <row r="11" spans="1:14" ht="15">
      <c r="A11" s="279" t="s">
        <v>882</v>
      </c>
      <c r="B11" s="283" t="s">
        <v>883</v>
      </c>
      <c r="C11" s="253"/>
      <c r="D11" s="253"/>
      <c r="E11" s="284"/>
      <c r="F11" s="334">
        <v>25</v>
      </c>
      <c r="G11" s="292"/>
      <c r="H11" s="343">
        <v>25</v>
      </c>
      <c r="I11" s="300"/>
      <c r="J11" s="348">
        <v>25</v>
      </c>
      <c r="K11" s="300"/>
      <c r="L11" s="348">
        <f>+K6</f>
        <v>25</v>
      </c>
      <c r="M11" s="298"/>
    </row>
    <row r="12" spans="1:14" ht="15">
      <c r="A12" s="279" t="s">
        <v>884</v>
      </c>
      <c r="B12" s="283" t="s">
        <v>885</v>
      </c>
      <c r="C12" s="265">
        <v>55</v>
      </c>
      <c r="D12" s="265">
        <v>100</v>
      </c>
      <c r="E12" s="336">
        <f>AVERAGE(C12:D12)</f>
        <v>77.5</v>
      </c>
      <c r="F12" s="335">
        <v>600</v>
      </c>
      <c r="G12" s="293">
        <f>+F12*$E$12</f>
        <v>46500</v>
      </c>
      <c r="H12" s="344">
        <v>800</v>
      </c>
      <c r="I12" s="293">
        <f>+H12*$E$12</f>
        <v>62000</v>
      </c>
      <c r="J12" s="344">
        <v>45000</v>
      </c>
      <c r="K12" s="293">
        <f>+J12*$E$12</f>
        <v>3487500</v>
      </c>
      <c r="L12" s="344">
        <v>700</v>
      </c>
      <c r="M12" s="293">
        <f>+L12*$E$12</f>
        <v>54250</v>
      </c>
    </row>
    <row r="13" spans="1:14" ht="15">
      <c r="A13" s="279"/>
      <c r="B13" s="283"/>
      <c r="C13" s="253"/>
      <c r="D13" s="253"/>
      <c r="E13" s="285"/>
      <c r="F13" s="294"/>
      <c r="G13" s="290"/>
      <c r="H13" s="294"/>
      <c r="I13" s="298"/>
      <c r="J13" s="294"/>
      <c r="K13" s="298"/>
      <c r="L13" s="294"/>
      <c r="M13" s="298"/>
    </row>
    <row r="14" spans="1:14" ht="15">
      <c r="A14" s="278" t="s">
        <v>886</v>
      </c>
      <c r="B14" s="283"/>
      <c r="C14" s="253"/>
      <c r="D14" s="253"/>
      <c r="E14" s="285"/>
      <c r="F14" s="291"/>
      <c r="G14" s="290"/>
      <c r="H14" s="291"/>
      <c r="I14" s="298"/>
      <c r="J14" s="291"/>
      <c r="K14" s="298"/>
      <c r="L14" s="291"/>
      <c r="M14" s="298"/>
    </row>
    <row r="15" spans="1:14" ht="24" customHeight="1">
      <c r="A15" s="279" t="s">
        <v>887</v>
      </c>
      <c r="B15" s="283" t="s">
        <v>888</v>
      </c>
      <c r="C15" s="254">
        <v>750</v>
      </c>
      <c r="D15" s="254">
        <v>1000</v>
      </c>
      <c r="E15" s="337">
        <v>850</v>
      </c>
      <c r="F15" s="291">
        <f>+F9/F11</f>
        <v>20</v>
      </c>
      <c r="G15" s="295">
        <f>+F15*$E15</f>
        <v>17000</v>
      </c>
      <c r="H15" s="291">
        <f>+H9/H11</f>
        <v>16</v>
      </c>
      <c r="I15" s="295">
        <f>+H15*$E15</f>
        <v>13600</v>
      </c>
      <c r="J15" s="565">
        <f>IFERROR(J9/J11,0)</f>
        <v>6</v>
      </c>
      <c r="K15" s="295">
        <f>+J15*$E15</f>
        <v>5100</v>
      </c>
      <c r="L15" s="565">
        <f>IFERROR(L9/L11,0)</f>
        <v>14.4</v>
      </c>
      <c r="M15" s="295">
        <f>+L15*$E15</f>
        <v>12240</v>
      </c>
    </row>
    <row r="16" spans="1:14" ht="15">
      <c r="A16" s="279" t="s">
        <v>889</v>
      </c>
      <c r="B16" s="283" t="s">
        <v>890</v>
      </c>
      <c r="C16" s="254">
        <v>850</v>
      </c>
      <c r="D16" s="254">
        <v>1200</v>
      </c>
      <c r="E16" s="337">
        <v>1000</v>
      </c>
      <c r="F16" s="338">
        <v>2</v>
      </c>
      <c r="G16" s="296">
        <f t="shared" ref="G16:G28" si="2">+$E16*F16</f>
        <v>2000</v>
      </c>
      <c r="H16" s="334">
        <v>2</v>
      </c>
      <c r="I16" s="296">
        <f t="shared" ref="I16:I28" si="3">+$E16*H16</f>
        <v>2000</v>
      </c>
      <c r="J16" s="346">
        <v>2</v>
      </c>
      <c r="K16" s="296">
        <f t="shared" ref="K16:K28" si="4">+$E16*J16</f>
        <v>2000</v>
      </c>
      <c r="L16" s="346">
        <v>2</v>
      </c>
      <c r="M16" s="296">
        <f t="shared" ref="M16:M28" si="5">+$E16*L16</f>
        <v>2000</v>
      </c>
    </row>
    <row r="17" spans="1:13" ht="15">
      <c r="A17" s="279" t="s">
        <v>891</v>
      </c>
      <c r="B17" s="283" t="s">
        <v>892</v>
      </c>
      <c r="C17" s="254">
        <v>850</v>
      </c>
      <c r="D17" s="254">
        <v>1200</v>
      </c>
      <c r="E17" s="337">
        <v>1000</v>
      </c>
      <c r="F17" s="339">
        <v>1</v>
      </c>
      <c r="G17" s="296">
        <f t="shared" si="2"/>
        <v>1000</v>
      </c>
      <c r="H17" s="334">
        <v>1</v>
      </c>
      <c r="I17" s="296">
        <f t="shared" si="3"/>
        <v>1000</v>
      </c>
      <c r="J17" s="346">
        <v>1</v>
      </c>
      <c r="K17" s="296">
        <f t="shared" si="4"/>
        <v>1000</v>
      </c>
      <c r="L17" s="346">
        <v>1</v>
      </c>
      <c r="M17" s="296">
        <f t="shared" si="5"/>
        <v>1000</v>
      </c>
    </row>
    <row r="18" spans="1:13" ht="31.5" customHeight="1">
      <c r="A18" s="279" t="s">
        <v>893</v>
      </c>
      <c r="B18" s="283" t="s">
        <v>894</v>
      </c>
      <c r="C18" s="254"/>
      <c r="D18" s="254"/>
      <c r="E18" s="337">
        <v>400</v>
      </c>
      <c r="F18" s="339">
        <v>2</v>
      </c>
      <c r="G18" s="296">
        <f t="shared" si="2"/>
        <v>800</v>
      </c>
      <c r="H18" s="334">
        <v>2</v>
      </c>
      <c r="I18" s="296">
        <f t="shared" si="3"/>
        <v>800</v>
      </c>
      <c r="J18" s="346">
        <v>2</v>
      </c>
      <c r="K18" s="296">
        <f t="shared" si="4"/>
        <v>800</v>
      </c>
      <c r="L18" s="346">
        <v>2</v>
      </c>
      <c r="M18" s="296">
        <f t="shared" si="5"/>
        <v>800</v>
      </c>
    </row>
    <row r="19" spans="1:13" ht="27.75" customHeight="1">
      <c r="A19" s="279" t="s">
        <v>895</v>
      </c>
      <c r="B19" s="283" t="s">
        <v>896</v>
      </c>
      <c r="C19" s="254"/>
      <c r="D19" s="254"/>
      <c r="E19" s="337">
        <v>100</v>
      </c>
      <c r="F19" s="339">
        <v>4</v>
      </c>
      <c r="G19" s="296">
        <f t="shared" si="2"/>
        <v>400</v>
      </c>
      <c r="H19" s="334">
        <v>4</v>
      </c>
      <c r="I19" s="296">
        <f t="shared" si="3"/>
        <v>400</v>
      </c>
      <c r="J19" s="346">
        <v>4</v>
      </c>
      <c r="K19" s="296">
        <f t="shared" si="4"/>
        <v>400</v>
      </c>
      <c r="L19" s="346">
        <v>4</v>
      </c>
      <c r="M19" s="296">
        <f t="shared" si="5"/>
        <v>400</v>
      </c>
    </row>
    <row r="20" spans="1:13" ht="15">
      <c r="A20" s="279" t="s">
        <v>897</v>
      </c>
      <c r="B20" s="283" t="s">
        <v>898</v>
      </c>
      <c r="C20" s="254"/>
      <c r="D20" s="254"/>
      <c r="E20" s="337">
        <v>400</v>
      </c>
      <c r="F20" s="339">
        <v>1</v>
      </c>
      <c r="G20" s="296">
        <f t="shared" si="2"/>
        <v>400</v>
      </c>
      <c r="H20" s="334">
        <v>1</v>
      </c>
      <c r="I20" s="296">
        <f t="shared" si="3"/>
        <v>400</v>
      </c>
      <c r="J20" s="346">
        <v>0.25</v>
      </c>
      <c r="K20" s="296">
        <f t="shared" si="4"/>
        <v>100</v>
      </c>
      <c r="L20" s="346">
        <v>1</v>
      </c>
      <c r="M20" s="296">
        <f t="shared" si="5"/>
        <v>400</v>
      </c>
    </row>
    <row r="21" spans="1:13" ht="15">
      <c r="A21" s="279" t="s">
        <v>899</v>
      </c>
      <c r="B21" s="283" t="s">
        <v>900</v>
      </c>
      <c r="C21" s="254">
        <v>70</v>
      </c>
      <c r="D21" s="254">
        <v>100</v>
      </c>
      <c r="E21" s="337">
        <v>100</v>
      </c>
      <c r="F21" s="339">
        <v>4</v>
      </c>
      <c r="G21" s="296">
        <f t="shared" si="2"/>
        <v>400</v>
      </c>
      <c r="H21" s="334">
        <v>4</v>
      </c>
      <c r="I21" s="296">
        <f t="shared" si="3"/>
        <v>400</v>
      </c>
      <c r="J21" s="346">
        <v>2</v>
      </c>
      <c r="K21" s="296">
        <f t="shared" si="4"/>
        <v>200</v>
      </c>
      <c r="L21" s="346">
        <v>4</v>
      </c>
      <c r="M21" s="296">
        <f t="shared" si="5"/>
        <v>400</v>
      </c>
    </row>
    <row r="22" spans="1:13" ht="15">
      <c r="A22" s="279" t="s">
        <v>901</v>
      </c>
      <c r="B22" s="283" t="s">
        <v>902</v>
      </c>
      <c r="C22" s="254"/>
      <c r="D22" s="254"/>
      <c r="E22" s="337">
        <v>400</v>
      </c>
      <c r="F22" s="339">
        <v>1</v>
      </c>
      <c r="G22" s="296">
        <f t="shared" si="2"/>
        <v>400</v>
      </c>
      <c r="H22" s="334">
        <v>1</v>
      </c>
      <c r="I22" s="296">
        <f t="shared" si="3"/>
        <v>400</v>
      </c>
      <c r="J22" s="346">
        <v>1</v>
      </c>
      <c r="K22" s="296">
        <f t="shared" si="4"/>
        <v>400</v>
      </c>
      <c r="L22" s="346">
        <v>1</v>
      </c>
      <c r="M22" s="296">
        <f t="shared" si="5"/>
        <v>400</v>
      </c>
    </row>
    <row r="23" spans="1:13" ht="15">
      <c r="A23" s="279" t="s">
        <v>903</v>
      </c>
      <c r="B23" s="283" t="s">
        <v>904</v>
      </c>
      <c r="C23" s="254"/>
      <c r="D23" s="254"/>
      <c r="E23" s="337">
        <v>600</v>
      </c>
      <c r="F23" s="339">
        <v>1</v>
      </c>
      <c r="G23" s="296">
        <f t="shared" si="2"/>
        <v>600</v>
      </c>
      <c r="H23" s="334">
        <v>1</v>
      </c>
      <c r="I23" s="296">
        <f t="shared" si="3"/>
        <v>600</v>
      </c>
      <c r="J23" s="346">
        <v>0</v>
      </c>
      <c r="K23" s="296">
        <f t="shared" si="4"/>
        <v>0</v>
      </c>
      <c r="L23" s="346">
        <v>1</v>
      </c>
      <c r="M23" s="296">
        <f t="shared" si="5"/>
        <v>600</v>
      </c>
    </row>
    <row r="24" spans="1:13" ht="15">
      <c r="A24" s="279" t="s">
        <v>905</v>
      </c>
      <c r="B24" s="283" t="s">
        <v>906</v>
      </c>
      <c r="C24" s="254"/>
      <c r="D24" s="254"/>
      <c r="E24" s="337">
        <v>1500</v>
      </c>
      <c r="F24" s="339">
        <v>1</v>
      </c>
      <c r="G24" s="296">
        <f t="shared" si="2"/>
        <v>1500</v>
      </c>
      <c r="H24" s="334">
        <v>1</v>
      </c>
      <c r="I24" s="296">
        <f t="shared" si="3"/>
        <v>1500</v>
      </c>
      <c r="J24" s="346">
        <v>1</v>
      </c>
      <c r="K24" s="296">
        <f t="shared" si="4"/>
        <v>1500</v>
      </c>
      <c r="L24" s="346">
        <v>1</v>
      </c>
      <c r="M24" s="296">
        <f t="shared" si="5"/>
        <v>1500</v>
      </c>
    </row>
    <row r="25" spans="1:13" ht="15">
      <c r="A25" s="279" t="s">
        <v>907</v>
      </c>
      <c r="B25" s="283" t="s">
        <v>908</v>
      </c>
      <c r="C25" s="254"/>
      <c r="D25" s="254"/>
      <c r="E25" s="337">
        <v>200</v>
      </c>
      <c r="F25" s="339">
        <v>1</v>
      </c>
      <c r="G25" s="296">
        <f t="shared" si="2"/>
        <v>200</v>
      </c>
      <c r="H25" s="334">
        <v>1</v>
      </c>
      <c r="I25" s="296">
        <f t="shared" si="3"/>
        <v>200</v>
      </c>
      <c r="J25" s="346">
        <v>0.5</v>
      </c>
      <c r="K25" s="296">
        <f t="shared" si="4"/>
        <v>100</v>
      </c>
      <c r="L25" s="346">
        <v>1</v>
      </c>
      <c r="M25" s="296">
        <f t="shared" si="5"/>
        <v>200</v>
      </c>
    </row>
    <row r="26" spans="1:13" ht="15">
      <c r="A26" s="279" t="s">
        <v>909</v>
      </c>
      <c r="B26" s="283" t="s">
        <v>910</v>
      </c>
      <c r="C26" s="254"/>
      <c r="D26" s="254"/>
      <c r="E26" s="337">
        <v>400</v>
      </c>
      <c r="F26" s="339">
        <v>2</v>
      </c>
      <c r="G26" s="296">
        <f t="shared" si="2"/>
        <v>800</v>
      </c>
      <c r="H26" s="334">
        <v>2</v>
      </c>
      <c r="I26" s="296">
        <f t="shared" si="3"/>
        <v>800</v>
      </c>
      <c r="J26" s="346">
        <v>2</v>
      </c>
      <c r="K26" s="296">
        <f t="shared" si="4"/>
        <v>800</v>
      </c>
      <c r="L26" s="346">
        <v>2</v>
      </c>
      <c r="M26" s="296">
        <f t="shared" si="5"/>
        <v>800</v>
      </c>
    </row>
    <row r="27" spans="1:13" ht="15">
      <c r="A27" s="279" t="s">
        <v>911</v>
      </c>
      <c r="B27" s="283" t="s">
        <v>912</v>
      </c>
      <c r="C27" s="254"/>
      <c r="D27" s="254"/>
      <c r="E27" s="337">
        <v>100</v>
      </c>
      <c r="F27" s="339">
        <v>3</v>
      </c>
      <c r="G27" s="296">
        <f t="shared" si="2"/>
        <v>300</v>
      </c>
      <c r="H27" s="334">
        <v>3</v>
      </c>
      <c r="I27" s="296">
        <f t="shared" si="3"/>
        <v>300</v>
      </c>
      <c r="J27" s="346">
        <v>3</v>
      </c>
      <c r="K27" s="296">
        <f t="shared" si="4"/>
        <v>300</v>
      </c>
      <c r="L27" s="346">
        <v>3</v>
      </c>
      <c r="M27" s="296">
        <f t="shared" si="5"/>
        <v>300</v>
      </c>
    </row>
    <row r="28" spans="1:13" ht="30">
      <c r="A28" s="279" t="s">
        <v>913</v>
      </c>
      <c r="B28" s="283" t="s">
        <v>914</v>
      </c>
      <c r="C28" s="254"/>
      <c r="D28" s="254"/>
      <c r="E28" s="337">
        <v>4000</v>
      </c>
      <c r="F28" s="339">
        <v>1</v>
      </c>
      <c r="G28" s="296">
        <f t="shared" si="2"/>
        <v>4000</v>
      </c>
      <c r="H28" s="334">
        <v>0</v>
      </c>
      <c r="I28" s="296">
        <f t="shared" si="3"/>
        <v>0</v>
      </c>
      <c r="J28" s="346">
        <v>0</v>
      </c>
      <c r="K28" s="296">
        <f t="shared" si="4"/>
        <v>0</v>
      </c>
      <c r="L28" s="346">
        <v>0</v>
      </c>
      <c r="M28" s="296">
        <f t="shared" si="5"/>
        <v>0</v>
      </c>
    </row>
    <row r="29" spans="1:13" ht="30">
      <c r="A29" s="279" t="s">
        <v>915</v>
      </c>
      <c r="B29" s="283" t="s">
        <v>916</v>
      </c>
      <c r="C29" s="254">
        <v>7</v>
      </c>
      <c r="D29" s="254">
        <v>10</v>
      </c>
      <c r="E29" s="286" t="s">
        <v>917</v>
      </c>
      <c r="F29" s="340">
        <v>0</v>
      </c>
      <c r="G29" s="296">
        <f>+F29*F9</f>
        <v>0</v>
      </c>
      <c r="H29" s="340">
        <v>7</v>
      </c>
      <c r="I29" s="296">
        <f>+H29*H9</f>
        <v>2800</v>
      </c>
      <c r="J29" s="340">
        <v>7</v>
      </c>
      <c r="K29" s="296">
        <f>+J29*J9</f>
        <v>1050</v>
      </c>
      <c r="L29" s="340">
        <v>7</v>
      </c>
      <c r="M29" s="296">
        <f>+L29*L9</f>
        <v>2520</v>
      </c>
    </row>
    <row r="30" spans="1:13" ht="15">
      <c r="A30" s="279" t="s">
        <v>918</v>
      </c>
      <c r="B30" s="283" t="s">
        <v>919</v>
      </c>
      <c r="C30" s="254"/>
      <c r="D30" s="254"/>
      <c r="E30" s="337">
        <v>1000</v>
      </c>
      <c r="F30" s="339">
        <v>1</v>
      </c>
      <c r="G30" s="296">
        <f>+$E30*F30</f>
        <v>1000</v>
      </c>
      <c r="H30" s="334">
        <v>1</v>
      </c>
      <c r="I30" s="296">
        <f>+$E30*H30</f>
        <v>1000</v>
      </c>
      <c r="J30" s="346">
        <v>1</v>
      </c>
      <c r="K30" s="296">
        <f>+$E30*J30</f>
        <v>1000</v>
      </c>
      <c r="L30" s="346">
        <v>1</v>
      </c>
      <c r="M30" s="296">
        <f>+$E30*L30</f>
        <v>1000</v>
      </c>
    </row>
    <row r="31" spans="1:13" ht="15">
      <c r="A31" s="279" t="s">
        <v>920</v>
      </c>
      <c r="B31" s="283" t="s">
        <v>921</v>
      </c>
      <c r="C31" s="254"/>
      <c r="D31" s="254"/>
      <c r="E31" s="337">
        <v>300</v>
      </c>
      <c r="F31" s="339">
        <v>2</v>
      </c>
      <c r="G31" s="296">
        <f>+$E31*F31</f>
        <v>600</v>
      </c>
      <c r="H31" s="334">
        <v>2</v>
      </c>
      <c r="I31" s="296">
        <f>+$E31*H31</f>
        <v>600</v>
      </c>
      <c r="J31" s="346">
        <v>1</v>
      </c>
      <c r="K31" s="296">
        <f>+$E31*J31</f>
        <v>300</v>
      </c>
      <c r="L31" s="346">
        <v>2</v>
      </c>
      <c r="M31" s="296">
        <f>+$E31*L31</f>
        <v>600</v>
      </c>
    </row>
    <row r="32" spans="1:13" ht="15">
      <c r="A32" s="279" t="s">
        <v>922</v>
      </c>
      <c r="B32" s="283" t="s">
        <v>923</v>
      </c>
      <c r="C32" s="254"/>
      <c r="D32" s="254"/>
      <c r="E32" s="337">
        <v>150</v>
      </c>
      <c r="F32" s="339">
        <v>1</v>
      </c>
      <c r="G32" s="296">
        <f>+$E32*F32</f>
        <v>150</v>
      </c>
      <c r="H32" s="334">
        <v>1</v>
      </c>
      <c r="I32" s="296">
        <f>+$E32*H32</f>
        <v>150</v>
      </c>
      <c r="J32" s="346">
        <v>0.2</v>
      </c>
      <c r="K32" s="296">
        <f>+$E32*J32</f>
        <v>30</v>
      </c>
      <c r="L32" s="346">
        <v>1</v>
      </c>
      <c r="M32" s="296">
        <f>+$E32*L32</f>
        <v>150</v>
      </c>
    </row>
    <row r="33" spans="1:13" ht="15">
      <c r="A33" s="279" t="s">
        <v>924</v>
      </c>
      <c r="B33" s="283" t="s">
        <v>925</v>
      </c>
      <c r="C33" s="254"/>
      <c r="D33" s="254"/>
      <c r="E33" s="337">
        <v>250</v>
      </c>
      <c r="F33" s="339">
        <v>1</v>
      </c>
      <c r="G33" s="296">
        <f>+$E33*F33</f>
        <v>250</v>
      </c>
      <c r="H33" s="334">
        <v>1</v>
      </c>
      <c r="I33" s="296">
        <f>+$E33*H33</f>
        <v>250</v>
      </c>
      <c r="J33" s="346">
        <v>0.2</v>
      </c>
      <c r="K33" s="296">
        <f>+$E33*J33</f>
        <v>50</v>
      </c>
      <c r="L33" s="346">
        <v>1</v>
      </c>
      <c r="M33" s="296">
        <f>+$E33*L33</f>
        <v>250</v>
      </c>
    </row>
    <row r="34" spans="1:13" ht="30">
      <c r="A34" s="280" t="s">
        <v>926</v>
      </c>
      <c r="B34" s="287" t="s">
        <v>927</v>
      </c>
      <c r="C34" s="255"/>
      <c r="D34" s="255"/>
      <c r="E34" s="342">
        <v>200</v>
      </c>
      <c r="F34" s="341">
        <v>1</v>
      </c>
      <c r="G34" s="297">
        <f>+$E34*F34</f>
        <v>200</v>
      </c>
      <c r="H34" s="345">
        <v>1</v>
      </c>
      <c r="I34" s="297">
        <f>+$E34*H34</f>
        <v>200</v>
      </c>
      <c r="J34" s="347">
        <v>0.5</v>
      </c>
      <c r="K34" s="297">
        <f>+$E34*J34</f>
        <v>100</v>
      </c>
      <c r="L34" s="347">
        <v>1</v>
      </c>
      <c r="M34" s="297">
        <f>+$E34*L34</f>
        <v>200</v>
      </c>
    </row>
    <row r="35" spans="1:13" ht="30">
      <c r="A35" s="242" t="s">
        <v>928</v>
      </c>
      <c r="B35" s="288"/>
      <c r="C35" s="252"/>
      <c r="D35" s="252"/>
      <c r="E35" s="289"/>
      <c r="F35" s="251"/>
      <c r="G35" s="243">
        <f>SUM(G15:G34)</f>
        <v>32000</v>
      </c>
      <c r="H35" s="244"/>
      <c r="I35" s="243">
        <f>SUM(I15:I34)</f>
        <v>27400</v>
      </c>
      <c r="J35" s="244"/>
      <c r="K35" s="243">
        <f>SUM(K15:K34)</f>
        <v>15230</v>
      </c>
      <c r="L35" s="244"/>
      <c r="M35" s="243">
        <f>SUM(M15:M34)</f>
        <v>25760</v>
      </c>
    </row>
    <row r="36" spans="1:13" ht="15">
      <c r="A36" s="245" t="s">
        <v>929</v>
      </c>
      <c r="B36" s="303" t="s">
        <v>930</v>
      </c>
      <c r="C36" s="304"/>
      <c r="D36" s="304"/>
      <c r="E36" s="349">
        <v>0.15</v>
      </c>
      <c r="F36" s="301"/>
      <c r="G36" s="246">
        <f>+G35*$E36</f>
        <v>4800</v>
      </c>
      <c r="H36" s="247"/>
      <c r="I36" s="246">
        <f>+I35*$E36</f>
        <v>4110</v>
      </c>
      <c r="J36" s="247"/>
      <c r="K36" s="246">
        <f>+K35*$E36</f>
        <v>2284.5</v>
      </c>
      <c r="L36" s="247"/>
      <c r="M36" s="246">
        <f>+M35*$E36</f>
        <v>3864</v>
      </c>
    </row>
    <row r="37" spans="1:13" ht="15">
      <c r="A37" s="256" t="s">
        <v>931</v>
      </c>
      <c r="B37" s="257" t="s">
        <v>932</v>
      </c>
      <c r="C37" s="248"/>
      <c r="D37" s="248"/>
      <c r="E37" s="248"/>
      <c r="F37" s="248"/>
      <c r="G37" s="270">
        <f>+G35+G36</f>
        <v>36800</v>
      </c>
      <c r="H37" s="271"/>
      <c r="I37" s="270">
        <f>+I35+I36</f>
        <v>31510</v>
      </c>
      <c r="J37" s="271"/>
      <c r="K37" s="270">
        <f>+K35+K36</f>
        <v>17514.5</v>
      </c>
      <c r="L37" s="271"/>
      <c r="M37" s="270">
        <f>+M35+M36</f>
        <v>29624</v>
      </c>
    </row>
    <row r="38" spans="1:13" ht="15">
      <c r="A38" s="258" t="s">
        <v>933</v>
      </c>
      <c r="B38" s="259" t="s">
        <v>934</v>
      </c>
      <c r="C38" s="248"/>
      <c r="D38" s="248"/>
      <c r="E38" s="248"/>
      <c r="F38" s="248"/>
      <c r="G38" s="249">
        <f>+G37/F9</f>
        <v>73.599999999999994</v>
      </c>
      <c r="H38" s="250"/>
      <c r="I38" s="249">
        <f>+I37/H9</f>
        <v>78.775000000000006</v>
      </c>
      <c r="J38" s="250"/>
      <c r="K38" s="249">
        <f>+K37/J9</f>
        <v>116.76333333333334</v>
      </c>
      <c r="L38" s="250"/>
      <c r="M38" s="249">
        <f>+M37/L9</f>
        <v>82.288888888888891</v>
      </c>
    </row>
    <row r="39" spans="1:13" ht="15.75">
      <c r="C39" s="406" t="s">
        <v>935</v>
      </c>
      <c r="D39" s="406"/>
      <c r="E39" s="407">
        <v>1.2</v>
      </c>
      <c r="F39" s="406"/>
      <c r="G39" s="408">
        <f>+$E39*G$37*12</f>
        <v>529920</v>
      </c>
      <c r="H39" s="409" t="s">
        <v>670</v>
      </c>
      <c r="I39" s="408">
        <f>+$E39*I$37*12</f>
        <v>453744</v>
      </c>
      <c r="J39" s="409" t="s">
        <v>670</v>
      </c>
      <c r="K39" s="405">
        <f>+$E39*K$37</f>
        <v>21017.399999999998</v>
      </c>
      <c r="M39" s="405">
        <f>+$E39*M$37</f>
        <v>35548.799999999996</v>
      </c>
    </row>
    <row r="40" spans="1:13" ht="15.75">
      <c r="A40" s="302" t="s">
        <v>936</v>
      </c>
      <c r="C40" s="406" t="s">
        <v>937</v>
      </c>
      <c r="D40" s="406"/>
      <c r="E40" s="407">
        <v>1.5</v>
      </c>
      <c r="F40" s="406"/>
      <c r="G40" s="408">
        <f t="shared" ref="G40:I40" si="6">+$E40*G$37*12</f>
        <v>662400</v>
      </c>
      <c r="H40" s="409" t="s">
        <v>670</v>
      </c>
      <c r="I40" s="408">
        <f t="shared" si="6"/>
        <v>567180</v>
      </c>
      <c r="J40" s="409" t="s">
        <v>670</v>
      </c>
      <c r="K40" s="405">
        <f>+$E40*K$37</f>
        <v>26271.75</v>
      </c>
      <c r="M40" s="405">
        <f>+$E40*M$37</f>
        <v>44436</v>
      </c>
    </row>
    <row r="41" spans="1:13">
      <c r="A41" s="237" t="s">
        <v>938</v>
      </c>
    </row>
    <row r="42" spans="1:13">
      <c r="A42" s="237" t="s">
        <v>939</v>
      </c>
    </row>
    <row r="43" spans="1:13">
      <c r="A43" s="237" t="s">
        <v>940</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heetViews>
  <sheetFormatPr defaultColWidth="9.140625" defaultRowHeight="12.75"/>
  <cols>
    <col min="1" max="1" width="5.140625" style="6" customWidth="1"/>
    <col min="2" max="16384" width="9.140625" style="6"/>
  </cols>
  <sheetData>
    <row r="1" spans="1:11" ht="15.75">
      <c r="A1" s="379" t="s">
        <v>941</v>
      </c>
      <c r="B1" s="379"/>
      <c r="C1" s="379"/>
      <c r="K1" s="452" t="s">
        <v>2</v>
      </c>
    </row>
    <row r="2" spans="1:11" ht="15.75">
      <c r="A2" s="28" t="str">
        <f>SchoolName</f>
        <v>Rooted School Clark County</v>
      </c>
      <c r="B2" s="31"/>
      <c r="C2" s="31"/>
    </row>
    <row r="3" spans="1:11">
      <c r="A3" s="10" t="s">
        <v>62</v>
      </c>
    </row>
    <row r="4" spans="1:11">
      <c r="A4" s="9" t="s">
        <v>63</v>
      </c>
    </row>
    <row r="5" spans="1:11">
      <c r="A5" s="8" t="str">
        <f ca="1">CELL("filename")</f>
        <v>C:\Users\CRaymond\Char. School Bus Mgt Dropbox\Collin Raymond\Growth Team\Growth 2.0\Growth &amp; Data\Client Projects\Rooted LV\[Rooted School-SPCSA-Operating Budget-V10 (1) - Rev9.xlsx]Summary</v>
      </c>
    </row>
    <row r="7" spans="1:11">
      <c r="B7" s="445" t="s">
        <v>942</v>
      </c>
      <c r="C7" s="6" t="s">
        <v>943</v>
      </c>
    </row>
    <row r="8" spans="1:11">
      <c r="B8" s="445" t="s">
        <v>944</v>
      </c>
      <c r="C8" s="6" t="s">
        <v>945</v>
      </c>
    </row>
    <row r="9" spans="1:11">
      <c r="C9" s="6" t="s">
        <v>946</v>
      </c>
    </row>
    <row r="10" spans="1:11">
      <c r="C10" s="6" t="s">
        <v>947</v>
      </c>
    </row>
    <row r="11" spans="1:11">
      <c r="C11" s="6" t="s">
        <v>948</v>
      </c>
    </row>
    <row r="12" spans="1:11">
      <c r="C12" s="6" t="s">
        <v>949</v>
      </c>
    </row>
    <row r="25" spans="1:21">
      <c r="A25" s="7" t="s">
        <v>950</v>
      </c>
      <c r="B25" s="7"/>
      <c r="C25" s="7"/>
      <c r="D25" s="7"/>
      <c r="E25" s="7" t="s">
        <v>951</v>
      </c>
      <c r="F25" s="7"/>
      <c r="G25" s="7"/>
      <c r="H25" s="7"/>
      <c r="I25" s="7"/>
      <c r="J25" s="7"/>
      <c r="K25" s="7"/>
      <c r="L25" s="7"/>
      <c r="M25" s="7"/>
      <c r="N25" s="7"/>
      <c r="O25" s="7"/>
      <c r="P25" s="7"/>
    </row>
    <row r="26" spans="1:21">
      <c r="A26" s="7"/>
      <c r="B26" s="7"/>
      <c r="C26" s="7"/>
      <c r="D26" s="7"/>
      <c r="E26" s="7"/>
      <c r="F26" s="7"/>
      <c r="G26" s="7"/>
      <c r="H26" s="7"/>
      <c r="I26" s="7"/>
      <c r="J26" s="7"/>
      <c r="K26" s="7"/>
      <c r="L26" s="7"/>
      <c r="M26" s="7"/>
      <c r="N26" s="7"/>
      <c r="O26" s="7"/>
      <c r="P26" s="7"/>
    </row>
    <row r="27" spans="1:21">
      <c r="A27" s="7"/>
      <c r="B27" s="7"/>
      <c r="C27" s="7"/>
      <c r="D27" s="7"/>
      <c r="E27" s="7"/>
      <c r="F27" s="7"/>
      <c r="G27" s="7"/>
      <c r="H27" s="7"/>
      <c r="I27" s="7"/>
      <c r="J27" s="7"/>
      <c r="K27" s="7"/>
      <c r="L27" s="7"/>
      <c r="M27" s="7"/>
      <c r="N27" s="7"/>
      <c r="O27" s="7"/>
      <c r="P27" s="7"/>
    </row>
    <row r="28" spans="1:21">
      <c r="A28" s="7" t="s">
        <v>952</v>
      </c>
      <c r="B28" s="420">
        <v>1</v>
      </c>
      <c r="C28" s="7"/>
      <c r="D28" s="7"/>
      <c r="E28" s="7"/>
      <c r="F28" s="7"/>
      <c r="G28" s="7"/>
      <c r="H28" s="7"/>
      <c r="I28" s="7"/>
      <c r="J28" s="7"/>
      <c r="K28" s="7"/>
      <c r="L28" s="7"/>
      <c r="M28" s="7"/>
      <c r="N28" s="7"/>
      <c r="O28" s="7"/>
      <c r="P28" s="7"/>
    </row>
    <row r="29" spans="1:21">
      <c r="A29" s="7" t="s">
        <v>952</v>
      </c>
      <c r="B29" s="420">
        <v>2</v>
      </c>
      <c r="C29" s="7"/>
      <c r="D29" s="7"/>
      <c r="E29" s="7"/>
      <c r="F29" s="7"/>
      <c r="G29" s="7"/>
      <c r="H29" s="7"/>
      <c r="I29" s="7"/>
      <c r="J29" s="7"/>
      <c r="K29" s="7"/>
      <c r="L29" s="7"/>
      <c r="M29" s="7"/>
      <c r="N29" s="7"/>
      <c r="O29" s="7"/>
      <c r="P29" s="7"/>
      <c r="U29" s="6" t="s">
        <v>953</v>
      </c>
    </row>
    <row r="30" spans="1:21">
      <c r="A30" s="7" t="s">
        <v>952</v>
      </c>
      <c r="B30" s="420">
        <v>3</v>
      </c>
      <c r="C30" s="7"/>
      <c r="D30" s="7"/>
      <c r="E30" s="7"/>
      <c r="F30" s="7"/>
      <c r="G30" s="7"/>
      <c r="H30" s="7"/>
      <c r="I30" s="7"/>
      <c r="J30" s="7"/>
      <c r="K30" s="7"/>
      <c r="L30" s="7"/>
      <c r="M30" s="7"/>
      <c r="N30" s="7"/>
      <c r="O30" s="7"/>
      <c r="P30" s="7"/>
    </row>
    <row r="31" spans="1:21">
      <c r="A31" s="7" t="s">
        <v>952</v>
      </c>
      <c r="B31" s="420">
        <v>4</v>
      </c>
      <c r="C31" s="7"/>
      <c r="D31" s="7"/>
      <c r="E31" s="7"/>
      <c r="F31" s="7"/>
      <c r="G31" s="7"/>
      <c r="H31" s="7"/>
      <c r="I31" s="7"/>
      <c r="J31" s="7"/>
      <c r="K31" s="7"/>
      <c r="L31" s="7"/>
      <c r="M31" s="7"/>
      <c r="N31" s="7"/>
      <c r="O31" s="7"/>
      <c r="P31" s="7"/>
    </row>
    <row r="32" spans="1:21">
      <c r="A32" s="7" t="s">
        <v>952</v>
      </c>
      <c r="B32" s="420">
        <v>5</v>
      </c>
      <c r="C32" s="7"/>
      <c r="D32" s="7"/>
      <c r="E32" s="7"/>
      <c r="F32" s="7"/>
      <c r="G32" s="7"/>
      <c r="H32" s="7"/>
      <c r="I32" s="7"/>
      <c r="J32" s="7"/>
      <c r="K32" s="7"/>
      <c r="L32" s="7"/>
      <c r="M32" s="7"/>
      <c r="N32" s="7"/>
      <c r="O32" s="7"/>
      <c r="P32" s="7"/>
    </row>
    <row r="33" spans="1:16">
      <c r="A33" s="7" t="s">
        <v>954</v>
      </c>
      <c r="B33" s="7"/>
      <c r="C33" s="7"/>
      <c r="D33" s="7"/>
      <c r="E33" s="7"/>
      <c r="F33" s="7"/>
      <c r="G33" s="7"/>
      <c r="H33" s="7"/>
      <c r="I33" s="7"/>
      <c r="J33" s="7"/>
      <c r="K33" s="7"/>
      <c r="L33" s="7"/>
      <c r="M33" s="7"/>
      <c r="N33" s="7"/>
      <c r="O33" s="7"/>
      <c r="P33" s="7"/>
    </row>
    <row r="34" spans="1:16">
      <c r="A34" s="7" t="s">
        <v>954</v>
      </c>
      <c r="B34" s="7"/>
      <c r="C34" s="7"/>
      <c r="D34" s="7"/>
      <c r="E34" s="7"/>
      <c r="F34" s="7"/>
      <c r="G34" s="7"/>
      <c r="H34" s="7"/>
      <c r="I34" s="7"/>
      <c r="J34" s="7"/>
      <c r="K34" s="7"/>
      <c r="L34" s="7"/>
      <c r="M34" s="7"/>
      <c r="N34" s="7"/>
      <c r="O34" s="7"/>
      <c r="P34" s="7"/>
    </row>
    <row r="35" spans="1:16">
      <c r="A35" s="7" t="s">
        <v>955</v>
      </c>
      <c r="B35" s="7"/>
      <c r="C35" s="7"/>
      <c r="D35" s="7"/>
      <c r="E35" s="7"/>
      <c r="F35" s="7"/>
      <c r="G35" s="7"/>
      <c r="H35" s="7"/>
      <c r="I35" s="7"/>
      <c r="J35" s="7"/>
      <c r="K35" s="7"/>
      <c r="L35" s="7"/>
      <c r="M35" s="7"/>
      <c r="N35" s="7"/>
      <c r="O35" s="7"/>
      <c r="P35" s="7"/>
    </row>
    <row r="36" spans="1:16">
      <c r="A36" s="7" t="s">
        <v>956</v>
      </c>
      <c r="B36" s="7"/>
      <c r="C36" s="7"/>
      <c r="D36" s="7"/>
      <c r="E36" s="7"/>
      <c r="F36" s="7"/>
      <c r="G36" s="7"/>
      <c r="H36" s="7"/>
      <c r="I36" s="7"/>
      <c r="J36" s="7"/>
      <c r="K36" s="7"/>
      <c r="L36" s="7"/>
      <c r="M36" s="7"/>
      <c r="N36" s="7"/>
      <c r="O36" s="7"/>
      <c r="P36" s="7"/>
    </row>
    <row r="37" spans="1:16">
      <c r="A37" s="7" t="s">
        <v>957</v>
      </c>
      <c r="B37" s="7"/>
      <c r="C37" s="7"/>
      <c r="D37" s="7"/>
      <c r="E37" s="7"/>
      <c r="F37" s="7"/>
      <c r="G37" s="7"/>
      <c r="H37" s="7"/>
      <c r="I37" s="7"/>
      <c r="J37" s="7"/>
      <c r="K37" s="7"/>
      <c r="L37" s="7"/>
      <c r="M37" s="7"/>
      <c r="N37" s="7"/>
      <c r="O37" s="7"/>
      <c r="P37" s="7"/>
    </row>
    <row r="38" spans="1:16">
      <c r="A38" s="7" t="s">
        <v>958</v>
      </c>
      <c r="B38" s="7"/>
      <c r="C38" s="7"/>
      <c r="D38" s="7"/>
      <c r="E38" s="7"/>
      <c r="F38" s="7"/>
      <c r="G38" s="7"/>
      <c r="H38" s="7"/>
      <c r="I38" s="7"/>
      <c r="J38" s="7"/>
      <c r="K38" s="7"/>
      <c r="L38" s="7"/>
      <c r="M38" s="7"/>
      <c r="N38" s="7"/>
      <c r="O38" s="7"/>
      <c r="P38" s="7"/>
    </row>
    <row r="39" spans="1:16">
      <c r="A39" s="7" t="s">
        <v>497</v>
      </c>
      <c r="B39" s="7"/>
      <c r="C39" s="7"/>
      <c r="D39" s="7"/>
      <c r="E39" s="7"/>
      <c r="F39" s="7"/>
      <c r="G39" s="7"/>
      <c r="H39" s="7"/>
      <c r="I39" s="7"/>
      <c r="J39" s="7"/>
      <c r="K39" s="7"/>
      <c r="L39" s="7"/>
      <c r="M39" s="7"/>
      <c r="N39" s="7"/>
      <c r="O39" s="7"/>
      <c r="P39" s="7"/>
    </row>
    <row r="40" spans="1:16">
      <c r="A40" s="419" t="s">
        <v>959</v>
      </c>
      <c r="B40" s="7"/>
      <c r="C40" s="7"/>
      <c r="D40" s="7"/>
      <c r="E40" s="7"/>
      <c r="F40" s="7"/>
      <c r="G40" s="7"/>
      <c r="H40" s="7"/>
      <c r="I40" s="7"/>
      <c r="J40" s="7"/>
      <c r="K40" s="7"/>
      <c r="L40" s="7"/>
      <c r="M40" s="7"/>
      <c r="N40" s="7"/>
      <c r="O40" s="7"/>
      <c r="P40" s="7"/>
    </row>
    <row r="41" spans="1:16">
      <c r="A41" s="7" t="s">
        <v>960</v>
      </c>
      <c r="B41" s="7"/>
      <c r="C41" s="7"/>
      <c r="D41" s="7"/>
      <c r="E41" s="7"/>
      <c r="F41" s="7"/>
      <c r="G41" s="7"/>
      <c r="H41" s="7"/>
      <c r="I41" s="7"/>
      <c r="J41" s="7"/>
      <c r="K41" s="7"/>
      <c r="L41" s="7"/>
      <c r="M41" s="7"/>
      <c r="N41" s="7"/>
      <c r="O41" s="7"/>
      <c r="P41" s="7"/>
    </row>
    <row r="42" spans="1:16">
      <c r="A42" s="7" t="s">
        <v>961</v>
      </c>
      <c r="B42" s="7"/>
      <c r="C42" s="7"/>
      <c r="D42" s="7"/>
      <c r="E42" s="7"/>
      <c r="F42" s="7"/>
      <c r="G42" s="7"/>
      <c r="H42" s="7"/>
      <c r="I42" s="7"/>
      <c r="J42" s="7"/>
      <c r="K42" s="7"/>
      <c r="L42" s="7"/>
      <c r="M42" s="7"/>
      <c r="N42" s="7"/>
      <c r="O42" s="7"/>
      <c r="P42" s="7"/>
    </row>
    <row r="43" spans="1:16">
      <c r="A43" s="7" t="s">
        <v>956</v>
      </c>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t="s">
        <v>962</v>
      </c>
      <c r="C58" s="7"/>
      <c r="D58" s="7"/>
      <c r="E58" s="7"/>
      <c r="F58" s="7"/>
      <c r="G58" s="7"/>
      <c r="H58" s="7"/>
      <c r="I58" s="7"/>
      <c r="J58" s="7"/>
      <c r="K58" s="7"/>
      <c r="L58" s="7"/>
      <c r="M58" s="7"/>
      <c r="N58" s="7"/>
      <c r="O58" s="7"/>
      <c r="P58" s="7"/>
    </row>
    <row r="59" spans="1:16">
      <c r="A59" s="7"/>
      <c r="B59" s="7" t="s">
        <v>963</v>
      </c>
      <c r="C59" s="7"/>
      <c r="D59" s="7"/>
      <c r="E59" s="7"/>
      <c r="F59" s="7"/>
      <c r="G59" s="7"/>
      <c r="H59" s="7"/>
      <c r="I59" s="7"/>
      <c r="J59" s="7"/>
      <c r="K59" s="7"/>
      <c r="L59" s="7"/>
      <c r="M59" s="7"/>
      <c r="N59" s="7"/>
      <c r="O59" s="7"/>
      <c r="P59" s="7"/>
    </row>
    <row r="60" spans="1:16">
      <c r="A60" s="7"/>
      <c r="B60" s="6" t="s">
        <v>964</v>
      </c>
      <c r="D60" s="7" t="s">
        <v>965</v>
      </c>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419"/>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21">
      <c r="A81" s="7"/>
      <c r="B81" s="7"/>
      <c r="C81" s="7"/>
      <c r="D81" s="7"/>
      <c r="E81" s="7"/>
      <c r="F81" s="7"/>
      <c r="G81" s="7"/>
      <c r="H81" s="7"/>
      <c r="I81" s="7"/>
      <c r="J81" s="7"/>
      <c r="K81" s="7"/>
      <c r="L81" s="7"/>
      <c r="M81" s="7"/>
      <c r="N81" s="7"/>
      <c r="O81" s="7"/>
      <c r="P81" s="7"/>
    </row>
    <row r="82" spans="1:21">
      <c r="A82" s="7"/>
      <c r="B82" s="7"/>
      <c r="C82" s="7"/>
      <c r="D82" s="7"/>
      <c r="E82" s="7"/>
      <c r="F82" s="7"/>
      <c r="G82" s="7"/>
      <c r="H82" s="7"/>
      <c r="I82" s="7"/>
      <c r="J82" s="7"/>
      <c r="K82" s="7"/>
      <c r="L82" s="7"/>
      <c r="M82" s="7"/>
      <c r="N82" s="7"/>
      <c r="O82" s="7"/>
      <c r="P82" s="7"/>
      <c r="U82" s="6" t="s">
        <v>966</v>
      </c>
    </row>
    <row r="83" spans="1:21">
      <c r="A83" s="7"/>
      <c r="B83" s="7"/>
      <c r="C83" s="7"/>
      <c r="D83" s="7"/>
      <c r="E83" s="7"/>
      <c r="F83" s="7"/>
      <c r="G83" s="7"/>
      <c r="H83" s="7"/>
      <c r="I83" s="7"/>
      <c r="J83" s="7"/>
      <c r="K83" s="7"/>
      <c r="L83" s="7"/>
      <c r="M83" s="7"/>
      <c r="N83" s="7"/>
      <c r="O83" s="7"/>
      <c r="P83" s="7"/>
    </row>
    <row r="84" spans="1:21">
      <c r="A84" s="7"/>
      <c r="B84" s="7"/>
      <c r="C84" s="7"/>
      <c r="D84" s="7"/>
      <c r="E84" s="7"/>
      <c r="F84" s="7"/>
      <c r="G84" s="7"/>
      <c r="H84" s="7"/>
      <c r="I84" s="7"/>
      <c r="J84" s="7"/>
      <c r="K84" s="7"/>
      <c r="L84" s="7"/>
      <c r="M84" s="7"/>
      <c r="N84" s="7"/>
      <c r="O84" s="7"/>
      <c r="P84" s="7"/>
    </row>
    <row r="85" spans="1:21">
      <c r="A85" s="7"/>
      <c r="B85" s="7"/>
      <c r="C85" s="7"/>
      <c r="D85" s="7"/>
      <c r="E85" s="7"/>
      <c r="F85" s="7"/>
      <c r="G85" s="7"/>
      <c r="H85" s="7"/>
      <c r="I85" s="7"/>
      <c r="J85" s="7"/>
      <c r="K85" s="7"/>
      <c r="L85" s="7"/>
      <c r="M85" s="7"/>
      <c r="N85" s="7"/>
      <c r="O85" s="7"/>
      <c r="P85" s="7"/>
    </row>
    <row r="86" spans="1:21">
      <c r="A86" s="7"/>
      <c r="B86" s="7"/>
      <c r="C86" s="7"/>
      <c r="D86" s="7"/>
      <c r="E86" s="7"/>
      <c r="F86" s="7"/>
      <c r="G86" s="7"/>
      <c r="H86" s="7"/>
      <c r="I86" s="7"/>
      <c r="J86" s="7"/>
      <c r="K86" s="7"/>
      <c r="L86" s="7"/>
      <c r="M86" s="7"/>
      <c r="N86" s="7"/>
      <c r="O86" s="7"/>
      <c r="P86" s="7"/>
    </row>
    <row r="87" spans="1:21">
      <c r="A87" s="7"/>
      <c r="B87" s="7"/>
      <c r="C87" s="7"/>
      <c r="D87" s="7"/>
      <c r="E87" s="7"/>
      <c r="F87" s="7"/>
      <c r="G87" s="7"/>
      <c r="H87" s="7"/>
      <c r="I87" s="7"/>
      <c r="J87" s="7"/>
      <c r="K87" s="7"/>
      <c r="L87" s="7"/>
      <c r="M87" s="7"/>
      <c r="N87" s="7"/>
      <c r="O87" s="7"/>
      <c r="P87" s="7"/>
    </row>
    <row r="88" spans="1:21">
      <c r="A88" s="7"/>
      <c r="B88" s="7"/>
      <c r="C88" s="7"/>
      <c r="D88" s="7"/>
      <c r="E88" s="7"/>
      <c r="F88" s="7"/>
      <c r="G88" s="7"/>
      <c r="H88" s="7"/>
      <c r="I88" s="7"/>
      <c r="J88" s="7"/>
      <c r="K88" s="7"/>
      <c r="L88" s="7"/>
      <c r="M88" s="7"/>
      <c r="N88" s="7"/>
      <c r="O88" s="7"/>
      <c r="P88" s="7"/>
    </row>
    <row r="89" spans="1:21">
      <c r="A89" s="7" t="s">
        <v>967</v>
      </c>
      <c r="B89" s="7"/>
      <c r="C89" s="7"/>
      <c r="D89" s="7"/>
      <c r="E89" s="7"/>
      <c r="F89" s="7"/>
      <c r="G89" s="7"/>
      <c r="H89" s="7"/>
      <c r="I89" s="7"/>
      <c r="J89" s="7"/>
      <c r="K89" s="7"/>
      <c r="L89" s="7"/>
      <c r="M89" s="7"/>
      <c r="N89" s="7"/>
      <c r="O89" s="7"/>
      <c r="P89" s="7"/>
    </row>
    <row r="90" spans="1:21">
      <c r="A90" s="7" t="s">
        <v>968</v>
      </c>
      <c r="B90" s="7"/>
      <c r="C90" s="7"/>
      <c r="D90" s="7"/>
      <c r="E90" s="7"/>
      <c r="F90" s="7"/>
      <c r="G90" s="7"/>
      <c r="H90" s="7"/>
      <c r="I90" s="7"/>
      <c r="J90" s="7"/>
      <c r="K90" s="7"/>
      <c r="L90" s="7"/>
      <c r="M90" s="7"/>
      <c r="N90" s="7"/>
      <c r="O90" s="7"/>
      <c r="P90" s="7"/>
    </row>
    <row r="91" spans="1:21">
      <c r="A91" s="7"/>
      <c r="B91" s="7"/>
      <c r="C91" s="7"/>
      <c r="D91" s="7"/>
      <c r="E91" s="7"/>
      <c r="F91" s="7"/>
      <c r="G91" s="7"/>
      <c r="H91" s="7"/>
      <c r="I91" s="7"/>
      <c r="J91" s="7"/>
      <c r="K91" s="7"/>
      <c r="L91" s="7"/>
      <c r="M91" s="7"/>
      <c r="N91" s="7"/>
      <c r="O91" s="7"/>
      <c r="P91" s="7"/>
    </row>
    <row r="92" spans="1:21">
      <c r="A92" s="7"/>
      <c r="B92" s="7"/>
      <c r="C92" s="7"/>
      <c r="D92" s="7"/>
      <c r="E92" s="7"/>
      <c r="F92" s="7"/>
      <c r="G92" s="7"/>
      <c r="H92" s="7"/>
      <c r="I92" s="7"/>
      <c r="J92" s="7"/>
      <c r="K92" s="7"/>
      <c r="L92" s="7"/>
      <c r="M92" s="7"/>
      <c r="N92" s="7"/>
      <c r="O92" s="7"/>
      <c r="P92" s="7"/>
    </row>
    <row r="93" spans="1:21">
      <c r="A93" s="7"/>
      <c r="B93" s="7"/>
      <c r="C93" s="7"/>
      <c r="D93" s="7"/>
      <c r="E93" s="7"/>
      <c r="F93" s="7"/>
      <c r="G93" s="7"/>
      <c r="H93" s="7"/>
      <c r="I93" s="7"/>
      <c r="J93" s="7"/>
      <c r="K93" s="7"/>
      <c r="L93" s="7"/>
      <c r="M93" s="7"/>
      <c r="N93" s="7"/>
      <c r="O93" s="7"/>
      <c r="P93" s="7"/>
    </row>
    <row r="94" spans="1:21">
      <c r="A94" s="7"/>
      <c r="B94" s="7"/>
      <c r="C94" s="7"/>
      <c r="D94" s="7"/>
      <c r="E94" s="7"/>
      <c r="F94" s="7"/>
      <c r="G94" s="7"/>
      <c r="H94" s="7"/>
      <c r="I94" s="7"/>
      <c r="J94" s="7"/>
      <c r="K94" s="7"/>
      <c r="L94" s="7"/>
      <c r="M94" s="7"/>
      <c r="N94" s="7"/>
      <c r="O94" s="7"/>
      <c r="P94" s="7"/>
    </row>
    <row r="95" spans="1:21">
      <c r="A95" s="7"/>
      <c r="B95" s="7"/>
      <c r="C95" s="7"/>
      <c r="D95" s="7"/>
      <c r="E95" s="7"/>
      <c r="F95" s="7"/>
      <c r="G95" s="7"/>
      <c r="H95" s="7"/>
      <c r="I95" s="7"/>
      <c r="J95" s="7"/>
      <c r="K95" s="7"/>
      <c r="L95" s="7"/>
      <c r="M95" s="7"/>
      <c r="N95" s="7"/>
      <c r="O95" s="7"/>
      <c r="P95" s="7"/>
    </row>
    <row r="96" spans="1:21">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140625" defaultRowHeight="12.75"/>
  <cols>
    <col min="1" max="1" width="10.7109375" style="6" bestFit="1" customWidth="1"/>
    <col min="2" max="16384" width="9.140625" style="6"/>
  </cols>
  <sheetData>
    <row r="1" spans="1:20" ht="15.75">
      <c r="A1" s="379" t="s">
        <v>969</v>
      </c>
      <c r="B1" s="379"/>
      <c r="C1" s="379"/>
      <c r="E1" s="508" t="s">
        <v>2</v>
      </c>
      <c r="P1" s="7"/>
      <c r="Q1" s="7"/>
      <c r="R1" s="7"/>
      <c r="S1" s="7"/>
      <c r="T1" s="7"/>
    </row>
    <row r="2" spans="1:20" ht="15.75">
      <c r="A2" s="28" t="str">
        <f>SchoolName</f>
        <v>Rooted School Clark County</v>
      </c>
      <c r="B2" s="31"/>
      <c r="C2" s="31"/>
      <c r="P2" s="7"/>
      <c r="Q2" s="7"/>
      <c r="R2" s="7"/>
      <c r="S2" s="7"/>
      <c r="T2" s="7"/>
    </row>
    <row r="3" spans="1:20">
      <c r="A3" s="10" t="s">
        <v>62</v>
      </c>
      <c r="P3" s="7"/>
      <c r="Q3" s="7"/>
      <c r="R3" s="7"/>
      <c r="S3" s="7"/>
      <c r="T3" s="7"/>
    </row>
    <row r="4" spans="1:20">
      <c r="A4" s="9" t="s">
        <v>63</v>
      </c>
      <c r="P4" s="7"/>
      <c r="Q4" s="7"/>
      <c r="R4" s="7"/>
      <c r="S4" s="7"/>
      <c r="T4" s="7"/>
    </row>
    <row r="5" spans="1:20">
      <c r="A5" s="8" t="str">
        <f ca="1">CELL("filename")</f>
        <v>C:\Users\CRaymond\Char. School Bus Mgt Dropbox\Collin Raymond\Growth Team\Growth 2.0\Growth &amp; Data\Client Projects\Rooted LV\[Rooted School-SPCSA-Operating Budget-V10 (1) - Rev9.xlsx]Summary</v>
      </c>
      <c r="P5" s="7"/>
      <c r="Q5" s="7"/>
      <c r="R5" s="7"/>
      <c r="S5" s="7"/>
      <c r="T5" s="7"/>
    </row>
    <row r="6" spans="1:20">
      <c r="P6" s="7"/>
      <c r="Q6" s="7"/>
      <c r="R6" s="7"/>
      <c r="S6" s="7"/>
      <c r="T6" s="7"/>
    </row>
    <row r="7" spans="1:20">
      <c r="A7" s="7"/>
      <c r="B7" s="7"/>
      <c r="C7" s="7"/>
      <c r="D7" s="7"/>
      <c r="E7" s="7"/>
      <c r="F7" s="7"/>
      <c r="G7" s="7"/>
      <c r="H7" s="7"/>
      <c r="I7" s="7"/>
      <c r="J7" s="7"/>
      <c r="K7" s="7"/>
      <c r="L7" s="7"/>
      <c r="M7" s="7"/>
      <c r="N7" s="7"/>
      <c r="O7" s="7"/>
      <c r="P7" s="7"/>
      <c r="Q7" s="7"/>
      <c r="R7" s="7"/>
      <c r="S7" s="7"/>
      <c r="T7" s="7"/>
    </row>
    <row r="8" spans="1:20">
      <c r="A8" s="7"/>
      <c r="B8" s="7"/>
      <c r="C8" s="7"/>
      <c r="D8" s="7"/>
      <c r="E8" s="7"/>
      <c r="F8" s="7"/>
      <c r="G8" s="7"/>
      <c r="H8" s="7"/>
      <c r="I8" s="7"/>
      <c r="J8" s="7"/>
      <c r="K8" s="7"/>
      <c r="L8" s="7"/>
      <c r="M8" s="7"/>
      <c r="N8" s="7"/>
      <c r="O8" s="7"/>
      <c r="P8" s="7"/>
      <c r="Q8" s="7"/>
      <c r="R8" s="7"/>
      <c r="S8" s="7"/>
      <c r="T8" s="7"/>
    </row>
    <row r="9" spans="1:20">
      <c r="A9" s="7"/>
      <c r="B9" s="7"/>
      <c r="C9" s="7"/>
      <c r="D9" s="7"/>
      <c r="E9" s="7"/>
      <c r="F9" s="7"/>
      <c r="G9" s="7"/>
      <c r="H9" s="7"/>
      <c r="I9" s="7"/>
      <c r="J9" s="7"/>
      <c r="K9" s="7"/>
      <c r="L9" s="7"/>
      <c r="M9" s="7"/>
      <c r="N9" s="7"/>
      <c r="O9" s="7"/>
      <c r="P9" s="7"/>
      <c r="Q9" s="7"/>
      <c r="R9" s="7"/>
      <c r="S9" s="7"/>
      <c r="T9" s="7"/>
    </row>
    <row r="10" spans="1:20">
      <c r="A10" s="7"/>
      <c r="B10" s="7"/>
      <c r="C10" s="7"/>
      <c r="D10" s="7"/>
      <c r="E10" s="7"/>
      <c r="F10" s="7"/>
      <c r="G10" s="7"/>
      <c r="H10" s="7"/>
      <c r="I10" s="7"/>
      <c r="J10" s="7"/>
      <c r="K10" s="7"/>
      <c r="L10" s="7"/>
      <c r="M10" s="7"/>
      <c r="N10" s="7"/>
      <c r="O10" s="7"/>
      <c r="P10" s="7"/>
      <c r="Q10" s="7"/>
      <c r="R10" s="7"/>
      <c r="S10" s="7"/>
      <c r="T10" s="7"/>
    </row>
    <row r="11" spans="1:20">
      <c r="A11" s="7"/>
      <c r="B11" s="7"/>
      <c r="C11" s="7"/>
      <c r="D11" s="7"/>
      <c r="E11" s="7"/>
      <c r="F11" s="7"/>
      <c r="G11" s="7"/>
      <c r="H11" s="7"/>
      <c r="I11" s="7"/>
      <c r="J11" s="7"/>
      <c r="K11" s="7"/>
      <c r="L11" s="7"/>
      <c r="M11" s="7"/>
      <c r="N11" s="7"/>
      <c r="O11" s="7"/>
      <c r="P11" s="7"/>
      <c r="Q11" s="7"/>
      <c r="R11" s="7"/>
      <c r="S11" s="7"/>
      <c r="T11" s="7"/>
    </row>
    <row r="12" spans="1:20">
      <c r="A12" s="7"/>
      <c r="B12" s="7"/>
      <c r="C12" s="7"/>
      <c r="D12" s="7"/>
      <c r="E12" s="7"/>
      <c r="F12" s="7"/>
      <c r="G12" s="7"/>
      <c r="H12" s="7"/>
      <c r="I12" s="7"/>
      <c r="J12" s="7"/>
      <c r="K12" s="7"/>
      <c r="L12" s="7"/>
      <c r="M12" s="7"/>
      <c r="N12" s="7"/>
      <c r="O12" s="7"/>
      <c r="P12" s="7"/>
      <c r="Q12" s="7"/>
      <c r="R12" s="7"/>
      <c r="S12" s="7"/>
      <c r="T12" s="7"/>
    </row>
    <row r="13" spans="1:20">
      <c r="A13" s="7"/>
      <c r="B13" s="7"/>
      <c r="C13" s="7"/>
      <c r="D13" s="7"/>
      <c r="E13" s="7"/>
      <c r="F13" s="7"/>
      <c r="G13" s="7"/>
      <c r="H13" s="7"/>
      <c r="I13" s="7"/>
      <c r="J13" s="7"/>
      <c r="K13" s="7"/>
      <c r="L13" s="7"/>
      <c r="M13" s="7"/>
      <c r="N13" s="7"/>
      <c r="O13" s="7"/>
      <c r="P13" s="7"/>
      <c r="Q13" s="7"/>
      <c r="R13" s="7"/>
      <c r="S13" s="7"/>
      <c r="T13" s="7"/>
    </row>
    <row r="14" spans="1:20">
      <c r="A14" s="7"/>
      <c r="B14" s="7"/>
      <c r="C14" s="7"/>
      <c r="D14" s="7"/>
      <c r="E14" s="7"/>
      <c r="F14" s="7"/>
      <c r="G14" s="7"/>
      <c r="H14" s="7"/>
      <c r="I14" s="7"/>
      <c r="J14" s="7"/>
      <c r="K14" s="7"/>
      <c r="L14" s="7"/>
      <c r="M14" s="7"/>
      <c r="N14" s="7"/>
      <c r="O14" s="7"/>
      <c r="P14" s="7"/>
      <c r="Q14" s="7"/>
      <c r="R14" s="7"/>
      <c r="S14" s="7"/>
      <c r="T14" s="7"/>
    </row>
    <row r="15" spans="1:20">
      <c r="A15" s="7"/>
      <c r="B15" s="7"/>
      <c r="C15" s="7"/>
      <c r="D15" s="7"/>
      <c r="E15" s="7"/>
      <c r="F15" s="7"/>
      <c r="G15" s="7"/>
      <c r="H15" s="7"/>
      <c r="I15" s="7"/>
      <c r="J15" s="7"/>
      <c r="K15" s="7"/>
      <c r="L15" s="7"/>
      <c r="M15" s="7"/>
      <c r="N15" s="7"/>
      <c r="O15" s="7"/>
      <c r="P15" s="7"/>
      <c r="Q15" s="7"/>
      <c r="R15" s="7"/>
      <c r="S15" s="7"/>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7"/>
      <c r="F17" s="7"/>
      <c r="G17" s="7"/>
      <c r="H17" s="7"/>
      <c r="I17" s="7"/>
      <c r="J17" s="7"/>
      <c r="K17" s="7"/>
      <c r="L17" s="7"/>
      <c r="M17" s="7"/>
      <c r="N17" s="7"/>
      <c r="O17" s="7"/>
      <c r="P17" s="7"/>
      <c r="Q17" s="7"/>
      <c r="R17" s="7"/>
      <c r="S17" s="7"/>
      <c r="T17" s="7"/>
    </row>
    <row r="18" spans="1:20">
      <c r="A18" s="7"/>
      <c r="B18" s="7"/>
      <c r="C18" s="7"/>
      <c r="D18" s="7"/>
      <c r="E18" s="7"/>
      <c r="F18" s="7"/>
      <c r="G18" s="7"/>
      <c r="H18" s="7"/>
      <c r="I18" s="7"/>
      <c r="J18" s="7"/>
      <c r="K18" s="7"/>
      <c r="L18" s="7"/>
      <c r="M18" s="7"/>
      <c r="N18" s="7"/>
      <c r="O18" s="7"/>
      <c r="P18" s="7"/>
      <c r="Q18" s="7"/>
      <c r="R18" s="7"/>
      <c r="S18" s="7"/>
      <c r="T18" s="7"/>
    </row>
    <row r="19" spans="1:20">
      <c r="A19" s="7"/>
      <c r="B19" s="7"/>
      <c r="C19" s="7"/>
      <c r="D19" s="7"/>
      <c r="E19" s="7"/>
      <c r="F19" s="7"/>
      <c r="G19" s="7"/>
      <c r="H19" s="7"/>
      <c r="I19" s="7"/>
      <c r="J19" s="7"/>
      <c r="K19" s="7"/>
      <c r="L19" s="7"/>
      <c r="M19" s="7"/>
      <c r="N19" s="7"/>
      <c r="O19" s="7"/>
      <c r="P19" s="7"/>
      <c r="Q19" s="7"/>
      <c r="R19" s="7"/>
      <c r="S19" s="7"/>
      <c r="T19" s="7"/>
    </row>
    <row r="20" spans="1:20">
      <c r="A20" s="7"/>
      <c r="B20" s="7"/>
      <c r="C20" s="7"/>
      <c r="D20" s="7"/>
      <c r="E20" s="7"/>
      <c r="F20" s="7"/>
      <c r="G20" s="7"/>
      <c r="H20" s="7"/>
      <c r="I20" s="7"/>
      <c r="J20" s="7"/>
      <c r="K20" s="7"/>
      <c r="L20" s="7"/>
      <c r="M20" s="7"/>
      <c r="N20" s="7"/>
      <c r="O20" s="7"/>
      <c r="P20" s="7"/>
      <c r="Q20" s="7"/>
      <c r="R20" s="7"/>
      <c r="S20" s="7"/>
      <c r="T20" s="7"/>
    </row>
    <row r="21" spans="1:20">
      <c r="A21" s="7"/>
      <c r="B21" s="7"/>
      <c r="C21" s="7"/>
      <c r="D21" s="7"/>
      <c r="E21" s="7"/>
      <c r="F21" s="7"/>
      <c r="G21" s="7"/>
      <c r="H21" s="7"/>
      <c r="I21" s="7"/>
      <c r="J21" s="7"/>
      <c r="K21" s="7"/>
      <c r="L21" s="7"/>
      <c r="M21" s="7"/>
      <c r="N21" s="7"/>
      <c r="O21" s="7"/>
      <c r="P21" s="7"/>
      <c r="Q21" s="7"/>
      <c r="R21" s="7"/>
      <c r="S21" s="7"/>
      <c r="T21" s="7"/>
    </row>
    <row r="22" spans="1:20">
      <c r="A22" s="7"/>
      <c r="B22" s="7"/>
      <c r="C22" s="7"/>
      <c r="D22" s="7"/>
      <c r="E22" s="7"/>
      <c r="F22" s="7"/>
      <c r="G22" s="7"/>
      <c r="H22" s="7"/>
      <c r="I22" s="7"/>
      <c r="J22" s="7"/>
      <c r="K22" s="7"/>
      <c r="L22" s="7"/>
      <c r="M22" s="7"/>
      <c r="N22" s="7"/>
      <c r="O22" s="7"/>
      <c r="P22" s="7"/>
      <c r="Q22" s="7"/>
      <c r="R22" s="7"/>
      <c r="S22" s="7"/>
      <c r="T22" s="7"/>
    </row>
    <row r="23" spans="1:20">
      <c r="A23" s="7"/>
      <c r="B23" s="7"/>
      <c r="C23" s="7"/>
      <c r="D23" s="7"/>
      <c r="E23" s="7"/>
      <c r="F23" s="7"/>
      <c r="G23" s="7"/>
      <c r="H23" s="7"/>
      <c r="I23" s="7"/>
      <c r="J23" s="7"/>
      <c r="K23" s="7"/>
      <c r="L23" s="7"/>
      <c r="M23" s="7"/>
      <c r="N23" s="7"/>
      <c r="O23" s="7"/>
      <c r="P23" s="7"/>
      <c r="Q23" s="7"/>
      <c r="R23" s="7"/>
      <c r="S23" s="7"/>
      <c r="T23" s="7"/>
    </row>
    <row r="24" spans="1:20">
      <c r="A24" s="7"/>
      <c r="B24" s="7"/>
      <c r="C24" s="7"/>
      <c r="D24" s="7"/>
      <c r="E24" s="7"/>
      <c r="F24" s="7"/>
      <c r="G24" s="7"/>
      <c r="H24" s="7"/>
      <c r="I24" s="7"/>
      <c r="J24" s="7"/>
      <c r="K24" s="7"/>
      <c r="L24" s="7"/>
      <c r="M24" s="7"/>
      <c r="N24" s="7"/>
      <c r="O24" s="7"/>
      <c r="P24" s="7"/>
      <c r="Q24" s="7"/>
      <c r="R24" s="7"/>
      <c r="S24" s="7"/>
      <c r="T24" s="7"/>
    </row>
    <row r="25" spans="1:20">
      <c r="A25" s="7"/>
      <c r="B25" s="7"/>
      <c r="C25" s="7"/>
      <c r="D25" s="7"/>
      <c r="E25" s="7"/>
      <c r="F25" s="7"/>
      <c r="G25" s="7"/>
      <c r="H25" s="7"/>
      <c r="I25" s="7"/>
      <c r="J25" s="7"/>
      <c r="K25" s="7"/>
      <c r="L25" s="7"/>
      <c r="M25" s="7"/>
      <c r="N25" s="7"/>
      <c r="O25" s="7"/>
      <c r="P25" s="7"/>
      <c r="Q25" s="7"/>
      <c r="R25" s="7"/>
      <c r="S25" s="7"/>
      <c r="T25" s="7"/>
    </row>
    <row r="26" spans="1:20">
      <c r="A26" s="7"/>
      <c r="B26" s="7"/>
      <c r="C26" s="7"/>
      <c r="D26" s="7"/>
      <c r="E26" s="7"/>
      <c r="F26" s="7"/>
      <c r="G26" s="7"/>
      <c r="H26" s="7"/>
      <c r="I26" s="7"/>
      <c r="J26" s="7"/>
      <c r="K26" s="7"/>
      <c r="L26" s="7"/>
      <c r="M26" s="7"/>
      <c r="N26" s="7"/>
      <c r="O26" s="7"/>
      <c r="P26" s="7"/>
      <c r="Q26" s="7"/>
      <c r="R26" s="7"/>
      <c r="S26" s="7"/>
      <c r="T26" s="7"/>
    </row>
    <row r="27" spans="1:20">
      <c r="A27" s="7"/>
      <c r="B27" s="7"/>
      <c r="C27" s="7"/>
      <c r="D27" s="7"/>
      <c r="E27" s="7"/>
      <c r="F27" s="7"/>
      <c r="G27" s="7"/>
      <c r="H27" s="7"/>
      <c r="I27" s="7"/>
      <c r="J27" s="7"/>
      <c r="K27" s="7"/>
      <c r="L27" s="7"/>
      <c r="M27" s="7"/>
      <c r="N27" s="7"/>
      <c r="O27" s="7"/>
      <c r="P27" s="7"/>
      <c r="Q27" s="7"/>
      <c r="R27" s="7"/>
      <c r="S27" s="7"/>
      <c r="T27" s="7"/>
    </row>
    <row r="28" spans="1:20">
      <c r="A28" s="7"/>
      <c r="B28" s="7"/>
      <c r="C28" s="7"/>
      <c r="D28" s="7"/>
      <c r="E28" s="7"/>
      <c r="F28" s="7"/>
      <c r="G28" s="7"/>
      <c r="H28" s="7"/>
      <c r="I28" s="7"/>
      <c r="J28" s="7"/>
      <c r="K28" s="7"/>
      <c r="L28" s="7"/>
      <c r="M28" s="7"/>
      <c r="N28" s="7"/>
      <c r="O28" s="7"/>
      <c r="P28" s="7"/>
      <c r="Q28" s="7"/>
      <c r="R28" s="7"/>
      <c r="S28" s="7"/>
      <c r="T28" s="7"/>
    </row>
    <row r="29" spans="1:20">
      <c r="A29" s="7"/>
      <c r="B29" s="7"/>
      <c r="C29" s="7"/>
      <c r="D29" s="7"/>
      <c r="E29" s="7"/>
      <c r="F29" s="7"/>
      <c r="G29" s="7"/>
      <c r="H29" s="7"/>
      <c r="I29" s="7"/>
      <c r="J29" s="7"/>
      <c r="K29" s="7"/>
      <c r="L29" s="7"/>
      <c r="M29" s="7"/>
      <c r="N29" s="7"/>
      <c r="O29" s="7"/>
      <c r="P29" s="7"/>
      <c r="Q29" s="7"/>
      <c r="R29" s="7"/>
      <c r="S29" s="7"/>
      <c r="T29" s="7"/>
    </row>
    <row r="30" spans="1:20">
      <c r="A30" s="7"/>
      <c r="B30" s="7"/>
      <c r="C30" s="7"/>
      <c r="D30" s="7"/>
      <c r="E30" s="7"/>
      <c r="F30" s="7"/>
      <c r="G30" s="7"/>
      <c r="H30" s="7"/>
      <c r="I30" s="7"/>
      <c r="J30" s="7"/>
      <c r="K30" s="7"/>
      <c r="L30" s="7"/>
      <c r="M30" s="7"/>
      <c r="N30" s="7"/>
      <c r="O30" s="7"/>
      <c r="P30" s="7"/>
    </row>
    <row r="31" spans="1:20">
      <c r="A31" s="7"/>
      <c r="B31" s="7"/>
      <c r="C31" s="7"/>
      <c r="D31" s="7"/>
      <c r="E31" s="7"/>
      <c r="F31" s="7"/>
      <c r="G31" s="7"/>
      <c r="H31" s="7"/>
      <c r="I31" s="7"/>
      <c r="J31" s="7"/>
      <c r="K31" s="7"/>
      <c r="L31" s="7"/>
      <c r="M31" s="7"/>
      <c r="N31" s="7"/>
      <c r="O31" s="7"/>
      <c r="P31" s="7"/>
    </row>
    <row r="32" spans="1:20">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140625" defaultRowHeight="12.75"/>
  <cols>
    <col min="1" max="1" width="4.42578125" style="6" customWidth="1"/>
    <col min="2" max="16384" width="9.140625" style="6"/>
  </cols>
  <sheetData>
    <row r="1" spans="1:16" ht="15.75">
      <c r="A1" s="382" t="s">
        <v>970</v>
      </c>
      <c r="B1" s="382"/>
      <c r="C1" s="382"/>
      <c r="D1" s="382"/>
      <c r="E1" s="382"/>
      <c r="F1" s="382"/>
      <c r="G1" s="382"/>
      <c r="M1" s="452" t="s">
        <v>2</v>
      </c>
    </row>
    <row r="2" spans="1:16" ht="15.75">
      <c r="A2" s="28"/>
      <c r="B2" s="31"/>
      <c r="C2" s="31"/>
      <c r="D2" s="31"/>
      <c r="E2" s="31"/>
      <c r="F2" s="31"/>
      <c r="G2" s="31"/>
      <c r="H2" s="6" t="s">
        <v>971</v>
      </c>
    </row>
    <row r="3" spans="1:16">
      <c r="A3" s="10" t="s">
        <v>808</v>
      </c>
      <c r="H3" s="6" t="s">
        <v>972</v>
      </c>
    </row>
    <row r="4" spans="1:16">
      <c r="A4" s="9" t="s">
        <v>62</v>
      </c>
    </row>
    <row r="5" spans="1:16">
      <c r="A5" s="8" t="str">
        <f ca="1">CELL("filename")</f>
        <v>C:\Users\CRaymond\Char. School Bus Mgt Dropbox\Collin Raymond\Growth Team\Growth 2.0\Growth &amp; Data\Client Projects\Rooted LV\[Rooted School-SPCSA-Operating Budget-V10 (1) - Rev9.xlsx]Summary</v>
      </c>
    </row>
    <row r="6" spans="1:16">
      <c r="A6" s="7"/>
      <c r="B6" s="7"/>
      <c r="C6" s="7"/>
      <c r="D6" s="7"/>
      <c r="E6" s="7"/>
      <c r="F6" s="7"/>
      <c r="G6" s="7"/>
      <c r="H6" s="7"/>
      <c r="I6" s="7"/>
      <c r="J6" s="7"/>
      <c r="K6" s="7"/>
      <c r="L6" s="7"/>
      <c r="M6" s="7"/>
      <c r="N6" s="7"/>
      <c r="O6" s="7"/>
      <c r="P6" s="7"/>
    </row>
    <row r="7" spans="1:16">
      <c r="A7" s="7"/>
      <c r="B7" s="7" t="s">
        <v>973</v>
      </c>
      <c r="C7" s="7"/>
      <c r="D7" s="7"/>
      <c r="E7" s="7"/>
      <c r="F7" s="7"/>
      <c r="G7" s="7"/>
      <c r="H7" s="7"/>
      <c r="I7" s="7"/>
      <c r="J7" s="7"/>
      <c r="K7" s="7"/>
      <c r="L7" s="7"/>
      <c r="M7" s="7"/>
      <c r="N7" s="7"/>
      <c r="O7" s="7"/>
      <c r="P7" s="7"/>
    </row>
    <row r="8" spans="1:16">
      <c r="A8" s="7"/>
      <c r="B8" s="7" t="s">
        <v>974</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410"/>
      <c r="C10" s="410"/>
      <c r="D10" s="410"/>
      <c r="E10" s="410"/>
      <c r="F10" s="410"/>
      <c r="G10" s="1713" t="s">
        <v>975</v>
      </c>
      <c r="H10" s="1713"/>
      <c r="I10" s="1511" t="s">
        <v>976</v>
      </c>
      <c r="J10" s="1511"/>
      <c r="K10" s="1511"/>
      <c r="L10" s="1511"/>
      <c r="M10" s="1511"/>
      <c r="N10" s="1511"/>
      <c r="O10" s="7"/>
      <c r="P10" s="7"/>
    </row>
    <row r="11" spans="1:16">
      <c r="A11" s="7"/>
      <c r="B11" s="411"/>
      <c r="C11" s="17"/>
      <c r="D11" s="17"/>
      <c r="E11" s="17"/>
      <c r="F11" s="17"/>
      <c r="G11" s="412" t="s">
        <v>977</v>
      </c>
      <c r="H11" s="412" t="s">
        <v>978</v>
      </c>
      <c r="I11" s="412" t="s">
        <v>471</v>
      </c>
      <c r="J11" s="412">
        <v>1</v>
      </c>
      <c r="K11" s="412">
        <f>+J11+1</f>
        <v>2</v>
      </c>
      <c r="L11" s="412">
        <f>+K11+1</f>
        <v>3</v>
      </c>
      <c r="M11" s="412">
        <f>+L11+1</f>
        <v>4</v>
      </c>
      <c r="N11" s="412">
        <f>+M11+1</f>
        <v>5</v>
      </c>
      <c r="O11" s="7"/>
      <c r="P11" s="7"/>
    </row>
    <row r="12" spans="1:16">
      <c r="A12" s="7"/>
      <c r="C12" s="7"/>
      <c r="D12" s="7"/>
      <c r="E12" s="7"/>
      <c r="F12" s="7"/>
      <c r="G12" s="7"/>
      <c r="H12" s="7"/>
      <c r="I12" s="7"/>
      <c r="J12" s="7"/>
      <c r="K12" s="7"/>
      <c r="L12" s="7"/>
      <c r="M12" s="7"/>
      <c r="N12" s="7"/>
      <c r="O12" s="7"/>
      <c r="P12" s="7"/>
    </row>
    <row r="13" spans="1:16">
      <c r="A13" s="7"/>
      <c r="B13" s="413" t="s">
        <v>979</v>
      </c>
      <c r="C13" s="17"/>
      <c r="D13" s="17"/>
      <c r="E13" s="17"/>
      <c r="F13" s="17"/>
      <c r="G13" s="17"/>
      <c r="H13" s="17"/>
      <c r="I13" s="17"/>
      <c r="J13" s="17"/>
      <c r="K13" s="17"/>
      <c r="L13" s="17"/>
      <c r="M13" s="17"/>
      <c r="N13" s="17"/>
      <c r="O13" s="7"/>
      <c r="P13" s="7"/>
    </row>
    <row r="14" spans="1:16">
      <c r="A14" s="7"/>
      <c r="B14" s="414" t="s">
        <v>980</v>
      </c>
      <c r="C14" s="414"/>
      <c r="D14" s="414"/>
      <c r="E14" s="414"/>
      <c r="F14" s="414"/>
      <c r="G14" s="415"/>
      <c r="H14" s="415"/>
      <c r="I14" s="415"/>
      <c r="J14" s="415"/>
      <c r="K14" s="415"/>
      <c r="L14" s="415"/>
      <c r="M14" s="415"/>
      <c r="N14" s="415"/>
      <c r="O14" s="7"/>
      <c r="P14" s="7"/>
    </row>
    <row r="15" spans="1:16">
      <c r="A15" s="7"/>
      <c r="B15" s="416" t="s">
        <v>981</v>
      </c>
      <c r="C15" s="416"/>
      <c r="D15" s="416"/>
      <c r="E15" s="416"/>
      <c r="F15" s="416"/>
      <c r="G15" s="417"/>
      <c r="H15" s="417"/>
      <c r="I15" s="417"/>
      <c r="J15" s="417"/>
      <c r="K15" s="417"/>
      <c r="L15" s="417"/>
      <c r="M15" s="417"/>
      <c r="N15" s="417"/>
      <c r="O15" s="7"/>
      <c r="P15" s="7"/>
    </row>
    <row r="16" spans="1:16">
      <c r="A16" s="7"/>
      <c r="B16" s="416" t="s">
        <v>982</v>
      </c>
      <c r="C16" s="416"/>
      <c r="D16" s="416"/>
      <c r="E16" s="416"/>
      <c r="F16" s="416"/>
      <c r="G16" s="417"/>
      <c r="H16" s="417"/>
      <c r="I16" s="417"/>
      <c r="J16" s="417"/>
      <c r="K16" s="417"/>
      <c r="L16" s="417"/>
      <c r="M16" s="417"/>
      <c r="N16" s="417"/>
      <c r="O16" s="7"/>
      <c r="P16" s="7"/>
    </row>
    <row r="17" spans="1:16">
      <c r="A17" s="7"/>
      <c r="B17" s="416" t="s">
        <v>983</v>
      </c>
      <c r="C17" s="416"/>
      <c r="D17" s="416"/>
      <c r="E17" s="416"/>
      <c r="F17" s="416"/>
      <c r="G17" s="417"/>
      <c r="H17" s="417"/>
      <c r="I17" s="417"/>
      <c r="J17" s="417"/>
      <c r="K17" s="417"/>
      <c r="L17" s="417"/>
      <c r="M17" s="417"/>
      <c r="N17" s="417"/>
      <c r="O17" s="7"/>
      <c r="P17" s="7"/>
    </row>
    <row r="18" spans="1:16">
      <c r="A18" s="7"/>
      <c r="B18" s="416" t="s">
        <v>984</v>
      </c>
      <c r="C18" s="416"/>
      <c r="D18" s="416"/>
      <c r="E18" s="416"/>
      <c r="F18" s="416"/>
      <c r="G18" s="417"/>
      <c r="H18" s="417"/>
      <c r="I18" s="417"/>
      <c r="J18" s="417"/>
      <c r="K18" s="417"/>
      <c r="L18" s="417"/>
      <c r="M18" s="417"/>
      <c r="N18" s="417"/>
      <c r="O18" s="7"/>
      <c r="P18" s="7"/>
    </row>
    <row r="19" spans="1:16">
      <c r="A19" s="7"/>
      <c r="B19" s="416" t="s">
        <v>985</v>
      </c>
      <c r="C19" s="416"/>
      <c r="D19" s="416"/>
      <c r="E19" s="416"/>
      <c r="F19" s="416"/>
      <c r="G19" s="417"/>
      <c r="H19" s="417"/>
      <c r="I19" s="417"/>
      <c r="J19" s="417"/>
      <c r="K19" s="417"/>
      <c r="L19" s="417"/>
      <c r="M19" s="417"/>
      <c r="N19" s="417"/>
      <c r="O19" s="7"/>
      <c r="P19" s="7"/>
    </row>
    <row r="20" spans="1:16">
      <c r="A20" s="7"/>
      <c r="B20" s="416" t="s">
        <v>986</v>
      </c>
      <c r="C20" s="416"/>
      <c r="D20" s="416"/>
      <c r="E20" s="416"/>
      <c r="F20" s="416"/>
      <c r="G20" s="417"/>
      <c r="H20" s="417"/>
      <c r="I20" s="417"/>
      <c r="J20" s="417"/>
      <c r="K20" s="417"/>
      <c r="L20" s="417"/>
      <c r="M20" s="417"/>
      <c r="N20" s="417"/>
      <c r="O20" s="7"/>
      <c r="P20" s="7"/>
    </row>
    <row r="21" spans="1:16">
      <c r="A21" s="7"/>
      <c r="B21" s="416" t="s">
        <v>987</v>
      </c>
      <c r="C21" s="416"/>
      <c r="D21" s="416"/>
      <c r="E21" s="416"/>
      <c r="F21" s="416"/>
      <c r="G21" s="417"/>
      <c r="H21" s="417"/>
      <c r="I21" s="417"/>
      <c r="J21" s="417"/>
      <c r="K21" s="417"/>
      <c r="L21" s="417"/>
      <c r="M21" s="417"/>
      <c r="N21" s="417"/>
      <c r="O21" s="7"/>
      <c r="P21" s="7"/>
    </row>
    <row r="22" spans="1:16">
      <c r="A22" s="7"/>
      <c r="B22" s="416" t="s">
        <v>988</v>
      </c>
      <c r="C22" s="416"/>
      <c r="D22" s="416"/>
      <c r="E22" s="416"/>
      <c r="F22" s="416"/>
      <c r="G22" s="417"/>
      <c r="H22" s="417"/>
      <c r="I22" s="417"/>
      <c r="J22" s="417"/>
      <c r="K22" s="417"/>
      <c r="L22" s="417"/>
      <c r="M22" s="417"/>
      <c r="N22" s="417"/>
      <c r="O22" s="7"/>
      <c r="P22" s="7"/>
    </row>
    <row r="23" spans="1:16">
      <c r="A23" s="7"/>
      <c r="B23" s="416" t="s">
        <v>989</v>
      </c>
      <c r="C23" s="416"/>
      <c r="D23" s="416"/>
      <c r="E23" s="416"/>
      <c r="F23" s="416"/>
      <c r="G23" s="417"/>
      <c r="H23" s="417"/>
      <c r="I23" s="417"/>
      <c r="J23" s="417"/>
      <c r="K23" s="417"/>
      <c r="L23" s="417"/>
      <c r="M23" s="417"/>
      <c r="N23" s="417"/>
      <c r="O23" s="7"/>
      <c r="P23" s="7"/>
    </row>
    <row r="24" spans="1:16">
      <c r="A24" s="7"/>
      <c r="B24" s="416" t="s">
        <v>990</v>
      </c>
      <c r="C24" s="416"/>
      <c r="D24" s="416"/>
      <c r="E24" s="416"/>
      <c r="F24" s="416"/>
      <c r="G24" s="417"/>
      <c r="H24" s="417"/>
      <c r="I24" s="417"/>
      <c r="J24" s="417"/>
      <c r="K24" s="417"/>
      <c r="L24" s="417"/>
      <c r="M24" s="417"/>
      <c r="N24" s="417"/>
      <c r="O24" s="7"/>
      <c r="P24" s="7"/>
    </row>
    <row r="25" spans="1:16">
      <c r="A25" s="7"/>
      <c r="B25" s="416" t="s">
        <v>991</v>
      </c>
      <c r="C25" s="416"/>
      <c r="D25" s="416"/>
      <c r="E25" s="416"/>
      <c r="F25" s="416"/>
      <c r="G25" s="417"/>
      <c r="H25" s="417"/>
      <c r="I25" s="417"/>
      <c r="J25" s="417"/>
      <c r="K25" s="417"/>
      <c r="L25" s="417"/>
      <c r="M25" s="417"/>
      <c r="N25" s="417"/>
      <c r="O25" s="7"/>
      <c r="P25" s="7"/>
    </row>
    <row r="26" spans="1:16">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c r="A27" s="7"/>
      <c r="B27" s="7"/>
      <c r="C27" s="7"/>
      <c r="D27" s="7"/>
      <c r="E27" s="7"/>
      <c r="F27" s="7"/>
      <c r="G27" s="7"/>
      <c r="H27" s="7"/>
      <c r="I27" s="7"/>
      <c r="J27" s="7"/>
      <c r="K27" s="7"/>
      <c r="L27" s="7"/>
      <c r="M27" s="7"/>
      <c r="N27" s="7"/>
      <c r="O27" s="7"/>
      <c r="P27" s="7"/>
    </row>
    <row r="28" spans="1:16">
      <c r="A28" s="7"/>
      <c r="B28" s="413" t="s">
        <v>992</v>
      </c>
      <c r="C28" s="17"/>
      <c r="D28" s="17"/>
      <c r="E28" s="17"/>
      <c r="F28" s="17"/>
      <c r="G28" s="17"/>
      <c r="H28" s="17"/>
      <c r="I28" s="17"/>
      <c r="J28" s="17"/>
      <c r="K28" s="17"/>
      <c r="L28" s="17"/>
      <c r="M28" s="17"/>
      <c r="N28" s="17"/>
      <c r="O28" s="7"/>
      <c r="P28" s="7"/>
    </row>
    <row r="29" spans="1:16">
      <c r="A29" s="7"/>
      <c r="B29" s="414" t="s">
        <v>993</v>
      </c>
      <c r="C29" s="414"/>
      <c r="D29" s="414"/>
      <c r="E29" s="414"/>
      <c r="F29" s="414"/>
      <c r="G29" s="415"/>
      <c r="H29" s="415"/>
      <c r="I29" s="415"/>
      <c r="J29" s="415"/>
      <c r="K29" s="415"/>
      <c r="L29" s="415"/>
      <c r="M29" s="415"/>
      <c r="N29" s="415"/>
      <c r="O29" s="7"/>
      <c r="P29" s="7"/>
    </row>
    <row r="30" spans="1:16">
      <c r="A30" s="7"/>
      <c r="B30" s="416" t="s">
        <v>994</v>
      </c>
      <c r="C30" s="416"/>
      <c r="D30" s="416"/>
      <c r="E30" s="416"/>
      <c r="F30" s="416"/>
      <c r="G30" s="417"/>
      <c r="H30" s="417"/>
      <c r="I30" s="417"/>
      <c r="J30" s="417"/>
      <c r="K30" s="417"/>
      <c r="L30" s="417"/>
      <c r="M30" s="417"/>
      <c r="N30" s="417"/>
      <c r="O30" s="7"/>
      <c r="P30" s="7"/>
    </row>
    <row r="31" spans="1:16">
      <c r="A31" s="7"/>
      <c r="B31" s="416" t="s">
        <v>995</v>
      </c>
      <c r="C31" s="416"/>
      <c r="D31" s="416"/>
      <c r="E31" s="416"/>
      <c r="F31" s="416"/>
      <c r="G31" s="417"/>
      <c r="H31" s="417"/>
      <c r="I31" s="417"/>
      <c r="J31" s="417"/>
      <c r="K31" s="417"/>
      <c r="L31" s="417"/>
      <c r="M31" s="417"/>
      <c r="N31" s="417"/>
      <c r="O31" s="7"/>
      <c r="P31" s="7"/>
    </row>
    <row r="32" spans="1:16">
      <c r="A32" s="7"/>
      <c r="B32" s="416" t="s">
        <v>996</v>
      </c>
      <c r="C32" s="416"/>
      <c r="D32" s="416"/>
      <c r="E32" s="416"/>
      <c r="F32" s="416"/>
      <c r="G32" s="417"/>
      <c r="H32" s="417"/>
      <c r="I32" s="417"/>
      <c r="J32" s="417"/>
      <c r="K32" s="417"/>
      <c r="L32" s="417"/>
      <c r="M32" s="417"/>
      <c r="N32" s="417"/>
      <c r="O32" s="7"/>
      <c r="P32" s="7"/>
    </row>
    <row r="33" spans="1:16">
      <c r="A33" s="7"/>
      <c r="B33" s="416" t="s">
        <v>997</v>
      </c>
      <c r="C33" s="416"/>
      <c r="D33" s="416"/>
      <c r="E33" s="416"/>
      <c r="F33" s="416"/>
      <c r="G33" s="417"/>
      <c r="H33" s="417"/>
      <c r="I33" s="417"/>
      <c r="J33" s="417"/>
      <c r="K33" s="417"/>
      <c r="L33" s="417"/>
      <c r="M33" s="417"/>
      <c r="N33" s="417"/>
      <c r="O33" s="7"/>
      <c r="P33" s="7"/>
    </row>
    <row r="34" spans="1:16">
      <c r="A34" s="7"/>
      <c r="B34" s="418" t="s">
        <v>998</v>
      </c>
      <c r="C34" s="416"/>
      <c r="D34" s="416"/>
      <c r="E34" s="416"/>
      <c r="F34" s="416"/>
      <c r="G34" s="417"/>
      <c r="H34" s="417"/>
      <c r="I34" s="417"/>
      <c r="J34" s="417"/>
      <c r="K34" s="417"/>
      <c r="L34" s="417"/>
      <c r="M34" s="417"/>
      <c r="N34" s="417"/>
      <c r="O34" s="7"/>
      <c r="P34" s="7"/>
    </row>
    <row r="35" spans="1:16">
      <c r="A35" s="7"/>
      <c r="B35" s="418" t="s">
        <v>999</v>
      </c>
      <c r="C35" s="416"/>
      <c r="D35" s="416"/>
      <c r="E35" s="416"/>
      <c r="F35" s="416"/>
      <c r="G35" s="417"/>
      <c r="H35" s="417"/>
      <c r="I35" s="417"/>
      <c r="J35" s="417"/>
      <c r="K35" s="417"/>
      <c r="L35" s="417"/>
      <c r="M35" s="417"/>
      <c r="N35" s="417"/>
      <c r="O35" s="7"/>
      <c r="P35" s="7"/>
    </row>
    <row r="36" spans="1:16">
      <c r="A36" s="7"/>
      <c r="B36" s="418" t="s">
        <v>1000</v>
      </c>
      <c r="C36" s="416"/>
      <c r="D36" s="416"/>
      <c r="E36" s="416"/>
      <c r="F36" s="416"/>
      <c r="G36" s="417"/>
      <c r="H36" s="417"/>
      <c r="I36" s="417"/>
      <c r="J36" s="417"/>
      <c r="K36" s="417"/>
      <c r="L36" s="417"/>
      <c r="M36" s="417"/>
      <c r="N36" s="417"/>
      <c r="O36" s="7"/>
      <c r="P36" s="7"/>
    </row>
    <row r="37" spans="1:16">
      <c r="A37" s="7"/>
      <c r="B37" s="418" t="s">
        <v>1001</v>
      </c>
      <c r="C37" s="416"/>
      <c r="D37" s="416"/>
      <c r="E37" s="416"/>
      <c r="F37" s="416"/>
      <c r="G37" s="417"/>
      <c r="H37" s="417"/>
      <c r="I37" s="417"/>
      <c r="J37" s="417"/>
      <c r="K37" s="417"/>
      <c r="L37" s="417"/>
      <c r="M37" s="417"/>
      <c r="N37" s="417"/>
      <c r="O37" s="7"/>
      <c r="P37" s="7"/>
    </row>
    <row r="38" spans="1:16">
      <c r="A38" s="7"/>
      <c r="B38" s="418" t="s">
        <v>1002</v>
      </c>
      <c r="C38" s="416"/>
      <c r="D38" s="416"/>
      <c r="E38" s="416"/>
      <c r="F38" s="416"/>
      <c r="G38" s="417"/>
      <c r="H38" s="417"/>
      <c r="I38" s="417"/>
      <c r="J38" s="417"/>
      <c r="K38" s="417"/>
      <c r="L38" s="417"/>
      <c r="M38" s="417"/>
      <c r="N38" s="417"/>
      <c r="O38" s="7"/>
      <c r="P38" s="7"/>
    </row>
    <row r="39" spans="1:16">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c r="A40" s="7"/>
      <c r="B40" s="7"/>
      <c r="C40" s="7"/>
      <c r="D40" s="7"/>
      <c r="E40" s="7"/>
      <c r="F40" s="7"/>
      <c r="G40" s="7"/>
      <c r="H40" s="7"/>
      <c r="I40" s="7"/>
      <c r="J40" s="7"/>
      <c r="K40" s="7"/>
      <c r="L40" s="7"/>
      <c r="M40" s="7"/>
      <c r="N40" s="7"/>
      <c r="O40" s="7"/>
      <c r="P40" s="7"/>
    </row>
    <row r="41" spans="1:16">
      <c r="A41" s="7"/>
      <c r="B41" s="7" t="s">
        <v>1003</v>
      </c>
      <c r="C41" s="7"/>
      <c r="D41" s="7"/>
      <c r="E41" s="7"/>
      <c r="F41" s="7"/>
      <c r="G41" s="7"/>
      <c r="H41" s="7"/>
      <c r="I41" s="7"/>
      <c r="J41" s="7"/>
      <c r="K41" s="7"/>
      <c r="L41" s="7"/>
      <c r="M41" s="7"/>
      <c r="N41" s="7"/>
      <c r="O41" s="7"/>
      <c r="P41" s="7"/>
    </row>
    <row r="42" spans="1:16">
      <c r="A42" s="7"/>
      <c r="B42" s="7" t="s">
        <v>1004</v>
      </c>
      <c r="C42" s="7"/>
      <c r="D42" s="7"/>
      <c r="E42" s="7"/>
      <c r="F42" s="7"/>
      <c r="G42" s="7"/>
      <c r="H42" s="7"/>
      <c r="I42" s="7"/>
      <c r="J42" s="7"/>
      <c r="K42" s="7"/>
      <c r="L42" s="7"/>
      <c r="M42" s="7"/>
      <c r="N42" s="7"/>
      <c r="O42" s="7"/>
      <c r="P42" s="7"/>
    </row>
    <row r="43" spans="1:16">
      <c r="A43" s="7"/>
      <c r="B43" s="7" t="s">
        <v>1005</v>
      </c>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workbookViewId="0">
      <selection activeCell="B65" sqref="B65"/>
    </sheetView>
  </sheetViews>
  <sheetFormatPr defaultRowHeight="15"/>
  <cols>
    <col min="1" max="1" width="27.85546875" customWidth="1"/>
    <col min="2" max="2" width="13.5703125" customWidth="1"/>
    <col min="3" max="3" width="11.5703125" bestFit="1" customWidth="1"/>
    <col min="4" max="9" width="14.42578125" bestFit="1" customWidth="1"/>
  </cols>
  <sheetData>
    <row r="1" spans="1:9" ht="15.75">
      <c r="A1" s="21" t="s">
        <v>1006</v>
      </c>
      <c r="I1" s="507" t="s">
        <v>2</v>
      </c>
    </row>
    <row r="2" spans="1:9" ht="15.75">
      <c r="A2" s="22" t="str">
        <f>SchoolName</f>
        <v>Rooted School Clark County</v>
      </c>
    </row>
    <row r="3" spans="1:9">
      <c r="A3" s="455" t="s">
        <v>1</v>
      </c>
    </row>
    <row r="4" spans="1:9">
      <c r="A4" s="456" t="str">
        <f ca="1">CELL("filename")</f>
        <v>C:\Users\CRaymond\Char. School Bus Mgt Dropbox\Collin Raymond\Growth Team\Growth 2.0\Growth &amp; Data\Client Projects\Rooted LV\[Rooted School-SPCSA-Operating Budget-V10 (1) - Rev9.xlsx]Summary</v>
      </c>
    </row>
    <row r="5" spans="1:9">
      <c r="A5" s="37"/>
      <c r="B5" s="37"/>
      <c r="C5" s="36"/>
      <c r="D5" s="35"/>
      <c r="E5" s="37"/>
      <c r="F5" s="37"/>
      <c r="G5" s="37"/>
      <c r="H5" s="37"/>
      <c r="I5" s="37"/>
    </row>
    <row r="6" spans="1:9">
      <c r="A6" s="37"/>
      <c r="B6" s="37"/>
      <c r="C6" s="887" t="str">
        <f>' Enrol &amp; Rev'!G9</f>
        <v>SY 0/Incu</v>
      </c>
      <c r="D6" s="966">
        <f>' Enrol &amp; Rev'!H9</f>
        <v>1</v>
      </c>
      <c r="E6" s="966">
        <f>' Enrol &amp; Rev'!I9</f>
        <v>2</v>
      </c>
      <c r="F6" s="966">
        <f>' Enrol &amp; Rev'!J9</f>
        <v>3</v>
      </c>
      <c r="G6" s="966">
        <f>' Enrol &amp; Rev'!K9</f>
        <v>4</v>
      </c>
      <c r="H6" s="966">
        <f>' Enrol &amp; Rev'!L9</f>
        <v>5</v>
      </c>
      <c r="I6" s="967">
        <f>' Enrol &amp; Rev'!M9</f>
        <v>6</v>
      </c>
    </row>
    <row r="7" spans="1:9" ht="15.75">
      <c r="A7" s="37"/>
      <c r="B7" s="37"/>
      <c r="C7" s="968">
        <f>' Enrol &amp; Rev'!G10</f>
        <v>2024</v>
      </c>
      <c r="D7" s="957">
        <f>' Enrol &amp; Rev'!H10</f>
        <v>2025</v>
      </c>
      <c r="E7" s="958">
        <f>' Enrol &amp; Rev'!I10</f>
        <v>2026</v>
      </c>
      <c r="F7" s="958">
        <f>' Enrol &amp; Rev'!J10</f>
        <v>2027</v>
      </c>
      <c r="G7" s="958">
        <f>' Enrol &amp; Rev'!K10</f>
        <v>2028</v>
      </c>
      <c r="H7" s="958">
        <f>' Enrol &amp; Rev'!L10</f>
        <v>2029</v>
      </c>
      <c r="I7" s="959">
        <f>' Enrol &amp; Rev'!M10</f>
        <v>2030</v>
      </c>
    </row>
    <row r="8" spans="1:9" ht="15.75">
      <c r="A8" s="1541"/>
      <c r="B8" s="1542" t="s">
        <v>251</v>
      </c>
      <c r="C8" s="969">
        <f>' Enrol &amp; Rev'!G11</f>
        <v>2025</v>
      </c>
      <c r="D8" s="932">
        <f>' Enrol &amp; Rev'!H11</f>
        <v>2026</v>
      </c>
      <c r="E8" s="933">
        <f>' Enrol &amp; Rev'!I11</f>
        <v>2027</v>
      </c>
      <c r="F8" s="933">
        <f>' Enrol &amp; Rev'!J11</f>
        <v>2028</v>
      </c>
      <c r="G8" s="933">
        <f>' Enrol &amp; Rev'!K11</f>
        <v>2029</v>
      </c>
      <c r="H8" s="933">
        <f>' Enrol &amp; Rev'!L11</f>
        <v>2030</v>
      </c>
      <c r="I8" s="934">
        <f>' Enrol &amp; Rev'!M11</f>
        <v>2031</v>
      </c>
    </row>
    <row r="9" spans="1:9">
      <c r="A9" t="s">
        <v>757</v>
      </c>
      <c r="B9" s="5">
        <f>SUM(C9:I9)</f>
        <v>1815</v>
      </c>
      <c r="C9" s="5" t="s">
        <v>1007</v>
      </c>
      <c r="D9" s="5">
        <f>' Enrol &amp; Rev'!H34</f>
        <v>150</v>
      </c>
      <c r="E9" s="5">
        <f>' Enrol &amp; Rev'!I34</f>
        <v>270</v>
      </c>
      <c r="F9" s="5">
        <f>' Enrol &amp; Rev'!J34</f>
        <v>315</v>
      </c>
      <c r="G9" s="5">
        <f>' Enrol &amp; Rev'!K34</f>
        <v>360</v>
      </c>
      <c r="H9" s="5">
        <f>' Enrol &amp; Rev'!L34</f>
        <v>360</v>
      </c>
      <c r="I9" s="5">
        <f>' Enrol &amp; Rev'!M34</f>
        <v>360</v>
      </c>
    </row>
    <row r="10" spans="1:9">
      <c r="A10" t="s">
        <v>422</v>
      </c>
      <c r="B10" s="603">
        <f>SUM(C10:I10)</f>
        <v>21716403.811012462</v>
      </c>
      <c r="C10" s="603">
        <f>' Enrol &amp; Rev'!G109</f>
        <v>0</v>
      </c>
      <c r="D10" s="603">
        <f>' Enrol &amp; Rev'!H109</f>
        <v>1856281.5000000002</v>
      </c>
      <c r="E10" s="603">
        <f>' Enrol &amp; Rev'!I109</f>
        <v>3111294.1187126245</v>
      </c>
      <c r="F10" s="603">
        <f>' Enrol &amp; Rev'!J109</f>
        <v>3750620.1479327255</v>
      </c>
      <c r="G10" s="603">
        <f>' Enrol &amp; Rev'!K109</f>
        <v>4294595.9065465126</v>
      </c>
      <c r="H10" s="603">
        <f>' Enrol &amp; Rev'!L109</f>
        <v>4351806.0689102998</v>
      </c>
      <c r="I10" s="603">
        <f>' Enrol &amp; Rev'!M109</f>
        <v>4351806.0689102998</v>
      </c>
    </row>
    <row r="11" spans="1:9">
      <c r="A11" t="s">
        <v>758</v>
      </c>
      <c r="B11" s="604">
        <f>IFERROR(B10/B9,0)</f>
        <v>11964.960777417335</v>
      </c>
      <c r="C11" s="604"/>
      <c r="D11" s="604">
        <f>IFERROR(D10/D9,0)</f>
        <v>12375.210000000001</v>
      </c>
      <c r="E11" s="604">
        <f t="shared" ref="E11:I11" si="0">IFERROR(E10/E9,0)</f>
        <v>11523.311550787499</v>
      </c>
      <c r="F11" s="604">
        <f t="shared" si="0"/>
        <v>11906.730628357858</v>
      </c>
      <c r="G11" s="604">
        <f t="shared" si="0"/>
        <v>11929.433073740312</v>
      </c>
      <c r="H11" s="604">
        <f t="shared" si="0"/>
        <v>12088.350191417499</v>
      </c>
      <c r="I11" s="604">
        <f t="shared" si="0"/>
        <v>12088.350191417499</v>
      </c>
    </row>
    <row r="12" spans="1:9">
      <c r="A12" t="s">
        <v>1008</v>
      </c>
      <c r="B12" s="604">
        <f>SUM(C12:I12)</f>
        <v>10264184.133049617</v>
      </c>
      <c r="C12" s="603">
        <f>Staff!G37</f>
        <v>0</v>
      </c>
      <c r="D12" s="603">
        <f>Staff!H37</f>
        <v>845966.07304347819</v>
      </c>
      <c r="E12" s="603">
        <f>Staff!I37</f>
        <v>1560991.1215434782</v>
      </c>
      <c r="F12" s="603">
        <f>Staff!J37</f>
        <v>1954915.0490932174</v>
      </c>
      <c r="G12" s="603">
        <f>Staff!K37</f>
        <v>1966172.6320884975</v>
      </c>
      <c r="H12" s="603">
        <f>Staff!L37</f>
        <v>1967433.0949137302</v>
      </c>
      <c r="I12" s="603">
        <f>Staff!M37</f>
        <v>1968706.1623672154</v>
      </c>
    </row>
    <row r="13" spans="1:9">
      <c r="A13" t="s">
        <v>1009</v>
      </c>
      <c r="B13" s="604">
        <f>IFERROR(B12/B9,0)</f>
        <v>5655.1978694488243</v>
      </c>
      <c r="C13" s="604"/>
      <c r="D13" s="604">
        <f>IFERROR(D12/D9,0)</f>
        <v>5639.7738202898545</v>
      </c>
      <c r="E13" s="604">
        <f t="shared" ref="E13:I13" si="1">IFERROR(E12/E9,0)</f>
        <v>5781.448598309179</v>
      </c>
      <c r="F13" s="604">
        <f t="shared" si="1"/>
        <v>6206.079520930849</v>
      </c>
      <c r="G13" s="604">
        <f t="shared" si="1"/>
        <v>5461.5906446902709</v>
      </c>
      <c r="H13" s="604">
        <f t="shared" si="1"/>
        <v>5465.0919303159171</v>
      </c>
      <c r="I13" s="604">
        <f t="shared" si="1"/>
        <v>5468.6282287978202</v>
      </c>
    </row>
    <row r="14" spans="1:9">
      <c r="A14" t="s">
        <v>430</v>
      </c>
      <c r="B14" s="604">
        <f>B10-B12</f>
        <v>11452219.677962845</v>
      </c>
      <c r="C14" s="604">
        <f t="shared" ref="C14:I14" si="2">C10-C12</f>
        <v>0</v>
      </c>
      <c r="D14" s="604">
        <f t="shared" si="2"/>
        <v>1010315.426956522</v>
      </c>
      <c r="E14" s="604">
        <f t="shared" si="2"/>
        <v>1550302.9971691463</v>
      </c>
      <c r="F14" s="604">
        <f t="shared" si="2"/>
        <v>1795705.0988395081</v>
      </c>
      <c r="G14" s="604">
        <f t="shared" si="2"/>
        <v>2328423.2744580153</v>
      </c>
      <c r="H14" s="604">
        <f t="shared" si="2"/>
        <v>2384372.9739965694</v>
      </c>
      <c r="I14" s="604">
        <f t="shared" si="2"/>
        <v>2383099.9065430844</v>
      </c>
    </row>
    <row r="15" spans="1:9" ht="30" customHeight="1">
      <c r="A15" s="446" t="s">
        <v>1010</v>
      </c>
      <c r="B15" s="604">
        <f>IFERROR(B14/B9,0)</f>
        <v>6309.7629079685094</v>
      </c>
      <c r="C15" s="604"/>
      <c r="D15" s="604">
        <f>IFERROR(D14/D9,0)</f>
        <v>6735.4361797101474</v>
      </c>
      <c r="E15" s="604">
        <f t="shared" ref="E15:I15" si="3">IFERROR(E14/E9,0)</f>
        <v>5741.86295247832</v>
      </c>
      <c r="F15" s="604">
        <f t="shared" si="3"/>
        <v>5700.6511074270102</v>
      </c>
      <c r="G15" s="604">
        <f t="shared" si="3"/>
        <v>6467.8424290500425</v>
      </c>
      <c r="H15" s="604">
        <f t="shared" si="3"/>
        <v>6623.2582611015814</v>
      </c>
      <c r="I15" s="604">
        <f t="shared" si="3"/>
        <v>6619.7219626196793</v>
      </c>
    </row>
    <row r="16" spans="1:9">
      <c r="A16" t="s">
        <v>1011</v>
      </c>
      <c r="B16" s="604">
        <f>SUM(C16:I16)</f>
        <v>3820854.4958899999</v>
      </c>
      <c r="C16" s="603">
        <f>'Gen Optg'!F163</f>
        <v>0</v>
      </c>
      <c r="D16" s="603">
        <f>'Gen Optg'!G163</f>
        <v>333215</v>
      </c>
      <c r="E16" s="603">
        <f>'Gen Optg'!H163</f>
        <v>561064</v>
      </c>
      <c r="F16" s="603">
        <f>'Gen Optg'!I163</f>
        <v>705379.05</v>
      </c>
      <c r="G16" s="603">
        <f>'Gen Optg'!J163</f>
        <v>741914.10649999999</v>
      </c>
      <c r="H16" s="603">
        <f>'Gen Optg'!K163</f>
        <v>738173.41969499993</v>
      </c>
      <c r="I16" s="603">
        <f>'Gen Optg'!L163</f>
        <v>741108.91969499993</v>
      </c>
    </row>
    <row r="17" spans="1:9">
      <c r="A17" t="s">
        <v>1012</v>
      </c>
      <c r="B17" s="604">
        <f>IFERROR(B16/B9,0)</f>
        <v>2105.1539922258953</v>
      </c>
      <c r="C17" s="604"/>
      <c r="D17" s="604">
        <f>IFERROR(D16/D9,0)</f>
        <v>2221.4333333333334</v>
      </c>
      <c r="E17" s="604">
        <f t="shared" ref="E17:I17" si="4">IFERROR(E16/E9,0)</f>
        <v>2078.0148148148146</v>
      </c>
      <c r="F17" s="604">
        <f t="shared" si="4"/>
        <v>2239.2985714285714</v>
      </c>
      <c r="G17" s="604">
        <f t="shared" si="4"/>
        <v>2060.8725180555557</v>
      </c>
      <c r="H17" s="604">
        <f t="shared" si="4"/>
        <v>2050.4817213749998</v>
      </c>
      <c r="I17" s="604">
        <f t="shared" si="4"/>
        <v>2058.6358880416665</v>
      </c>
    </row>
    <row r="18" spans="1:9">
      <c r="A18" t="s">
        <v>549</v>
      </c>
      <c r="B18" s="604">
        <f>B10-B16</f>
        <v>17895549.315122463</v>
      </c>
      <c r="C18" s="604">
        <f t="shared" ref="C18:I18" si="5">C10-C16</f>
        <v>0</v>
      </c>
      <c r="D18" s="604">
        <f t="shared" si="5"/>
        <v>1523066.5000000002</v>
      </c>
      <c r="E18" s="604">
        <f t="shared" si="5"/>
        <v>2550230.1187126245</v>
      </c>
      <c r="F18" s="604">
        <f t="shared" si="5"/>
        <v>3045241.0979327252</v>
      </c>
      <c r="G18" s="604">
        <f t="shared" si="5"/>
        <v>3552681.8000465129</v>
      </c>
      <c r="H18" s="604">
        <f t="shared" si="5"/>
        <v>3613632.6492152996</v>
      </c>
      <c r="I18" s="604">
        <f t="shared" si="5"/>
        <v>3610697.1492152996</v>
      </c>
    </row>
    <row r="19" spans="1:9" ht="31.5" customHeight="1">
      <c r="A19" s="2" t="s">
        <v>550</v>
      </c>
      <c r="B19" s="604">
        <f>IFERROR(B18/B9,0)</f>
        <v>9859.8067851914402</v>
      </c>
      <c r="C19" s="604"/>
      <c r="D19" s="604">
        <f>IFERROR(D18/D9,0)</f>
        <v>10153.776666666668</v>
      </c>
      <c r="E19" s="604">
        <f t="shared" ref="E19:I19" si="6">IFERROR(E18/E9,0)</f>
        <v>9445.2967359726827</v>
      </c>
      <c r="F19" s="604">
        <f t="shared" si="6"/>
        <v>9667.4320569292868</v>
      </c>
      <c r="G19" s="604">
        <f t="shared" si="6"/>
        <v>9868.5605556847586</v>
      </c>
      <c r="H19" s="604">
        <f t="shared" si="6"/>
        <v>10037.868470042498</v>
      </c>
      <c r="I19" s="604">
        <f t="shared" si="6"/>
        <v>10029.714303375833</v>
      </c>
    </row>
    <row r="20" spans="1:9">
      <c r="A20" t="s">
        <v>1013</v>
      </c>
      <c r="B20" s="604">
        <f>SUM(C20:I20)</f>
        <v>4032734.6000000006</v>
      </c>
      <c r="C20" s="603">
        <f>Facilities!F70</f>
        <v>0</v>
      </c>
      <c r="D20" s="603">
        <f>Facilities!G70</f>
        <v>468396.25</v>
      </c>
      <c r="E20" s="603">
        <f>Facilities!H70</f>
        <v>634572</v>
      </c>
      <c r="F20" s="603">
        <f>Facilities!I70</f>
        <v>671361</v>
      </c>
      <c r="G20" s="603">
        <f>Facilities!J70</f>
        <v>747514.45</v>
      </c>
      <c r="H20" s="603">
        <f>Facilities!K70</f>
        <v>752801.45</v>
      </c>
      <c r="I20" s="603">
        <f>Facilities!L70</f>
        <v>758089.45</v>
      </c>
    </row>
    <row r="21" spans="1:9">
      <c r="A21" t="s">
        <v>1014</v>
      </c>
      <c r="B21" s="604">
        <f>IFERROR(B20/B9,0)</f>
        <v>2221.8923415977965</v>
      </c>
      <c r="C21" s="604"/>
      <c r="D21" s="604">
        <f t="shared" ref="D21:I21" si="7">IFERROR(D20/D9,0)</f>
        <v>3122.6416666666669</v>
      </c>
      <c r="E21" s="604">
        <f t="shared" si="7"/>
        <v>2350.2666666666669</v>
      </c>
      <c r="F21" s="604">
        <f t="shared" si="7"/>
        <v>2131.304761904762</v>
      </c>
      <c r="G21" s="604">
        <f t="shared" si="7"/>
        <v>2076.4290277777777</v>
      </c>
      <c r="H21" s="604">
        <f t="shared" si="7"/>
        <v>2091.1151388888889</v>
      </c>
      <c r="I21" s="604">
        <f t="shared" si="7"/>
        <v>2105.8040277777777</v>
      </c>
    </row>
    <row r="22" spans="1:9">
      <c r="A22" t="s">
        <v>1015</v>
      </c>
      <c r="B22" s="604">
        <f>B10-B20</f>
        <v>17683669.21101246</v>
      </c>
      <c r="C22" s="604">
        <f t="shared" ref="C22:I22" si="8">C10-C20</f>
        <v>0</v>
      </c>
      <c r="D22" s="604">
        <f t="shared" si="8"/>
        <v>1387885.2500000002</v>
      </c>
      <c r="E22" s="604">
        <f t="shared" si="8"/>
        <v>2476722.1187126245</v>
      </c>
      <c r="F22" s="604">
        <f t="shared" si="8"/>
        <v>3079259.1479327255</v>
      </c>
      <c r="G22" s="604">
        <f t="shared" si="8"/>
        <v>3547081.4565465124</v>
      </c>
      <c r="H22" s="604">
        <f t="shared" si="8"/>
        <v>3599004.6189102996</v>
      </c>
      <c r="I22" s="604">
        <f t="shared" si="8"/>
        <v>3593716.6189102996</v>
      </c>
    </row>
    <row r="23" spans="1:9" ht="30.75" customHeight="1">
      <c r="A23" s="2" t="s">
        <v>1016</v>
      </c>
      <c r="B23" s="604">
        <f>IFERROR(B22/B9,0)</f>
        <v>9743.0684358195376</v>
      </c>
      <c r="C23" s="604"/>
      <c r="D23" s="604">
        <f t="shared" ref="D23:I23" si="9">IFERROR(D22/D9,0)</f>
        <v>9252.5683333333345</v>
      </c>
      <c r="E23" s="604">
        <f t="shared" si="9"/>
        <v>9173.0448841208308</v>
      </c>
      <c r="F23" s="604">
        <f t="shared" si="9"/>
        <v>9775.4258664530971</v>
      </c>
      <c r="G23" s="604">
        <f t="shared" si="9"/>
        <v>9853.0040459625343</v>
      </c>
      <c r="H23" s="604">
        <f t="shared" si="9"/>
        <v>9997.2350525286092</v>
      </c>
      <c r="I23" s="604">
        <f t="shared" si="9"/>
        <v>9982.5461636397213</v>
      </c>
    </row>
    <row r="24" spans="1:9">
      <c r="A24" t="s">
        <v>759</v>
      </c>
      <c r="B24" s="604">
        <f>SUM(C24:I24)</f>
        <v>376769.16064274998</v>
      </c>
      <c r="C24" s="603">
        <f>'FFE&amp;T'!F38</f>
        <v>0</v>
      </c>
      <c r="D24" s="603">
        <f>'FFE&amp;T'!G38</f>
        <v>82188</v>
      </c>
      <c r="E24" s="603">
        <f>'FFE&amp;T'!H38</f>
        <v>100070.5</v>
      </c>
      <c r="F24" s="603">
        <f>'FFE&amp;T'!I38</f>
        <v>60298.75</v>
      </c>
      <c r="G24" s="603">
        <f>'FFE&amp;T'!J38</f>
        <v>60837.297500000001</v>
      </c>
      <c r="H24" s="603">
        <f>'FFE&amp;T'!K38</f>
        <v>38340.176424999998</v>
      </c>
      <c r="I24" s="603">
        <f>'FFE&amp;T'!L38</f>
        <v>35034.436717749995</v>
      </c>
    </row>
    <row r="25" spans="1:9">
      <c r="A25" t="s">
        <v>760</v>
      </c>
      <c r="B25" s="604">
        <f>IFERROR(B24/B9,0)</f>
        <v>207.586314403719</v>
      </c>
      <c r="C25" s="604"/>
      <c r="D25" s="604">
        <f t="shared" ref="D25:I25" si="10">IFERROR(D24/D9,0)</f>
        <v>547.91999999999996</v>
      </c>
      <c r="E25" s="604">
        <f t="shared" si="10"/>
        <v>370.6314814814815</v>
      </c>
      <c r="F25" s="604">
        <f t="shared" si="10"/>
        <v>191.42460317460316</v>
      </c>
      <c r="G25" s="604">
        <f t="shared" si="10"/>
        <v>168.99249305555557</v>
      </c>
      <c r="H25" s="604">
        <f t="shared" si="10"/>
        <v>106.50049006944444</v>
      </c>
      <c r="I25" s="604">
        <f t="shared" si="10"/>
        <v>97.317879771527771</v>
      </c>
    </row>
    <row r="26" spans="1:9">
      <c r="A26" t="s">
        <v>761</v>
      </c>
      <c r="B26" s="604">
        <f>B10-B24</f>
        <v>21339634.650369711</v>
      </c>
      <c r="C26" s="604">
        <f t="shared" ref="C26:I26" si="11">C10-C24</f>
        <v>0</v>
      </c>
      <c r="D26" s="604">
        <f t="shared" si="11"/>
        <v>1774093.5000000002</v>
      </c>
      <c r="E26" s="604">
        <f t="shared" si="11"/>
        <v>3011223.6187126245</v>
      </c>
      <c r="F26" s="604">
        <f t="shared" si="11"/>
        <v>3690321.3979327255</v>
      </c>
      <c r="G26" s="604">
        <f t="shared" si="11"/>
        <v>4233758.6090465123</v>
      </c>
      <c r="H26" s="604">
        <f t="shared" si="11"/>
        <v>4313465.8924853001</v>
      </c>
      <c r="I26" s="604">
        <f t="shared" si="11"/>
        <v>4316771.6321925502</v>
      </c>
    </row>
    <row r="27" spans="1:9" ht="30.75" customHeight="1">
      <c r="A27" s="2" t="s">
        <v>762</v>
      </c>
      <c r="B27" s="604">
        <f>IFERROR(B26/B9,0)</f>
        <v>11757.374463013615</v>
      </c>
      <c r="C27" s="604"/>
      <c r="D27" s="604">
        <f t="shared" ref="D27:I27" si="12">IFERROR(D26/D9,0)</f>
        <v>11827.29</v>
      </c>
      <c r="E27" s="604">
        <f t="shared" si="12"/>
        <v>11152.680069306018</v>
      </c>
      <c r="F27" s="604">
        <f t="shared" si="12"/>
        <v>11715.306025183256</v>
      </c>
      <c r="G27" s="604">
        <f t="shared" si="12"/>
        <v>11760.440580684757</v>
      </c>
      <c r="H27" s="604">
        <f t="shared" si="12"/>
        <v>11981.849701348056</v>
      </c>
      <c r="I27" s="604">
        <f t="shared" si="12"/>
        <v>11991.032311645973</v>
      </c>
    </row>
    <row r="28" spans="1:9">
      <c r="A28" t="s">
        <v>1017</v>
      </c>
      <c r="B28" s="604">
        <f>SUM(C28:I28)</f>
        <v>571095</v>
      </c>
      <c r="C28" s="603">
        <f>'Gen Optg'!F144</f>
        <v>0</v>
      </c>
      <c r="D28" s="603">
        <f>'Gen Optg'!G144</f>
        <v>43285</v>
      </c>
      <c r="E28" s="603">
        <f>'Gen Optg'!H144</f>
        <v>67140</v>
      </c>
      <c r="F28" s="603">
        <f>'Gen Optg'!I144</f>
        <v>134990</v>
      </c>
      <c r="G28" s="603">
        <f>'Gen Optg'!J144</f>
        <v>108560</v>
      </c>
      <c r="H28" s="603">
        <f>'Gen Optg'!K144</f>
        <v>108560</v>
      </c>
      <c r="I28" s="603">
        <f>'Gen Optg'!L144</f>
        <v>108560</v>
      </c>
    </row>
    <row r="29" spans="1:9">
      <c r="A29" t="s">
        <v>1018</v>
      </c>
      <c r="B29" s="604">
        <f>IFERROR(B28/B9,0)</f>
        <v>314.65289256198349</v>
      </c>
      <c r="C29" s="604"/>
      <c r="D29" s="604">
        <f t="shared" ref="D29:I29" si="13">IFERROR(D28/D9,0)</f>
        <v>288.56666666666666</v>
      </c>
      <c r="E29" s="604">
        <f t="shared" si="13"/>
        <v>248.66666666666666</v>
      </c>
      <c r="F29" s="604">
        <f t="shared" si="13"/>
        <v>428.53968253968253</v>
      </c>
      <c r="G29" s="604">
        <f t="shared" si="13"/>
        <v>301.55555555555554</v>
      </c>
      <c r="H29" s="604">
        <f t="shared" si="13"/>
        <v>301.55555555555554</v>
      </c>
      <c r="I29" s="604">
        <f t="shared" si="13"/>
        <v>301.55555555555554</v>
      </c>
    </row>
    <row r="30" spans="1:9">
      <c r="A30" t="s">
        <v>1019</v>
      </c>
      <c r="B30" s="604">
        <f>SUM(C30:I30)</f>
        <v>130886.0150195506</v>
      </c>
      <c r="C30" s="603">
        <f>Ins!F50</f>
        <v>0</v>
      </c>
      <c r="D30" s="603">
        <f>Ins!G50</f>
        <v>17342</v>
      </c>
      <c r="E30" s="603">
        <f>Ins!H50</f>
        <v>19156.260000000002</v>
      </c>
      <c r="F30" s="603">
        <f>Ins!I50</f>
        <v>21237.3878</v>
      </c>
      <c r="G30" s="603">
        <f>Ins!J50</f>
        <v>23813.409434000001</v>
      </c>
      <c r="H30" s="603">
        <f>Ins!K50</f>
        <v>24377.811717020002</v>
      </c>
      <c r="I30" s="603">
        <f>Ins!L50</f>
        <v>24959.146068530601</v>
      </c>
    </row>
    <row r="31" spans="1:9">
      <c r="A31" t="s">
        <v>1020</v>
      </c>
      <c r="B31" s="604">
        <f>IFERROR(B30/B9,0)</f>
        <v>72.113506897824024</v>
      </c>
      <c r="C31" s="604"/>
      <c r="D31" s="604">
        <f t="shared" ref="D31:I31" si="14">IFERROR(D30/D9,0)</f>
        <v>115.61333333333333</v>
      </c>
      <c r="E31" s="604">
        <f t="shared" si="14"/>
        <v>70.949111111111122</v>
      </c>
      <c r="F31" s="604">
        <f t="shared" si="14"/>
        <v>67.420278730158728</v>
      </c>
      <c r="G31" s="604">
        <f t="shared" si="14"/>
        <v>66.148359538888897</v>
      </c>
      <c r="H31" s="604">
        <f t="shared" si="14"/>
        <v>67.716143658388901</v>
      </c>
      <c r="I31" s="604">
        <f t="shared" si="14"/>
        <v>69.330961301473891</v>
      </c>
    </row>
    <row r="32" spans="1:9">
      <c r="A32" t="s">
        <v>1021</v>
      </c>
      <c r="B32" s="604">
        <f>SUM(C32:I32)</f>
        <v>94400</v>
      </c>
      <c r="C32" s="603">
        <f>Marketing!H44</f>
        <v>0</v>
      </c>
      <c r="D32" s="603">
        <f>Marketing!I44</f>
        <v>65000</v>
      </c>
      <c r="E32" s="603">
        <f>Marketing!J44</f>
        <v>5000</v>
      </c>
      <c r="F32" s="603">
        <f>Marketing!K44</f>
        <v>5000</v>
      </c>
      <c r="G32" s="603">
        <f>Marketing!L44</f>
        <v>5000</v>
      </c>
      <c r="H32" s="603">
        <f>Marketing!M44</f>
        <v>7200</v>
      </c>
      <c r="I32" s="603">
        <f>Marketing!N44</f>
        <v>7200</v>
      </c>
    </row>
    <row r="33" spans="1:9">
      <c r="A33" t="s">
        <v>1022</v>
      </c>
      <c r="B33" s="604">
        <f>IFERROR(B32/B9,0)</f>
        <v>52.011019283746556</v>
      </c>
      <c r="C33" s="604"/>
      <c r="D33" s="604">
        <f t="shared" ref="D33:I33" si="15">IFERROR(D32/D9,0)</f>
        <v>433.33333333333331</v>
      </c>
      <c r="E33" s="604">
        <f t="shared" si="15"/>
        <v>18.518518518518519</v>
      </c>
      <c r="F33" s="604">
        <f t="shared" si="15"/>
        <v>15.873015873015873</v>
      </c>
      <c r="G33" s="604">
        <f t="shared" si="15"/>
        <v>13.888888888888889</v>
      </c>
      <c r="H33" s="604">
        <f t="shared" si="15"/>
        <v>20</v>
      </c>
      <c r="I33" s="604">
        <f t="shared" si="15"/>
        <v>20</v>
      </c>
    </row>
    <row r="34" spans="1:9">
      <c r="A34" t="s">
        <v>1023</v>
      </c>
      <c r="B34" s="604">
        <f>B32+B30+B28</f>
        <v>796381.01501955057</v>
      </c>
      <c r="C34" s="604">
        <f t="shared" ref="C34:I34" si="16">C32+C30+C28</f>
        <v>0</v>
      </c>
      <c r="D34" s="604">
        <f t="shared" si="16"/>
        <v>125627</v>
      </c>
      <c r="E34" s="604">
        <f t="shared" si="16"/>
        <v>91296.260000000009</v>
      </c>
      <c r="F34" s="604">
        <f t="shared" si="16"/>
        <v>161227.3878</v>
      </c>
      <c r="G34" s="604">
        <f t="shared" si="16"/>
        <v>137373.409434</v>
      </c>
      <c r="H34" s="604">
        <f t="shared" si="16"/>
        <v>140137.81171702</v>
      </c>
      <c r="I34" s="604">
        <f t="shared" si="16"/>
        <v>140719.14606853059</v>
      </c>
    </row>
    <row r="35" spans="1:9">
      <c r="A35" t="s">
        <v>1024</v>
      </c>
      <c r="B35" s="604">
        <f>IFERROR(B34/B9,0)</f>
        <v>438.77741874355405</v>
      </c>
      <c r="C35" s="604"/>
      <c r="D35" s="604">
        <f t="shared" ref="D35:I35" si="17">IFERROR(D34/D9,0)</f>
        <v>837.51333333333332</v>
      </c>
      <c r="E35" s="604">
        <f t="shared" si="17"/>
        <v>338.13429629629633</v>
      </c>
      <c r="F35" s="604">
        <f t="shared" si="17"/>
        <v>511.83297714285715</v>
      </c>
      <c r="G35" s="604">
        <f t="shared" si="17"/>
        <v>381.59280398333334</v>
      </c>
      <c r="H35" s="604">
        <f t="shared" si="17"/>
        <v>389.27169921394443</v>
      </c>
      <c r="I35" s="604">
        <f t="shared" si="17"/>
        <v>390.88651685702945</v>
      </c>
    </row>
    <row r="36" spans="1:9">
      <c r="A36" t="s">
        <v>1025</v>
      </c>
      <c r="B36" s="604">
        <f>B10-B34</f>
        <v>20920022.795992911</v>
      </c>
      <c r="C36" s="604">
        <f t="shared" ref="C36:I36" si="18">C10-C34</f>
        <v>0</v>
      </c>
      <c r="D36" s="604">
        <f t="shared" si="18"/>
        <v>1730654.5000000002</v>
      </c>
      <c r="E36" s="604">
        <f t="shared" si="18"/>
        <v>3019997.8587126248</v>
      </c>
      <c r="F36" s="604">
        <f t="shared" si="18"/>
        <v>3589392.7601327254</v>
      </c>
      <c r="G36" s="604">
        <f t="shared" si="18"/>
        <v>4157222.4971125126</v>
      </c>
      <c r="H36" s="604">
        <f t="shared" si="18"/>
        <v>4211668.2571932795</v>
      </c>
      <c r="I36" s="604">
        <f t="shared" si="18"/>
        <v>4211086.9228417696</v>
      </c>
    </row>
    <row r="37" spans="1:9" ht="30" customHeight="1">
      <c r="A37" s="2" t="s">
        <v>1026</v>
      </c>
      <c r="B37" s="604">
        <f>IFERROR(B36/B9,0)</f>
        <v>11526.183358673779</v>
      </c>
      <c r="C37" s="604"/>
      <c r="D37" s="604">
        <f t="shared" ref="D37:I37" si="19">IFERROR(D36/D9,0)</f>
        <v>11537.696666666669</v>
      </c>
      <c r="E37" s="604">
        <f t="shared" si="19"/>
        <v>11185.177254491204</v>
      </c>
      <c r="F37" s="604">
        <f t="shared" si="19"/>
        <v>11394.897651215</v>
      </c>
      <c r="G37" s="604">
        <f t="shared" si="19"/>
        <v>11547.84026975698</v>
      </c>
      <c r="H37" s="604">
        <f t="shared" si="19"/>
        <v>11699.078492203555</v>
      </c>
      <c r="I37" s="604">
        <f t="shared" si="19"/>
        <v>11697.463674560471</v>
      </c>
    </row>
    <row r="38" spans="1:9">
      <c r="A38" t="s">
        <v>432</v>
      </c>
      <c r="B38" s="604">
        <f t="shared" ref="B38:I38" si="20">B10-B12-B16-B28-B20-B24-B30-B32</f>
        <v>2425480.4064105442</v>
      </c>
      <c r="C38" s="604">
        <f t="shared" si="20"/>
        <v>0</v>
      </c>
      <c r="D38" s="604">
        <f t="shared" si="20"/>
        <v>889.17695652204566</v>
      </c>
      <c r="E38" s="604">
        <f t="shared" si="20"/>
        <v>163300.2371691463</v>
      </c>
      <c r="F38" s="604">
        <f t="shared" si="20"/>
        <v>197438.91103950809</v>
      </c>
      <c r="G38" s="604">
        <f t="shared" si="20"/>
        <v>640784.01102401537</v>
      </c>
      <c r="H38" s="604">
        <f t="shared" si="20"/>
        <v>714920.11615954957</v>
      </c>
      <c r="I38" s="604">
        <f t="shared" si="20"/>
        <v>708147.95406180387</v>
      </c>
    </row>
    <row r="39" spans="1:9">
      <c r="A39" t="s">
        <v>433</v>
      </c>
      <c r="B39" s="604">
        <f>IFERROR(B38/B9,0)</f>
        <v>1336.3528409975449</v>
      </c>
      <c r="C39" s="604"/>
      <c r="D39" s="604">
        <f t="shared" ref="D39:I39" si="21">IFERROR(D38/D9,0)</f>
        <v>5.9278463768136378</v>
      </c>
      <c r="E39" s="604">
        <f t="shared" si="21"/>
        <v>604.81569321906034</v>
      </c>
      <c r="F39" s="604">
        <f t="shared" si="21"/>
        <v>626.79019377621614</v>
      </c>
      <c r="G39" s="604">
        <f t="shared" si="21"/>
        <v>1779.9555861778206</v>
      </c>
      <c r="H39" s="604">
        <f t="shared" si="21"/>
        <v>1985.8892115543044</v>
      </c>
      <c r="I39" s="604">
        <f t="shared" si="21"/>
        <v>1967.0776501716775</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DF1A-6F2F-474A-8921-B7822BAE4E56}">
  <sheetPr codeName="Sheet7"/>
  <dimension ref="A1:T44"/>
  <sheetViews>
    <sheetView zoomScaleNormal="100" workbookViewId="0">
      <selection activeCell="Q27" sqref="Q27"/>
    </sheetView>
  </sheetViews>
  <sheetFormatPr defaultRowHeight="15"/>
  <cols>
    <col min="1" max="1" width="70.28515625" bestFit="1" customWidth="1"/>
    <col min="2" max="2" width="13.28515625" customWidth="1"/>
    <col min="10" max="10" width="11.5703125" bestFit="1" customWidth="1"/>
  </cols>
  <sheetData>
    <row r="1" spans="1:20" ht="15.75" thickBot="1">
      <c r="A1" s="1555" t="s">
        <v>1251</v>
      </c>
      <c r="B1" s="1556" t="s">
        <v>772</v>
      </c>
      <c r="C1" s="1556" t="s">
        <v>1252</v>
      </c>
      <c r="D1" s="1557" t="s">
        <v>1253</v>
      </c>
      <c r="E1" s="1558"/>
      <c r="F1" s="1559"/>
      <c r="G1" s="1560" t="s">
        <v>1254</v>
      </c>
      <c r="H1" s="1561" t="s">
        <v>1252</v>
      </c>
      <c r="I1" t="s">
        <v>1255</v>
      </c>
      <c r="J1">
        <f>' Enrol &amp; Rev'!H34</f>
        <v>150</v>
      </c>
      <c r="K1">
        <f>' Enrol &amp; Rev'!I34</f>
        <v>270</v>
      </c>
      <c r="L1">
        <f>' Enrol &amp; Rev'!J34</f>
        <v>315</v>
      </c>
      <c r="M1">
        <f>' Enrol &amp; Rev'!K34</f>
        <v>360</v>
      </c>
      <c r="N1">
        <f>' Enrol &amp; Rev'!L34</f>
        <v>360</v>
      </c>
      <c r="O1">
        <f>' Enrol &amp; Rev'!M34</f>
        <v>360</v>
      </c>
      <c r="P1" t="s">
        <v>1256</v>
      </c>
      <c r="R1" t="s">
        <v>1428</v>
      </c>
    </row>
    <row r="2" spans="1:20" ht="15.75" thickBot="1">
      <c r="A2" s="1562" t="s">
        <v>1257</v>
      </c>
      <c r="B2" s="1563">
        <v>11120</v>
      </c>
      <c r="C2" s="1564" t="s">
        <v>1258</v>
      </c>
      <c r="D2" s="1565">
        <v>7530</v>
      </c>
      <c r="E2" s="1566"/>
      <c r="F2" s="1559"/>
      <c r="G2" s="1567" t="s">
        <v>952</v>
      </c>
      <c r="H2" s="1568"/>
      <c r="I2" s="1569">
        <f>9240/220</f>
        <v>42</v>
      </c>
      <c r="J2" s="1570">
        <f>$I$2*J1</f>
        <v>6300</v>
      </c>
      <c r="K2" s="1570">
        <f t="shared" ref="K2:O2" si="0">$I$2*K1</f>
        <v>11340</v>
      </c>
      <c r="L2" s="1570">
        <f t="shared" si="0"/>
        <v>13230</v>
      </c>
      <c r="M2" s="1570">
        <f t="shared" si="0"/>
        <v>15120</v>
      </c>
      <c r="N2" s="1570">
        <f t="shared" si="0"/>
        <v>15120</v>
      </c>
      <c r="O2" s="1570">
        <f t="shared" si="0"/>
        <v>15120</v>
      </c>
      <c r="P2">
        <v>2700</v>
      </c>
      <c r="S2" s="1658" t="s">
        <v>1427</v>
      </c>
      <c r="T2" s="1658"/>
    </row>
    <row r="3" spans="1:20" ht="15.75" thickBot="1">
      <c r="A3" s="1562" t="s">
        <v>1259</v>
      </c>
      <c r="B3" s="1571"/>
      <c r="C3" s="1556" t="s">
        <v>1260</v>
      </c>
      <c r="D3" s="1559"/>
      <c r="E3" s="1566"/>
      <c r="F3" s="1559"/>
      <c r="G3" s="1572">
        <v>10000</v>
      </c>
      <c r="H3" s="1573" t="s">
        <v>1261</v>
      </c>
      <c r="J3" s="1570"/>
      <c r="K3" s="1570"/>
      <c r="L3" s="1570">
        <v>10000</v>
      </c>
      <c r="M3" s="1570">
        <v>10000</v>
      </c>
      <c r="N3" s="1570">
        <v>10000</v>
      </c>
      <c r="O3" s="1570">
        <v>10000</v>
      </c>
      <c r="P3" s="1570"/>
    </row>
    <row r="4" spans="1:20" ht="15.75" thickBot="1">
      <c r="A4" s="1562" t="s">
        <v>1262</v>
      </c>
      <c r="B4" s="1563">
        <v>1497</v>
      </c>
      <c r="C4" s="1556" t="s">
        <v>1263</v>
      </c>
      <c r="D4" s="1565">
        <v>1497</v>
      </c>
      <c r="E4" s="1566"/>
      <c r="F4" s="1559"/>
      <c r="G4" s="1567" t="s">
        <v>952</v>
      </c>
      <c r="H4" s="1568"/>
      <c r="I4">
        <v>20</v>
      </c>
      <c r="J4" s="1570">
        <f>$I$4*J1</f>
        <v>3000</v>
      </c>
      <c r="K4" s="1570">
        <f t="shared" ref="K4:O4" si="1">$I$4*K1</f>
        <v>5400</v>
      </c>
      <c r="L4" s="1570">
        <f t="shared" si="1"/>
        <v>6300</v>
      </c>
      <c r="M4" s="1570">
        <f t="shared" si="1"/>
        <v>7200</v>
      </c>
      <c r="N4" s="1570">
        <f t="shared" si="1"/>
        <v>7200</v>
      </c>
      <c r="O4" s="1570">
        <f t="shared" si="1"/>
        <v>7200</v>
      </c>
      <c r="P4" s="1570"/>
    </row>
    <row r="5" spans="1:20" ht="15.75" thickBot="1">
      <c r="A5" s="1650" t="s">
        <v>1264</v>
      </c>
      <c r="B5" s="1651">
        <v>2250</v>
      </c>
      <c r="C5" s="1652" t="s">
        <v>1265</v>
      </c>
      <c r="D5" s="1653">
        <v>1250</v>
      </c>
      <c r="E5" s="1654"/>
      <c r="F5" s="1655"/>
      <c r="G5" s="1656" t="s">
        <v>1266</v>
      </c>
      <c r="H5" s="1657"/>
      <c r="I5" s="1658">
        <v>0</v>
      </c>
      <c r="J5" s="1635">
        <f>$I$5*J1</f>
        <v>0</v>
      </c>
      <c r="K5" s="1635">
        <f t="shared" ref="K5:O5" si="2">$I$5*K1</f>
        <v>0</v>
      </c>
      <c r="L5" s="1635">
        <f t="shared" si="2"/>
        <v>0</v>
      </c>
      <c r="M5" s="1635">
        <f t="shared" si="2"/>
        <v>0</v>
      </c>
      <c r="N5" s="1635">
        <f t="shared" si="2"/>
        <v>0</v>
      </c>
      <c r="O5" s="1635">
        <f t="shared" si="2"/>
        <v>0</v>
      </c>
      <c r="P5" s="1635"/>
      <c r="R5" t="s">
        <v>1429</v>
      </c>
    </row>
    <row r="6" spans="1:20" ht="15.75" thickBot="1">
      <c r="A6" s="1562" t="s">
        <v>1267</v>
      </c>
      <c r="B6" s="1563">
        <v>2625</v>
      </c>
      <c r="C6" s="1556" t="s">
        <v>1268</v>
      </c>
      <c r="D6" s="1565">
        <v>2625</v>
      </c>
      <c r="E6" s="1566"/>
      <c r="F6" s="1559"/>
      <c r="G6" s="1567" t="s">
        <v>952</v>
      </c>
      <c r="H6" s="1568"/>
      <c r="I6" s="1570">
        <v>2625</v>
      </c>
      <c r="J6" s="1570">
        <f>$I$6</f>
        <v>2625</v>
      </c>
      <c r="K6" s="1570">
        <f t="shared" ref="K6:O6" si="3">$I$6</f>
        <v>2625</v>
      </c>
      <c r="L6" s="1570">
        <f t="shared" si="3"/>
        <v>2625</v>
      </c>
      <c r="M6" s="1570">
        <f t="shared" si="3"/>
        <v>2625</v>
      </c>
      <c r="N6" s="1570">
        <f t="shared" si="3"/>
        <v>2625</v>
      </c>
      <c r="O6" s="1570">
        <f t="shared" si="3"/>
        <v>2625</v>
      </c>
      <c r="P6" s="1570"/>
    </row>
    <row r="7" spans="1:20" ht="15.75" thickBot="1">
      <c r="A7" s="1562" t="s">
        <v>1269</v>
      </c>
      <c r="B7" s="1574">
        <v>690</v>
      </c>
      <c r="C7" s="1556" t="s">
        <v>1270</v>
      </c>
      <c r="D7" s="1565">
        <v>690</v>
      </c>
      <c r="E7" s="1566"/>
      <c r="F7" s="1559"/>
      <c r="G7" s="1567" t="s">
        <v>952</v>
      </c>
      <c r="H7" s="1568"/>
      <c r="I7" s="1570">
        <v>690</v>
      </c>
      <c r="J7" s="1570">
        <f>$I$7</f>
        <v>690</v>
      </c>
      <c r="K7" s="1570">
        <f t="shared" ref="K7:O7" si="4">$I$7</f>
        <v>690</v>
      </c>
      <c r="L7" s="1570">
        <f t="shared" si="4"/>
        <v>690</v>
      </c>
      <c r="M7" s="1570">
        <f t="shared" si="4"/>
        <v>690</v>
      </c>
      <c r="N7" s="1570">
        <f t="shared" si="4"/>
        <v>690</v>
      </c>
      <c r="O7" s="1570">
        <f t="shared" si="4"/>
        <v>690</v>
      </c>
      <c r="P7" s="1570"/>
    </row>
    <row r="8" spans="1:20" ht="15.75" thickBot="1">
      <c r="A8" s="1650" t="s">
        <v>1271</v>
      </c>
      <c r="B8" s="1651">
        <v>2826</v>
      </c>
      <c r="C8" s="1652" t="s">
        <v>1272</v>
      </c>
      <c r="D8" s="1653">
        <v>2108</v>
      </c>
      <c r="E8" s="1654"/>
      <c r="F8" s="1655"/>
      <c r="G8" s="1656" t="s">
        <v>952</v>
      </c>
      <c r="H8" s="1657"/>
      <c r="I8" s="1635">
        <v>0</v>
      </c>
      <c r="J8" s="1635">
        <f>$I$8</f>
        <v>0</v>
      </c>
      <c r="K8" s="1635">
        <f t="shared" ref="K8:O8" si="5">$I$8</f>
        <v>0</v>
      </c>
      <c r="L8" s="1635">
        <f t="shared" si="5"/>
        <v>0</v>
      </c>
      <c r="M8" s="1635">
        <f t="shared" si="5"/>
        <v>0</v>
      </c>
      <c r="N8" s="1635">
        <f t="shared" si="5"/>
        <v>0</v>
      </c>
      <c r="O8" s="1635">
        <f t="shared" si="5"/>
        <v>0</v>
      </c>
      <c r="P8" s="1635"/>
      <c r="R8" t="s">
        <v>1430</v>
      </c>
    </row>
    <row r="9" spans="1:20" ht="15.75" thickBot="1">
      <c r="A9" s="1650" t="s">
        <v>1273</v>
      </c>
      <c r="B9" s="1659">
        <v>500</v>
      </c>
      <c r="C9" s="1652"/>
      <c r="D9" s="1655"/>
      <c r="E9" s="1654"/>
      <c r="F9" s="1655"/>
      <c r="G9" s="1654"/>
      <c r="H9" s="1657"/>
      <c r="I9" s="1658"/>
      <c r="J9" s="1635"/>
      <c r="K9" s="1635"/>
      <c r="L9" s="1635"/>
      <c r="M9" s="1635"/>
      <c r="N9" s="1635"/>
      <c r="O9" s="1635"/>
      <c r="P9" s="1635"/>
      <c r="R9" t="s">
        <v>1433</v>
      </c>
    </row>
    <row r="10" spans="1:20" ht="15.75" thickBot="1">
      <c r="A10" s="1562" t="s">
        <v>1274</v>
      </c>
      <c r="B10" s="1575">
        <v>0</v>
      </c>
      <c r="C10" s="1556"/>
      <c r="D10" s="1559"/>
      <c r="E10" s="1566"/>
      <c r="F10" s="1559"/>
      <c r="G10" s="1566"/>
      <c r="H10" s="1568"/>
      <c r="J10" s="1570"/>
      <c r="K10" s="1570"/>
      <c r="L10" s="1570"/>
      <c r="M10" s="1570"/>
      <c r="N10" s="1570"/>
      <c r="O10" s="1570"/>
      <c r="P10" s="1570"/>
    </row>
    <row r="11" spans="1:20" ht="15.75" thickBot="1">
      <c r="A11" s="1562" t="s">
        <v>1275</v>
      </c>
      <c r="B11" s="1576">
        <v>2800</v>
      </c>
      <c r="C11" s="1556" t="s">
        <v>1276</v>
      </c>
      <c r="D11" s="1559"/>
      <c r="E11" s="1566"/>
      <c r="F11" s="1559"/>
      <c r="G11" s="1567" t="s">
        <v>952</v>
      </c>
      <c r="H11" s="1568"/>
      <c r="J11" s="1570"/>
      <c r="K11" s="1570"/>
      <c r="L11" s="1570"/>
      <c r="M11" s="1570"/>
      <c r="N11" s="1570"/>
      <c r="O11" s="1570"/>
      <c r="P11" s="1570"/>
    </row>
    <row r="12" spans="1:20" ht="15.75" thickBot="1">
      <c r="A12" s="1562" t="s">
        <v>1277</v>
      </c>
      <c r="B12" s="1576">
        <v>3600</v>
      </c>
      <c r="C12" s="1556" t="s">
        <v>1278</v>
      </c>
      <c r="D12" s="1559"/>
      <c r="E12" s="1566"/>
      <c r="F12" s="1559"/>
      <c r="G12" s="1567" t="s">
        <v>952</v>
      </c>
      <c r="H12" s="1568"/>
      <c r="J12" s="1570"/>
      <c r="K12" s="1570"/>
      <c r="L12" s="1570"/>
      <c r="M12" s="1570"/>
      <c r="N12" s="1570"/>
      <c r="O12" s="1570"/>
      <c r="P12" s="1570"/>
    </row>
    <row r="13" spans="1:20" ht="15.75" thickBot="1">
      <c r="A13" s="1650" t="s">
        <v>1279</v>
      </c>
      <c r="B13" s="1651">
        <v>1000</v>
      </c>
      <c r="C13" s="1652"/>
      <c r="D13" s="1655"/>
      <c r="E13" s="1654"/>
      <c r="F13" s="1655"/>
      <c r="G13" s="1656" t="s">
        <v>952</v>
      </c>
      <c r="H13" s="1657"/>
      <c r="I13" s="1658"/>
      <c r="J13" s="1635"/>
      <c r="K13" s="1635"/>
      <c r="L13" s="1635"/>
      <c r="M13" s="1635"/>
      <c r="N13" s="1635"/>
      <c r="O13" s="1635"/>
      <c r="P13" s="1635"/>
      <c r="R13" t="s">
        <v>1433</v>
      </c>
    </row>
    <row r="14" spans="1:20" ht="15.75" thickBot="1">
      <c r="A14" s="1650" t="s">
        <v>1280</v>
      </c>
      <c r="B14" s="1651">
        <v>2400</v>
      </c>
      <c r="C14" s="1652" t="s">
        <v>1281</v>
      </c>
      <c r="D14" s="1653">
        <v>2400</v>
      </c>
      <c r="E14" s="1654"/>
      <c r="F14" s="1655"/>
      <c r="G14" s="1654"/>
      <c r="H14" s="1657"/>
      <c r="I14" s="1658"/>
      <c r="J14" s="1635"/>
      <c r="K14" s="1635"/>
      <c r="L14" s="1635"/>
      <c r="M14" s="1635"/>
      <c r="N14" s="1635"/>
      <c r="O14" s="1635"/>
      <c r="P14" s="1635"/>
      <c r="R14" t="s">
        <v>1433</v>
      </c>
    </row>
    <row r="15" spans="1:20" ht="15.75" thickBot="1">
      <c r="A15" s="1556" t="s">
        <v>1282</v>
      </c>
      <c r="B15" s="1577">
        <v>0</v>
      </c>
      <c r="C15" s="1556"/>
      <c r="D15" s="1559"/>
      <c r="E15" s="1566"/>
      <c r="F15" s="1559"/>
      <c r="G15" s="1566"/>
      <c r="H15" s="1568"/>
      <c r="J15" s="1570"/>
      <c r="K15" s="1570"/>
      <c r="L15" s="1570"/>
      <c r="M15" s="1570"/>
      <c r="N15" s="1570"/>
      <c r="O15" s="1570"/>
      <c r="P15" s="1570"/>
    </row>
    <row r="16" spans="1:20" ht="15.75" thickBot="1">
      <c r="A16" s="1556" t="s">
        <v>1283</v>
      </c>
      <c r="B16" s="1575">
        <v>3000</v>
      </c>
      <c r="C16" s="1556" t="s">
        <v>1284</v>
      </c>
      <c r="D16" s="1559"/>
      <c r="E16" s="1566"/>
      <c r="F16" s="1559"/>
      <c r="G16" s="1572">
        <v>5000</v>
      </c>
      <c r="H16" s="1568"/>
      <c r="J16" s="1570"/>
      <c r="K16" s="1570"/>
      <c r="L16" s="1570"/>
      <c r="M16" s="1570"/>
      <c r="N16" s="1570"/>
      <c r="O16" s="1570"/>
      <c r="P16" s="1570"/>
    </row>
    <row r="17" spans="1:18" ht="15.75" thickBot="1">
      <c r="A17" s="1652" t="s">
        <v>1285</v>
      </c>
      <c r="B17" s="1659">
        <v>500</v>
      </c>
      <c r="C17" s="1660" t="s">
        <v>1284</v>
      </c>
      <c r="D17" s="1661">
        <v>320</v>
      </c>
      <c r="E17" s="1654"/>
      <c r="F17" s="1655"/>
      <c r="G17" s="1662">
        <v>500</v>
      </c>
      <c r="H17" s="1657"/>
      <c r="I17" s="1658">
        <v>0</v>
      </c>
      <c r="J17" s="1635">
        <f>$I$17</f>
        <v>0</v>
      </c>
      <c r="K17" s="1635">
        <f t="shared" ref="K17:O17" si="6">$I$17</f>
        <v>0</v>
      </c>
      <c r="L17" s="1635">
        <f t="shared" si="6"/>
        <v>0</v>
      </c>
      <c r="M17" s="1635">
        <f t="shared" si="6"/>
        <v>0</v>
      </c>
      <c r="N17" s="1635">
        <f t="shared" si="6"/>
        <v>0</v>
      </c>
      <c r="O17" s="1635">
        <f t="shared" si="6"/>
        <v>0</v>
      </c>
      <c r="P17" s="1635"/>
      <c r="R17" t="s">
        <v>1431</v>
      </c>
    </row>
    <row r="18" spans="1:18" ht="15.75" thickBot="1">
      <c r="A18" s="1580"/>
      <c r="B18" s="1559"/>
      <c r="C18" s="1566"/>
      <c r="D18" s="1566"/>
      <c r="E18" s="1566"/>
      <c r="F18" s="1559"/>
      <c r="G18" s="1566"/>
      <c r="H18" s="1568"/>
      <c r="J18" s="1570"/>
      <c r="K18" s="1570"/>
      <c r="L18" s="1570"/>
      <c r="M18" s="1570"/>
      <c r="N18" s="1570"/>
      <c r="O18" s="1570"/>
      <c r="P18" s="1570"/>
    </row>
    <row r="19" spans="1:18" ht="15.75" thickBot="1">
      <c r="A19" s="1562" t="s">
        <v>1286</v>
      </c>
      <c r="B19" s="1574">
        <v>2760</v>
      </c>
      <c r="C19" s="1556" t="s">
        <v>1263</v>
      </c>
      <c r="D19" s="1565">
        <v>2760</v>
      </c>
      <c r="E19" s="1566"/>
      <c r="F19" s="1559"/>
      <c r="G19" s="1566"/>
      <c r="H19" s="1568"/>
      <c r="I19">
        <v>12</v>
      </c>
      <c r="J19" s="1570">
        <f>$I$19*J1</f>
        <v>1800</v>
      </c>
      <c r="K19" s="1570">
        <f t="shared" ref="K19:O19" si="7">$I$19*K1</f>
        <v>3240</v>
      </c>
      <c r="L19" s="1570">
        <f t="shared" si="7"/>
        <v>3780</v>
      </c>
      <c r="M19" s="1570">
        <f t="shared" si="7"/>
        <v>4320</v>
      </c>
      <c r="N19" s="1570">
        <f t="shared" si="7"/>
        <v>4320</v>
      </c>
      <c r="O19" s="1570">
        <f t="shared" si="7"/>
        <v>4320</v>
      </c>
      <c r="P19" s="1570"/>
    </row>
    <row r="20" spans="1:18" ht="15.75" thickBot="1">
      <c r="A20" s="1650" t="s">
        <v>1287</v>
      </c>
      <c r="B20" s="1663">
        <v>1870</v>
      </c>
      <c r="C20" s="1652"/>
      <c r="D20" s="1653">
        <v>1870</v>
      </c>
      <c r="E20" s="1654"/>
      <c r="F20" s="1655"/>
      <c r="G20" s="1656" t="s">
        <v>1288</v>
      </c>
      <c r="H20" s="1657"/>
      <c r="I20" s="1658"/>
      <c r="J20" s="1635"/>
      <c r="K20" s="1635"/>
      <c r="L20" s="1635"/>
      <c r="M20" s="1635"/>
      <c r="N20" s="1635"/>
      <c r="O20" s="1635"/>
      <c r="P20" s="1635"/>
      <c r="R20" t="s">
        <v>1433</v>
      </c>
    </row>
    <row r="21" spans="1:18" ht="15.75" thickBot="1">
      <c r="A21" s="1650" t="s">
        <v>1289</v>
      </c>
      <c r="B21" s="1663">
        <v>16698</v>
      </c>
      <c r="C21" s="1652"/>
      <c r="D21" s="1653">
        <v>16698</v>
      </c>
      <c r="E21" s="1654"/>
      <c r="F21" s="1655"/>
      <c r="G21" s="1656" t="s">
        <v>952</v>
      </c>
      <c r="H21" s="1657"/>
      <c r="I21" s="1658"/>
      <c r="J21" s="1635"/>
      <c r="K21" s="1635"/>
      <c r="L21" s="1635"/>
      <c r="M21" s="1635"/>
      <c r="N21" s="1635"/>
      <c r="O21" s="1635"/>
      <c r="P21" s="1635"/>
      <c r="R21" t="s">
        <v>1433</v>
      </c>
    </row>
    <row r="22" spans="1:18" ht="15.75" thickBot="1">
      <c r="A22" s="1562" t="s">
        <v>1290</v>
      </c>
      <c r="B22" s="1581">
        <v>2475</v>
      </c>
      <c r="C22" s="1556"/>
      <c r="D22" s="1582">
        <v>2475</v>
      </c>
      <c r="E22" s="1566"/>
      <c r="F22" s="1559"/>
      <c r="G22" s="1567" t="s">
        <v>952</v>
      </c>
      <c r="H22" s="1568"/>
      <c r="I22">
        <f>2475</f>
        <v>2475</v>
      </c>
      <c r="J22" s="1570">
        <f>$I$22</f>
        <v>2475</v>
      </c>
      <c r="K22" s="1570">
        <f t="shared" ref="K22:O22" si="8">$I$22</f>
        <v>2475</v>
      </c>
      <c r="L22" s="1570">
        <f t="shared" si="8"/>
        <v>2475</v>
      </c>
      <c r="M22" s="1570">
        <f t="shared" si="8"/>
        <v>2475</v>
      </c>
      <c r="N22" s="1570">
        <f t="shared" si="8"/>
        <v>2475</v>
      </c>
      <c r="O22" s="1570">
        <f t="shared" si="8"/>
        <v>2475</v>
      </c>
      <c r="P22" s="1570"/>
    </row>
    <row r="23" spans="1:18" ht="15.75" thickBot="1">
      <c r="A23" s="1660" t="s">
        <v>1291</v>
      </c>
      <c r="B23" s="1663">
        <v>1350</v>
      </c>
      <c r="C23" s="1652"/>
      <c r="D23" s="1653">
        <v>1350</v>
      </c>
      <c r="E23" s="1654"/>
      <c r="F23" s="1655"/>
      <c r="G23" s="1656" t="s">
        <v>1292</v>
      </c>
      <c r="H23" s="1657"/>
      <c r="I23" s="1658">
        <v>0</v>
      </c>
      <c r="J23" s="1635">
        <f>$I$23</f>
        <v>0</v>
      </c>
      <c r="K23" s="1635">
        <f t="shared" ref="K23:O23" si="9">$I$23</f>
        <v>0</v>
      </c>
      <c r="L23" s="1635">
        <f t="shared" si="9"/>
        <v>0</v>
      </c>
      <c r="M23" s="1635">
        <f t="shared" si="9"/>
        <v>0</v>
      </c>
      <c r="N23" s="1635">
        <f t="shared" si="9"/>
        <v>0</v>
      </c>
      <c r="O23" s="1635">
        <f t="shared" si="9"/>
        <v>0</v>
      </c>
      <c r="P23" s="1635"/>
      <c r="R23" t="s">
        <v>1432</v>
      </c>
    </row>
    <row r="24" spans="1:18" ht="15.75" thickBot="1">
      <c r="A24" s="1562"/>
      <c r="B24" s="1574"/>
      <c r="C24" s="1556"/>
      <c r="D24" s="1559"/>
      <c r="E24" s="1566"/>
      <c r="F24" s="1559"/>
      <c r="G24" s="1566"/>
      <c r="H24" s="1568"/>
      <c r="J24" s="1570"/>
      <c r="K24" s="1570"/>
      <c r="L24" s="1570"/>
      <c r="M24" s="1570"/>
      <c r="N24" s="1570"/>
      <c r="O24" s="1570"/>
      <c r="P24" s="1570"/>
    </row>
    <row r="25" spans="1:18" ht="15.75" thickBot="1">
      <c r="A25" s="1562"/>
      <c r="B25" s="1583"/>
      <c r="C25" s="1578"/>
      <c r="D25" s="1566"/>
      <c r="E25" s="1566"/>
      <c r="F25" s="1559"/>
      <c r="G25" s="1566"/>
      <c r="H25" s="1568"/>
      <c r="J25" s="1570"/>
      <c r="K25" s="1570"/>
      <c r="L25" s="1570"/>
      <c r="M25" s="1570"/>
      <c r="N25" s="1570"/>
      <c r="O25" s="1570"/>
      <c r="P25" s="1570"/>
    </row>
    <row r="26" spans="1:18" ht="15.75" thickBot="1">
      <c r="A26" s="1562" t="s">
        <v>1293</v>
      </c>
      <c r="B26" s="1584"/>
      <c r="C26" s="1566"/>
      <c r="D26" s="1566"/>
      <c r="E26" s="1566"/>
      <c r="F26" s="1559"/>
      <c r="G26" s="1566"/>
      <c r="H26" s="1568"/>
      <c r="J26" s="1570"/>
      <c r="K26" s="1570"/>
      <c r="L26" s="1570"/>
      <c r="M26" s="1570"/>
      <c r="N26" s="1570"/>
      <c r="O26" s="1570"/>
      <c r="P26" s="1570"/>
    </row>
    <row r="27" spans="1:18" ht="15.75" thickBot="1">
      <c r="A27" s="1567" t="s">
        <v>1294</v>
      </c>
      <c r="B27" s="1579">
        <v>5100</v>
      </c>
      <c r="C27" s="1572">
        <v>1</v>
      </c>
      <c r="D27" s="1579">
        <v>5100</v>
      </c>
      <c r="E27" s="1566" t="s">
        <v>1295</v>
      </c>
      <c r="F27" s="1559"/>
      <c r="G27" s="1567" t="s">
        <v>1296</v>
      </c>
      <c r="H27" s="1568"/>
      <c r="J27" s="1570">
        <v>5100</v>
      </c>
      <c r="K27" s="1570">
        <v>5100</v>
      </c>
      <c r="L27" s="1570">
        <v>5100</v>
      </c>
      <c r="M27" s="1570">
        <v>5100</v>
      </c>
      <c r="N27" s="1570">
        <v>5100</v>
      </c>
      <c r="O27" s="1570">
        <v>5100</v>
      </c>
      <c r="P27" s="1570"/>
    </row>
    <row r="28" spans="1:18" ht="15.75" thickBot="1">
      <c r="A28" s="1585" t="s">
        <v>1297</v>
      </c>
      <c r="B28" s="1579">
        <v>75</v>
      </c>
      <c r="C28" s="1572">
        <v>70</v>
      </c>
      <c r="D28" s="1579">
        <v>5250</v>
      </c>
      <c r="E28" s="1566" t="s">
        <v>1295</v>
      </c>
      <c r="F28" s="1559"/>
      <c r="G28" s="1567" t="s">
        <v>1296</v>
      </c>
      <c r="H28" s="1568"/>
      <c r="J28" s="1570">
        <v>5000</v>
      </c>
      <c r="K28" s="1570">
        <v>5000</v>
      </c>
      <c r="L28" s="1570">
        <v>5000</v>
      </c>
      <c r="M28" s="1570">
        <v>5000</v>
      </c>
      <c r="N28" s="1570">
        <v>5000</v>
      </c>
      <c r="O28" s="1570">
        <v>5000</v>
      </c>
      <c r="P28" s="1570"/>
    </row>
    <row r="29" spans="1:18" ht="15.75" thickBot="1">
      <c r="A29" s="1585" t="s">
        <v>1298</v>
      </c>
      <c r="B29" s="1579">
        <v>2600</v>
      </c>
      <c r="C29" s="1572">
        <v>1</v>
      </c>
      <c r="D29" s="1579">
        <v>2600</v>
      </c>
      <c r="E29" s="1567" t="s">
        <v>1295</v>
      </c>
      <c r="F29" s="1559"/>
      <c r="G29" s="1567" t="s">
        <v>1296</v>
      </c>
      <c r="H29" s="1568"/>
      <c r="J29" s="1570">
        <v>2600</v>
      </c>
      <c r="K29" s="1570">
        <v>2600</v>
      </c>
      <c r="L29" s="1570">
        <v>2600</v>
      </c>
      <c r="M29" s="1570">
        <v>2600</v>
      </c>
      <c r="N29" s="1570">
        <v>2600</v>
      </c>
      <c r="O29" s="1570">
        <v>2600</v>
      </c>
      <c r="P29" s="1570"/>
    </row>
    <row r="30" spans="1:18" ht="15.75" thickBot="1">
      <c r="A30" s="1585" t="s">
        <v>1299</v>
      </c>
      <c r="B30" s="1579">
        <v>103</v>
      </c>
      <c r="C30" s="1572">
        <v>20</v>
      </c>
      <c r="D30" s="1579">
        <v>2060</v>
      </c>
      <c r="E30" s="1567" t="s">
        <v>1295</v>
      </c>
      <c r="F30" s="1559"/>
      <c r="G30" s="1567" t="s">
        <v>1300</v>
      </c>
      <c r="H30" s="1568"/>
      <c r="J30" s="1570"/>
      <c r="K30" s="1570"/>
      <c r="L30" s="1570">
        <f>D30</f>
        <v>2060</v>
      </c>
      <c r="M30" s="1570">
        <f>D30</f>
        <v>2060</v>
      </c>
      <c r="N30" s="1570">
        <f>D30</f>
        <v>2060</v>
      </c>
      <c r="O30" s="1570">
        <f>D30</f>
        <v>2060</v>
      </c>
      <c r="P30" s="1570"/>
    </row>
    <row r="31" spans="1:18" ht="15.75" thickBot="1">
      <c r="A31" s="1586" t="s">
        <v>1301</v>
      </c>
      <c r="B31" s="1579">
        <v>99</v>
      </c>
      <c r="C31" s="1572">
        <v>20</v>
      </c>
      <c r="D31" s="1579">
        <v>1980</v>
      </c>
      <c r="E31" s="1567" t="s">
        <v>1295</v>
      </c>
      <c r="F31" s="1559"/>
      <c r="G31" s="1567" t="s">
        <v>1300</v>
      </c>
      <c r="H31" s="1568"/>
      <c r="J31" s="1570"/>
      <c r="K31" s="1570"/>
      <c r="L31" s="1570">
        <f t="shared" ref="L31" si="10">D31</f>
        <v>1980</v>
      </c>
      <c r="M31" s="1570">
        <f t="shared" ref="M31:M34" si="11">D31</f>
        <v>1980</v>
      </c>
      <c r="N31" s="1570">
        <f t="shared" ref="N31:N34" si="12">D31</f>
        <v>1980</v>
      </c>
      <c r="O31" s="1570">
        <f t="shared" ref="O31:O34" si="13">D31</f>
        <v>1980</v>
      </c>
      <c r="P31" s="1570"/>
    </row>
    <row r="32" spans="1:18" ht="15.75" thickBot="1">
      <c r="A32" s="1586" t="s">
        <v>1302</v>
      </c>
      <c r="B32" s="1579">
        <v>69</v>
      </c>
      <c r="C32" s="1572">
        <v>20</v>
      </c>
      <c r="D32" s="1579">
        <v>1380</v>
      </c>
      <c r="E32" s="1567" t="s">
        <v>1295</v>
      </c>
      <c r="F32" s="1559"/>
      <c r="G32" s="1567" t="s">
        <v>1300</v>
      </c>
      <c r="H32" s="1568"/>
      <c r="J32" s="1570"/>
      <c r="K32" s="1570"/>
      <c r="L32" s="1570"/>
      <c r="M32" s="1570">
        <f t="shared" si="11"/>
        <v>1380</v>
      </c>
      <c r="N32" s="1570">
        <f t="shared" si="12"/>
        <v>1380</v>
      </c>
      <c r="O32" s="1570">
        <f t="shared" si="13"/>
        <v>1380</v>
      </c>
      <c r="P32" s="1570"/>
    </row>
    <row r="33" spans="1:16" ht="15.75" thickBot="1">
      <c r="A33" s="1586" t="s">
        <v>1303</v>
      </c>
      <c r="B33" s="1579">
        <v>69</v>
      </c>
      <c r="C33" s="1572">
        <v>20</v>
      </c>
      <c r="D33" s="1579">
        <v>1380</v>
      </c>
      <c r="E33" s="1567" t="s">
        <v>1295</v>
      </c>
      <c r="F33" s="1559"/>
      <c r="G33" s="1567" t="s">
        <v>1300</v>
      </c>
      <c r="H33" s="1568"/>
      <c r="J33" s="1570"/>
      <c r="K33" s="1570"/>
      <c r="L33" s="1570"/>
      <c r="M33" s="1570">
        <f t="shared" si="11"/>
        <v>1380</v>
      </c>
      <c r="N33" s="1570">
        <f t="shared" si="12"/>
        <v>1380</v>
      </c>
      <c r="O33" s="1570">
        <f t="shared" si="13"/>
        <v>1380</v>
      </c>
      <c r="P33" s="1570"/>
    </row>
    <row r="34" spans="1:16" ht="15.75" thickBot="1">
      <c r="A34" s="1586" t="s">
        <v>1304</v>
      </c>
      <c r="B34" s="1579">
        <v>69</v>
      </c>
      <c r="C34" s="1572">
        <v>20</v>
      </c>
      <c r="D34" s="1579">
        <v>1380</v>
      </c>
      <c r="E34" s="1567" t="s">
        <v>1295</v>
      </c>
      <c r="F34" s="1559"/>
      <c r="G34" s="1567" t="s">
        <v>1300</v>
      </c>
      <c r="H34" s="1568"/>
      <c r="J34" s="1570"/>
      <c r="K34" s="1570"/>
      <c r="L34" s="1570"/>
      <c r="M34" s="1570">
        <f t="shared" si="11"/>
        <v>1380</v>
      </c>
      <c r="N34" s="1570">
        <f t="shared" si="12"/>
        <v>1380</v>
      </c>
      <c r="O34" s="1570">
        <f t="shared" si="13"/>
        <v>1380</v>
      </c>
      <c r="P34" s="1570"/>
    </row>
    <row r="35" spans="1:16">
      <c r="J35" s="1570"/>
      <c r="K35" s="1570"/>
      <c r="L35" s="1570"/>
      <c r="M35" s="1570"/>
      <c r="N35" s="1570"/>
      <c r="O35" s="1570"/>
      <c r="P35" s="1570"/>
    </row>
    <row r="36" spans="1:16">
      <c r="J36" s="1570"/>
      <c r="K36" s="1570"/>
      <c r="L36" s="1570"/>
      <c r="M36" s="1570"/>
      <c r="N36" s="1570"/>
      <c r="O36" s="1570"/>
      <c r="P36" s="1570"/>
    </row>
    <row r="37" spans="1:16">
      <c r="A37" t="s">
        <v>1306</v>
      </c>
      <c r="I37">
        <f>10+4.29</f>
        <v>14.29</v>
      </c>
      <c r="J37" s="1570">
        <f>2000+1000</f>
        <v>3000</v>
      </c>
      <c r="K37" s="1570">
        <f t="shared" ref="K37:O37" si="14">2000+1000</f>
        <v>3000</v>
      </c>
      <c r="L37" s="1570">
        <f t="shared" si="14"/>
        <v>3000</v>
      </c>
      <c r="M37" s="1570">
        <f t="shared" si="14"/>
        <v>3000</v>
      </c>
      <c r="N37" s="1570">
        <f t="shared" si="14"/>
        <v>3000</v>
      </c>
      <c r="O37" s="1570">
        <f t="shared" si="14"/>
        <v>3000</v>
      </c>
      <c r="P37" s="1570"/>
    </row>
    <row r="38" spans="1:16">
      <c r="A38" t="s">
        <v>1307</v>
      </c>
      <c r="I38">
        <f>6+0.9+2</f>
        <v>8.9</v>
      </c>
      <c r="J38" s="1570">
        <f>$I$38*J1</f>
        <v>1335</v>
      </c>
      <c r="K38" s="1570">
        <f t="shared" ref="K38:O38" si="15">$I$38*K1</f>
        <v>2403</v>
      </c>
      <c r="L38" s="1570">
        <f t="shared" si="15"/>
        <v>2803.5</v>
      </c>
      <c r="M38" s="1570">
        <f t="shared" si="15"/>
        <v>3204</v>
      </c>
      <c r="N38" s="1570">
        <f t="shared" si="15"/>
        <v>3204</v>
      </c>
      <c r="O38" s="1570">
        <f t="shared" si="15"/>
        <v>3204</v>
      </c>
      <c r="P38" s="1570"/>
    </row>
    <row r="39" spans="1:16">
      <c r="J39" s="1570"/>
      <c r="K39" s="1570"/>
      <c r="L39" s="1570"/>
      <c r="M39" s="1570"/>
      <c r="N39" s="1570"/>
      <c r="O39" s="1570"/>
      <c r="P39" s="1570"/>
    </row>
    <row r="40" spans="1:16">
      <c r="J40" s="1570"/>
      <c r="K40" s="1570"/>
      <c r="L40" s="1570"/>
      <c r="M40" s="1570"/>
      <c r="N40" s="1570"/>
      <c r="O40" s="1570"/>
      <c r="P40" s="1570"/>
    </row>
    <row r="41" spans="1:16">
      <c r="A41" t="s">
        <v>1305</v>
      </c>
      <c r="J41">
        <v>8000</v>
      </c>
      <c r="K41">
        <v>8000</v>
      </c>
      <c r="L41">
        <v>8000</v>
      </c>
      <c r="M41">
        <v>8000</v>
      </c>
      <c r="N41">
        <v>8000</v>
      </c>
      <c r="O41">
        <v>8000</v>
      </c>
    </row>
    <row r="42" spans="1:16">
      <c r="J42" s="1570">
        <f t="shared" ref="J42:O42" si="16">SUM(J2:J41)</f>
        <v>41925</v>
      </c>
      <c r="K42" s="1570">
        <f t="shared" si="16"/>
        <v>51873</v>
      </c>
      <c r="L42" s="1570">
        <f t="shared" si="16"/>
        <v>69643.5</v>
      </c>
      <c r="M42" s="1570">
        <f t="shared" si="16"/>
        <v>77514</v>
      </c>
      <c r="N42" s="1570">
        <f t="shared" si="16"/>
        <v>77514</v>
      </c>
      <c r="O42" s="1570">
        <f t="shared" si="16"/>
        <v>77514</v>
      </c>
    </row>
    <row r="44" spans="1:16">
      <c r="J44" s="1587">
        <f t="shared" ref="J44:O44" si="17">J42/J1</f>
        <v>279.5</v>
      </c>
      <c r="K44" s="1587">
        <f t="shared" si="17"/>
        <v>192.12222222222223</v>
      </c>
      <c r="L44" s="1587">
        <f t="shared" si="17"/>
        <v>221.09047619047618</v>
      </c>
      <c r="M44" s="1587">
        <f t="shared" si="17"/>
        <v>215.31666666666666</v>
      </c>
      <c r="N44" s="1587">
        <f t="shared" si="17"/>
        <v>215.31666666666666</v>
      </c>
      <c r="O44" s="1587">
        <f t="shared" si="17"/>
        <v>215.31666666666666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15" ma:contentTypeDescription="Create a new document." ma:contentTypeScope="" ma:versionID="63835a0702f433eed783fc2e4c957c80">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937eab7a69f6fef723c7e144725fdd8"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85473-132B-4DB5-864F-81C054CF5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409FB-C47F-4DBF-9CFF-B7D64C5F0F2A}">
  <ds:schemaRefs>
    <ds:schemaRef ds:uri="http://purl.org/dc/elements/1.1/"/>
    <ds:schemaRef ds:uri="http://schemas.microsoft.com/office/2006/metadata/properties"/>
    <ds:schemaRef ds:uri="http://schemas.microsoft.com/sharepoint/v3"/>
    <ds:schemaRef ds:uri="9224003f-e6e7-470a-941a-44de566188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b173ee-3fb8-4f75-bf43-79a22ca96f2e"/>
    <ds:schemaRef ds:uri="http://www.w3.org/XML/1998/namespace"/>
    <ds:schemaRef ds:uri="http://purl.org/dc/dcmitype/"/>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55</vt:i4>
      </vt:variant>
    </vt:vector>
  </HeadingPairs>
  <TitlesOfParts>
    <vt:vector size="77" baseType="lpstr">
      <vt:lpstr>Instructions</vt:lpstr>
      <vt:lpstr>Cover</vt:lpstr>
      <vt:lpstr>TOC</vt:lpstr>
      <vt:lpstr>Summary</vt:lpstr>
      <vt:lpstr>Market</vt:lpstr>
      <vt:lpstr> Enrol &amp; Rev</vt:lpstr>
      <vt:lpstr>CF Y1 Mo</vt:lpstr>
      <vt:lpstr>Gen Optg</vt:lpstr>
      <vt:lpstr>Staff</vt:lpstr>
      <vt:lpstr>Facilities</vt:lpstr>
      <vt:lpstr>FFE&amp;T</vt:lpstr>
      <vt:lpstr>Ins</vt:lpstr>
      <vt:lpstr>Marketing</vt:lpstr>
      <vt:lpstr>Incubation</vt:lpstr>
      <vt:lpstr>EMO-CMO</vt:lpstr>
      <vt:lpstr>PCFP Rates</vt:lpstr>
      <vt:lpstr>Facilities wkst</vt:lpstr>
      <vt:lpstr>Dev Notes</vt:lpstr>
      <vt:lpstr>Note FFE</vt:lpstr>
      <vt:lpstr>Eq wip</vt:lpstr>
      <vt:lpstr>Levers</vt:lpstr>
      <vt:lpstr>Instructional</vt:lpstr>
      <vt:lpstr>Counties</vt:lpstr>
      <vt:lpstr>County</vt:lpstr>
      <vt:lpstr>DSA</vt:lpstr>
      <vt:lpstr>HypLink1</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Cover!Print_Area</vt:lpstr>
      <vt:lpstr>'Dev Notes'!Print_Area</vt:lpstr>
      <vt:lpstr>'EMO-CMO'!Print_Area</vt:lpstr>
      <vt:lpstr>'Eq wip'!Print_Area</vt:lpstr>
      <vt:lpstr>Facilities!Print_Area</vt:lpstr>
      <vt:lpstr>'FFE&amp;T'!Print_Area</vt:lpstr>
      <vt:lpstr>'Gen Optg'!Print_Area</vt:lpstr>
      <vt:lpstr>Incubation!Print_Area</vt:lpstr>
      <vt:lpstr>Ins!Print_Area</vt:lpstr>
      <vt:lpstr>Instructions!Print_Area</vt:lpstr>
      <vt:lpstr>Levers!Print_Area</vt:lpstr>
      <vt:lpstr>Market!Print_Area</vt:lpstr>
      <vt:lpstr>Marketing!Print_Area</vt:lpstr>
      <vt:lpstr>'Note FFE'!Print_Area</vt:lpstr>
      <vt:lpstr>'PCFP Rates'!Print_Area</vt:lpstr>
      <vt:lpstr>Staff!Print_Area</vt:lpstr>
      <vt:lpstr>Summary!Print_Area</vt:lpstr>
      <vt:lpstr>TOC!Print_Area</vt:lpstr>
      <vt:lpstr>' Enrol &amp; Rev'!Print_Titles</vt:lpstr>
      <vt:lpstr>'CF Y1 Mo'!Print_Titles</vt:lpstr>
      <vt:lpstr>'EMO-CMO'!Print_Titles</vt:lpstr>
      <vt:lpstr>'Facilities wkst'!Print_Titles</vt:lpstr>
      <vt:lpstr>'Gen Optg'!Print_Titles</vt:lpstr>
      <vt:lpstr>Levers!Print_Titles</vt:lpstr>
      <vt:lpstr>Market!Print_Titles</vt:lpstr>
      <vt:lpstr>Marketing!Print_Titles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Collin Raymond [CSBM]</cp:lastModifiedBy>
  <cp:revision/>
  <dcterms:created xsi:type="dcterms:W3CDTF">2009-03-05T15:43:16Z</dcterms:created>
  <dcterms:modified xsi:type="dcterms:W3CDTF">2025-04-09T21:26:20Z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